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D:\Archives\Completed Projects\KP\Data\"/>
    </mc:Choice>
  </mc:AlternateContent>
  <xr:revisionPtr revIDLastSave="0" documentId="13_ncr:1_{C71F95A9-BF14-4253-A8B9-FACEF6E0580C}" xr6:coauthVersionLast="47" xr6:coauthVersionMax="47" xr10:uidLastSave="{00000000-0000-0000-0000-000000000000}"/>
  <bookViews>
    <workbookView xWindow="-108" yWindow="-108" windowWidth="23256" windowHeight="12456" tabRatio="769" firstSheet="6" activeTab="11" xr2:uid="{5D0B3E81-3A06-4116-966E-EA2C9720D62E}"/>
  </bookViews>
  <sheets>
    <sheet name="UBAP BERSIH GD.A" sheetId="27" r:id="rId1"/>
    <sheet name="UBAP BERSIH GD.B" sheetId="28" r:id="rId2"/>
    <sheet name="UBAP Bersih GD.C" sheetId="54" r:id="rId3"/>
    <sheet name="UBAP BERSIH GD.D" sheetId="30" r:id="rId4"/>
    <sheet name="UBAP BERSIH GD.E" sheetId="31" r:id="rId5"/>
    <sheet name="UBAP BERSIH GD.F" sheetId="32" r:id="rId6"/>
    <sheet name="Kebutuhan Air Bersih" sheetId="39" r:id="rId7"/>
    <sheet name="Kebutuhan Air Bersih (BED)" sheetId="76" r:id="rId8"/>
    <sheet name="Diameter Pipa Air Bersih" sheetId="48" r:id="rId9"/>
    <sheet name="Volume GWT" sheetId="44" r:id="rId10"/>
    <sheet name="Volume RT" sheetId="45" r:id="rId11"/>
    <sheet name="Pompa Transfer" sheetId="46" r:id="rId12"/>
    <sheet name="Pompa Booster" sheetId="47" r:id="rId13"/>
    <sheet name="Rekapitulasi" sheetId="63" r:id="rId14"/>
    <sheet name="UBAP LIMBAH GD.A " sheetId="64" r:id="rId15"/>
    <sheet name="UBAP LIMBAH GD.B " sheetId="65" r:id="rId16"/>
    <sheet name="UBAP LIMBAH GD.C " sheetId="66" r:id="rId17"/>
    <sheet name="UBAP LIMBAH GD.D " sheetId="67" r:id="rId18"/>
    <sheet name="UBAP LIMBAH GD.E" sheetId="68" r:id="rId19"/>
    <sheet name="UBAP LIMBAH GD.F" sheetId="69" r:id="rId20"/>
    <sheet name="Black Water" sheetId="71" r:id="rId21"/>
    <sheet name="Grey Water" sheetId="72" r:id="rId22"/>
    <sheet name="Limbah Medis" sheetId="73" r:id="rId23"/>
    <sheet name=" Pipa Horizontal Gedung A" sheetId="75" r:id="rId24"/>
    <sheet name="Sewage Pit A" sheetId="80" r:id="rId25"/>
    <sheet name="Sewage Pit B" sheetId="81" r:id="rId26"/>
    <sheet name="Sewage Pit C " sheetId="82" r:id="rId27"/>
    <sheet name="Sewage Pit D " sheetId="83" r:id="rId28"/>
    <sheet name="Decay Basement D " sheetId="85" r:id="rId29"/>
    <sheet name="IPAL" sheetId="57" r:id="rId30"/>
    <sheet name="Diagram Alir" sheetId="86" r:id="rId31"/>
    <sheet name="Sprinkler Taman" sheetId="62" r:id="rId32"/>
    <sheet name="Sheet2" sheetId="87" r:id="rId33"/>
    <sheet name="Sheet1" sheetId="79" state="hidden" r:id="rId34"/>
  </sheets>
  <definedNames>
    <definedName name="_xlnm.Print_Area" localSheetId="28">'Decay Basement D '!$A$1:$G$81</definedName>
    <definedName name="_xlnm.Print_Area" localSheetId="24">'Sewage Pit A'!$A$1:$G$276</definedName>
    <definedName name="_xlnm.Print_Area" localSheetId="25">'Sewage Pit B'!$A$1:$G$177</definedName>
    <definedName name="_xlnm.Print_Area" localSheetId="26">'Sewage Pit C '!$A$1:$G$253</definedName>
    <definedName name="_xlnm.Print_Area" localSheetId="27">'Sewage Pit D '!$A$1:$G$250</definedName>
    <definedName name="_xlnm.Print_Area" localSheetId="0">'UBAP BERSIH GD.A'!$A$1:$AG$106</definedName>
    <definedName name="_xlnm.Print_Area" localSheetId="1">'UBAP BERSIH GD.B'!$A$1:$S$220</definedName>
    <definedName name="_xlnm.Print_Area" localSheetId="3">'UBAP BERSIH GD.D'!$A$1:$T$167</definedName>
    <definedName name="_xlnm.Print_Area" localSheetId="14">'UBAP LIMBAH GD.A '!$A$1:$W$106</definedName>
    <definedName name="_xlnm.Print_Area" localSheetId="15">'UBAP LIMBAH GD.B '!$A$1:$S$220</definedName>
    <definedName name="_xlnm.Print_Area" localSheetId="17">'UBAP LIMBAH GD.D '!$A$1:$T$167</definedName>
    <definedName name="_xlnm.Print_Area" localSheetId="18">'UBAP LIMBAH GD.E'!$A$1:$T$53</definedName>
    <definedName name="_xlnm.Print_Area" localSheetId="19">'UBAP LIMBAH GD.F'!$A$1:$T$27</definedName>
    <definedName name="_xlnm.Print_Titles" localSheetId="28">'Decay Basement D '!$1:$4</definedName>
    <definedName name="_xlnm.Print_Titles" localSheetId="24">'Sewage Pit A'!$1:$4</definedName>
    <definedName name="_xlnm.Print_Titles" localSheetId="25">'Sewage Pit B'!$1:$4</definedName>
    <definedName name="_xlnm.Print_Titles" localSheetId="26">'Sewage Pit C '!$1:$4</definedName>
    <definedName name="_xlnm.Print_Titles" localSheetId="27">'Sewage Pit D 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6" i="46" l="1"/>
  <c r="C74" i="46"/>
  <c r="C101" i="46"/>
  <c r="C63" i="46"/>
  <c r="C65" i="46"/>
  <c r="C17" i="46"/>
  <c r="C26" i="46"/>
  <c r="C34" i="45"/>
  <c r="C29" i="45"/>
  <c r="C38" i="45"/>
  <c r="C33" i="45"/>
  <c r="J55" i="46"/>
  <c r="J52" i="46"/>
  <c r="C204" i="80"/>
  <c r="C110" i="39"/>
  <c r="C48" i="85"/>
  <c r="C49" i="85" s="1"/>
  <c r="C50" i="85" s="1"/>
  <c r="C52" i="85" s="1"/>
  <c r="E56" i="85" s="1"/>
  <c r="C56" i="85" s="1"/>
  <c r="F42" i="85"/>
  <c r="D41" i="85"/>
  <c r="B45" i="85" s="1"/>
  <c r="F40" i="85"/>
  <c r="C25" i="85"/>
  <c r="C22" i="85"/>
  <c r="C23" i="85" s="1"/>
  <c r="C24" i="85" s="1"/>
  <c r="C26" i="85" s="1"/>
  <c r="E30" i="85" s="1"/>
  <c r="C30" i="85" s="1"/>
  <c r="B19" i="85"/>
  <c r="F16" i="85"/>
  <c r="C19" i="85" s="1"/>
  <c r="C220" i="83"/>
  <c r="C221" i="83" s="1"/>
  <c r="C222" i="83" s="1"/>
  <c r="C224" i="83" s="1"/>
  <c r="E228" i="83" s="1"/>
  <c r="C228" i="83" s="1"/>
  <c r="B217" i="83"/>
  <c r="F214" i="83"/>
  <c r="F212" i="83"/>
  <c r="F210" i="83"/>
  <c r="F208" i="83"/>
  <c r="F206" i="83"/>
  <c r="F204" i="83"/>
  <c r="F202" i="83"/>
  <c r="F200" i="83"/>
  <c r="F199" i="83"/>
  <c r="F197" i="83"/>
  <c r="C217" i="83" s="1"/>
  <c r="C176" i="83"/>
  <c r="C177" i="83" s="1"/>
  <c r="C178" i="83" s="1"/>
  <c r="C180" i="83" s="1"/>
  <c r="E184" i="83" s="1"/>
  <c r="C184" i="83" s="1"/>
  <c r="C173" i="83"/>
  <c r="B173" i="83"/>
  <c r="F170" i="83"/>
  <c r="F169" i="83"/>
  <c r="F168" i="83"/>
  <c r="F166" i="83"/>
  <c r="F165" i="83"/>
  <c r="F164" i="83"/>
  <c r="F162" i="83"/>
  <c r="F161" i="83"/>
  <c r="F160" i="83"/>
  <c r="F158" i="83"/>
  <c r="F157" i="83"/>
  <c r="F156" i="83"/>
  <c r="F154" i="83"/>
  <c r="F153" i="83"/>
  <c r="F152" i="83"/>
  <c r="F150" i="83"/>
  <c r="F149" i="83"/>
  <c r="F148" i="83"/>
  <c r="F146" i="83"/>
  <c r="F144" i="83"/>
  <c r="F143" i="83"/>
  <c r="D128" i="83"/>
  <c r="C125" i="83"/>
  <c r="C122" i="83"/>
  <c r="C130" i="83" s="1"/>
  <c r="C131" i="83" s="1"/>
  <c r="C133" i="83" s="1"/>
  <c r="E118" i="83"/>
  <c r="E120" i="83" s="1"/>
  <c r="C87" i="83"/>
  <c r="C97" i="83" s="1"/>
  <c r="C102" i="83" s="1"/>
  <c r="C103" i="83" s="1"/>
  <c r="B84" i="83"/>
  <c r="F81" i="83"/>
  <c r="F80" i="83"/>
  <c r="F79" i="83"/>
  <c r="C84" i="83" s="1"/>
  <c r="C67" i="83"/>
  <c r="C68" i="83" s="1"/>
  <c r="C70" i="83" s="1"/>
  <c r="D65" i="83"/>
  <c r="C62" i="83"/>
  <c r="C59" i="83"/>
  <c r="C60" i="83" s="1"/>
  <c r="E55" i="83"/>
  <c r="E57" i="83" s="1"/>
  <c r="C63" i="83" s="1"/>
  <c r="C28" i="83"/>
  <c r="C25" i="83"/>
  <c r="C26" i="83" s="1"/>
  <c r="C27" i="83" s="1"/>
  <c r="C29" i="83" s="1"/>
  <c r="E33" i="83" s="1"/>
  <c r="C33" i="83" s="1"/>
  <c r="B22" i="83"/>
  <c r="F19" i="83"/>
  <c r="D18" i="83"/>
  <c r="F18" i="83" s="1"/>
  <c r="F17" i="83"/>
  <c r="D16" i="83"/>
  <c r="F16" i="83" s="1"/>
  <c r="C22" i="83" s="1"/>
  <c r="C222" i="82"/>
  <c r="C223" i="82" s="1"/>
  <c r="C225" i="82" s="1"/>
  <c r="D220" i="82"/>
  <c r="C217" i="82"/>
  <c r="C215" i="82"/>
  <c r="C214" i="82"/>
  <c r="E210" i="82"/>
  <c r="E212" i="82" s="1"/>
  <c r="C218" i="82" s="1"/>
  <c r="C179" i="82"/>
  <c r="C189" i="82" s="1"/>
  <c r="C194" i="82" s="1"/>
  <c r="C195" i="82" s="1"/>
  <c r="B176" i="82"/>
  <c r="F173" i="82"/>
  <c r="F171" i="82"/>
  <c r="F169" i="82"/>
  <c r="F167" i="82"/>
  <c r="F165" i="82"/>
  <c r="F163" i="82"/>
  <c r="F161" i="82"/>
  <c r="F159" i="82"/>
  <c r="F157" i="82"/>
  <c r="F155" i="82"/>
  <c r="F154" i="82"/>
  <c r="F152" i="82"/>
  <c r="F149" i="82"/>
  <c r="F147" i="82"/>
  <c r="F145" i="82"/>
  <c r="F143" i="82"/>
  <c r="F142" i="82"/>
  <c r="F141" i="82"/>
  <c r="F139" i="82"/>
  <c r="F138" i="82"/>
  <c r="C176" i="82" s="1"/>
  <c r="F137" i="82"/>
  <c r="C115" i="82"/>
  <c r="C116" i="82" s="1"/>
  <c r="C118" i="82" s="1"/>
  <c r="D113" i="82"/>
  <c r="C110" i="82"/>
  <c r="C107" i="82"/>
  <c r="C108" i="82" s="1"/>
  <c r="E103" i="82"/>
  <c r="E105" i="82" s="1"/>
  <c r="C111" i="82" s="1"/>
  <c r="C83" i="82"/>
  <c r="C87" i="82" s="1"/>
  <c r="C88" i="82" s="1"/>
  <c r="C76" i="82"/>
  <c r="C73" i="82"/>
  <c r="C74" i="82" s="1"/>
  <c r="C75" i="82" s="1"/>
  <c r="C77" i="82" s="1"/>
  <c r="E81" i="82" s="1"/>
  <c r="C81" i="82" s="1"/>
  <c r="B70" i="82"/>
  <c r="F65" i="82"/>
  <c r="F62" i="82"/>
  <c r="F61" i="82"/>
  <c r="F60" i="82"/>
  <c r="F59" i="82"/>
  <c r="F58" i="82"/>
  <c r="F57" i="82"/>
  <c r="F56" i="82"/>
  <c r="F54" i="82"/>
  <c r="F53" i="82"/>
  <c r="F52" i="82"/>
  <c r="F51" i="82"/>
  <c r="F50" i="82"/>
  <c r="F47" i="82"/>
  <c r="F46" i="82"/>
  <c r="F45" i="82"/>
  <c r="F44" i="82"/>
  <c r="F42" i="82"/>
  <c r="F41" i="82"/>
  <c r="F40" i="82"/>
  <c r="F39" i="82"/>
  <c r="F38" i="82"/>
  <c r="F36" i="82"/>
  <c r="F35" i="82"/>
  <c r="F34" i="82"/>
  <c r="F33" i="82"/>
  <c r="F31" i="82"/>
  <c r="F30" i="82"/>
  <c r="F29" i="82"/>
  <c r="F28" i="82"/>
  <c r="F27" i="82"/>
  <c r="F25" i="82"/>
  <c r="F24" i="82"/>
  <c r="F23" i="82"/>
  <c r="F22" i="82"/>
  <c r="F21" i="82"/>
  <c r="F20" i="82"/>
  <c r="F19" i="82"/>
  <c r="F18" i="82"/>
  <c r="C70" i="82" s="1"/>
  <c r="C145" i="81"/>
  <c r="C146" i="81" s="1"/>
  <c r="C148" i="81" s="1"/>
  <c r="D143" i="81"/>
  <c r="C140" i="81"/>
  <c r="C138" i="81"/>
  <c r="E133" i="81"/>
  <c r="E135" i="81" s="1"/>
  <c r="C141" i="81" s="1"/>
  <c r="C102" i="81"/>
  <c r="C112" i="81" s="1"/>
  <c r="C117" i="81" s="1"/>
  <c r="C118" i="81" s="1"/>
  <c r="B99" i="81"/>
  <c r="F96" i="81"/>
  <c r="C99" i="81" s="1"/>
  <c r="F94" i="81"/>
  <c r="F92" i="81"/>
  <c r="F90" i="81"/>
  <c r="F88" i="81"/>
  <c r="F86" i="81"/>
  <c r="F84" i="81"/>
  <c r="F82" i="81"/>
  <c r="C70" i="81"/>
  <c r="C71" i="81" s="1"/>
  <c r="C73" i="81" s="1"/>
  <c r="D68" i="81"/>
  <c r="C65" i="81"/>
  <c r="C62" i="81"/>
  <c r="C63" i="81" s="1"/>
  <c r="E58" i="81"/>
  <c r="E60" i="81" s="1"/>
  <c r="C66" i="81" s="1"/>
  <c r="C31" i="81"/>
  <c r="C28" i="81"/>
  <c r="C38" i="81" s="1"/>
  <c r="C42" i="81" s="1"/>
  <c r="C43" i="81" s="1"/>
  <c r="B25" i="81"/>
  <c r="F22" i="81"/>
  <c r="F19" i="81"/>
  <c r="F18" i="81"/>
  <c r="F17" i="81"/>
  <c r="C25" i="81" s="1"/>
  <c r="C246" i="80"/>
  <c r="C248" i="80" s="1"/>
  <c r="C245" i="80"/>
  <c r="D243" i="80"/>
  <c r="C240" i="80"/>
  <c r="C238" i="80"/>
  <c r="C237" i="80"/>
  <c r="E233" i="80"/>
  <c r="E235" i="80" s="1"/>
  <c r="C241" i="80" s="1"/>
  <c r="C206" i="80"/>
  <c r="G201" i="80"/>
  <c r="C203" i="80" s="1"/>
  <c r="G200" i="80"/>
  <c r="G199" i="80"/>
  <c r="D197" i="80"/>
  <c r="F197" i="80" s="1"/>
  <c r="D196" i="80"/>
  <c r="F196" i="80" s="1"/>
  <c r="G195" i="80"/>
  <c r="D195" i="80"/>
  <c r="F195" i="80" s="1"/>
  <c r="F198" i="80" s="1"/>
  <c r="C183" i="80"/>
  <c r="C184" i="80" s="1"/>
  <c r="C186" i="80" s="1"/>
  <c r="D181" i="80"/>
  <c r="C178" i="80"/>
  <c r="C176" i="80"/>
  <c r="C175" i="80"/>
  <c r="E171" i="80"/>
  <c r="E173" i="80" s="1"/>
  <c r="C179" i="80" s="1"/>
  <c r="C151" i="80"/>
  <c r="C155" i="80" s="1"/>
  <c r="C156" i="80" s="1"/>
  <c r="C144" i="80"/>
  <c r="C142" i="80"/>
  <c r="C143" i="80" s="1"/>
  <c r="C145" i="80" s="1"/>
  <c r="E149" i="80" s="1"/>
  <c r="C149" i="80" s="1"/>
  <c r="C141" i="80"/>
  <c r="F137" i="80"/>
  <c r="F136" i="80"/>
  <c r="F135" i="80"/>
  <c r="F138" i="80" s="1"/>
  <c r="F134" i="80"/>
  <c r="D120" i="80"/>
  <c r="C117" i="80"/>
  <c r="C114" i="80"/>
  <c r="C122" i="80" s="1"/>
  <c r="C123" i="80" s="1"/>
  <c r="C125" i="80" s="1"/>
  <c r="E110" i="80"/>
  <c r="E112" i="80" s="1"/>
  <c r="C89" i="80"/>
  <c r="C94" i="80" s="1"/>
  <c r="C95" i="80" s="1"/>
  <c r="C79" i="80"/>
  <c r="C80" i="80" s="1"/>
  <c r="C81" i="80" s="1"/>
  <c r="C83" i="80" s="1"/>
  <c r="E87" i="80" s="1"/>
  <c r="C87" i="80" s="1"/>
  <c r="F75" i="80"/>
  <c r="F74" i="80"/>
  <c r="F73" i="80"/>
  <c r="F76" i="80" s="1"/>
  <c r="C62" i="80"/>
  <c r="C63" i="80" s="1"/>
  <c r="C65" i="80" s="1"/>
  <c r="D60" i="80"/>
  <c r="C57" i="80"/>
  <c r="C54" i="80"/>
  <c r="C55" i="80" s="1"/>
  <c r="E50" i="80"/>
  <c r="E52" i="80" s="1"/>
  <c r="C58" i="80" s="1"/>
  <c r="C46" i="80"/>
  <c r="C30" i="80"/>
  <c r="C34" i="80" s="1"/>
  <c r="C35" i="80" s="1"/>
  <c r="C23" i="80"/>
  <c r="C20" i="80"/>
  <c r="C21" i="80" s="1"/>
  <c r="C22" i="80" s="1"/>
  <c r="C24" i="80" s="1"/>
  <c r="E28" i="80" s="1"/>
  <c r="C28" i="80" s="1"/>
  <c r="F16" i="80"/>
  <c r="F15" i="80"/>
  <c r="F17" i="80" s="1"/>
  <c r="F14" i="80"/>
  <c r="F41" i="85" l="1"/>
  <c r="C45" i="85" s="1"/>
  <c r="C105" i="83"/>
  <c r="C111" i="83"/>
  <c r="E220" i="83"/>
  <c r="E176" i="83"/>
  <c r="C35" i="83"/>
  <c r="C39" i="83" s="1"/>
  <c r="C40" i="83" s="1"/>
  <c r="C123" i="83"/>
  <c r="C126" i="83" s="1"/>
  <c r="C88" i="83"/>
  <c r="C89" i="83" s="1"/>
  <c r="C91" i="83" s="1"/>
  <c r="E95" i="83" s="1"/>
  <c r="C95" i="83" s="1"/>
  <c r="C203" i="82"/>
  <c r="C197" i="82"/>
  <c r="C96" i="82"/>
  <c r="C90" i="82"/>
  <c r="C180" i="82"/>
  <c r="C181" i="82" s="1"/>
  <c r="C183" i="82" s="1"/>
  <c r="E187" i="82" s="1"/>
  <c r="C187" i="82" s="1"/>
  <c r="C126" i="81"/>
  <c r="C120" i="81"/>
  <c r="C45" i="81"/>
  <c r="C51" i="81"/>
  <c r="C103" i="81"/>
  <c r="C104" i="81" s="1"/>
  <c r="C106" i="81" s="1"/>
  <c r="E110" i="81" s="1"/>
  <c r="C110" i="81" s="1"/>
  <c r="C29" i="81"/>
  <c r="C30" i="81" s="1"/>
  <c r="C32" i="81" s="1"/>
  <c r="E36" i="81" s="1"/>
  <c r="C36" i="81" s="1"/>
  <c r="C43" i="80"/>
  <c r="C37" i="80"/>
  <c r="C164" i="80"/>
  <c r="C158" i="80"/>
  <c r="C103" i="80"/>
  <c r="C97" i="80"/>
  <c r="C118" i="80"/>
  <c r="C205" i="80"/>
  <c r="C207" i="80" s="1"/>
  <c r="E211" i="80" s="1"/>
  <c r="C211" i="80" s="1"/>
  <c r="C213" i="80"/>
  <c r="C217" i="80" s="1"/>
  <c r="C218" i="80" s="1"/>
  <c r="C115" i="80"/>
  <c r="C48" i="83" l="1"/>
  <c r="C42" i="83"/>
  <c r="C106" i="83"/>
  <c r="C113" i="83"/>
  <c r="C115" i="83" s="1"/>
  <c r="C98" i="83" s="1"/>
  <c r="C98" i="82"/>
  <c r="C91" i="82"/>
  <c r="C100" i="82"/>
  <c r="C84" i="82" s="1"/>
  <c r="C205" i="82"/>
  <c r="C198" i="82"/>
  <c r="C207" i="82"/>
  <c r="C190" i="82" s="1"/>
  <c r="C46" i="81"/>
  <c r="C53" i="81"/>
  <c r="C55" i="81" s="1"/>
  <c r="C39" i="81" s="1"/>
  <c r="C128" i="81"/>
  <c r="C121" i="81"/>
  <c r="C130" i="81"/>
  <c r="C113" i="81" s="1"/>
  <c r="C105" i="80"/>
  <c r="C98" i="80"/>
  <c r="C107" i="80"/>
  <c r="C90" i="80" s="1"/>
  <c r="C166" i="80"/>
  <c r="C159" i="80"/>
  <c r="C168" i="80"/>
  <c r="C152" i="80" s="1"/>
  <c r="C45" i="80"/>
  <c r="C47" i="80" s="1"/>
  <c r="C31" i="80" s="1"/>
  <c r="C38" i="80"/>
  <c r="C226" i="80"/>
  <c r="C220" i="80"/>
  <c r="C50" i="83" l="1"/>
  <c r="C43" i="83"/>
  <c r="C52" i="83"/>
  <c r="C36" i="83" s="1"/>
  <c r="C228" i="80"/>
  <c r="C221" i="80"/>
  <c r="C230" i="80"/>
  <c r="C214" i="80" s="1"/>
  <c r="O96" i="79" l="1"/>
  <c r="O94" i="79"/>
  <c r="O92" i="79"/>
  <c r="N94" i="79"/>
  <c r="M94" i="79"/>
  <c r="O4" i="79"/>
  <c r="O5" i="79"/>
  <c r="O6" i="79"/>
  <c r="O7" i="79"/>
  <c r="O8" i="79"/>
  <c r="O9" i="79"/>
  <c r="O10" i="79"/>
  <c r="O11" i="79"/>
  <c r="O12" i="79"/>
  <c r="O13" i="79"/>
  <c r="O14" i="79"/>
  <c r="O15" i="79"/>
  <c r="O16" i="79"/>
  <c r="O17" i="79"/>
  <c r="O18" i="79"/>
  <c r="O19" i="79"/>
  <c r="O20" i="79"/>
  <c r="O21" i="79"/>
  <c r="O22" i="79"/>
  <c r="O23" i="79"/>
  <c r="O24" i="79"/>
  <c r="O25" i="79"/>
  <c r="O26" i="79"/>
  <c r="O27" i="79"/>
  <c r="O28" i="79"/>
  <c r="O29" i="79"/>
  <c r="O30" i="79"/>
  <c r="O31" i="79"/>
  <c r="O32" i="79"/>
  <c r="O33" i="79"/>
  <c r="O34" i="79"/>
  <c r="O35" i="79"/>
  <c r="O36" i="79"/>
  <c r="O37" i="79"/>
  <c r="O38" i="79"/>
  <c r="O39" i="79"/>
  <c r="O40" i="79"/>
  <c r="O41" i="79"/>
  <c r="O42" i="79"/>
  <c r="O43" i="79"/>
  <c r="O44" i="79"/>
  <c r="O45" i="79"/>
  <c r="O46" i="79"/>
  <c r="O47" i="79"/>
  <c r="O48" i="79"/>
  <c r="O49" i="79"/>
  <c r="O50" i="79"/>
  <c r="O51" i="79"/>
  <c r="O52" i="79"/>
  <c r="O53" i="79"/>
  <c r="O54" i="79"/>
  <c r="O55" i="79"/>
  <c r="O56" i="79"/>
  <c r="O57" i="79"/>
  <c r="O58" i="79"/>
  <c r="O59" i="79"/>
  <c r="O60" i="79"/>
  <c r="O61" i="79"/>
  <c r="O62" i="79"/>
  <c r="O63" i="79"/>
  <c r="O64" i="79"/>
  <c r="O65" i="79"/>
  <c r="O66" i="79"/>
  <c r="O67" i="79"/>
  <c r="O68" i="79"/>
  <c r="O69" i="79"/>
  <c r="O70" i="79"/>
  <c r="O71" i="79"/>
  <c r="O72" i="79"/>
  <c r="O73" i="79"/>
  <c r="O74" i="79"/>
  <c r="O75" i="79"/>
  <c r="O76" i="79"/>
  <c r="O77" i="79"/>
  <c r="O78" i="79"/>
  <c r="O79" i="79"/>
  <c r="O80" i="79"/>
  <c r="O81" i="79"/>
  <c r="O82" i="79"/>
  <c r="O83" i="79"/>
  <c r="O84" i="79"/>
  <c r="O85" i="79"/>
  <c r="O86" i="79"/>
  <c r="O87" i="79"/>
  <c r="O88" i="79"/>
  <c r="O89" i="79"/>
  <c r="O90" i="79"/>
  <c r="O91" i="79"/>
  <c r="O3" i="79"/>
  <c r="H90" i="79"/>
  <c r="H91" i="79" s="1"/>
  <c r="D91" i="79"/>
  <c r="D90" i="79"/>
  <c r="F85" i="79"/>
  <c r="B85" i="79"/>
  <c r="H84" i="79"/>
  <c r="D84" i="79"/>
  <c r="H83" i="79"/>
  <c r="D83" i="79"/>
  <c r="H82" i="79"/>
  <c r="D82" i="79"/>
  <c r="F78" i="79"/>
  <c r="B78" i="79"/>
  <c r="H77" i="79"/>
  <c r="D77" i="79"/>
  <c r="H76" i="79"/>
  <c r="D76" i="79"/>
  <c r="H75" i="79"/>
  <c r="D75" i="79"/>
  <c r="F71" i="79"/>
  <c r="B71" i="79"/>
  <c r="H70" i="79"/>
  <c r="D70" i="79"/>
  <c r="H69" i="79"/>
  <c r="D69" i="79"/>
  <c r="H68" i="79"/>
  <c r="D68" i="79"/>
  <c r="F64" i="79"/>
  <c r="H63" i="79"/>
  <c r="H62" i="79"/>
  <c r="H61" i="79"/>
  <c r="D65" i="79"/>
  <c r="D64" i="79"/>
  <c r="B64" i="79"/>
  <c r="D63" i="79"/>
  <c r="D62" i="79"/>
  <c r="D61" i="79"/>
  <c r="H58" i="79"/>
  <c r="H57" i="79"/>
  <c r="F57" i="79"/>
  <c r="D58" i="79"/>
  <c r="D57" i="79"/>
  <c r="B57" i="79"/>
  <c r="H56" i="79"/>
  <c r="H55" i="79"/>
  <c r="H54" i="79"/>
  <c r="D56" i="79"/>
  <c r="D55" i="79"/>
  <c r="D54" i="79"/>
  <c r="F50" i="79"/>
  <c r="H49" i="79"/>
  <c r="H50" i="79"/>
  <c r="B50" i="79"/>
  <c r="D50" i="79"/>
  <c r="D48" i="79"/>
  <c r="F44" i="79"/>
  <c r="H43" i="79"/>
  <c r="H42" i="79"/>
  <c r="H41" i="79"/>
  <c r="H40" i="79"/>
  <c r="H39" i="79"/>
  <c r="H38" i="79"/>
  <c r="H37" i="79"/>
  <c r="H36" i="79"/>
  <c r="H35" i="79"/>
  <c r="H34" i="79"/>
  <c r="D45" i="79"/>
  <c r="D44" i="79"/>
  <c r="B44" i="79"/>
  <c r="D36" i="79"/>
  <c r="D37" i="79"/>
  <c r="D38" i="79"/>
  <c r="D39" i="79"/>
  <c r="D40" i="79"/>
  <c r="D41" i="79"/>
  <c r="D42" i="79"/>
  <c r="D43" i="79"/>
  <c r="D35" i="79"/>
  <c r="D34" i="79"/>
  <c r="F30" i="79"/>
  <c r="H29" i="79"/>
  <c r="H30" i="79" s="1"/>
  <c r="H28" i="79"/>
  <c r="H27" i="79"/>
  <c r="H26" i="79"/>
  <c r="H25" i="79"/>
  <c r="H24" i="79"/>
  <c r="B30" i="79"/>
  <c r="D29" i="79"/>
  <c r="D28" i="79"/>
  <c r="D27" i="79"/>
  <c r="D26" i="79"/>
  <c r="D25" i="79"/>
  <c r="D24" i="79"/>
  <c r="G20" i="79"/>
  <c r="I19" i="79"/>
  <c r="I18" i="79"/>
  <c r="I17" i="79"/>
  <c r="I16" i="79"/>
  <c r="I15" i="79"/>
  <c r="I14" i="79"/>
  <c r="B20" i="79"/>
  <c r="D15" i="79"/>
  <c r="D16" i="79"/>
  <c r="D17" i="79"/>
  <c r="D18" i="79"/>
  <c r="D19" i="79"/>
  <c r="D14" i="79"/>
  <c r="I11" i="79"/>
  <c r="I10" i="79"/>
  <c r="G10" i="79"/>
  <c r="I5" i="79"/>
  <c r="I6" i="79"/>
  <c r="I7" i="79"/>
  <c r="I8" i="79"/>
  <c r="I9" i="79"/>
  <c r="I4" i="79"/>
  <c r="D11" i="79"/>
  <c r="C10" i="79"/>
  <c r="B10" i="79"/>
  <c r="D10" i="79"/>
  <c r="D5" i="79"/>
  <c r="D6" i="79"/>
  <c r="D7" i="79"/>
  <c r="D8" i="79"/>
  <c r="D9" i="79"/>
  <c r="D4" i="79"/>
  <c r="G118" i="67"/>
  <c r="H85" i="79" l="1"/>
  <c r="H86" i="79" s="1"/>
  <c r="D85" i="79"/>
  <c r="D86" i="79" s="1"/>
  <c r="H78" i="79"/>
  <c r="H79" i="79" s="1"/>
  <c r="D78" i="79"/>
  <c r="D79" i="79" s="1"/>
  <c r="H71" i="79"/>
  <c r="H72" i="79" s="1"/>
  <c r="D71" i="79"/>
  <c r="D72" i="79" s="1"/>
  <c r="H64" i="79"/>
  <c r="H65" i="79" s="1"/>
  <c r="H44" i="79"/>
  <c r="H45" i="79" s="1"/>
  <c r="H31" i="79"/>
  <c r="D30" i="79"/>
  <c r="D31" i="79" s="1"/>
  <c r="D20" i="79"/>
  <c r="D21" i="79" s="1"/>
  <c r="I20" i="79"/>
  <c r="I21" i="79" s="1"/>
  <c r="E51" i="63"/>
  <c r="E50" i="63"/>
  <c r="E49" i="63"/>
  <c r="E47" i="63"/>
  <c r="E46" i="63"/>
  <c r="E45" i="63"/>
  <c r="X28" i="47"/>
  <c r="T28" i="47"/>
  <c r="T24" i="47"/>
  <c r="U78" i="44"/>
  <c r="U79" i="44" s="1"/>
  <c r="U82" i="44" s="1"/>
  <c r="U64" i="44"/>
  <c r="U65" i="44" s="1"/>
  <c r="Q78" i="44"/>
  <c r="Q79" i="44" s="1"/>
  <c r="Q82" i="44" s="1"/>
  <c r="Q64" i="44"/>
  <c r="M78" i="44"/>
  <c r="M79" i="44" s="1"/>
  <c r="M64" i="44"/>
  <c r="M65" i="44" s="1"/>
  <c r="Q65" i="44"/>
  <c r="D41" i="57"/>
  <c r="D33" i="57"/>
  <c r="C33" i="57"/>
  <c r="D32" i="57"/>
  <c r="D31" i="57"/>
  <c r="D30" i="57"/>
  <c r="D34" i="57" s="1"/>
  <c r="C32" i="57"/>
  <c r="C34" i="57" s="1"/>
  <c r="C31" i="57"/>
  <c r="C30" i="57"/>
  <c r="D24" i="57"/>
  <c r="C24" i="57"/>
  <c r="D23" i="57"/>
  <c r="C23" i="57"/>
  <c r="T44" i="44"/>
  <c r="P54" i="44"/>
  <c r="L54" i="44"/>
  <c r="T40" i="44"/>
  <c r="P40" i="44"/>
  <c r="L40" i="44"/>
  <c r="L42" i="44"/>
  <c r="P56" i="44"/>
  <c r="P58" i="44"/>
  <c r="L56" i="44"/>
  <c r="L58" i="44" s="1"/>
  <c r="T42" i="44"/>
  <c r="P42" i="44"/>
  <c r="P44" i="44" s="1"/>
  <c r="M66" i="44" l="1"/>
  <c r="M68" i="44"/>
  <c r="Q66" i="44"/>
  <c r="Q68" i="44"/>
  <c r="U68" i="44"/>
  <c r="U66" i="44"/>
  <c r="M82" i="44"/>
  <c r="M80" i="44"/>
  <c r="Q80" i="44"/>
  <c r="U80" i="44"/>
  <c r="C35" i="57"/>
  <c r="T85" i="44" l="1"/>
  <c r="T87" i="44" s="1"/>
  <c r="T89" i="44" s="1"/>
  <c r="U81" i="44"/>
  <c r="P85" i="44"/>
  <c r="P87" i="44" s="1"/>
  <c r="P89" i="44" s="1"/>
  <c r="Q81" i="44"/>
  <c r="L85" i="44"/>
  <c r="L87" i="44" s="1"/>
  <c r="L89" i="44" s="1"/>
  <c r="M81" i="44"/>
  <c r="T71" i="44"/>
  <c r="T73" i="44" s="1"/>
  <c r="T75" i="44" s="1"/>
  <c r="U67" i="44"/>
  <c r="P71" i="44"/>
  <c r="P73" i="44" s="1"/>
  <c r="P75" i="44" s="1"/>
  <c r="Q67" i="44"/>
  <c r="L71" i="44"/>
  <c r="L73" i="44" s="1"/>
  <c r="L75" i="44" s="1"/>
  <c r="M67" i="44"/>
  <c r="L44" i="44" l="1"/>
  <c r="M33" i="44" l="1"/>
  <c r="K118" i="30" l="1"/>
  <c r="U33" i="44" l="1"/>
  <c r="Q47" i="44"/>
  <c r="M47" i="44"/>
  <c r="Q33" i="44"/>
  <c r="U34" i="44"/>
  <c r="Q48" i="44"/>
  <c r="M48" i="44"/>
  <c r="Q34" i="44"/>
  <c r="M34" i="44"/>
  <c r="U35" i="44" l="1"/>
  <c r="U36" i="44" s="1"/>
  <c r="U37" i="44"/>
  <c r="Q49" i="44"/>
  <c r="Q50" i="44" s="1"/>
  <c r="Q51" i="44"/>
  <c r="M49" i="44"/>
  <c r="M50" i="44" s="1"/>
  <c r="M51" i="44"/>
  <c r="Q37" i="44"/>
  <c r="Q35" i="44"/>
  <c r="Q36" i="44" s="1"/>
  <c r="M35" i="44"/>
  <c r="M36" i="44" s="1"/>
  <c r="M37" i="44"/>
  <c r="R71" i="71" l="1"/>
  <c r="J114" i="72"/>
  <c r="J113" i="72"/>
  <c r="K79" i="71" l="1"/>
  <c r="K78" i="71"/>
  <c r="K77" i="71"/>
  <c r="D36" i="73"/>
  <c r="D35" i="73"/>
  <c r="D34" i="73"/>
  <c r="D33" i="73"/>
  <c r="D53" i="72"/>
  <c r="D52" i="72"/>
  <c r="D51" i="72"/>
  <c r="D50" i="72"/>
  <c r="D49" i="72"/>
  <c r="C61" i="44" l="1"/>
  <c r="D42" i="71"/>
  <c r="D41" i="71"/>
  <c r="D40" i="71"/>
  <c r="D39" i="71"/>
  <c r="D38" i="71"/>
  <c r="D37" i="71"/>
  <c r="C94" i="39"/>
  <c r="K91" i="71"/>
  <c r="G31" i="39"/>
  <c r="L136" i="28"/>
  <c r="K127" i="54" l="1"/>
  <c r="G14" i="54" l="1"/>
  <c r="M135" i="28" l="1"/>
  <c r="M29" i="62"/>
  <c r="D54" i="76" l="1"/>
  <c r="J42" i="62"/>
  <c r="AG28" i="47"/>
  <c r="X32" i="47"/>
  <c r="AC24" i="47"/>
  <c r="D47" i="46"/>
  <c r="C45" i="46"/>
  <c r="E39" i="46"/>
  <c r="C25" i="57"/>
  <c r="D25" i="57"/>
  <c r="D53" i="76" l="1"/>
  <c r="D55" i="76"/>
  <c r="C26" i="57"/>
  <c r="D52" i="76" l="1"/>
  <c r="D56" i="76"/>
  <c r="C59" i="76" s="1"/>
  <c r="G27" i="57"/>
  <c r="C38" i="57" s="1"/>
  <c r="C61" i="76"/>
  <c r="C63" i="76" s="1"/>
  <c r="C58" i="44"/>
  <c r="C37" i="57" l="1"/>
  <c r="C5" i="39"/>
  <c r="F44" i="75"/>
  <c r="F43" i="75"/>
  <c r="F42" i="75"/>
  <c r="F41" i="75"/>
  <c r="F40" i="75"/>
  <c r="F36" i="75"/>
  <c r="F35" i="75"/>
  <c r="F30" i="75"/>
  <c r="F29" i="75"/>
  <c r="F32" i="75"/>
  <c r="F33" i="75" s="1"/>
  <c r="F20" i="75"/>
  <c r="F22" i="75" s="1"/>
  <c r="F24" i="75" s="1"/>
  <c r="F27" i="75" s="1"/>
  <c r="N7" i="75"/>
  <c r="N8" i="75"/>
  <c r="N9" i="75"/>
  <c r="N10" i="75"/>
  <c r="N6" i="75"/>
  <c r="I7" i="75"/>
  <c r="I8" i="75"/>
  <c r="I6" i="75"/>
  <c r="D7" i="75"/>
  <c r="D8" i="75"/>
  <c r="D9" i="75"/>
  <c r="D10" i="75"/>
  <c r="D11" i="75"/>
  <c r="D6" i="75"/>
  <c r="Y49" i="73"/>
  <c r="Y48" i="73"/>
  <c r="Y47" i="73"/>
  <c r="Y46" i="73"/>
  <c r="Y45" i="73"/>
  <c r="Y44" i="73"/>
  <c r="Y43" i="73"/>
  <c r="Y42" i="73"/>
  <c r="Y41" i="73"/>
  <c r="R58" i="73"/>
  <c r="R57" i="73"/>
  <c r="R56" i="73"/>
  <c r="R55" i="73"/>
  <c r="R54" i="73"/>
  <c r="R53" i="73"/>
  <c r="R52" i="73"/>
  <c r="R51" i="73"/>
  <c r="R50" i="73"/>
  <c r="R49" i="73"/>
  <c r="R48" i="73"/>
  <c r="K45" i="73"/>
  <c r="K44" i="73"/>
  <c r="K43" i="73"/>
  <c r="K42" i="73"/>
  <c r="K41" i="73"/>
  <c r="K40" i="73"/>
  <c r="K39" i="73"/>
  <c r="K38" i="73"/>
  <c r="D32" i="73"/>
  <c r="AA37" i="73" l="1"/>
  <c r="AA36" i="73"/>
  <c r="AA34" i="73"/>
  <c r="AA33" i="73"/>
  <c r="AA31" i="73"/>
  <c r="AA30" i="73"/>
  <c r="AA28" i="73"/>
  <c r="AA27" i="73"/>
  <c r="AA25" i="73"/>
  <c r="AA24" i="73"/>
  <c r="AA22" i="73"/>
  <c r="AA21" i="73"/>
  <c r="AA19" i="73"/>
  <c r="AA18" i="73"/>
  <c r="AA16" i="73"/>
  <c r="AA15" i="73"/>
  <c r="AA14" i="73"/>
  <c r="AA12" i="73"/>
  <c r="AA11" i="73"/>
  <c r="T44" i="73"/>
  <c r="T41" i="73"/>
  <c r="T38" i="73"/>
  <c r="T35" i="73"/>
  <c r="T43" i="73"/>
  <c r="T40" i="73"/>
  <c r="T37" i="73"/>
  <c r="T34" i="73" l="1"/>
  <c r="T32" i="73"/>
  <c r="T31" i="73"/>
  <c r="T29" i="73"/>
  <c r="T28" i="73"/>
  <c r="T26" i="73"/>
  <c r="T25" i="73"/>
  <c r="T23" i="73"/>
  <c r="T22" i="73"/>
  <c r="T20" i="73"/>
  <c r="T19" i="73"/>
  <c r="T17" i="73"/>
  <c r="T16" i="73"/>
  <c r="T15" i="73"/>
  <c r="T13" i="73"/>
  <c r="T12" i="73"/>
  <c r="T11" i="73"/>
  <c r="M34" i="73"/>
  <c r="M33" i="73"/>
  <c r="M31" i="73"/>
  <c r="M30" i="73"/>
  <c r="M28" i="73"/>
  <c r="M27" i="73"/>
  <c r="M25" i="73"/>
  <c r="M24" i="73"/>
  <c r="M22" i="73"/>
  <c r="M21" i="73"/>
  <c r="M19" i="73"/>
  <c r="M18" i="73"/>
  <c r="F19" i="73"/>
  <c r="F28" i="73"/>
  <c r="F27" i="73"/>
  <c r="F25" i="73"/>
  <c r="F24" i="73"/>
  <c r="M16" i="73"/>
  <c r="M15" i="73"/>
  <c r="M14" i="73"/>
  <c r="M11" i="73"/>
  <c r="M12" i="73" s="1"/>
  <c r="F22" i="73"/>
  <c r="F21" i="73"/>
  <c r="F18" i="73"/>
  <c r="F17" i="73"/>
  <c r="F16" i="73"/>
  <c r="F14" i="73"/>
  <c r="F12" i="73"/>
  <c r="F13" i="73"/>
  <c r="F11" i="73"/>
  <c r="R96" i="72"/>
  <c r="P100" i="72" s="1"/>
  <c r="P101" i="72" s="1"/>
  <c r="P102" i="72" s="1"/>
  <c r="R89" i="72"/>
  <c r="R82" i="72"/>
  <c r="R75" i="72"/>
  <c r="R68" i="72"/>
  <c r="R61" i="72"/>
  <c r="R56" i="72"/>
  <c r="R51" i="72"/>
  <c r="R45" i="72"/>
  <c r="R38" i="72"/>
  <c r="R33" i="72"/>
  <c r="R27" i="72"/>
  <c r="R24" i="72"/>
  <c r="R18" i="72"/>
  <c r="R72" i="71"/>
  <c r="R73" i="71" s="1"/>
  <c r="R74" i="71" s="1"/>
  <c r="R75" i="71" s="1"/>
  <c r="R76" i="71" s="1"/>
  <c r="R77" i="71" s="1"/>
  <c r="R78" i="71" s="1"/>
  <c r="R79" i="71" s="1"/>
  <c r="R80" i="71" s="1"/>
  <c r="R81" i="71" s="1"/>
  <c r="R82" i="71" s="1"/>
  <c r="R83" i="71" s="1"/>
  <c r="K94" i="71"/>
  <c r="K93" i="71"/>
  <c r="K92" i="71"/>
  <c r="K90" i="71"/>
  <c r="K89" i="71"/>
  <c r="K88" i="71"/>
  <c r="K87" i="71"/>
  <c r="K86" i="71"/>
  <c r="K85" i="71"/>
  <c r="K84" i="71"/>
  <c r="K83" i="71"/>
  <c r="K82" i="71"/>
  <c r="K81" i="71"/>
  <c r="K80" i="71"/>
  <c r="L37" i="72"/>
  <c r="L36" i="72"/>
  <c r="AM14" i="71"/>
  <c r="AM11" i="71"/>
  <c r="AF14" i="71"/>
  <c r="AF11" i="71"/>
  <c r="AO14" i="71"/>
  <c r="AO15" i="71" s="1"/>
  <c r="AM19" i="71" s="1"/>
  <c r="AO11" i="71"/>
  <c r="AO12" i="71" s="1"/>
  <c r="AH12" i="71"/>
  <c r="AH14" i="71"/>
  <c r="AH15" i="71" s="1"/>
  <c r="AF19" i="71" s="1"/>
  <c r="AH11" i="71"/>
  <c r="L94" i="72"/>
  <c r="AI17" i="72"/>
  <c r="AK17" i="72" s="1"/>
  <c r="AI18" i="72"/>
  <c r="AK18" i="72" s="1"/>
  <c r="AI19" i="72"/>
  <c r="AK19" i="72" s="1"/>
  <c r="AI20" i="72"/>
  <c r="AJ20" i="72"/>
  <c r="AI14" i="72"/>
  <c r="AK14" i="72" s="1"/>
  <c r="AK15" i="72" s="1"/>
  <c r="AB18" i="72"/>
  <c r="AD18" i="72" s="1"/>
  <c r="AB19" i="72"/>
  <c r="AD19" i="72" s="1"/>
  <c r="AB20" i="72"/>
  <c r="AD20" i="72" s="1"/>
  <c r="AB21" i="72"/>
  <c r="AD21" i="72" s="1"/>
  <c r="AB14" i="72"/>
  <c r="AD14" i="72" s="1"/>
  <c r="AB15" i="72"/>
  <c r="AD15" i="72" s="1"/>
  <c r="Y76" i="71"/>
  <c r="Y75" i="71"/>
  <c r="Y74" i="71"/>
  <c r="Y73" i="71"/>
  <c r="Y72" i="71"/>
  <c r="Y71" i="71"/>
  <c r="Y70" i="71"/>
  <c r="Y69" i="71"/>
  <c r="Y68" i="71"/>
  <c r="Y67" i="71"/>
  <c r="Y66" i="71"/>
  <c r="Y65" i="71"/>
  <c r="Y64" i="71"/>
  <c r="AA60" i="71"/>
  <c r="AA57" i="71"/>
  <c r="AA52" i="71"/>
  <c r="AA47" i="71"/>
  <c r="AA42" i="71"/>
  <c r="AA37" i="71"/>
  <c r="AA34" i="71"/>
  <c r="AA31" i="71"/>
  <c r="AA28" i="71"/>
  <c r="AA25" i="71"/>
  <c r="AA22" i="71"/>
  <c r="AA17" i="71"/>
  <c r="AA12" i="71"/>
  <c r="AA59" i="71"/>
  <c r="AA55" i="71"/>
  <c r="AA56" i="71"/>
  <c r="AA54" i="71"/>
  <c r="AA50" i="71"/>
  <c r="AA51" i="71"/>
  <c r="AA49" i="71"/>
  <c r="AA45" i="71"/>
  <c r="AA46" i="71"/>
  <c r="AA44" i="71"/>
  <c r="AA40" i="71"/>
  <c r="AA41" i="71"/>
  <c r="AA39" i="71"/>
  <c r="AA36" i="71"/>
  <c r="AA33" i="71"/>
  <c r="AA30" i="71"/>
  <c r="AA27" i="71"/>
  <c r="AA24" i="71"/>
  <c r="AA20" i="71"/>
  <c r="AA21" i="71"/>
  <c r="AA19" i="71"/>
  <c r="AA15" i="71"/>
  <c r="AA16" i="71"/>
  <c r="AA14" i="71"/>
  <c r="AA11" i="71"/>
  <c r="Y59" i="71"/>
  <c r="Y36" i="71"/>
  <c r="Y33" i="71"/>
  <c r="Y30" i="71"/>
  <c r="Y24" i="71"/>
  <c r="X24" i="72"/>
  <c r="X43" i="72"/>
  <c r="X50" i="72"/>
  <c r="X60" i="72"/>
  <c r="X67" i="72"/>
  <c r="X74" i="72"/>
  <c r="X81" i="72"/>
  <c r="X88" i="72"/>
  <c r="V92" i="72" s="1"/>
  <c r="V93" i="72" s="1"/>
  <c r="V94" i="72" s="1"/>
  <c r="V95" i="72" s="1"/>
  <c r="V96" i="72" s="1"/>
  <c r="V97" i="72" s="1"/>
  <c r="V98" i="72" s="1"/>
  <c r="V99" i="72" s="1"/>
  <c r="V100" i="72" s="1"/>
  <c r="V52" i="72"/>
  <c r="X52" i="72" s="1"/>
  <c r="X53" i="72" s="1"/>
  <c r="X36" i="72"/>
  <c r="X37" i="72" s="1"/>
  <c r="V31" i="72"/>
  <c r="X31" i="72" s="1"/>
  <c r="V32" i="72"/>
  <c r="X32" i="72" s="1"/>
  <c r="V33" i="72"/>
  <c r="X33" i="72" s="1"/>
  <c r="X26" i="72"/>
  <c r="X27" i="72"/>
  <c r="X28" i="72"/>
  <c r="X14" i="72"/>
  <c r="X15" i="72"/>
  <c r="X18" i="72" s="1"/>
  <c r="X16" i="72"/>
  <c r="X17" i="72"/>
  <c r="T48" i="71"/>
  <c r="T33" i="71"/>
  <c r="T65" i="71"/>
  <c r="T66" i="71" s="1"/>
  <c r="T61" i="71"/>
  <c r="T62" i="71"/>
  <c r="T60" i="71"/>
  <c r="T63" i="71" s="1"/>
  <c r="T56" i="71"/>
  <c r="T57" i="71"/>
  <c r="T55" i="71"/>
  <c r="T58" i="71" s="1"/>
  <c r="T51" i="71"/>
  <c r="T52" i="71"/>
  <c r="T50" i="71"/>
  <c r="T53" i="71" s="1"/>
  <c r="T47" i="71"/>
  <c r="T46" i="71"/>
  <c r="T43" i="71"/>
  <c r="T44" i="71" s="1"/>
  <c r="T39" i="71"/>
  <c r="T40" i="71"/>
  <c r="T38" i="71"/>
  <c r="T41" i="71" s="1"/>
  <c r="T35" i="71"/>
  <c r="T36" i="71" s="1"/>
  <c r="T32" i="71"/>
  <c r="T29" i="71"/>
  <c r="T30" i="71" s="1"/>
  <c r="T25" i="71"/>
  <c r="T26" i="71"/>
  <c r="T24" i="71"/>
  <c r="T27" i="71" s="1"/>
  <c r="T21" i="71"/>
  <c r="T22" i="71" s="1"/>
  <c r="T17" i="71"/>
  <c r="T18" i="71"/>
  <c r="T19" i="71" s="1"/>
  <c r="T16" i="71"/>
  <c r="T12" i="71"/>
  <c r="T13" i="71"/>
  <c r="T11" i="71"/>
  <c r="T14" i="71" s="1"/>
  <c r="L106" i="72"/>
  <c r="J110" i="72" s="1"/>
  <c r="J111" i="72" s="1"/>
  <c r="J112" i="72" s="1"/>
  <c r="L99" i="72"/>
  <c r="L80" i="72"/>
  <c r="L66" i="72"/>
  <c r="L58" i="72"/>
  <c r="L57" i="72"/>
  <c r="L56" i="72"/>
  <c r="L55" i="72"/>
  <c r="L54" i="72"/>
  <c r="L51" i="72"/>
  <c r="L52" i="72" s="1"/>
  <c r="L48" i="72"/>
  <c r="L47" i="72"/>
  <c r="L44" i="72"/>
  <c r="L45" i="72" s="1"/>
  <c r="L41" i="72"/>
  <c r="L40" i="72"/>
  <c r="L39" i="72"/>
  <c r="L33" i="72"/>
  <c r="L32" i="72"/>
  <c r="L31" i="72"/>
  <c r="L82" i="72"/>
  <c r="L83" i="72"/>
  <c r="L84" i="72"/>
  <c r="L85" i="72"/>
  <c r="L86" i="72"/>
  <c r="L68" i="72"/>
  <c r="L69" i="72"/>
  <c r="L70" i="72"/>
  <c r="L71" i="72"/>
  <c r="L72" i="72"/>
  <c r="L28" i="72"/>
  <c r="L29" i="72" s="1"/>
  <c r="L24" i="72"/>
  <c r="L25" i="72"/>
  <c r="L21" i="72"/>
  <c r="L19" i="72"/>
  <c r="L20" i="72"/>
  <c r="L14" i="72"/>
  <c r="L15" i="72"/>
  <c r="L16" i="72"/>
  <c r="M51" i="71"/>
  <c r="M72" i="71"/>
  <c r="M73" i="71" s="1"/>
  <c r="M68" i="71"/>
  <c r="M69" i="71"/>
  <c r="M67" i="71"/>
  <c r="M70" i="71" s="1"/>
  <c r="M64" i="71"/>
  <c r="M65" i="71" s="1"/>
  <c r="M61" i="71"/>
  <c r="M60" i="71"/>
  <c r="M62" i="71" s="1"/>
  <c r="M57" i="71"/>
  <c r="M58" i="71" s="1"/>
  <c r="M54" i="71"/>
  <c r="M53" i="71"/>
  <c r="M55" i="71" s="1"/>
  <c r="M50" i="71"/>
  <c r="M46" i="71"/>
  <c r="M47" i="71"/>
  <c r="M45" i="71"/>
  <c r="M48" i="71" s="1"/>
  <c r="M42" i="71"/>
  <c r="M43" i="71" s="1"/>
  <c r="M39" i="71"/>
  <c r="M40" i="71" s="1"/>
  <c r="M36" i="71"/>
  <c r="M37" i="71" s="1"/>
  <c r="M33" i="71"/>
  <c r="M34" i="71" s="1"/>
  <c r="M30" i="71"/>
  <c r="M31" i="71" s="1"/>
  <c r="M27" i="71"/>
  <c r="M28" i="71" s="1"/>
  <c r="M24" i="71"/>
  <c r="M25" i="71" s="1"/>
  <c r="M20" i="71"/>
  <c r="M21" i="71"/>
  <c r="D33" i="72"/>
  <c r="F33" i="72" s="1"/>
  <c r="D34" i="72"/>
  <c r="F34" i="72" s="1"/>
  <c r="D37" i="72"/>
  <c r="F37" i="72" s="1"/>
  <c r="D38" i="72"/>
  <c r="F38" i="72" s="1"/>
  <c r="D39" i="72"/>
  <c r="F39" i="72" s="1"/>
  <c r="D42" i="72"/>
  <c r="F42" i="72" s="1"/>
  <c r="F43" i="72" s="1"/>
  <c r="D48" i="72" s="1"/>
  <c r="M19" i="71"/>
  <c r="M22" i="71" s="1"/>
  <c r="M15" i="71"/>
  <c r="M16" i="71"/>
  <c r="M14" i="71"/>
  <c r="M17" i="71" s="1"/>
  <c r="M11" i="71"/>
  <c r="M12" i="71" s="1"/>
  <c r="F30" i="72"/>
  <c r="F28" i="72"/>
  <c r="F29" i="72"/>
  <c r="D28" i="72"/>
  <c r="E28" i="72"/>
  <c r="D29" i="72"/>
  <c r="E29" i="72"/>
  <c r="D30" i="72"/>
  <c r="E30" i="72"/>
  <c r="C29" i="72"/>
  <c r="C30" i="72"/>
  <c r="C28" i="72"/>
  <c r="D25" i="72"/>
  <c r="F25" i="72" s="1"/>
  <c r="D23" i="72"/>
  <c r="F23" i="72" s="1"/>
  <c r="D24" i="72"/>
  <c r="F24" i="72" s="1"/>
  <c r="D21" i="72"/>
  <c r="F21" i="72" s="1"/>
  <c r="D22" i="72"/>
  <c r="F22" i="72" s="1"/>
  <c r="D14" i="72"/>
  <c r="F14" i="72" s="1"/>
  <c r="E18" i="72"/>
  <c r="D18" i="72"/>
  <c r="D17" i="72"/>
  <c r="F17" i="72" s="1"/>
  <c r="D15" i="72"/>
  <c r="F15" i="72" s="1"/>
  <c r="D16" i="72"/>
  <c r="F16" i="72" s="1"/>
  <c r="F32" i="71"/>
  <c r="F31" i="71"/>
  <c r="F28" i="71"/>
  <c r="F27" i="71"/>
  <c r="F24" i="71"/>
  <c r="F23" i="71"/>
  <c r="F20" i="71"/>
  <c r="F19" i="71"/>
  <c r="F15" i="71"/>
  <c r="F16" i="71"/>
  <c r="F14" i="71"/>
  <c r="D11" i="71"/>
  <c r="F11" i="71" s="1"/>
  <c r="F12" i="71" s="1"/>
  <c r="P103" i="72" l="1"/>
  <c r="P104" i="72" s="1"/>
  <c r="P105" i="72" s="1"/>
  <c r="P106" i="72" s="1"/>
  <c r="P107" i="72" s="1"/>
  <c r="P108" i="72" s="1"/>
  <c r="P109" i="72" s="1"/>
  <c r="P110" i="72" s="1"/>
  <c r="P111" i="72" s="1"/>
  <c r="P112" i="72" s="1"/>
  <c r="P113" i="72" s="1"/>
  <c r="X34" i="72"/>
  <c r="V101" i="72" s="1"/>
  <c r="V102" i="72" s="1"/>
  <c r="V103" i="72" s="1"/>
  <c r="V104" i="72" s="1"/>
  <c r="AD16" i="72"/>
  <c r="X29" i="72"/>
  <c r="AK20" i="72"/>
  <c r="AK21" i="72" s="1"/>
  <c r="AM20" i="71"/>
  <c r="AF20" i="71"/>
  <c r="AD22" i="72"/>
  <c r="R70" i="71"/>
  <c r="L49" i="72"/>
  <c r="L34" i="72"/>
  <c r="L22" i="72"/>
  <c r="L26" i="72"/>
  <c r="L17" i="72"/>
  <c r="F40" i="72"/>
  <c r="L87" i="72"/>
  <c r="J115" i="72" s="1"/>
  <c r="J116" i="72" s="1"/>
  <c r="J117" i="72" s="1"/>
  <c r="J118" i="72" s="1"/>
  <c r="J119" i="72" s="1"/>
  <c r="J120" i="72" s="1"/>
  <c r="J121" i="72" s="1"/>
  <c r="J122" i="72" s="1"/>
  <c r="J123" i="72" s="1"/>
  <c r="J124" i="72" s="1"/>
  <c r="J125" i="72" s="1"/>
  <c r="J126" i="72" s="1"/>
  <c r="J127" i="72" s="1"/>
  <c r="L42" i="72"/>
  <c r="L59" i="72"/>
  <c r="L73" i="72"/>
  <c r="F31" i="72"/>
  <c r="F35" i="72"/>
  <c r="F26" i="72"/>
  <c r="F18" i="72"/>
  <c r="F19" i="72" s="1"/>
  <c r="F17" i="71"/>
  <c r="F21" i="71"/>
  <c r="F29" i="71"/>
  <c r="F25" i="71"/>
  <c r="F33" i="71"/>
  <c r="I9" i="75" l="1"/>
  <c r="AI26" i="72"/>
  <c r="AI27" i="72"/>
  <c r="AB27" i="72"/>
  <c r="AB26" i="72"/>
  <c r="I11" i="75" l="1"/>
  <c r="I10" i="75"/>
  <c r="M36" i="62" l="1"/>
  <c r="M22" i="62"/>
  <c r="M39" i="62"/>
  <c r="M40" i="62" s="1"/>
  <c r="M25" i="62"/>
  <c r="M33" i="62"/>
  <c r="M32" i="62"/>
  <c r="E37" i="62"/>
  <c r="E67" i="62"/>
  <c r="E52" i="62"/>
  <c r="E11" i="62"/>
  <c r="E22" i="62"/>
  <c r="E7" i="62"/>
  <c r="G138" i="65" l="1"/>
  <c r="F10" i="69"/>
  <c r="F6" i="69"/>
  <c r="F11" i="68"/>
  <c r="F6" i="68"/>
  <c r="D15" i="68"/>
  <c r="F15" i="68" s="1"/>
  <c r="D14" i="68"/>
  <c r="F14" i="68" s="1"/>
  <c r="D13" i="68"/>
  <c r="F13" i="68" s="1"/>
  <c r="D12" i="68"/>
  <c r="F12" i="68" s="1"/>
  <c r="D11" i="68"/>
  <c r="D8" i="68"/>
  <c r="F8" i="68" s="1"/>
  <c r="D7" i="68"/>
  <c r="F7" i="68" s="1"/>
  <c r="D6" i="68"/>
  <c r="E14" i="69"/>
  <c r="D14" i="69"/>
  <c r="F14" i="69" s="1"/>
  <c r="D13" i="69"/>
  <c r="F13" i="69" s="1"/>
  <c r="D12" i="69"/>
  <c r="F12" i="69" s="1"/>
  <c r="D11" i="69"/>
  <c r="F11" i="69" s="1"/>
  <c r="G15" i="69"/>
  <c r="D10" i="69"/>
  <c r="D7" i="69"/>
  <c r="F7" i="69" s="1"/>
  <c r="F8" i="69" s="1"/>
  <c r="G8" i="69"/>
  <c r="D6" i="69"/>
  <c r="G108" i="67"/>
  <c r="G97" i="67"/>
  <c r="G95" i="67"/>
  <c r="G86" i="67"/>
  <c r="G75" i="67"/>
  <c r="G73" i="67"/>
  <c r="G64" i="67"/>
  <c r="G60" i="67"/>
  <c r="G58" i="67"/>
  <c r="G51" i="67"/>
  <c r="G43" i="67"/>
  <c r="G49" i="67" s="1"/>
  <c r="G39" i="67"/>
  <c r="G31" i="67"/>
  <c r="G22" i="67"/>
  <c r="G13" i="67"/>
  <c r="G6" i="67"/>
  <c r="G132" i="66"/>
  <c r="G131" i="66"/>
  <c r="G27" i="66"/>
  <c r="G130" i="66"/>
  <c r="G129" i="66"/>
  <c r="G120" i="66"/>
  <c r="G109" i="66"/>
  <c r="G98" i="66"/>
  <c r="G87" i="66"/>
  <c r="G77" i="66"/>
  <c r="G70" i="66"/>
  <c r="G61" i="66"/>
  <c r="G53" i="66"/>
  <c r="G44" i="66"/>
  <c r="G36" i="66"/>
  <c r="G23" i="66"/>
  <c r="G13" i="66"/>
  <c r="G14" i="66"/>
  <c r="H129" i="66"/>
  <c r="G122" i="66"/>
  <c r="H120" i="66"/>
  <c r="G111" i="66"/>
  <c r="G100" i="66"/>
  <c r="H109" i="66"/>
  <c r="G89" i="66"/>
  <c r="H98" i="66"/>
  <c r="H87" i="66"/>
  <c r="G79" i="66"/>
  <c r="H77" i="66"/>
  <c r="G72" i="66"/>
  <c r="G63" i="66"/>
  <c r="H70" i="66"/>
  <c r="H61" i="66"/>
  <c r="G55" i="66"/>
  <c r="H53" i="66"/>
  <c r="G46" i="66"/>
  <c r="H44" i="66"/>
  <c r="G38" i="66"/>
  <c r="H36" i="66"/>
  <c r="G29" i="66"/>
  <c r="H27" i="66"/>
  <c r="G25" i="66"/>
  <c r="H23" i="66"/>
  <c r="H14" i="66"/>
  <c r="G16" i="66"/>
  <c r="G6" i="66"/>
  <c r="G128" i="65"/>
  <c r="G120" i="65"/>
  <c r="G111" i="65"/>
  <c r="G102" i="65"/>
  <c r="G93" i="65"/>
  <c r="G84" i="65"/>
  <c r="G75" i="65"/>
  <c r="G65" i="65"/>
  <c r="G61" i="65"/>
  <c r="G55" i="65"/>
  <c r="G51" i="65"/>
  <c r="G44" i="65"/>
  <c r="G40" i="65"/>
  <c r="G32" i="65"/>
  <c r="G28" i="65"/>
  <c r="G20" i="65"/>
  <c r="G12" i="65"/>
  <c r="G6" i="65"/>
  <c r="G52" i="64"/>
  <c r="G45" i="64"/>
  <c r="G38" i="64"/>
  <c r="G30" i="64"/>
  <c r="G17" i="64"/>
  <c r="G15" i="64"/>
  <c r="G6" i="64"/>
  <c r="G114" i="67"/>
  <c r="D114" i="67"/>
  <c r="G113" i="67"/>
  <c r="D112" i="67"/>
  <c r="G112" i="67" s="1"/>
  <c r="D111" i="67"/>
  <c r="G111" i="67" s="1"/>
  <c r="D110" i="67"/>
  <c r="D109" i="67"/>
  <c r="D108" i="67"/>
  <c r="H115" i="67" s="1"/>
  <c r="G105" i="67"/>
  <c r="D105" i="67"/>
  <c r="D104" i="67"/>
  <c r="G104" i="67" s="1"/>
  <c r="G103" i="67"/>
  <c r="D103" i="67"/>
  <c r="D102" i="67"/>
  <c r="G102" i="67" s="1"/>
  <c r="D101" i="67"/>
  <c r="G101" i="67" s="1"/>
  <c r="G100" i="67"/>
  <c r="D99" i="67"/>
  <c r="G99" i="67" s="1"/>
  <c r="D98" i="67"/>
  <c r="D97" i="67"/>
  <c r="D94" i="67"/>
  <c r="G94" i="67" s="1"/>
  <c r="G93" i="67"/>
  <c r="D93" i="67"/>
  <c r="D92" i="67"/>
  <c r="G92" i="67" s="1"/>
  <c r="G91" i="67"/>
  <c r="D91" i="67"/>
  <c r="G90" i="67"/>
  <c r="D90" i="67"/>
  <c r="D89" i="67"/>
  <c r="G89" i="67" s="1"/>
  <c r="D88" i="67"/>
  <c r="G88" i="67" s="1"/>
  <c r="D87" i="67"/>
  <c r="G87" i="67" s="1"/>
  <c r="D86" i="67"/>
  <c r="D83" i="67"/>
  <c r="G83" i="67" s="1"/>
  <c r="G82" i="67"/>
  <c r="D82" i="67"/>
  <c r="D81" i="67"/>
  <c r="G81" i="67" s="1"/>
  <c r="G80" i="67"/>
  <c r="D80" i="67"/>
  <c r="G79" i="67"/>
  <c r="D79" i="67"/>
  <c r="D78" i="67"/>
  <c r="G78" i="67" s="1"/>
  <c r="D77" i="67"/>
  <c r="G77" i="67" s="1"/>
  <c r="D76" i="67"/>
  <c r="G76" i="67" s="1"/>
  <c r="D75" i="67"/>
  <c r="H84" i="67" s="1"/>
  <c r="G72" i="67"/>
  <c r="F72" i="67"/>
  <c r="D72" i="67"/>
  <c r="D71" i="67"/>
  <c r="G71" i="67" s="1"/>
  <c r="G70" i="67"/>
  <c r="D69" i="67"/>
  <c r="D68" i="67"/>
  <c r="D67" i="67"/>
  <c r="D66" i="67"/>
  <c r="D65" i="67"/>
  <c r="G65" i="67" s="1"/>
  <c r="H73" i="67"/>
  <c r="D64" i="67"/>
  <c r="H62" i="67"/>
  <c r="D61" i="67"/>
  <c r="D60" i="67"/>
  <c r="G57" i="67"/>
  <c r="D57" i="67"/>
  <c r="G56" i="67"/>
  <c r="D56" i="67"/>
  <c r="D55" i="67"/>
  <c r="G55" i="67" s="1"/>
  <c r="D54" i="67"/>
  <c r="G53" i="67"/>
  <c r="D52" i="67"/>
  <c r="H58" i="67"/>
  <c r="D51" i="67"/>
  <c r="F48" i="67"/>
  <c r="G48" i="67" s="1"/>
  <c r="D48" i="67"/>
  <c r="G47" i="67"/>
  <c r="D47" i="67"/>
  <c r="D46" i="67"/>
  <c r="G46" i="67" s="1"/>
  <c r="D45" i="67"/>
  <c r="D44" i="67"/>
  <c r="D43" i="67"/>
  <c r="H49" i="67" s="1"/>
  <c r="G41" i="67"/>
  <c r="G40" i="67"/>
  <c r="H41" i="67"/>
  <c r="G36" i="67"/>
  <c r="D35" i="67"/>
  <c r="G35" i="67" s="1"/>
  <c r="D34" i="67"/>
  <c r="G34" i="67" s="1"/>
  <c r="D33" i="67"/>
  <c r="D32" i="67"/>
  <c r="D31" i="67"/>
  <c r="H37" i="67" s="1"/>
  <c r="G28" i="67"/>
  <c r="G27" i="67"/>
  <c r="G26" i="67"/>
  <c r="G25" i="67"/>
  <c r="G24" i="67"/>
  <c r="G23" i="67"/>
  <c r="H29" i="67"/>
  <c r="G19" i="67"/>
  <c r="G18" i="67"/>
  <c r="G17" i="67"/>
  <c r="G16" i="67"/>
  <c r="G15" i="67"/>
  <c r="G14" i="67"/>
  <c r="H20" i="67"/>
  <c r="G10" i="67"/>
  <c r="G9" i="67"/>
  <c r="G8" i="67"/>
  <c r="G7" i="67"/>
  <c r="G11" i="67" s="1"/>
  <c r="H11" i="67"/>
  <c r="H135" i="65"/>
  <c r="G134" i="65"/>
  <c r="G133" i="65"/>
  <c r="G132" i="65"/>
  <c r="G131" i="65"/>
  <c r="G130" i="65"/>
  <c r="G129" i="65"/>
  <c r="G125" i="65"/>
  <c r="G124" i="65"/>
  <c r="G123" i="65"/>
  <c r="G122" i="65"/>
  <c r="G121" i="65"/>
  <c r="H126" i="65"/>
  <c r="G117" i="65"/>
  <c r="G116" i="65"/>
  <c r="G115" i="65"/>
  <c r="G114" i="65"/>
  <c r="G113" i="65"/>
  <c r="G112" i="65"/>
  <c r="H118" i="65"/>
  <c r="G108" i="65"/>
  <c r="G107" i="65"/>
  <c r="G106" i="65"/>
  <c r="G105" i="65"/>
  <c r="G104" i="65"/>
  <c r="G103" i="65"/>
  <c r="G109" i="65" s="1"/>
  <c r="H109" i="65"/>
  <c r="G99" i="65"/>
  <c r="G98" i="65"/>
  <c r="G97" i="65"/>
  <c r="G96" i="65"/>
  <c r="G95" i="65"/>
  <c r="G94" i="65"/>
  <c r="H100" i="65"/>
  <c r="G90" i="65"/>
  <c r="G89" i="65"/>
  <c r="G88" i="65"/>
  <c r="G87" i="65"/>
  <c r="G86" i="65"/>
  <c r="G85" i="65"/>
  <c r="H91" i="65"/>
  <c r="G81" i="65"/>
  <c r="G80" i="65"/>
  <c r="G79" i="65"/>
  <c r="G78" i="65"/>
  <c r="G77" i="65"/>
  <c r="G76" i="65"/>
  <c r="H82" i="65"/>
  <c r="G72" i="65"/>
  <c r="G71" i="65"/>
  <c r="G70" i="65"/>
  <c r="G69" i="65"/>
  <c r="G68" i="65"/>
  <c r="G67" i="65"/>
  <c r="G66" i="65"/>
  <c r="H73" i="65"/>
  <c r="G63" i="65"/>
  <c r="G62" i="65"/>
  <c r="H63" i="65"/>
  <c r="G58" i="65"/>
  <c r="G57" i="65"/>
  <c r="G56" i="65"/>
  <c r="H59" i="65"/>
  <c r="G52" i="65"/>
  <c r="G53" i="65" s="1"/>
  <c r="H53" i="65"/>
  <c r="G48" i="65"/>
  <c r="G47" i="65"/>
  <c r="G46" i="65"/>
  <c r="G45" i="65"/>
  <c r="H49" i="65"/>
  <c r="G42" i="65"/>
  <c r="G41" i="65"/>
  <c r="H42" i="65"/>
  <c r="G37" i="65"/>
  <c r="G36" i="65"/>
  <c r="G35" i="65"/>
  <c r="G34" i="65"/>
  <c r="G33" i="65"/>
  <c r="H38" i="65"/>
  <c r="G30" i="65"/>
  <c r="G29" i="65"/>
  <c r="H30" i="65"/>
  <c r="G25" i="65"/>
  <c r="G24" i="65"/>
  <c r="G23" i="65"/>
  <c r="G22" i="65"/>
  <c r="G21" i="65"/>
  <c r="H26" i="65"/>
  <c r="G17" i="65"/>
  <c r="G16" i="65"/>
  <c r="G15" i="65"/>
  <c r="G14" i="65"/>
  <c r="G13" i="65"/>
  <c r="H18" i="65"/>
  <c r="G9" i="65"/>
  <c r="G8" i="65"/>
  <c r="G7" i="65"/>
  <c r="H10" i="65"/>
  <c r="G56" i="64"/>
  <c r="D56" i="64"/>
  <c r="D55" i="64"/>
  <c r="G54" i="64"/>
  <c r="D54" i="64"/>
  <c r="D53" i="64"/>
  <c r="D52" i="64"/>
  <c r="H57" i="64" s="1"/>
  <c r="G49" i="64"/>
  <c r="D49" i="64"/>
  <c r="G48" i="64"/>
  <c r="D48" i="64"/>
  <c r="G47" i="64"/>
  <c r="D47" i="64"/>
  <c r="G46" i="64"/>
  <c r="D46" i="64"/>
  <c r="D45" i="64"/>
  <c r="G42" i="64"/>
  <c r="D42" i="64"/>
  <c r="G41" i="64"/>
  <c r="D41" i="64"/>
  <c r="G40" i="64"/>
  <c r="D40" i="64"/>
  <c r="G39" i="64"/>
  <c r="D39" i="64"/>
  <c r="H43" i="64"/>
  <c r="D38" i="64"/>
  <c r="D35" i="64"/>
  <c r="G34" i="64"/>
  <c r="D34" i="64"/>
  <c r="D33" i="64"/>
  <c r="G32" i="64"/>
  <c r="D32" i="64"/>
  <c r="D31" i="64"/>
  <c r="D30" i="64"/>
  <c r="H36" i="64" s="1"/>
  <c r="G27" i="64"/>
  <c r="D27" i="64"/>
  <c r="D26" i="64"/>
  <c r="G25" i="64"/>
  <c r="D25" i="64"/>
  <c r="D24" i="64"/>
  <c r="G24" i="64" s="1"/>
  <c r="D23" i="64"/>
  <c r="G22" i="64"/>
  <c r="D22" i="64"/>
  <c r="D21" i="64"/>
  <c r="G20" i="64"/>
  <c r="D20" i="64"/>
  <c r="D19" i="64"/>
  <c r="D18" i="64"/>
  <c r="D17" i="64"/>
  <c r="H28" i="64" s="1"/>
  <c r="G14" i="64"/>
  <c r="D14" i="64"/>
  <c r="F13" i="64"/>
  <c r="D13" i="64"/>
  <c r="G12" i="64"/>
  <c r="G11" i="64"/>
  <c r="D11" i="64"/>
  <c r="D10" i="64"/>
  <c r="G10" i="64" s="1"/>
  <c r="D9" i="64"/>
  <c r="G8" i="64"/>
  <c r="D8" i="64"/>
  <c r="D7" i="64"/>
  <c r="D6" i="64"/>
  <c r="H15" i="64" s="1"/>
  <c r="C11" i="47"/>
  <c r="C12" i="47" s="1"/>
  <c r="I11" i="47"/>
  <c r="O11" i="47"/>
  <c r="I12" i="47"/>
  <c r="O12" i="47"/>
  <c r="O14" i="47"/>
  <c r="C33" i="47"/>
  <c r="C34" i="47" s="1"/>
  <c r="I33" i="47"/>
  <c r="O33" i="47"/>
  <c r="I34" i="47"/>
  <c r="O34" i="47"/>
  <c r="O36" i="47" s="1"/>
  <c r="D28" i="63"/>
  <c r="D10" i="63"/>
  <c r="F16" i="68" l="1"/>
  <c r="G17" i="68"/>
  <c r="F9" i="68"/>
  <c r="G16" i="69"/>
  <c r="F17" i="68"/>
  <c r="F15" i="69"/>
  <c r="F16" i="69" s="1"/>
  <c r="G84" i="67"/>
  <c r="G29" i="67"/>
  <c r="G20" i="67"/>
  <c r="G26" i="65"/>
  <c r="G10" i="65"/>
  <c r="G135" i="65"/>
  <c r="G126" i="65"/>
  <c r="G118" i="65"/>
  <c r="G137" i="65" s="1"/>
  <c r="G100" i="65"/>
  <c r="G91" i="65"/>
  <c r="G82" i="65"/>
  <c r="G73" i="65"/>
  <c r="G59" i="65"/>
  <c r="G49" i="65"/>
  <c r="G38" i="65"/>
  <c r="G18" i="65"/>
  <c r="G50" i="64"/>
  <c r="G43" i="64"/>
  <c r="G45" i="67"/>
  <c r="G33" i="67"/>
  <c r="H106" i="67"/>
  <c r="G54" i="67"/>
  <c r="H95" i="67"/>
  <c r="G98" i="67"/>
  <c r="G106" i="67" s="1"/>
  <c r="H116" i="67"/>
  <c r="G110" i="67"/>
  <c r="G67" i="67"/>
  <c r="G69" i="67"/>
  <c r="G32" i="67"/>
  <c r="G37" i="67" s="1"/>
  <c r="G44" i="67"/>
  <c r="G52" i="67"/>
  <c r="G61" i="67"/>
  <c r="G62" i="67" s="1"/>
  <c r="G66" i="67"/>
  <c r="G68" i="67"/>
  <c r="G109" i="67"/>
  <c r="H137" i="65"/>
  <c r="H138" i="65"/>
  <c r="H136" i="65"/>
  <c r="H58" i="64"/>
  <c r="G7" i="64"/>
  <c r="G9" i="64"/>
  <c r="G13" i="64"/>
  <c r="G19" i="64"/>
  <c r="G21" i="64"/>
  <c r="G23" i="64"/>
  <c r="G26" i="64"/>
  <c r="G31" i="64"/>
  <c r="G33" i="64"/>
  <c r="G35" i="64"/>
  <c r="H50" i="64"/>
  <c r="H59" i="64" s="1"/>
  <c r="G53" i="64"/>
  <c r="G57" i="64" s="1"/>
  <c r="G55" i="64"/>
  <c r="G18" i="64"/>
  <c r="C14" i="47"/>
  <c r="O15" i="47"/>
  <c r="I14" i="47"/>
  <c r="C36" i="47"/>
  <c r="O37" i="47"/>
  <c r="I36" i="47"/>
  <c r="O47" i="47"/>
  <c r="I38" i="63" s="1"/>
  <c r="I47" i="47"/>
  <c r="I37" i="63" s="1"/>
  <c r="C47" i="47"/>
  <c r="I36" i="63" s="1"/>
  <c r="O45" i="47"/>
  <c r="I45" i="47"/>
  <c r="C45" i="47"/>
  <c r="O24" i="47"/>
  <c r="I20" i="63" s="1"/>
  <c r="I24" i="47"/>
  <c r="I19" i="63" s="1"/>
  <c r="C24" i="47"/>
  <c r="I18" i="63" s="1"/>
  <c r="C22" i="47"/>
  <c r="I22" i="47"/>
  <c r="O22" i="47"/>
  <c r="AC28" i="47"/>
  <c r="K93" i="46"/>
  <c r="R47" i="46"/>
  <c r="K47" i="46"/>
  <c r="Q29" i="46"/>
  <c r="C29" i="46"/>
  <c r="J29" i="46"/>
  <c r="D93" i="46"/>
  <c r="R93" i="46"/>
  <c r="Q75" i="46"/>
  <c r="J75" i="46"/>
  <c r="C75" i="46"/>
  <c r="J96" i="46"/>
  <c r="J98" i="46" s="1"/>
  <c r="J95" i="46"/>
  <c r="C95" i="46"/>
  <c r="C96" i="46" s="1"/>
  <c r="C98" i="46" s="1"/>
  <c r="Q90" i="46"/>
  <c r="J90" i="46"/>
  <c r="C90" i="46"/>
  <c r="J88" i="46"/>
  <c r="C88" i="46"/>
  <c r="Q87" i="46"/>
  <c r="Q95" i="46" s="1"/>
  <c r="Q96" i="46" s="1"/>
  <c r="Q98" i="46" s="1"/>
  <c r="J87" i="46"/>
  <c r="C87" i="46"/>
  <c r="S84" i="46"/>
  <c r="L84" i="46"/>
  <c r="E84" i="46"/>
  <c r="S83" i="46"/>
  <c r="L83" i="46"/>
  <c r="E83" i="46"/>
  <c r="S82" i="46"/>
  <c r="L82" i="46"/>
  <c r="E82" i="46"/>
  <c r="S81" i="46"/>
  <c r="S85" i="46" s="1"/>
  <c r="L81" i="46"/>
  <c r="E81" i="46"/>
  <c r="S80" i="46"/>
  <c r="L80" i="46"/>
  <c r="E80" i="46"/>
  <c r="S79" i="46"/>
  <c r="L79" i="46"/>
  <c r="L85" i="46" s="1"/>
  <c r="J91" i="46" s="1"/>
  <c r="E79" i="46"/>
  <c r="E85" i="46" s="1"/>
  <c r="C91" i="46" s="1"/>
  <c r="D56" i="45"/>
  <c r="D55" i="45"/>
  <c r="D54" i="45"/>
  <c r="D53" i="45"/>
  <c r="D61" i="45" s="1"/>
  <c r="D52" i="45"/>
  <c r="C61" i="45" s="1"/>
  <c r="D51" i="45"/>
  <c r="E61" i="45" s="1"/>
  <c r="K64" i="45" s="1"/>
  <c r="Q16" i="46"/>
  <c r="H17" i="63" s="1"/>
  <c r="D49" i="44"/>
  <c r="E23" i="63"/>
  <c r="E24" i="63"/>
  <c r="E25" i="63"/>
  <c r="E26" i="63"/>
  <c r="E27" i="63"/>
  <c r="E22" i="63"/>
  <c r="E9" i="63"/>
  <c r="E8" i="63"/>
  <c r="E7" i="63"/>
  <c r="E6" i="63"/>
  <c r="E5" i="63"/>
  <c r="E4" i="63"/>
  <c r="H20" i="63"/>
  <c r="E20" i="63" s="1"/>
  <c r="D57" i="45" l="1"/>
  <c r="G64" i="45"/>
  <c r="G65" i="45" s="1"/>
  <c r="G66" i="45" s="1"/>
  <c r="G67" i="45" s="1"/>
  <c r="J62" i="46"/>
  <c r="K65" i="45"/>
  <c r="K66" i="45" s="1"/>
  <c r="K67" i="45" s="1"/>
  <c r="Q62" i="46"/>
  <c r="C64" i="45"/>
  <c r="C65" i="45" s="1"/>
  <c r="C62" i="46"/>
  <c r="E28" i="63"/>
  <c r="G115" i="67"/>
  <c r="H117" i="67"/>
  <c r="G117" i="67"/>
  <c r="H118" i="67"/>
  <c r="G136" i="65"/>
  <c r="G59" i="64"/>
  <c r="G28" i="64"/>
  <c r="H60" i="64"/>
  <c r="G36" i="64"/>
  <c r="C15" i="47"/>
  <c r="I15" i="47"/>
  <c r="C37" i="47"/>
  <c r="I37" i="47"/>
  <c r="H36" i="63"/>
  <c r="E36" i="63" s="1"/>
  <c r="H37" i="63"/>
  <c r="E37" i="63" s="1"/>
  <c r="H38" i="63"/>
  <c r="E38" i="63" s="1"/>
  <c r="AC32" i="47"/>
  <c r="Q88" i="46"/>
  <c r="Q91" i="46" s="1"/>
  <c r="G69" i="45"/>
  <c r="G72" i="45" s="1"/>
  <c r="K68" i="45"/>
  <c r="K69" i="45"/>
  <c r="K72" i="45" s="1"/>
  <c r="G68" i="45"/>
  <c r="G73" i="45" s="1"/>
  <c r="K73" i="45" l="1"/>
  <c r="C72" i="46"/>
  <c r="C66" i="45"/>
  <c r="C67" i="45" s="1"/>
  <c r="C69" i="45" s="1"/>
  <c r="C72" i="45" s="1"/>
  <c r="C68" i="45"/>
  <c r="C73" i="45" s="1"/>
  <c r="E30" i="63" s="1"/>
  <c r="H33" i="63"/>
  <c r="Q63" i="46"/>
  <c r="H35" i="63"/>
  <c r="J63" i="46"/>
  <c r="H34" i="63"/>
  <c r="E31" i="63"/>
  <c r="G116" i="67"/>
  <c r="G60" i="64"/>
  <c r="G58" i="64"/>
  <c r="T32" i="47"/>
  <c r="AG32" i="47"/>
  <c r="AC36" i="47"/>
  <c r="T36" i="47"/>
  <c r="I33" i="63"/>
  <c r="C66" i="46"/>
  <c r="E32" i="63"/>
  <c r="E68" i="62"/>
  <c r="E77" i="62"/>
  <c r="E53" i="62"/>
  <c r="E62" i="62"/>
  <c r="E38" i="62"/>
  <c r="E23" i="62"/>
  <c r="E47" i="62"/>
  <c r="E32" i="62"/>
  <c r="E17" i="62"/>
  <c r="E8" i="62"/>
  <c r="E13" i="62" s="1"/>
  <c r="E33" i="63" l="1"/>
  <c r="Q72" i="46"/>
  <c r="Q65" i="46"/>
  <c r="J65" i="46"/>
  <c r="J72" i="46"/>
  <c r="M26" i="62"/>
  <c r="AC40" i="47"/>
  <c r="AG40" i="47" s="1"/>
  <c r="AG36" i="47"/>
  <c r="X36" i="47"/>
  <c r="T40" i="47"/>
  <c r="X40" i="47" s="1"/>
  <c r="E71" i="62"/>
  <c r="E73" i="62" s="1"/>
  <c r="E56" i="62"/>
  <c r="E58" i="62" s="1"/>
  <c r="E41" i="62"/>
  <c r="E43" i="62" s="1"/>
  <c r="E26" i="62"/>
  <c r="E28" i="62" s="1"/>
  <c r="Q66" i="46" l="1"/>
  <c r="Q74" i="46"/>
  <c r="Q76" i="46" s="1"/>
  <c r="Q101" i="46" s="1"/>
  <c r="I35" i="63" s="1"/>
  <c r="E35" i="63" s="1"/>
  <c r="J66" i="46"/>
  <c r="J74" i="46"/>
  <c r="J76" i="46" s="1"/>
  <c r="J101" i="46" s="1"/>
  <c r="I34" i="63" s="1"/>
  <c r="E34" i="63" s="1"/>
  <c r="H19" i="63"/>
  <c r="E19" i="63" s="1"/>
  <c r="H18" i="63" l="1"/>
  <c r="E18" i="63" s="1"/>
  <c r="Q17" i="46"/>
  <c r="Q44" i="46"/>
  <c r="Q41" i="46"/>
  <c r="Q42" i="46" s="1"/>
  <c r="S38" i="46"/>
  <c r="S37" i="46"/>
  <c r="S36" i="46"/>
  <c r="S35" i="46"/>
  <c r="S34" i="46"/>
  <c r="S33" i="46"/>
  <c r="J44" i="46"/>
  <c r="J41" i="46"/>
  <c r="J49" i="46" s="1"/>
  <c r="J50" i="46" s="1"/>
  <c r="L33" i="46"/>
  <c r="L34" i="46"/>
  <c r="L35" i="46"/>
  <c r="L36" i="46"/>
  <c r="L37" i="46"/>
  <c r="L38" i="46"/>
  <c r="E36" i="46"/>
  <c r="E37" i="46"/>
  <c r="E38" i="46"/>
  <c r="E35" i="46"/>
  <c r="C41" i="46"/>
  <c r="C42" i="46" s="1"/>
  <c r="E34" i="46"/>
  <c r="C44" i="46"/>
  <c r="E33" i="46"/>
  <c r="C49" i="46" l="1"/>
  <c r="C50" i="46" s="1"/>
  <c r="C52" i="46" s="1"/>
  <c r="S39" i="46"/>
  <c r="Q45" i="46" s="1"/>
  <c r="L39" i="46"/>
  <c r="Q26" i="46"/>
  <c r="Q19" i="46"/>
  <c r="Q49" i="46"/>
  <c r="Q50" i="46" s="1"/>
  <c r="Q52" i="46" s="1"/>
  <c r="J42" i="46"/>
  <c r="J45" i="46" l="1"/>
  <c r="Q28" i="46"/>
  <c r="Q30" i="46" s="1"/>
  <c r="Q55" i="46" s="1"/>
  <c r="I17" i="63" s="1"/>
  <c r="Q20" i="46"/>
  <c r="E17" i="63" l="1"/>
  <c r="K128" i="54" l="1"/>
  <c r="M85" i="54" l="1"/>
  <c r="K85" i="54"/>
  <c r="I77" i="54"/>
  <c r="K75" i="54"/>
  <c r="M50" i="54"/>
  <c r="K50" i="54"/>
  <c r="M41" i="54"/>
  <c r="K41" i="54"/>
  <c r="J84" i="54"/>
  <c r="L36" i="54"/>
  <c r="L29" i="54"/>
  <c r="M27" i="54"/>
  <c r="M13" i="54"/>
  <c r="J95" i="54" l="1"/>
  <c r="M84" i="54"/>
  <c r="K84" i="54"/>
  <c r="J43" i="54"/>
  <c r="K43" i="54" l="1"/>
  <c r="M43" i="54"/>
  <c r="J106" i="54"/>
  <c r="M95" i="54"/>
  <c r="K95" i="54"/>
  <c r="J21" i="54"/>
  <c r="M21" i="54" s="1"/>
  <c r="J20" i="54"/>
  <c r="J33" i="54" s="1"/>
  <c r="J19" i="54"/>
  <c r="M19" i="54" s="1"/>
  <c r="J18" i="54"/>
  <c r="J26" i="54" s="1"/>
  <c r="K26" i="54" s="1"/>
  <c r="J17" i="54"/>
  <c r="K17" i="54" s="1"/>
  <c r="J16" i="54"/>
  <c r="J29" i="54" s="1"/>
  <c r="J38" i="54" s="1"/>
  <c r="M8" i="28"/>
  <c r="K13" i="54"/>
  <c r="J11" i="54"/>
  <c r="M11" i="54" s="1"/>
  <c r="J10" i="54"/>
  <c r="K10" i="54" s="1"/>
  <c r="J12" i="54"/>
  <c r="K12" i="54" s="1"/>
  <c r="J9" i="54"/>
  <c r="M9" i="54" s="1"/>
  <c r="J7" i="54"/>
  <c r="K7" i="54" s="1"/>
  <c r="J8" i="54"/>
  <c r="K8" i="54" s="1"/>
  <c r="J6" i="54"/>
  <c r="L6" i="54" s="1"/>
  <c r="L14" i="54" s="1"/>
  <c r="K27" i="54" l="1"/>
  <c r="M14" i="54"/>
  <c r="M23" i="54"/>
  <c r="K9" i="54"/>
  <c r="K18" i="54"/>
  <c r="J25" i="54"/>
  <c r="L25" i="54" s="1"/>
  <c r="L27" i="54" s="1"/>
  <c r="J42" i="54"/>
  <c r="K42" i="54" s="1"/>
  <c r="L38" i="54"/>
  <c r="L44" i="54" s="1"/>
  <c r="J46" i="54"/>
  <c r="M33" i="54"/>
  <c r="J67" i="54"/>
  <c r="K33" i="54"/>
  <c r="J30" i="54"/>
  <c r="J22" i="54"/>
  <c r="K21" i="54"/>
  <c r="J31" i="54"/>
  <c r="K11" i="54"/>
  <c r="L16" i="54"/>
  <c r="L23" i="54" s="1"/>
  <c r="K20" i="54"/>
  <c r="J32" i="54"/>
  <c r="J34" i="54"/>
  <c r="K19" i="54"/>
  <c r="M106" i="54"/>
  <c r="K106" i="54"/>
  <c r="J117" i="54"/>
  <c r="M42" i="54" l="1"/>
  <c r="K14" i="54"/>
  <c r="J51" i="54"/>
  <c r="J59" i="54" s="1"/>
  <c r="L46" i="54"/>
  <c r="L53" i="54" s="1"/>
  <c r="J55" i="54"/>
  <c r="M32" i="54"/>
  <c r="K32" i="54"/>
  <c r="J40" i="54"/>
  <c r="K67" i="54"/>
  <c r="J82" i="54"/>
  <c r="K31" i="54"/>
  <c r="J39" i="54"/>
  <c r="J64" i="54"/>
  <c r="K30" i="54"/>
  <c r="J49" i="54"/>
  <c r="M34" i="54"/>
  <c r="K34" i="54"/>
  <c r="J35" i="54"/>
  <c r="K22" i="54"/>
  <c r="K23" i="54" s="1"/>
  <c r="J127" i="54"/>
  <c r="M118" i="54"/>
  <c r="K118" i="54"/>
  <c r="J126" i="54"/>
  <c r="M117" i="54"/>
  <c r="K117" i="54"/>
  <c r="M51" i="54" l="1"/>
  <c r="J68" i="54"/>
  <c r="K68" i="54" s="1"/>
  <c r="K51" i="54"/>
  <c r="M49" i="54"/>
  <c r="J58" i="54"/>
  <c r="K49" i="54"/>
  <c r="K35" i="54"/>
  <c r="K36" i="54" s="1"/>
  <c r="J52" i="54"/>
  <c r="J93" i="54"/>
  <c r="K82" i="54"/>
  <c r="M36" i="54"/>
  <c r="J90" i="54"/>
  <c r="K64" i="54"/>
  <c r="K39" i="54"/>
  <c r="J47" i="54"/>
  <c r="K59" i="54"/>
  <c r="M59" i="54"/>
  <c r="K40" i="54"/>
  <c r="M40" i="54"/>
  <c r="M44" i="54" s="1"/>
  <c r="J48" i="54"/>
  <c r="J63" i="54"/>
  <c r="L55" i="54"/>
  <c r="L61" i="54" s="1"/>
  <c r="M126" i="54"/>
  <c r="K126" i="54"/>
  <c r="M127" i="54"/>
  <c r="J68" i="48"/>
  <c r="J70" i="48" s="1"/>
  <c r="J71" i="48" s="1"/>
  <c r="D79" i="48"/>
  <c r="D111" i="48"/>
  <c r="P51" i="48"/>
  <c r="P52" i="48"/>
  <c r="P54" i="48" s="1"/>
  <c r="P55" i="48" s="1"/>
  <c r="P39" i="48"/>
  <c r="P40" i="48" s="1"/>
  <c r="P42" i="48" s="1"/>
  <c r="P43" i="48" s="1"/>
  <c r="P27" i="48"/>
  <c r="P28" i="48"/>
  <c r="P30" i="48" s="1"/>
  <c r="P31" i="48" s="1"/>
  <c r="P15" i="48"/>
  <c r="P16" i="48"/>
  <c r="P18" i="48" s="1"/>
  <c r="P19" i="48" s="1"/>
  <c r="J121" i="48"/>
  <c r="J131" i="48"/>
  <c r="J132" i="48" s="1"/>
  <c r="J134" i="48" s="1"/>
  <c r="J135" i="48" s="1"/>
  <c r="J122" i="48"/>
  <c r="J124" i="48" s="1"/>
  <c r="J125" i="48" s="1"/>
  <c r="J111" i="48"/>
  <c r="J112" i="48" s="1"/>
  <c r="J114" i="48" s="1"/>
  <c r="J115" i="48" s="1"/>
  <c r="J99" i="48"/>
  <c r="J100" i="48" s="1"/>
  <c r="J102" i="48" s="1"/>
  <c r="J103" i="48" s="1"/>
  <c r="J89" i="48"/>
  <c r="J90" i="48" s="1"/>
  <c r="J92" i="48" s="1"/>
  <c r="J93" i="48" s="1"/>
  <c r="J79" i="48"/>
  <c r="J80" i="48" s="1"/>
  <c r="J82" i="48" s="1"/>
  <c r="J83" i="48" s="1"/>
  <c r="J67" i="48"/>
  <c r="J57" i="48"/>
  <c r="J58" i="48" s="1"/>
  <c r="J60" i="48" s="1"/>
  <c r="J61" i="48" s="1"/>
  <c r="J47" i="48"/>
  <c r="J48" i="48" s="1"/>
  <c r="J50" i="48" s="1"/>
  <c r="J51" i="48" s="1"/>
  <c r="J25" i="48"/>
  <c r="J26" i="48" s="1"/>
  <c r="J28" i="48" s="1"/>
  <c r="J29" i="48" s="1"/>
  <c r="J35" i="48"/>
  <c r="J36" i="48" s="1"/>
  <c r="J38" i="48" s="1"/>
  <c r="J39" i="48" s="1"/>
  <c r="J76" i="54" l="1"/>
  <c r="K76" i="54" s="1"/>
  <c r="M68" i="54"/>
  <c r="J104" i="54"/>
  <c r="K93" i="54"/>
  <c r="M48" i="54"/>
  <c r="M53" i="54" s="1"/>
  <c r="J57" i="54"/>
  <c r="K48" i="54"/>
  <c r="K47" i="54"/>
  <c r="J56" i="54"/>
  <c r="J101" i="54"/>
  <c r="K90" i="54"/>
  <c r="J83" i="54"/>
  <c r="K58" i="54"/>
  <c r="K44" i="54"/>
  <c r="J96" i="54"/>
  <c r="J60" i="54"/>
  <c r="K60" i="54" s="1"/>
  <c r="K52" i="54"/>
  <c r="J69" i="54"/>
  <c r="J72" i="54"/>
  <c r="L63" i="54"/>
  <c r="L70" i="54" s="1"/>
  <c r="J15" i="48"/>
  <c r="D131" i="48"/>
  <c r="D132" i="48" s="1"/>
  <c r="D134" i="48" s="1"/>
  <c r="D135" i="48" s="1"/>
  <c r="D121" i="48"/>
  <c r="D122" i="48" s="1"/>
  <c r="D124" i="48" s="1"/>
  <c r="D125" i="48" s="1"/>
  <c r="D99" i="48"/>
  <c r="D89" i="48"/>
  <c r="D112" i="48"/>
  <c r="D114" i="48" s="1"/>
  <c r="D115" i="48" s="1"/>
  <c r="D90" i="48"/>
  <c r="D92" i="48" s="1"/>
  <c r="D93" i="48" s="1"/>
  <c r="D80" i="48"/>
  <c r="D82" i="48" s="1"/>
  <c r="D83" i="48" s="1"/>
  <c r="D67" i="48"/>
  <c r="D57" i="48"/>
  <c r="D100" i="48" l="1"/>
  <c r="D102" i="48" s="1"/>
  <c r="D103" i="48" s="1"/>
  <c r="J94" i="54"/>
  <c r="M83" i="54"/>
  <c r="K83" i="54"/>
  <c r="J107" i="54"/>
  <c r="M96" i="54"/>
  <c r="K96" i="54"/>
  <c r="J86" i="54"/>
  <c r="K69" i="54"/>
  <c r="J115" i="54"/>
  <c r="K115" i="54" s="1"/>
  <c r="K104" i="54"/>
  <c r="J112" i="54"/>
  <c r="K112" i="54" s="1"/>
  <c r="K101" i="54"/>
  <c r="M57" i="54"/>
  <c r="M61" i="54" s="1"/>
  <c r="K57" i="54"/>
  <c r="J66" i="54"/>
  <c r="J65" i="54"/>
  <c r="K56" i="54"/>
  <c r="J79" i="54"/>
  <c r="L72" i="54"/>
  <c r="L77" i="54" s="1"/>
  <c r="K53" i="54"/>
  <c r="J16" i="48"/>
  <c r="J18" i="48" s="1"/>
  <c r="J19" i="48" s="1"/>
  <c r="G80" i="39"/>
  <c r="G76" i="39"/>
  <c r="G59" i="39"/>
  <c r="G55" i="39"/>
  <c r="D68" i="48"/>
  <c r="D70" i="48" s="1"/>
  <c r="D71" i="48" s="1"/>
  <c r="D58" i="48"/>
  <c r="D60" i="48" s="1"/>
  <c r="D61" i="48" s="1"/>
  <c r="G35" i="39"/>
  <c r="D120" i="48"/>
  <c r="G37" i="39"/>
  <c r="G33" i="39"/>
  <c r="G17" i="39"/>
  <c r="G13" i="39"/>
  <c r="D47" i="48"/>
  <c r="D48" i="48"/>
  <c r="D15" i="48"/>
  <c r="D16" i="48" s="1"/>
  <c r="D18" i="48" s="1"/>
  <c r="D35" i="48"/>
  <c r="D36" i="48" s="1"/>
  <c r="D38" i="48" s="1"/>
  <c r="D39" i="48" s="1"/>
  <c r="D25" i="48"/>
  <c r="D26" i="48" s="1"/>
  <c r="D28" i="48" s="1"/>
  <c r="D29" i="48" s="1"/>
  <c r="C9" i="39"/>
  <c r="E17" i="45"/>
  <c r="D50" i="48" l="1"/>
  <c r="D51" i="48" s="1"/>
  <c r="D130" i="48"/>
  <c r="C32" i="47"/>
  <c r="J105" i="54"/>
  <c r="M94" i="54"/>
  <c r="K94" i="54"/>
  <c r="M107" i="54"/>
  <c r="K107" i="54"/>
  <c r="J119" i="54"/>
  <c r="K119" i="54" s="1"/>
  <c r="K61" i="54"/>
  <c r="J73" i="54"/>
  <c r="K65" i="54"/>
  <c r="J74" i="54"/>
  <c r="M66" i="54"/>
  <c r="M70" i="54" s="1"/>
  <c r="K66" i="54"/>
  <c r="L79" i="54"/>
  <c r="L87" i="54" s="1"/>
  <c r="L130" i="54" s="1"/>
  <c r="J89" i="54"/>
  <c r="J97" i="54"/>
  <c r="K86" i="54"/>
  <c r="D19" i="48"/>
  <c r="J116" i="54" l="1"/>
  <c r="K105" i="54"/>
  <c r="M105" i="54"/>
  <c r="G53" i="39"/>
  <c r="J56" i="48" s="1"/>
  <c r="J81" i="54"/>
  <c r="K74" i="54"/>
  <c r="M74" i="54"/>
  <c r="M77" i="54" s="1"/>
  <c r="J108" i="54"/>
  <c r="K108" i="54" s="1"/>
  <c r="K97" i="54"/>
  <c r="K70" i="54"/>
  <c r="L89" i="54"/>
  <c r="L98" i="54" s="1"/>
  <c r="J100" i="54"/>
  <c r="J80" i="54"/>
  <c r="K73" i="54"/>
  <c r="D54" i="44"/>
  <c r="D53" i="44"/>
  <c r="D52" i="44"/>
  <c r="D51" i="44"/>
  <c r="D50" i="44"/>
  <c r="D55" i="44"/>
  <c r="C9" i="46"/>
  <c r="C8" i="46"/>
  <c r="C7" i="46"/>
  <c r="C6" i="46"/>
  <c r="C5" i="46"/>
  <c r="C4" i="46"/>
  <c r="B65" i="44"/>
  <c r="K77" i="54" l="1"/>
  <c r="J125" i="54"/>
  <c r="M116" i="54"/>
  <c r="K116" i="54"/>
  <c r="J92" i="54"/>
  <c r="K81" i="54"/>
  <c r="M81" i="54"/>
  <c r="J91" i="54"/>
  <c r="M80" i="54"/>
  <c r="K80" i="54"/>
  <c r="L100" i="54"/>
  <c r="L109" i="54" s="1"/>
  <c r="J111" i="54"/>
  <c r="I93" i="30"/>
  <c r="G23" i="39"/>
  <c r="D88" i="48" s="1"/>
  <c r="G9" i="39"/>
  <c r="K87" i="54" l="1"/>
  <c r="K130" i="54"/>
  <c r="K125" i="54"/>
  <c r="M125" i="54"/>
  <c r="M87" i="54"/>
  <c r="M130" i="54" s="1"/>
  <c r="J103" i="54"/>
  <c r="M92" i="54"/>
  <c r="M98" i="54" s="1"/>
  <c r="K92" i="54"/>
  <c r="L111" i="54"/>
  <c r="L120" i="54" s="1"/>
  <c r="J122" i="54"/>
  <c r="L122" i="54" s="1"/>
  <c r="L129" i="54" s="1"/>
  <c r="L131" i="54" s="1"/>
  <c r="L132" i="54" s="1"/>
  <c r="J102" i="54"/>
  <c r="K91" i="54"/>
  <c r="I113" i="30"/>
  <c r="M41" i="30"/>
  <c r="M26" i="30"/>
  <c r="D47" i="30"/>
  <c r="I138" i="28"/>
  <c r="H137" i="28"/>
  <c r="D26" i="27"/>
  <c r="H136" i="28"/>
  <c r="C65" i="44"/>
  <c r="K98" i="54" l="1"/>
  <c r="G45" i="39"/>
  <c r="J24" i="48" s="1"/>
  <c r="J113" i="54"/>
  <c r="K102" i="54"/>
  <c r="J114" i="54"/>
  <c r="K103" i="54"/>
  <c r="M103" i="54"/>
  <c r="M109" i="54" s="1"/>
  <c r="E22" i="45"/>
  <c r="E21" i="45"/>
  <c r="E20" i="45"/>
  <c r="E19" i="45"/>
  <c r="E18" i="45"/>
  <c r="G72" i="39"/>
  <c r="G68" i="39"/>
  <c r="G47" i="39"/>
  <c r="G51" i="39"/>
  <c r="G29" i="39"/>
  <c r="G25" i="39"/>
  <c r="G5" i="39"/>
  <c r="E22" i="44"/>
  <c r="U47" i="44" s="1"/>
  <c r="U48" i="44" s="1"/>
  <c r="E21" i="44"/>
  <c r="E20" i="44"/>
  <c r="E19" i="44"/>
  <c r="E18" i="44"/>
  <c r="E17" i="44"/>
  <c r="C76" i="39"/>
  <c r="C33" i="39"/>
  <c r="M9" i="30"/>
  <c r="M8" i="30"/>
  <c r="C13" i="39"/>
  <c r="C55" i="39"/>
  <c r="C114" i="39"/>
  <c r="C72" i="39"/>
  <c r="C29" i="39"/>
  <c r="C27" i="39"/>
  <c r="C50" i="44" s="1"/>
  <c r="C51" i="39"/>
  <c r="C90" i="39"/>
  <c r="C25" i="39"/>
  <c r="C68" i="39"/>
  <c r="C47" i="39"/>
  <c r="U51" i="44" l="1"/>
  <c r="U49" i="44"/>
  <c r="K29" i="45"/>
  <c r="K30" i="45" s="1"/>
  <c r="E26" i="45"/>
  <c r="G29" i="45"/>
  <c r="D26" i="45"/>
  <c r="C26" i="45"/>
  <c r="C30" i="45"/>
  <c r="K109" i="54"/>
  <c r="D110" i="48"/>
  <c r="C52" i="45"/>
  <c r="J16" i="46"/>
  <c r="C16" i="46"/>
  <c r="J124" i="54"/>
  <c r="K114" i="54"/>
  <c r="M114" i="54"/>
  <c r="M120" i="54" s="1"/>
  <c r="G57" i="39"/>
  <c r="C49" i="39"/>
  <c r="J123" i="54"/>
  <c r="K123" i="54" s="1"/>
  <c r="K113" i="54"/>
  <c r="G30" i="45"/>
  <c r="G31" i="45" s="1"/>
  <c r="G32" i="45" s="1"/>
  <c r="G34" i="45" s="1"/>
  <c r="E23" i="44"/>
  <c r="E23" i="45"/>
  <c r="C34" i="44" l="1"/>
  <c r="C35" i="44" s="1"/>
  <c r="E10" i="63"/>
  <c r="U50" i="44"/>
  <c r="T54" i="44"/>
  <c r="T56" i="44" s="1"/>
  <c r="T58" i="44" s="1"/>
  <c r="L60" i="44" s="1"/>
  <c r="C31" i="45"/>
  <c r="C32" i="45" s="1"/>
  <c r="C37" i="45" s="1"/>
  <c r="J17" i="46"/>
  <c r="J19" i="46" s="1"/>
  <c r="H16" i="63"/>
  <c r="H15" i="63"/>
  <c r="J46" i="48"/>
  <c r="C53" i="45"/>
  <c r="C51" i="44"/>
  <c r="J66" i="48"/>
  <c r="I32" i="47"/>
  <c r="G37" i="45"/>
  <c r="J26" i="46"/>
  <c r="K31" i="45"/>
  <c r="K32" i="45" s="1"/>
  <c r="K34" i="45" s="1"/>
  <c r="K37" i="45" s="1"/>
  <c r="G33" i="45"/>
  <c r="G38" i="45" s="1"/>
  <c r="J28" i="46"/>
  <c r="J30" i="46" s="1"/>
  <c r="I16" i="63" s="1"/>
  <c r="J20" i="46"/>
  <c r="K120" i="54"/>
  <c r="M124" i="54"/>
  <c r="M129" i="54" s="1"/>
  <c r="K124" i="54"/>
  <c r="K129" i="54" s="1"/>
  <c r="K131" i="54" s="1"/>
  <c r="K132" i="54" s="1"/>
  <c r="K33" i="45"/>
  <c r="L6" i="30"/>
  <c r="M81" i="30"/>
  <c r="K47" i="30"/>
  <c r="K40" i="30"/>
  <c r="L39" i="30"/>
  <c r="L41" i="30" s="1"/>
  <c r="L22" i="30"/>
  <c r="L29" i="30" s="1"/>
  <c r="L13" i="30"/>
  <c r="K7" i="30"/>
  <c r="M25" i="30"/>
  <c r="M138" i="28"/>
  <c r="C31" i="39" s="1"/>
  <c r="D18" i="45" s="1"/>
  <c r="M130" i="28"/>
  <c r="M132" i="28"/>
  <c r="M133" i="28"/>
  <c r="M134" i="28"/>
  <c r="M123" i="28"/>
  <c r="M126" i="28" s="1"/>
  <c r="M125" i="28"/>
  <c r="M113" i="28"/>
  <c r="M115" i="28"/>
  <c r="M116" i="28"/>
  <c r="M117" i="28"/>
  <c r="M109" i="28"/>
  <c r="M105" i="28"/>
  <c r="M107" i="28"/>
  <c r="M108" i="28"/>
  <c r="M95" i="28"/>
  <c r="M100" i="28"/>
  <c r="M97" i="28"/>
  <c r="M98" i="28"/>
  <c r="M99" i="28"/>
  <c r="M87" i="28"/>
  <c r="M89" i="28"/>
  <c r="M90" i="28"/>
  <c r="M77" i="28"/>
  <c r="M79" i="28"/>
  <c r="M82" i="28" s="1"/>
  <c r="M80" i="28"/>
  <c r="M81" i="28"/>
  <c r="M73" i="28"/>
  <c r="M69" i="28"/>
  <c r="M71" i="28"/>
  <c r="M72" i="28"/>
  <c r="M59" i="28"/>
  <c r="M57" i="28"/>
  <c r="M58" i="28"/>
  <c r="M46" i="28"/>
  <c r="M47" i="28"/>
  <c r="M48" i="28"/>
  <c r="M49" i="28" s="1"/>
  <c r="M34" i="28"/>
  <c r="M35" i="28"/>
  <c r="M37" i="28"/>
  <c r="M23" i="28"/>
  <c r="M24" i="28"/>
  <c r="M26" i="28" s="1"/>
  <c r="M25" i="28"/>
  <c r="M14" i="28"/>
  <c r="M16" i="28"/>
  <c r="M10" i="28"/>
  <c r="M9" i="28"/>
  <c r="L138" i="28"/>
  <c r="H138" i="28"/>
  <c r="L128" i="28"/>
  <c r="L126" i="28"/>
  <c r="L120" i="28"/>
  <c r="L111" i="28"/>
  <c r="L102" i="28"/>
  <c r="L93" i="28"/>
  <c r="L84" i="28"/>
  <c r="L75" i="28"/>
  <c r="L65" i="28"/>
  <c r="L61" i="28"/>
  <c r="L55" i="28"/>
  <c r="L51" i="28"/>
  <c r="L44" i="28"/>
  <c r="L40" i="28"/>
  <c r="L32" i="28"/>
  <c r="L28" i="28"/>
  <c r="L6" i="28"/>
  <c r="L12" i="28"/>
  <c r="K130" i="28"/>
  <c r="K131" i="28"/>
  <c r="K132" i="28"/>
  <c r="K133" i="28"/>
  <c r="K134" i="28"/>
  <c r="K129" i="28"/>
  <c r="K122" i="28"/>
  <c r="K123" i="28"/>
  <c r="K124" i="28"/>
  <c r="K125" i="28"/>
  <c r="K126" i="28" s="1"/>
  <c r="K121" i="28"/>
  <c r="K113" i="28"/>
  <c r="K114" i="28"/>
  <c r="K115" i="28"/>
  <c r="K116" i="28"/>
  <c r="K118" i="28" s="1"/>
  <c r="K117" i="28"/>
  <c r="K112" i="28"/>
  <c r="K104" i="28"/>
  <c r="K105" i="28"/>
  <c r="K106" i="28"/>
  <c r="K107" i="28"/>
  <c r="K108" i="28"/>
  <c r="K103" i="28"/>
  <c r="K95" i="28"/>
  <c r="K96" i="28"/>
  <c r="K97" i="28"/>
  <c r="K100" i="28" s="1"/>
  <c r="K98" i="28"/>
  <c r="K99" i="28"/>
  <c r="K94" i="28"/>
  <c r="K86" i="28"/>
  <c r="K87" i="28"/>
  <c r="K88" i="28"/>
  <c r="K89" i="28"/>
  <c r="K90" i="28"/>
  <c r="K85" i="28"/>
  <c r="L82" i="28"/>
  <c r="K77" i="28"/>
  <c r="K78" i="28"/>
  <c r="K79" i="28"/>
  <c r="K80" i="28"/>
  <c r="K82" i="28" s="1"/>
  <c r="K81" i="28"/>
  <c r="K76" i="28"/>
  <c r="K73" i="28"/>
  <c r="K67" i="28"/>
  <c r="K68" i="28"/>
  <c r="K69" i="28"/>
  <c r="K70" i="28"/>
  <c r="K71" i="28"/>
  <c r="K72" i="28"/>
  <c r="K66" i="28"/>
  <c r="K62" i="28"/>
  <c r="K63" i="28" s="1"/>
  <c r="K57" i="28"/>
  <c r="K58" i="28"/>
  <c r="K56" i="28"/>
  <c r="K52" i="28"/>
  <c r="K49" i="28"/>
  <c r="L53" i="28"/>
  <c r="K46" i="28"/>
  <c r="K47" i="28"/>
  <c r="K48" i="28"/>
  <c r="K45" i="28"/>
  <c r="K41" i="28"/>
  <c r="L38" i="28"/>
  <c r="K38" i="28"/>
  <c r="K34" i="28"/>
  <c r="K35" i="28"/>
  <c r="K36" i="28"/>
  <c r="K37" i="28"/>
  <c r="K33" i="28"/>
  <c r="K29" i="28"/>
  <c r="K22" i="28"/>
  <c r="K23" i="28"/>
  <c r="K24" i="28"/>
  <c r="K25" i="28"/>
  <c r="K21" i="28"/>
  <c r="L20" i="28"/>
  <c r="K14" i="28"/>
  <c r="K15" i="28"/>
  <c r="K16" i="28"/>
  <c r="K17" i="28"/>
  <c r="K13" i="28"/>
  <c r="L10" i="28"/>
  <c r="K10" i="28"/>
  <c r="K8" i="28"/>
  <c r="K9" i="28"/>
  <c r="K7" i="28"/>
  <c r="M56" i="27"/>
  <c r="I56" i="27"/>
  <c r="I57" i="27" s="1"/>
  <c r="M54" i="27"/>
  <c r="I54" i="27"/>
  <c r="M49" i="27"/>
  <c r="M111" i="30"/>
  <c r="M112" i="30"/>
  <c r="M113" i="30"/>
  <c r="M110" i="30"/>
  <c r="M115" i="30" s="1"/>
  <c r="M47" i="27"/>
  <c r="M42" i="27"/>
  <c r="M40" i="27"/>
  <c r="M69" i="30"/>
  <c r="M70" i="30"/>
  <c r="M73" i="30" s="1"/>
  <c r="M71" i="30"/>
  <c r="M67" i="30"/>
  <c r="M54" i="30"/>
  <c r="M55" i="30"/>
  <c r="M56" i="30"/>
  <c r="M53" i="30"/>
  <c r="M34" i="27"/>
  <c r="M35" i="27"/>
  <c r="M47" i="30"/>
  <c r="M46" i="30"/>
  <c r="M32" i="27"/>
  <c r="M45" i="30"/>
  <c r="M22" i="27"/>
  <c r="M23" i="27"/>
  <c r="M24" i="27"/>
  <c r="M25" i="27"/>
  <c r="M26" i="27"/>
  <c r="M27" i="27"/>
  <c r="M34" i="30"/>
  <c r="M35" i="30"/>
  <c r="M36" i="30"/>
  <c r="M33" i="30"/>
  <c r="M17" i="30"/>
  <c r="M27" i="30"/>
  <c r="M28" i="30"/>
  <c r="M20" i="27"/>
  <c r="M9" i="27"/>
  <c r="M10" i="27"/>
  <c r="M11" i="27"/>
  <c r="M12" i="27"/>
  <c r="M13" i="27"/>
  <c r="M14" i="27"/>
  <c r="M8" i="27"/>
  <c r="K113" i="30"/>
  <c r="J87" i="30"/>
  <c r="J88" i="30"/>
  <c r="J99" i="30" s="1"/>
  <c r="J86" i="30"/>
  <c r="J97" i="30" s="1"/>
  <c r="J77" i="30"/>
  <c r="J78" i="30"/>
  <c r="J89" i="30" s="1"/>
  <c r="J79" i="30"/>
  <c r="J90" i="30" s="1"/>
  <c r="J80" i="30"/>
  <c r="J81" i="30"/>
  <c r="J82" i="30"/>
  <c r="M82" i="30" s="1"/>
  <c r="J83" i="30"/>
  <c r="J75" i="30"/>
  <c r="K70" i="30"/>
  <c r="K53" i="30"/>
  <c r="K36" i="30"/>
  <c r="K24" i="30"/>
  <c r="K25" i="30"/>
  <c r="K26" i="30"/>
  <c r="K27" i="30"/>
  <c r="K28" i="30"/>
  <c r="J23" i="30"/>
  <c r="K23" i="30" s="1"/>
  <c r="M16" i="30"/>
  <c r="M11" i="30"/>
  <c r="K14" i="30"/>
  <c r="K15" i="30"/>
  <c r="K16" i="30"/>
  <c r="K17" i="30"/>
  <c r="K18" i="30"/>
  <c r="K19" i="30"/>
  <c r="H6" i="30"/>
  <c r="K8" i="30"/>
  <c r="K9" i="30"/>
  <c r="K10" i="30"/>
  <c r="K11" i="30" s="1"/>
  <c r="G7" i="30"/>
  <c r="I8" i="30"/>
  <c r="K12" i="27"/>
  <c r="H14" i="32"/>
  <c r="J114" i="30"/>
  <c r="J72" i="30"/>
  <c r="M62" i="30"/>
  <c r="J57" i="30"/>
  <c r="J48" i="30"/>
  <c r="M49" i="30"/>
  <c r="K41" i="30"/>
  <c r="L20" i="30"/>
  <c r="L11" i="30"/>
  <c r="L135" i="28"/>
  <c r="M118" i="28"/>
  <c r="L118" i="28"/>
  <c r="L109" i="28"/>
  <c r="K109" i="28"/>
  <c r="L100" i="28"/>
  <c r="M91" i="28"/>
  <c r="K91" i="28"/>
  <c r="L91" i="28"/>
  <c r="L73" i="28"/>
  <c r="L63" i="28"/>
  <c r="L59" i="28"/>
  <c r="K59" i="28"/>
  <c r="K53" i="28"/>
  <c r="L49" i="28"/>
  <c r="L42" i="28"/>
  <c r="K42" i="28"/>
  <c r="M38" i="28"/>
  <c r="L30" i="28"/>
  <c r="K30" i="28"/>
  <c r="L26" i="28"/>
  <c r="L18" i="28"/>
  <c r="I112" i="30"/>
  <c r="I111" i="30"/>
  <c r="I110" i="30"/>
  <c r="I115" i="30" s="1"/>
  <c r="I104" i="30"/>
  <c r="I103" i="30"/>
  <c r="I102" i="30"/>
  <c r="I100" i="30"/>
  <c r="I92" i="30"/>
  <c r="I91" i="30"/>
  <c r="I89" i="30"/>
  <c r="I82" i="30"/>
  <c r="I81" i="30"/>
  <c r="I80" i="30"/>
  <c r="I78" i="30"/>
  <c r="I71" i="30"/>
  <c r="I70" i="30"/>
  <c r="I69" i="30"/>
  <c r="I67" i="30"/>
  <c r="I62" i="30"/>
  <c r="I56" i="30"/>
  <c r="I55" i="30"/>
  <c r="I54" i="30"/>
  <c r="I53" i="30"/>
  <c r="I58" i="30" s="1"/>
  <c r="I47" i="30"/>
  <c r="I46" i="30"/>
  <c r="I45" i="30"/>
  <c r="I49" i="30" s="1"/>
  <c r="I36" i="30"/>
  <c r="I35" i="30"/>
  <c r="I34" i="30"/>
  <c r="I33" i="30"/>
  <c r="I28" i="30"/>
  <c r="I27" i="30"/>
  <c r="I26" i="30"/>
  <c r="I25" i="30"/>
  <c r="I29" i="30" s="1"/>
  <c r="I17" i="30"/>
  <c r="I20" i="30" s="1"/>
  <c r="I16" i="30"/>
  <c r="I9" i="30"/>
  <c r="I11" i="30"/>
  <c r="I134" i="28"/>
  <c r="I133" i="28"/>
  <c r="I132" i="28"/>
  <c r="I130" i="28"/>
  <c r="I135" i="28" s="1"/>
  <c r="I125" i="28"/>
  <c r="I123" i="28"/>
  <c r="I117" i="28"/>
  <c r="I116" i="28"/>
  <c r="I115" i="28"/>
  <c r="I113" i="28"/>
  <c r="I108" i="28"/>
  <c r="I107" i="28"/>
  <c r="I105" i="28"/>
  <c r="I99" i="28"/>
  <c r="I98" i="28"/>
  <c r="I97" i="28"/>
  <c r="I95" i="28"/>
  <c r="I90" i="28"/>
  <c r="I89" i="28"/>
  <c r="I87" i="28"/>
  <c r="I81" i="28"/>
  <c r="I80" i="28"/>
  <c r="I79" i="28"/>
  <c r="I77" i="28"/>
  <c r="I82" i="28" s="1"/>
  <c r="I72" i="28"/>
  <c r="I71" i="28"/>
  <c r="I69" i="28"/>
  <c r="I58" i="28"/>
  <c r="I57" i="28"/>
  <c r="I48" i="28"/>
  <c r="I47" i="28"/>
  <c r="I46" i="28"/>
  <c r="I49" i="28" s="1"/>
  <c r="I37" i="28"/>
  <c r="I35" i="28"/>
  <c r="I34" i="28"/>
  <c r="I25" i="28"/>
  <c r="I24" i="28"/>
  <c r="I23" i="28"/>
  <c r="I16" i="28"/>
  <c r="I14" i="28"/>
  <c r="I18" i="28" s="1"/>
  <c r="I9" i="28"/>
  <c r="I8" i="28"/>
  <c r="I10" i="28" s="1"/>
  <c r="I49" i="27"/>
  <c r="I47" i="27"/>
  <c r="I50" i="27" s="1"/>
  <c r="I42" i="27"/>
  <c r="I40" i="27"/>
  <c r="I35" i="27"/>
  <c r="I34" i="27"/>
  <c r="I32" i="27"/>
  <c r="I25" i="27"/>
  <c r="I24" i="27"/>
  <c r="I23" i="27"/>
  <c r="I22" i="27"/>
  <c r="I20" i="27"/>
  <c r="I12" i="27"/>
  <c r="I11" i="27"/>
  <c r="I10" i="27"/>
  <c r="I9" i="27"/>
  <c r="I8" i="27"/>
  <c r="C19" i="46" l="1"/>
  <c r="C28" i="46" s="1"/>
  <c r="C30" i="46" s="1"/>
  <c r="C55" i="46" s="1"/>
  <c r="I15" i="63" s="1"/>
  <c r="E12" i="63"/>
  <c r="C38" i="44"/>
  <c r="C36" i="44"/>
  <c r="E16" i="63"/>
  <c r="K38" i="45"/>
  <c r="M131" i="54"/>
  <c r="M132" i="54" s="1"/>
  <c r="C53" i="39" s="1"/>
  <c r="D19" i="45" s="1"/>
  <c r="M43" i="27"/>
  <c r="M57" i="27"/>
  <c r="E13" i="63"/>
  <c r="E14" i="63"/>
  <c r="C20" i="46"/>
  <c r="M89" i="30"/>
  <c r="J100" i="30"/>
  <c r="J94" i="30"/>
  <c r="M37" i="30"/>
  <c r="J93" i="30"/>
  <c r="M78" i="30"/>
  <c r="M84" i="30" s="1"/>
  <c r="M80" i="30"/>
  <c r="C45" i="39"/>
  <c r="G49" i="39"/>
  <c r="I10" i="47" s="1"/>
  <c r="D18" i="44"/>
  <c r="K135" i="28"/>
  <c r="K137" i="28" s="1"/>
  <c r="G27" i="39" s="1"/>
  <c r="C10" i="47" s="1"/>
  <c r="K26" i="28"/>
  <c r="J91" i="30"/>
  <c r="M91" i="30" s="1"/>
  <c r="J101" i="30"/>
  <c r="M18" i="28"/>
  <c r="K18" i="28"/>
  <c r="J92" i="30"/>
  <c r="M92" i="30" s="1"/>
  <c r="I43" i="27"/>
  <c r="M50" i="27"/>
  <c r="M58" i="30"/>
  <c r="K29" i="30"/>
  <c r="M29" i="30"/>
  <c r="K20" i="30"/>
  <c r="M20" i="30"/>
  <c r="M36" i="27"/>
  <c r="M28" i="27"/>
  <c r="M15" i="27"/>
  <c r="M60" i="27" s="1"/>
  <c r="C11" i="39" s="1"/>
  <c r="D17" i="45" s="1"/>
  <c r="L137" i="28"/>
  <c r="I59" i="28"/>
  <c r="I100" i="28"/>
  <c r="I109" i="28"/>
  <c r="I126" i="28"/>
  <c r="I36" i="27"/>
  <c r="I73" i="28"/>
  <c r="I91" i="28"/>
  <c r="I95" i="30"/>
  <c r="I106" i="30"/>
  <c r="I26" i="28"/>
  <c r="I118" i="28"/>
  <c r="I37" i="30"/>
  <c r="I73" i="30"/>
  <c r="I84" i="30"/>
  <c r="I38" i="28"/>
  <c r="H39" i="30"/>
  <c r="H22" i="30"/>
  <c r="H13" i="30"/>
  <c r="H20" i="30" s="1"/>
  <c r="H128" i="28"/>
  <c r="H120" i="28"/>
  <c r="H111" i="28"/>
  <c r="H102" i="28"/>
  <c r="H93" i="28"/>
  <c r="H84" i="28"/>
  <c r="H75" i="28"/>
  <c r="H65" i="28"/>
  <c r="H61" i="28"/>
  <c r="H55" i="28"/>
  <c r="H51" i="28"/>
  <c r="H44" i="28"/>
  <c r="H40" i="28"/>
  <c r="H32" i="28"/>
  <c r="H28" i="28"/>
  <c r="H20" i="28"/>
  <c r="H12" i="28"/>
  <c r="H6" i="28"/>
  <c r="G134" i="28"/>
  <c r="G133" i="28"/>
  <c r="G132" i="28"/>
  <c r="G131" i="28"/>
  <c r="G130" i="28"/>
  <c r="G129" i="28"/>
  <c r="G125" i="28"/>
  <c r="G124" i="28"/>
  <c r="G123" i="28"/>
  <c r="G122" i="28"/>
  <c r="G121" i="28"/>
  <c r="G117" i="28"/>
  <c r="G116" i="28"/>
  <c r="G115" i="28"/>
  <c r="G114" i="28"/>
  <c r="G113" i="28"/>
  <c r="G112" i="28"/>
  <c r="G108" i="28"/>
  <c r="G107" i="28"/>
  <c r="G106" i="28"/>
  <c r="G105" i="28"/>
  <c r="G104" i="28"/>
  <c r="G103" i="28"/>
  <c r="G99" i="28"/>
  <c r="G98" i="28"/>
  <c r="G97" i="28"/>
  <c r="G96" i="28"/>
  <c r="G95" i="28"/>
  <c r="G94" i="28"/>
  <c r="G90" i="28"/>
  <c r="G89" i="28"/>
  <c r="G88" i="28"/>
  <c r="G87" i="28"/>
  <c r="G86" i="28"/>
  <c r="G85" i="28"/>
  <c r="G81" i="28"/>
  <c r="G80" i="28"/>
  <c r="G79" i="28"/>
  <c r="G78" i="28"/>
  <c r="G77" i="28"/>
  <c r="G76" i="28"/>
  <c r="G72" i="28"/>
  <c r="G71" i="28"/>
  <c r="G70" i="28"/>
  <c r="G69" i="28"/>
  <c r="G68" i="28"/>
  <c r="G67" i="28"/>
  <c r="G66" i="28"/>
  <c r="G62" i="28"/>
  <c r="G63" i="28" s="1"/>
  <c r="G58" i="28"/>
  <c r="G57" i="28"/>
  <c r="G56" i="28"/>
  <c r="G52" i="28"/>
  <c r="G48" i="28"/>
  <c r="G47" i="28"/>
  <c r="G46" i="28"/>
  <c r="G45" i="28"/>
  <c r="G41" i="28"/>
  <c r="G37" i="28"/>
  <c r="G36" i="28"/>
  <c r="G35" i="28"/>
  <c r="G34" i="28"/>
  <c r="G33" i="28"/>
  <c r="G29" i="28"/>
  <c r="G25" i="28"/>
  <c r="G24" i="28"/>
  <c r="G23" i="28"/>
  <c r="G22" i="28"/>
  <c r="G21" i="28"/>
  <c r="G17" i="28"/>
  <c r="G16" i="28"/>
  <c r="G15" i="28"/>
  <c r="G14" i="28"/>
  <c r="G13" i="28"/>
  <c r="G9" i="28"/>
  <c r="G8" i="28"/>
  <c r="G7" i="28"/>
  <c r="G28" i="30"/>
  <c r="G27" i="30"/>
  <c r="G26" i="30"/>
  <c r="G25" i="30"/>
  <c r="G24" i="30"/>
  <c r="G23" i="30"/>
  <c r="G19" i="30"/>
  <c r="G18" i="30"/>
  <c r="G17" i="30"/>
  <c r="G16" i="30"/>
  <c r="G15" i="30"/>
  <c r="G14" i="30"/>
  <c r="G10" i="30"/>
  <c r="G9" i="30"/>
  <c r="G8" i="30"/>
  <c r="H11" i="30"/>
  <c r="B41" i="44" l="1"/>
  <c r="B43" i="44" s="1"/>
  <c r="B45" i="44" s="1"/>
  <c r="D40" i="57" s="1"/>
  <c r="D42" i="57" s="1"/>
  <c r="C37" i="44"/>
  <c r="E15" i="63"/>
  <c r="M93" i="30"/>
  <c r="M95" i="30" s="1"/>
  <c r="J104" i="30"/>
  <c r="J105" i="30"/>
  <c r="I118" i="30"/>
  <c r="K100" i="30"/>
  <c r="M100" i="30"/>
  <c r="D17" i="44"/>
  <c r="D98" i="48"/>
  <c r="K136" i="28"/>
  <c r="K138" i="28"/>
  <c r="C23" i="39" s="1"/>
  <c r="D78" i="48" s="1"/>
  <c r="J102" i="30"/>
  <c r="J103" i="30"/>
  <c r="H29" i="30"/>
  <c r="H53" i="28"/>
  <c r="H10" i="28"/>
  <c r="H42" i="28"/>
  <c r="H49" i="28"/>
  <c r="H109" i="28"/>
  <c r="H82" i="28"/>
  <c r="G30" i="28"/>
  <c r="H26" i="28"/>
  <c r="G126" i="28"/>
  <c r="H100" i="28"/>
  <c r="H126" i="28"/>
  <c r="H63" i="28"/>
  <c r="H18" i="28"/>
  <c r="H91" i="28"/>
  <c r="H118" i="28"/>
  <c r="H38" i="28"/>
  <c r="H73" i="28"/>
  <c r="H135" i="28"/>
  <c r="H59" i="28"/>
  <c r="G135" i="28"/>
  <c r="H30" i="28"/>
  <c r="G59" i="28"/>
  <c r="G91" i="28"/>
  <c r="G100" i="28"/>
  <c r="G118" i="28"/>
  <c r="G73" i="28"/>
  <c r="G53" i="28"/>
  <c r="G18" i="28"/>
  <c r="G109" i="28"/>
  <c r="G49" i="28"/>
  <c r="G82" i="28"/>
  <c r="G38" i="28"/>
  <c r="G26" i="28"/>
  <c r="G10" i="28"/>
  <c r="G42" i="28"/>
  <c r="G29" i="30"/>
  <c r="G20" i="30"/>
  <c r="G11" i="30"/>
  <c r="E11" i="63" l="1"/>
  <c r="D45" i="57"/>
  <c r="D48" i="57" s="1"/>
  <c r="D44" i="57"/>
  <c r="D47" i="57" s="1"/>
  <c r="M104" i="30"/>
  <c r="G137" i="28"/>
  <c r="C18" i="44"/>
  <c r="C18" i="45"/>
  <c r="G136" i="28"/>
  <c r="G138" i="28"/>
  <c r="M102" i="30"/>
  <c r="M106" i="30" s="1"/>
  <c r="M118" i="30" s="1"/>
  <c r="C74" i="39" s="1"/>
  <c r="D20" i="45" s="1"/>
  <c r="M103" i="30"/>
  <c r="D20" i="44" l="1"/>
  <c r="D19" i="44"/>
  <c r="D33" i="30"/>
  <c r="K33" i="30" s="1"/>
  <c r="D32" i="30"/>
  <c r="K32" i="30" s="1"/>
  <c r="D31" i="30"/>
  <c r="D34" i="30"/>
  <c r="D35" i="30"/>
  <c r="G36" i="30"/>
  <c r="G32" i="30"/>
  <c r="G40" i="30"/>
  <c r="H41" i="30"/>
  <c r="D44" i="30"/>
  <c r="D43" i="30"/>
  <c r="D45" i="30"/>
  <c r="G47" i="30"/>
  <c r="D46" i="30"/>
  <c r="D48" i="30"/>
  <c r="K48" i="30" s="1"/>
  <c r="F48" i="30"/>
  <c r="D54" i="30"/>
  <c r="G53" i="30"/>
  <c r="D52" i="30"/>
  <c r="D51" i="30"/>
  <c r="D55" i="30"/>
  <c r="D56" i="30"/>
  <c r="D57" i="30"/>
  <c r="D61" i="30"/>
  <c r="D60" i="30"/>
  <c r="F57" i="30"/>
  <c r="D66" i="30"/>
  <c r="D64" i="30"/>
  <c r="D71" i="30"/>
  <c r="D67" i="30"/>
  <c r="D69" i="30"/>
  <c r="D72" i="30"/>
  <c r="G70" i="30"/>
  <c r="D68" i="30"/>
  <c r="D65" i="30"/>
  <c r="F72" i="30"/>
  <c r="F65" i="30"/>
  <c r="D77" i="30"/>
  <c r="D78" i="30"/>
  <c r="D75" i="30"/>
  <c r="D82" i="30"/>
  <c r="D80" i="30"/>
  <c r="D83" i="30"/>
  <c r="D81" i="30"/>
  <c r="D76" i="30"/>
  <c r="D79" i="30"/>
  <c r="D111" i="30"/>
  <c r="F83" i="30"/>
  <c r="F76" i="30"/>
  <c r="D89" i="30"/>
  <c r="D86" i="30"/>
  <c r="D88" i="30"/>
  <c r="D93" i="30"/>
  <c r="D94" i="30"/>
  <c r="D91" i="30"/>
  <c r="D92" i="30"/>
  <c r="D87" i="30"/>
  <c r="D90" i="30"/>
  <c r="F94" i="30"/>
  <c r="F87" i="30"/>
  <c r="G100" i="30"/>
  <c r="D99" i="30"/>
  <c r="D97" i="30"/>
  <c r="D102" i="30"/>
  <c r="D104" i="30"/>
  <c r="D105" i="30"/>
  <c r="D103" i="30"/>
  <c r="D98" i="30"/>
  <c r="D101" i="30"/>
  <c r="F105" i="30"/>
  <c r="F98" i="30"/>
  <c r="D109" i="30"/>
  <c r="K109" i="30" s="1"/>
  <c r="D110" i="30"/>
  <c r="D108" i="30"/>
  <c r="D114" i="30"/>
  <c r="D112" i="30"/>
  <c r="K112" i="30" s="1"/>
  <c r="D14" i="32"/>
  <c r="I14" i="32" s="1"/>
  <c r="D13" i="32"/>
  <c r="I13" i="32" s="1"/>
  <c r="D12" i="32"/>
  <c r="D11" i="32"/>
  <c r="D10" i="32"/>
  <c r="E14" i="32"/>
  <c r="F13" i="32"/>
  <c r="D7" i="32"/>
  <c r="D6" i="32"/>
  <c r="J6" i="32" s="1"/>
  <c r="J8" i="32" s="1"/>
  <c r="F7" i="32" l="1"/>
  <c r="I7" i="32"/>
  <c r="I8" i="32" s="1"/>
  <c r="F12" i="32"/>
  <c r="I12" i="32"/>
  <c r="G10" i="32"/>
  <c r="J10" i="32"/>
  <c r="J15" i="32" s="1"/>
  <c r="J16" i="32" s="1"/>
  <c r="C112" i="39" s="1"/>
  <c r="C56" i="45" s="1"/>
  <c r="F11" i="32"/>
  <c r="I11" i="32"/>
  <c r="G99" i="30"/>
  <c r="K99" i="30"/>
  <c r="G90" i="30"/>
  <c r="K90" i="30"/>
  <c r="K94" i="30"/>
  <c r="G79" i="30"/>
  <c r="K79" i="30"/>
  <c r="G80" i="30"/>
  <c r="K80" i="30"/>
  <c r="G68" i="30"/>
  <c r="K68" i="30"/>
  <c r="G44" i="30"/>
  <c r="K44" i="30"/>
  <c r="K35" i="30"/>
  <c r="K37" i="30" s="1"/>
  <c r="G101" i="30"/>
  <c r="K101" i="30"/>
  <c r="G33" i="30"/>
  <c r="G37" i="30" s="1"/>
  <c r="K98" i="30"/>
  <c r="G102" i="30"/>
  <c r="K102" i="30"/>
  <c r="G92" i="30"/>
  <c r="K92" i="30"/>
  <c r="G88" i="30"/>
  <c r="K88" i="30"/>
  <c r="G81" i="30"/>
  <c r="K81" i="30"/>
  <c r="K84" i="30" s="1"/>
  <c r="H75" i="30"/>
  <c r="L75" i="30"/>
  <c r="L84" i="30" s="1"/>
  <c r="K72" i="30"/>
  <c r="H64" i="30"/>
  <c r="L64" i="30"/>
  <c r="L73" i="30" s="1"/>
  <c r="G61" i="30"/>
  <c r="K61" i="30"/>
  <c r="K62" i="30" s="1"/>
  <c r="H51" i="30"/>
  <c r="L51" i="30"/>
  <c r="L58" i="30" s="1"/>
  <c r="G45" i="30"/>
  <c r="K45" i="30"/>
  <c r="G35" i="30"/>
  <c r="H31" i="30"/>
  <c r="H37" i="30" s="1"/>
  <c r="L31" i="30"/>
  <c r="L37" i="30" s="1"/>
  <c r="H108" i="30"/>
  <c r="L108" i="30"/>
  <c r="L115" i="30" s="1"/>
  <c r="K105" i="30"/>
  <c r="G89" i="30"/>
  <c r="K89" i="30"/>
  <c r="G77" i="30"/>
  <c r="K77" i="30"/>
  <c r="G67" i="30"/>
  <c r="K67" i="30"/>
  <c r="G56" i="30"/>
  <c r="K56" i="30"/>
  <c r="G46" i="30"/>
  <c r="K46" i="30"/>
  <c r="K110" i="30"/>
  <c r="K115" i="30" s="1"/>
  <c r="G104" i="30"/>
  <c r="K104" i="30"/>
  <c r="K87" i="30"/>
  <c r="G93" i="30"/>
  <c r="K93" i="30"/>
  <c r="K76" i="30"/>
  <c r="G82" i="30"/>
  <c r="K82" i="30"/>
  <c r="G71" i="30"/>
  <c r="K71" i="30"/>
  <c r="L60" i="30"/>
  <c r="L62" i="30" s="1"/>
  <c r="G55" i="30"/>
  <c r="K55" i="30"/>
  <c r="G54" i="30"/>
  <c r="K54" i="30"/>
  <c r="G34" i="30"/>
  <c r="K34" i="30"/>
  <c r="K114" i="30"/>
  <c r="G103" i="30"/>
  <c r="K103" i="30"/>
  <c r="H97" i="30"/>
  <c r="L97" i="30"/>
  <c r="L106" i="30" s="1"/>
  <c r="G91" i="30"/>
  <c r="K91" i="30"/>
  <c r="H86" i="30"/>
  <c r="L86" i="30"/>
  <c r="L95" i="30" s="1"/>
  <c r="K111" i="30"/>
  <c r="K83" i="30"/>
  <c r="G78" i="30"/>
  <c r="K78" i="30"/>
  <c r="K65" i="30"/>
  <c r="G69" i="30"/>
  <c r="K69" i="30"/>
  <c r="G66" i="30"/>
  <c r="K66" i="30"/>
  <c r="K57" i="30"/>
  <c r="G52" i="30"/>
  <c r="K52" i="30"/>
  <c r="K58" i="30" s="1"/>
  <c r="H43" i="30"/>
  <c r="L43" i="30"/>
  <c r="L49" i="30" s="1"/>
  <c r="G6" i="32"/>
  <c r="G8" i="32" s="1"/>
  <c r="F14" i="32"/>
  <c r="G15" i="32"/>
  <c r="H60" i="30"/>
  <c r="H62" i="30" s="1"/>
  <c r="G48" i="30"/>
  <c r="G49" i="30" s="1"/>
  <c r="G57" i="30"/>
  <c r="G83" i="30"/>
  <c r="G105" i="30"/>
  <c r="G94" i="30"/>
  <c r="G41" i="30"/>
  <c r="G72" i="30"/>
  <c r="G62" i="30"/>
  <c r="G65" i="30"/>
  <c r="H73" i="30" s="1"/>
  <c r="G76" i="30"/>
  <c r="G87" i="30"/>
  <c r="G98" i="30"/>
  <c r="F8" i="32"/>
  <c r="F15" i="32"/>
  <c r="F114" i="30"/>
  <c r="G114" i="30"/>
  <c r="G113" i="30"/>
  <c r="G112" i="30"/>
  <c r="G111" i="30"/>
  <c r="G110" i="30"/>
  <c r="G109" i="30"/>
  <c r="D53" i="27"/>
  <c r="D52" i="27"/>
  <c r="D54" i="27"/>
  <c r="D55" i="27"/>
  <c r="D56" i="27"/>
  <c r="D46" i="27"/>
  <c r="D45" i="27"/>
  <c r="D47" i="27"/>
  <c r="D48" i="27"/>
  <c r="D49" i="27"/>
  <c r="D40" i="27"/>
  <c r="D39" i="27"/>
  <c r="D38" i="27"/>
  <c r="D42" i="27"/>
  <c r="D33" i="27"/>
  <c r="D41" i="27"/>
  <c r="D32" i="27"/>
  <c r="D31" i="27"/>
  <c r="D30" i="27"/>
  <c r="D34" i="27"/>
  <c r="D35" i="27"/>
  <c r="D25" i="27"/>
  <c r="D24" i="27"/>
  <c r="D19" i="27"/>
  <c r="D17" i="27"/>
  <c r="D20" i="27"/>
  <c r="D18" i="27"/>
  <c r="D22" i="27"/>
  <c r="D8" i="27"/>
  <c r="D23" i="27"/>
  <c r="D21" i="27"/>
  <c r="F18" i="27"/>
  <c r="K26" i="27"/>
  <c r="D27" i="27"/>
  <c r="F27" i="27"/>
  <c r="I27" i="27" s="1"/>
  <c r="F26" i="27"/>
  <c r="I26" i="27" s="1"/>
  <c r="D7" i="27"/>
  <c r="K7" i="27" s="1"/>
  <c r="D6" i="27"/>
  <c r="H6" i="27" s="1"/>
  <c r="D11" i="27"/>
  <c r="D9" i="27"/>
  <c r="D14" i="27"/>
  <c r="F14" i="27"/>
  <c r="I14" i="27" s="1"/>
  <c r="F13" i="27"/>
  <c r="I13" i="27" s="1"/>
  <c r="D13" i="27"/>
  <c r="G12" i="27"/>
  <c r="D10" i="27"/>
  <c r="D13" i="31"/>
  <c r="D12" i="31"/>
  <c r="D11" i="31"/>
  <c r="D14" i="31"/>
  <c r="D8" i="31"/>
  <c r="D7" i="31"/>
  <c r="D6" i="31"/>
  <c r="D15" i="31"/>
  <c r="P50" i="48" l="1"/>
  <c r="C54" i="44"/>
  <c r="I15" i="32"/>
  <c r="I16" i="32" s="1"/>
  <c r="C108" i="39" s="1"/>
  <c r="G6" i="31"/>
  <c r="J6" i="31"/>
  <c r="J9" i="31" s="1"/>
  <c r="G11" i="31"/>
  <c r="J11" i="31"/>
  <c r="J16" i="31" s="1"/>
  <c r="F15" i="31"/>
  <c r="I15" i="31"/>
  <c r="I7" i="31"/>
  <c r="F7" i="31"/>
  <c r="F9" i="31" s="1"/>
  <c r="F12" i="31"/>
  <c r="I12" i="31"/>
  <c r="F14" i="31"/>
  <c r="I14" i="31"/>
  <c r="F8" i="31"/>
  <c r="I8" i="31"/>
  <c r="F13" i="31"/>
  <c r="I13" i="31"/>
  <c r="G58" i="30"/>
  <c r="G116" i="30" s="1"/>
  <c r="K49" i="30"/>
  <c r="K116" i="30" s="1"/>
  <c r="G66" i="39" s="1"/>
  <c r="J88" i="48" s="1"/>
  <c r="K73" i="30"/>
  <c r="L118" i="30"/>
  <c r="C70" i="39" s="1"/>
  <c r="C54" i="45" s="1"/>
  <c r="L116" i="30"/>
  <c r="G74" i="39" s="1"/>
  <c r="J120" i="48" s="1"/>
  <c r="L117" i="30"/>
  <c r="G78" i="39" s="1"/>
  <c r="K106" i="30"/>
  <c r="K117" i="30" s="1"/>
  <c r="G70" i="39" s="1"/>
  <c r="O10" i="47" s="1"/>
  <c r="K95" i="30"/>
  <c r="K27" i="27"/>
  <c r="K14" i="27"/>
  <c r="H17" i="27"/>
  <c r="G48" i="27"/>
  <c r="K48" i="27"/>
  <c r="K13" i="27"/>
  <c r="G41" i="27"/>
  <c r="K41" i="27"/>
  <c r="G55" i="27"/>
  <c r="K55" i="27"/>
  <c r="G21" i="27"/>
  <c r="K21" i="27"/>
  <c r="K18" i="27"/>
  <c r="G33" i="27"/>
  <c r="K33" i="27"/>
  <c r="L52" i="27"/>
  <c r="L57" i="27" s="1"/>
  <c r="H52" i="27"/>
  <c r="G56" i="27"/>
  <c r="K56" i="27"/>
  <c r="G9" i="27"/>
  <c r="K9" i="27"/>
  <c r="G22" i="27"/>
  <c r="K22" i="27"/>
  <c r="G19" i="27"/>
  <c r="K19" i="27"/>
  <c r="G34" i="27"/>
  <c r="K34" i="27"/>
  <c r="G39" i="27"/>
  <c r="K39" i="27"/>
  <c r="G47" i="27"/>
  <c r="K47" i="27"/>
  <c r="G32" i="27"/>
  <c r="K32" i="27"/>
  <c r="G53" i="27"/>
  <c r="K53" i="27"/>
  <c r="G11" i="27"/>
  <c r="K11" i="27"/>
  <c r="G24" i="27"/>
  <c r="K24" i="27"/>
  <c r="H30" i="27"/>
  <c r="H36" i="27" s="1"/>
  <c r="L30" i="27"/>
  <c r="L36" i="27" s="1"/>
  <c r="G40" i="27"/>
  <c r="K40" i="27"/>
  <c r="H45" i="27"/>
  <c r="H50" i="27" s="1"/>
  <c r="L45" i="27"/>
  <c r="L50" i="27" s="1"/>
  <c r="G54" i="27"/>
  <c r="K54" i="27"/>
  <c r="G8" i="27"/>
  <c r="K8" i="27"/>
  <c r="L17" i="27"/>
  <c r="L28" i="27" s="1"/>
  <c r="G35" i="27"/>
  <c r="K35" i="27"/>
  <c r="H38" i="27"/>
  <c r="L38" i="27"/>
  <c r="L43" i="27" s="1"/>
  <c r="G10" i="27"/>
  <c r="K10" i="27"/>
  <c r="L6" i="27"/>
  <c r="L15" i="27" s="1"/>
  <c r="L58" i="27" s="1"/>
  <c r="G23" i="27"/>
  <c r="K23" i="27"/>
  <c r="G20" i="27"/>
  <c r="K20" i="27"/>
  <c r="G25" i="27"/>
  <c r="K25" i="27"/>
  <c r="G31" i="27"/>
  <c r="G36" i="27" s="1"/>
  <c r="K31" i="27"/>
  <c r="G42" i="27"/>
  <c r="K42" i="27"/>
  <c r="G49" i="27"/>
  <c r="G50" i="27" s="1"/>
  <c r="K49" i="27"/>
  <c r="G46" i="27"/>
  <c r="K46" i="27"/>
  <c r="I15" i="27"/>
  <c r="I60" i="27" s="1"/>
  <c r="G73" i="30"/>
  <c r="G7" i="27"/>
  <c r="I28" i="27"/>
  <c r="G16" i="32"/>
  <c r="F16" i="32"/>
  <c r="G9" i="31"/>
  <c r="G16" i="31"/>
  <c r="G84" i="30"/>
  <c r="H106" i="30"/>
  <c r="H84" i="30"/>
  <c r="G95" i="30"/>
  <c r="H49" i="30"/>
  <c r="H115" i="30"/>
  <c r="G106" i="30"/>
  <c r="H58" i="30"/>
  <c r="H95" i="30"/>
  <c r="H43" i="27"/>
  <c r="G27" i="27"/>
  <c r="G115" i="30"/>
  <c r="G18" i="27"/>
  <c r="G14" i="27"/>
  <c r="G26" i="27"/>
  <c r="G13" i="27"/>
  <c r="F16" i="31"/>
  <c r="J130" i="48" l="1"/>
  <c r="O32" i="47"/>
  <c r="C22" i="44"/>
  <c r="P38" i="48"/>
  <c r="C22" i="45"/>
  <c r="I9" i="31"/>
  <c r="I17" i="31" s="1"/>
  <c r="C88" i="39" s="1"/>
  <c r="F17" i="31"/>
  <c r="I16" i="31"/>
  <c r="J17" i="31"/>
  <c r="C92" i="39" s="1"/>
  <c r="C55" i="45" s="1"/>
  <c r="J98" i="48"/>
  <c r="C66" i="39"/>
  <c r="J110" i="48"/>
  <c r="C52" i="44"/>
  <c r="L59" i="27"/>
  <c r="G15" i="39" s="1"/>
  <c r="D66" i="48" s="1"/>
  <c r="G11" i="39"/>
  <c r="D56" i="48" s="1"/>
  <c r="K50" i="27"/>
  <c r="K57" i="27"/>
  <c r="K28" i="27"/>
  <c r="G43" i="27"/>
  <c r="K15" i="27"/>
  <c r="G15" i="27"/>
  <c r="K43" i="27"/>
  <c r="K36" i="27"/>
  <c r="G57" i="27"/>
  <c r="G59" i="27" s="1"/>
  <c r="G28" i="27"/>
  <c r="H57" i="27"/>
  <c r="H59" i="27" s="1"/>
  <c r="G17" i="31"/>
  <c r="H117" i="30"/>
  <c r="H116" i="30"/>
  <c r="H118" i="30"/>
  <c r="H28" i="27"/>
  <c r="H15" i="27"/>
  <c r="G117" i="30"/>
  <c r="G118" i="30"/>
  <c r="L60" i="27" l="1"/>
  <c r="C7" i="39" s="1"/>
  <c r="C51" i="45" s="1"/>
  <c r="P26" i="48"/>
  <c r="C53" i="44"/>
  <c r="P14" i="48"/>
  <c r="C21" i="45"/>
  <c r="C21" i="44"/>
  <c r="J78" i="48"/>
  <c r="C20" i="44"/>
  <c r="C20" i="45"/>
  <c r="K59" i="27"/>
  <c r="G7" i="39" s="1"/>
  <c r="D34" i="48" s="1"/>
  <c r="K58" i="27"/>
  <c r="J34" i="48"/>
  <c r="G60" i="27"/>
  <c r="G58" i="27"/>
  <c r="H60" i="27"/>
  <c r="H58" i="27"/>
  <c r="C49" i="44" l="1"/>
  <c r="C55" i="44" s="1"/>
  <c r="D46" i="48"/>
  <c r="G3" i="39"/>
  <c r="D24" i="48" s="1"/>
  <c r="K60" i="27"/>
  <c r="C3" i="39" s="1"/>
  <c r="D14" i="48" s="1"/>
  <c r="J14" i="48"/>
  <c r="C59" i="44"/>
  <c r="B64" i="44" s="1"/>
  <c r="B66" i="44" s="1"/>
  <c r="B68" i="44" s="1"/>
  <c r="E29" i="63" s="1"/>
  <c r="C19" i="44"/>
  <c r="C19" i="45"/>
  <c r="C60" i="44" l="1"/>
  <c r="C17" i="44"/>
  <c r="C17" i="4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tc={66EF72FC-97ED-41BE-99FE-C32FA76F0445}</author>
    <author>tc={365F4EED-40FA-4D74-9DAE-FDDC2F077787}</author>
    <author>tc={42FE2026-1A84-4B38-B1A5-0060DD44ADBB}</author>
  </authors>
  <commentList>
    <comment ref="D23" authorId="0" shapeId="0" xr:uid="{66EF72FC-97ED-41BE-99FE-C32FA76F0445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Dari 18
</t>
      </text>
    </comment>
    <comment ref="D132" authorId="1" shapeId="0" xr:uid="{365F4EED-40FA-4D74-9DAE-FDDC2F077787}">
      <text>
        <t>[Threaded comment]
Your version of Excel allows you to read this threaded comment; however, any edits to it will get removed if the file is opened in a newer version of Excel. Learn more: https://go.microsoft.com/fwlink/?linkid=870924
Comment:
    Dari 2</t>
      </text>
    </comment>
    <comment ref="D133" authorId="2" shapeId="0" xr:uid="{42FE2026-1A84-4B38-B1A5-0060DD44ADBB}">
      <text>
        <t>[Threaded comment]
Your version of Excel allows you to read this threaded comment; however, any edits to it will get removed if the file is opened in a newer version of Excel. Learn more: https://go.microsoft.com/fwlink/?linkid=870924
Comment:
    Dari 1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tc={77DF8730-A6DC-463F-969A-9CB58091B520}</author>
    <author>tc={3C7B0757-F440-4EE7-80C0-23CADD43401C}</author>
    <author>tc={31C63BA1-3C02-47ED-9F22-F85466D2D3D0}</author>
  </authors>
  <commentList>
    <comment ref="D23" authorId="0" shapeId="0" xr:uid="{77DF8730-A6DC-463F-969A-9CB58091B52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Dari 18
</t>
      </text>
    </comment>
    <comment ref="D132" authorId="1" shapeId="0" xr:uid="{3C7B0757-F440-4EE7-80C0-23CADD43401C}">
      <text>
        <t>[Threaded comment]
Your version of Excel allows you to read this threaded comment; however, any edits to it will get removed if the file is opened in a newer version of Excel. Learn more: https://go.microsoft.com/fwlink/?linkid=870924
Comment:
    Dari 2</t>
      </text>
    </comment>
    <comment ref="D133" authorId="2" shapeId="0" xr:uid="{31C63BA1-3C02-47ED-9F22-F85466D2D3D0}">
      <text>
        <t>[Threaded comment]
Your version of Excel allows you to read this threaded comment; however, any edits to it will get removed if the file is opened in a newer version of Excel. Learn more: https://go.microsoft.com/fwlink/?linkid=870924
Comment:
    Dari 1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tc={2695BC6D-6634-4B6B-A72F-C46BE0E386CD}</author>
    <author>tc={38A988ED-63C8-48A9-B396-F7E7EF36E354}</author>
  </authors>
  <commentList>
    <comment ref="J25" authorId="0" shapeId="0" xr:uid="{2695BC6D-6634-4B6B-A72F-C46BE0E386C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Dari 18
</t>
      </text>
    </comment>
    <comment ref="J104" authorId="1" shapeId="0" xr:uid="{38A988ED-63C8-48A9-B396-F7E7EF36E354}">
      <text>
        <t>[Threaded comment]
Your version of Excel allows you to read this threaded comment; however, any edits to it will get removed if the file is opened in a newer version of Excel. Learn more: https://go.microsoft.com/fwlink/?linkid=870924
Comment:
    Dari 1</t>
      </text>
    </comment>
  </commentList>
</comments>
</file>

<file path=xl/sharedStrings.xml><?xml version="1.0" encoding="utf-8"?>
<sst xmlns="http://schemas.openxmlformats.org/spreadsheetml/2006/main" count="5459" uniqueCount="695">
  <si>
    <t>A.</t>
  </si>
  <si>
    <t>TOTAL</t>
  </si>
  <si>
    <t>No</t>
  </si>
  <si>
    <t>Bak Cuci Piring</t>
  </si>
  <si>
    <t>Bak Cuci Tangan</t>
  </si>
  <si>
    <t>Kloset Tangki Gelontor</t>
  </si>
  <si>
    <t>Unit Beban Alat Plumbing</t>
  </si>
  <si>
    <t>Jumlah Alat Plumbing</t>
  </si>
  <si>
    <t>Nama Alat Plumbing</t>
  </si>
  <si>
    <t>Keran</t>
  </si>
  <si>
    <t>Shower</t>
  </si>
  <si>
    <t>LANTAI 1</t>
  </si>
  <si>
    <t>TOTAL LANTAI 1</t>
  </si>
  <si>
    <t>LANTAI BASEMENT</t>
  </si>
  <si>
    <t>TOTAL LANTAI BASEMENT</t>
  </si>
  <si>
    <t>Kran</t>
  </si>
  <si>
    <t>Peturasan Katup Gelontor</t>
  </si>
  <si>
    <t>LANTAI 2</t>
  </si>
  <si>
    <t>TOTAL LANTAI 2</t>
  </si>
  <si>
    <t>Sink Kran Klinik</t>
  </si>
  <si>
    <t>Scrub</t>
  </si>
  <si>
    <t>Bak Pel</t>
  </si>
  <si>
    <t>Sink Lab</t>
  </si>
  <si>
    <t>Sink Cuci Muka</t>
  </si>
  <si>
    <t>Kloset Katup Gelontor</t>
  </si>
  <si>
    <t>LANTAI 3</t>
  </si>
  <si>
    <t>TOTAL LANTAI 3</t>
  </si>
  <si>
    <t>LANTAI 4</t>
  </si>
  <si>
    <t>TOTAL LANTAI 4</t>
  </si>
  <si>
    <t>LANTAI 5</t>
  </si>
  <si>
    <t>TOTAL LANTAI 5</t>
  </si>
  <si>
    <t>LANTAI 6</t>
  </si>
  <si>
    <t>TOTAL LANTAI 6</t>
  </si>
  <si>
    <t>LANTAI P1A-P2B</t>
  </si>
  <si>
    <t>TOTAL LANTAI P1A-P2B</t>
  </si>
  <si>
    <t>LANTAI P4A-P5B</t>
  </si>
  <si>
    <t>TOTAL LANTAI P4A-P5B</t>
  </si>
  <si>
    <t>LANTAI P7A</t>
  </si>
  <si>
    <t>TOTAL LANTAI P7A</t>
  </si>
  <si>
    <t>LANTAI 7</t>
  </si>
  <si>
    <t>TOTAL LANTAI 7</t>
  </si>
  <si>
    <t>LANTAI 8</t>
  </si>
  <si>
    <t>TOTAL LANTAI 8</t>
  </si>
  <si>
    <t>LANTAI 9</t>
  </si>
  <si>
    <t>TOTAL LANTAI 9</t>
  </si>
  <si>
    <t>LANTAI 10</t>
  </si>
  <si>
    <t>TOTAL LANTAI 10</t>
  </si>
  <si>
    <t>Unit Beban Alat Plumbing Gedung A</t>
  </si>
  <si>
    <t>Unit Beban Alat Plumbing Gedung C</t>
  </si>
  <si>
    <t>Unit Beban Alat Plumbing Gedung E</t>
  </si>
  <si>
    <t>TOTAL SISTEM 1 (lt. 1 - lt 3)</t>
  </si>
  <si>
    <t>TOTAL SISTEM 2 (lt. 4 - lt 6)</t>
  </si>
  <si>
    <t>TOTAL SISTEM 2 (lt.7-lt.10)</t>
  </si>
  <si>
    <t>TOTAL SISTEM 1 (lt.bs-lt.6)</t>
  </si>
  <si>
    <t>Kloset katup Gelontor</t>
  </si>
  <si>
    <t>Sink Lab.</t>
  </si>
  <si>
    <t>Peturasan katup Gelontor</t>
  </si>
  <si>
    <t>Sink Keran Klinik</t>
  </si>
  <si>
    <t>LANTAI PARKIR P2A-P3B</t>
  </si>
  <si>
    <t>TOTAL LANTAI PARKIR P2A-P3B</t>
  </si>
  <si>
    <t>Sink keran Klinik/sphk</t>
  </si>
  <si>
    <t>LANTAI PARKIR P3A-P4B</t>
  </si>
  <si>
    <t>TOTAL LANTAI PARKIR P3A-P4B</t>
  </si>
  <si>
    <t>LANTAI PARKIR P5A-P6B</t>
  </si>
  <si>
    <t>TOTAL LANTAI PARKIR P5A-P6B</t>
  </si>
  <si>
    <t>LANTAI PARKIR P6B-P7B</t>
  </si>
  <si>
    <t>TOTAL LANTAI PARKIR P6B-P7B</t>
  </si>
  <si>
    <t>Bak cuci Piring</t>
  </si>
  <si>
    <t>LANTAI 7 B1 - LANTAI 9 B2</t>
  </si>
  <si>
    <t>TOTAL LANTAI 7 B1 - LANTAI 9 B2</t>
  </si>
  <si>
    <t>LANTAI 8 B1 - LANTAI 10 B2</t>
  </si>
  <si>
    <t>TOTAL LANTAI 8 B1 - LANTAI 10 B2</t>
  </si>
  <si>
    <t>LANTAI 9 B1 - LANTAI 11 B2</t>
  </si>
  <si>
    <t>TOTAL LANTAI 9 B1 - LANTAI 11 B2</t>
  </si>
  <si>
    <t>Unit Beban Alat Plumbing Gedung B</t>
  </si>
  <si>
    <t>Unit Beban Alat Plumbing Gedung D</t>
  </si>
  <si>
    <t>Unit Beban Alat Plumbing Gedung F</t>
  </si>
  <si>
    <t>Jumlah UBAP (Air Bersih)</t>
  </si>
  <si>
    <t>Jumlah UBAP (Air Recycling)</t>
  </si>
  <si>
    <t>Jumlah Alat Plumbing  AP</t>
  </si>
  <si>
    <t>Jumlah Alat Plumbing Ap</t>
  </si>
  <si>
    <t>Jumlah UBAP (Air Panas)</t>
  </si>
  <si>
    <t>Jumlah Alat Plumbing AP</t>
  </si>
  <si>
    <t>Proyek</t>
  </si>
  <si>
    <t>KP</t>
  </si>
  <si>
    <t>Catatan :</t>
  </si>
  <si>
    <t xml:space="preserve">1) SNI 8153 : 2015 Halaman 30 dan 31 (Tabel 3), dan 33 (Tabel 5) </t>
  </si>
  <si>
    <r>
      <t xml:space="preserve">Unit Beban Alat Plumbing </t>
    </r>
    <r>
      <rPr>
        <b/>
        <sz val="11"/>
        <color theme="1"/>
        <rFont val="Times New Roman"/>
        <family val="1"/>
      </rPr>
      <t>¹²</t>
    </r>
  </si>
  <si>
    <t>TOTAL LANTAI 7 B1-LANTAI 9 B2</t>
  </si>
  <si>
    <t>TOTAL SISTEM 1 (lt. bs - lt.6)</t>
  </si>
  <si>
    <t>TOTAL SISTEM 2 (lt.7 - lt.10)</t>
  </si>
  <si>
    <t>Jumlah UBAP (Air Limbah)</t>
  </si>
  <si>
    <t>1) SNI 8153:2015 Halaman 54</t>
  </si>
  <si>
    <t>2) SNI 03-7065-2005 Halaman 11 dan 12</t>
  </si>
  <si>
    <t>Kurva perkiraan beban kebutuhan air untuk UBAP sampai dengan 3000</t>
  </si>
  <si>
    <t>UBAP Air Bersih</t>
  </si>
  <si>
    <t>L/menit</t>
  </si>
  <si>
    <t>m3/hari</t>
  </si>
  <si>
    <t>Kurva perkiraan beban kebutuhan air untuk UBAP sampai dengan 240</t>
  </si>
  <si>
    <t>UBAP Total</t>
  </si>
  <si>
    <t>A. Gedung A</t>
  </si>
  <si>
    <t>B. Gedung B</t>
  </si>
  <si>
    <t>C. Gedung C</t>
  </si>
  <si>
    <t>D. Gedung D</t>
  </si>
  <si>
    <t>E. Gedung E</t>
  </si>
  <si>
    <t>F. Gedung F</t>
  </si>
  <si>
    <t>UBAP Recycling</t>
  </si>
  <si>
    <t xml:space="preserve"> L/menit</t>
  </si>
  <si>
    <t>UBAP Air Panas</t>
  </si>
  <si>
    <t>Total</t>
  </si>
  <si>
    <t xml:space="preserve">Volume GWT </t>
  </si>
  <si>
    <t>Keterangan</t>
  </si>
  <si>
    <t>Qd</t>
  </si>
  <si>
    <t>Qs</t>
  </si>
  <si>
    <t>t</t>
  </si>
  <si>
    <t>T</t>
  </si>
  <si>
    <t>Jumlah kebutuhan air per hari (m3/hari)</t>
  </si>
  <si>
    <t>Kapasitas pipa dinas (m3/jam)</t>
  </si>
  <si>
    <t>Pemakaian air 1 hari (jam/hari)</t>
  </si>
  <si>
    <t>Waktu penampungan (hari)</t>
  </si>
  <si>
    <t>[ Qd - ( Qs x t) ] x T</t>
  </si>
  <si>
    <t>*(Noerbambang &amp; Morimura, 2005)</t>
  </si>
  <si>
    <t>Gedung</t>
  </si>
  <si>
    <t>A</t>
  </si>
  <si>
    <t>B</t>
  </si>
  <si>
    <t>C</t>
  </si>
  <si>
    <t>D</t>
  </si>
  <si>
    <t>E</t>
  </si>
  <si>
    <t>F</t>
  </si>
  <si>
    <t>Kebutuhan Air (Air Bersih) L/menit</t>
  </si>
  <si>
    <t xml:space="preserve">Qm-max </t>
  </si>
  <si>
    <t>Qh</t>
  </si>
  <si>
    <t>C2</t>
  </si>
  <si>
    <t>C1</t>
  </si>
  <si>
    <t>m3</t>
  </si>
  <si>
    <t>L/jam</t>
  </si>
  <si>
    <t>Liter</t>
  </si>
  <si>
    <t>C1 : Rentang 1,5 - 2,0</t>
  </si>
  <si>
    <t>C2 : Rentang 3,0 - 4,0</t>
  </si>
  <si>
    <t>[ Qd / T ]</t>
  </si>
  <si>
    <t>[ C2 x (Qh / T ]</t>
  </si>
  <si>
    <t>[ (Qm-max x 60) / C2 ]</t>
  </si>
  <si>
    <t>UBAP Sistem 1 lantai 1-3</t>
  </si>
  <si>
    <t>Qh x T</t>
  </si>
  <si>
    <t>UBAP Sistem 2 lantai 4-6</t>
  </si>
  <si>
    <t>UBAP Sistem 1 lantai BS-6</t>
  </si>
  <si>
    <t>UBAP Sistem 2 lantai 7-10</t>
  </si>
  <si>
    <t>Volume Roof Tank</t>
  </si>
  <si>
    <t>[ 2/3 x Qh ] atau [ Qd / T ]</t>
  </si>
  <si>
    <t>Gedung A dan E dari gedung D</t>
  </si>
  <si>
    <t>Detail :</t>
  </si>
  <si>
    <t>Qp</t>
  </si>
  <si>
    <t>Qmax</t>
  </si>
  <si>
    <t>Tp</t>
  </si>
  <si>
    <t>Qpu</t>
  </si>
  <si>
    <t>Tpu</t>
  </si>
  <si>
    <t>Keterangan :</t>
  </si>
  <si>
    <t>Kebutuhan puncak (liter/menit)</t>
  </si>
  <si>
    <t>Kebutuhan jam puncak (liter/menit)</t>
  </si>
  <si>
    <t>Jangka waktu kebutuhan puncak (menit)</t>
  </si>
  <si>
    <t>Kapasitas pompa pengisi (liter/menit)</t>
  </si>
  <si>
    <t>Jangka waktu kerja pompa pengisi (menit)</t>
  </si>
  <si>
    <t>VR (Volume GWT) Air Bersih</t>
  </si>
  <si>
    <t>UBAP Air Recycling</t>
  </si>
  <si>
    <t>VR (Volume GWT) Air Recycling</t>
  </si>
  <si>
    <t>Qm-max</t>
  </si>
  <si>
    <t>t : Jangka waktu pemakaian (jam)</t>
  </si>
  <si>
    <t>m3/jam</t>
  </si>
  <si>
    <t>Air Bersih</t>
  </si>
  <si>
    <t>Gedung F dari gedung B</t>
  </si>
  <si>
    <t>RT 1 (B)</t>
  </si>
  <si>
    <t xml:space="preserve">RT 2 (C) </t>
  </si>
  <si>
    <t>RT 3 (D)</t>
  </si>
  <si>
    <t>VE</t>
  </si>
  <si>
    <t>m3/menit</t>
  </si>
  <si>
    <t>Qh-max</t>
  </si>
  <si>
    <t>Qp = Qm- max</t>
  </si>
  <si>
    <t>menit</t>
  </si>
  <si>
    <t>RT 2 (C)</t>
  </si>
  <si>
    <t>Asumsi</t>
  </si>
  <si>
    <t>Cadangan</t>
  </si>
  <si>
    <t>Safety Factor</t>
  </si>
  <si>
    <t>UBAP Gedung A</t>
  </si>
  <si>
    <t>Metode UBAP</t>
  </si>
  <si>
    <t>UBAP Gedung B</t>
  </si>
  <si>
    <t>UBAP Gedung C</t>
  </si>
  <si>
    <t>UBAP Gedung D</t>
  </si>
  <si>
    <t>UBAP Gedung E</t>
  </si>
  <si>
    <t>UBAP Gedung F</t>
  </si>
  <si>
    <t>Kapasitas Pompa Transfer Air Bersih</t>
  </si>
  <si>
    <t>L/Menit</t>
  </si>
  <si>
    <t>Kebutuhan Air (Air Recycling) L/menit</t>
  </si>
  <si>
    <t>Main Pipe</t>
  </si>
  <si>
    <t>UBAP</t>
  </si>
  <si>
    <t>m3/s</t>
  </si>
  <si>
    <t>Diameter Perhitungan</t>
  </si>
  <si>
    <t>m</t>
  </si>
  <si>
    <t>mm</t>
  </si>
  <si>
    <t>m/s</t>
  </si>
  <si>
    <t>v</t>
  </si>
  <si>
    <t>Pipa Riser (lt.1 - lt.3)</t>
  </si>
  <si>
    <t>Pipa Riser (lt.4 - lt.6)</t>
  </si>
  <si>
    <t>UBAP Recycle Sistem 1 lantai 1-3</t>
  </si>
  <si>
    <t>UBAP Recycle Sistem 2 lantai 4-6</t>
  </si>
  <si>
    <t>Persamaan Kontinuitas</t>
  </si>
  <si>
    <t>UBAP Recycle Sistem 1 lantai BS-6</t>
  </si>
  <si>
    <t>UBAP Recycle Sistem 2 lantai 7-10</t>
  </si>
  <si>
    <t>A : Luas penampang (m2)</t>
  </si>
  <si>
    <t>V : Kecepatan aliran fluida (m/s)</t>
  </si>
  <si>
    <t>Q = Debit aliran (m3/s)</t>
  </si>
  <si>
    <t>Pipa Riser (lt.7 - lt.10)</t>
  </si>
  <si>
    <t>A. Diameter Pipa Air Bersih Gedung A</t>
  </si>
  <si>
    <t>B. Diameter Pipa Air Recycle Gedung A</t>
  </si>
  <si>
    <t xml:space="preserve">A : </t>
  </si>
  <si>
    <t>C. Diameter Pipa Air Bersih Gedung B</t>
  </si>
  <si>
    <t>Pipa Riser (lt. BS - lt. 6)</t>
  </si>
  <si>
    <t>Pipa Riser (lt. 7 - lt. 10)</t>
  </si>
  <si>
    <t>v :</t>
  </si>
  <si>
    <t>Q = A.v</t>
  </si>
  <si>
    <t>d :</t>
  </si>
  <si>
    <t>[                                           ]</t>
  </si>
  <si>
    <t>D. Diameter Pipa Air Recycle Gedung B</t>
  </si>
  <si>
    <t>Pipa Riser (lt.bs - lt.6)</t>
  </si>
  <si>
    <t>E. Diameter Pipa Air Bersih Gedung C</t>
  </si>
  <si>
    <t>F. Diameter Pipa Air Recycle Gedung C</t>
  </si>
  <si>
    <t>G. Diameter Pipa Air Bersih Gedung D</t>
  </si>
  <si>
    <t>Pipa Riser (lt. BS - lt.6)</t>
  </si>
  <si>
    <t>H. Diameter Pipa Air Recycle Gedung D</t>
  </si>
  <si>
    <t>I. Diameter Pipa Air Bersih Gedung E</t>
  </si>
  <si>
    <t>J. Diameter Pipa Air Recycling Gedung E</t>
  </si>
  <si>
    <t>K. Diameter Pipa Air Bersih Gedung F</t>
  </si>
  <si>
    <t>K. Diameter Pipa Air Recycling Gedung F</t>
  </si>
  <si>
    <t>Pipa Riser (lt. bs - lt.6)</t>
  </si>
  <si>
    <t xml:space="preserve"> PVC</t>
  </si>
  <si>
    <t>PPR</t>
  </si>
  <si>
    <t>PVC</t>
  </si>
  <si>
    <t>L/min</t>
  </si>
  <si>
    <t>L</t>
  </si>
  <si>
    <t>Pipa</t>
  </si>
  <si>
    <t>Q</t>
  </si>
  <si>
    <t>hf</t>
  </si>
  <si>
    <t>Rentang 0,9 m/s - 2,0 m/s</t>
  </si>
  <si>
    <t>Friction Head Loss</t>
  </si>
  <si>
    <t xml:space="preserve">Major Head Loss </t>
  </si>
  <si>
    <t xml:space="preserve">Minor Head Loss </t>
  </si>
  <si>
    <t>Fitting</t>
  </si>
  <si>
    <t>Jumlah</t>
  </si>
  <si>
    <t>k</t>
  </si>
  <si>
    <t>K total</t>
  </si>
  <si>
    <t>Elbow 90</t>
  </si>
  <si>
    <t>K Total</t>
  </si>
  <si>
    <t>v2</t>
  </si>
  <si>
    <t>m2/s2</t>
  </si>
  <si>
    <t>g</t>
  </si>
  <si>
    <t>m/s2</t>
  </si>
  <si>
    <t>2g</t>
  </si>
  <si>
    <t>Static Head</t>
  </si>
  <si>
    <t>Static Head Loss</t>
  </si>
  <si>
    <t>Velocity Head</t>
  </si>
  <si>
    <t>Tees Line Flow</t>
  </si>
  <si>
    <t>Gate valve</t>
  </si>
  <si>
    <t>Flexible Joint</t>
  </si>
  <si>
    <t>Check Valve</t>
  </si>
  <si>
    <t>Strainer</t>
  </si>
  <si>
    <t xml:space="preserve">Total head </t>
  </si>
  <si>
    <t>A. Gedung B</t>
  </si>
  <si>
    <t>Booster Pump</t>
  </si>
  <si>
    <t>Under 1,5 bar</t>
  </si>
  <si>
    <t>PRV</t>
  </si>
  <si>
    <t>Over 3 bar</t>
  </si>
  <si>
    <t>B. Gedung C</t>
  </si>
  <si>
    <t>2) SNI 03-7065-2005 Halaman 7 (Tabel 7)</t>
  </si>
  <si>
    <t>Sistem 2 (lt.7 -lt.10)</t>
  </si>
  <si>
    <t>C. Gedung D</t>
  </si>
  <si>
    <t>Horizontal</t>
  </si>
  <si>
    <t>Perhitungan Pompa Kran Taman</t>
  </si>
  <si>
    <t>A. Zona 1 (Kanan Bawah)</t>
  </si>
  <si>
    <t>Stand by pressure kran</t>
  </si>
  <si>
    <t>bar</t>
  </si>
  <si>
    <t>Jarak kran zona terjauh</t>
  </si>
  <si>
    <t>Jarak vertikal LT.BS - LT.1</t>
  </si>
  <si>
    <t>meter</t>
  </si>
  <si>
    <t>Head loss ( 5% x ( Stand by + jarak jauh + jarak vertikal)</t>
  </si>
  <si>
    <t>Total head pompa minimal</t>
  </si>
  <si>
    <t>Kapasitas kran taman</t>
  </si>
  <si>
    <t>lpm/titik</t>
  </si>
  <si>
    <t>Radius kran/titik</t>
  </si>
  <si>
    <t>Jumlah kran</t>
  </si>
  <si>
    <t>Kapasitas pompa minimal</t>
  </si>
  <si>
    <t>lpm</t>
  </si>
  <si>
    <t>B. Zona 2 (Kiri Bawah)</t>
  </si>
  <si>
    <t>C. Zona 3 (Kanan Atas)</t>
  </si>
  <si>
    <t>D. Zona 4 (Kiri samping)</t>
  </si>
  <si>
    <t xml:space="preserve">Total kapasitas pompa minimal </t>
  </si>
  <si>
    <t>Timer zoning area</t>
  </si>
  <si>
    <t>Dilakukan</t>
  </si>
  <si>
    <t>kali</t>
  </si>
  <si>
    <t>Kapasitas</t>
  </si>
  <si>
    <t>L/hari</t>
  </si>
  <si>
    <t>GEDUNG B</t>
  </si>
  <si>
    <t>GEDUNG C</t>
  </si>
  <si>
    <t>GEDUNG D</t>
  </si>
  <si>
    <t>A. Pompa Transfer Gedung B</t>
  </si>
  <si>
    <t>B. Pompa Transfer Gedung  C</t>
  </si>
  <si>
    <t>C. Pompa Transfer Gedung D</t>
  </si>
  <si>
    <t>Uraian</t>
  </si>
  <si>
    <t>Sistem Air Bersih</t>
  </si>
  <si>
    <t>Kebutuhan Air Bersih Gedung A</t>
  </si>
  <si>
    <t>Kebutuhan Air Bersih Gedung B</t>
  </si>
  <si>
    <t>Kebutuhan Air Bersih Gedung C</t>
  </si>
  <si>
    <t>Kebutuhan Air Bersih Gedung D</t>
  </si>
  <si>
    <t>Kebutuhan Air Bersih Gedung E</t>
  </si>
  <si>
    <t>Kebutuhan Air Bersih Gedung F</t>
  </si>
  <si>
    <t>Kebutuhan Air Bersih Total</t>
  </si>
  <si>
    <t>Volume GWT Air Bersih</t>
  </si>
  <si>
    <t>Volume Rooftank Air Bersih Gedung B</t>
  </si>
  <si>
    <t>Volume Rooftank Air Bersih Gedung C</t>
  </si>
  <si>
    <t>Volume Rooftank Air Bersih Gedung D</t>
  </si>
  <si>
    <t>Pompa Transfer Air Bersih Gedung B</t>
  </si>
  <si>
    <t>Pompa Transfer Air Bersih Gedung C</t>
  </si>
  <si>
    <t>Pompa Transfer Air Bersih Gedung D</t>
  </si>
  <si>
    <t>Pompa Booster Air Bersih Gedung B</t>
  </si>
  <si>
    <t>Pompa Booster Air Bersih Gedung C</t>
  </si>
  <si>
    <t>Pompa Booster Air Bersih Gedung D</t>
  </si>
  <si>
    <t>Kebutuhan Air Recycling Gedung A</t>
  </si>
  <si>
    <t>Kebutuhan Air Recycling Gedung B</t>
  </si>
  <si>
    <t>Kebutuhan Air Recycling Gedung C</t>
  </si>
  <si>
    <t>Kebutuhan Air Recycling Gedung D</t>
  </si>
  <si>
    <t>Kebutuhan Air Recycling Gedung E</t>
  </si>
  <si>
    <t>Kebutuhan Air Recycling Gedung F</t>
  </si>
  <si>
    <t>Kebutuhan Air Recycling Total</t>
  </si>
  <si>
    <t>Volume GWT Air Recycling</t>
  </si>
  <si>
    <t>Volume Rooftank Air Recycling Gedung B</t>
  </si>
  <si>
    <t>Volume Rooftank Air Recycling Gedung C</t>
  </si>
  <si>
    <t>Volume Rooftank Air Recycling Gedung D</t>
  </si>
  <si>
    <t>Pompa Transfer Air Recycling Gedung B</t>
  </si>
  <si>
    <t>Pompa Transfer Air Recycling Gedung C</t>
  </si>
  <si>
    <t>Pompa Transfer Air Recycling Gedung D</t>
  </si>
  <si>
    <t>Pompa Booster Air Recycling Gedung B</t>
  </si>
  <si>
    <t>Pompa Booster Air Recycling Gedung C</t>
  </si>
  <si>
    <t>Pompa Booster Air Recycling Gedung D</t>
  </si>
  <si>
    <t>Sistem Air Recycling</t>
  </si>
  <si>
    <t>Satuan</t>
  </si>
  <si>
    <t>A. Air Bersih</t>
  </si>
  <si>
    <t>Kebutuhan Air (Air Recyling) L/menit</t>
  </si>
  <si>
    <t>Air Recycling</t>
  </si>
  <si>
    <t>B. Air Recycling</t>
  </si>
  <si>
    <t>AIR BERSIH</t>
  </si>
  <si>
    <t>AIR RECYCLING</t>
  </si>
  <si>
    <t>roof</t>
  </si>
  <si>
    <t>kran terjauh</t>
  </si>
  <si>
    <t>riser</t>
  </si>
  <si>
    <t>Titik keran terjauh</t>
  </si>
  <si>
    <t>Keran terjauh harus 1,5 bar maka perlu head sebesar</t>
  </si>
  <si>
    <t>Kap : 960 lpm, Head : 60 m</t>
  </si>
  <si>
    <t>Kap : 550 lpm, Head :14</t>
  </si>
  <si>
    <t>Kap : 1200 lpm, Head : 60 m</t>
  </si>
  <si>
    <t>Kap : 700 lpm, Head : 14 m</t>
  </si>
  <si>
    <t>Kap : 750  lpm, Head : 14 m</t>
  </si>
  <si>
    <t>Kap : 575 lpm, Head :14</t>
  </si>
  <si>
    <t>Kap : 875 lpm, Head :14</t>
  </si>
  <si>
    <t>Kap : 850 lpm, Head :60</t>
  </si>
  <si>
    <t>Kap : 850 lpm, Head : 14 m</t>
  </si>
  <si>
    <t>LPM</t>
  </si>
  <si>
    <t>Gedung B dan F ke IPAL B</t>
  </si>
  <si>
    <t>Gedung A, C, D, dan E ke IPAL D</t>
  </si>
  <si>
    <t>IPAL B</t>
  </si>
  <si>
    <t>IPAL D</t>
  </si>
  <si>
    <t>Total kapasitas pompa minimal</t>
  </si>
  <si>
    <t>Pompa Zona Kiri Bawah</t>
  </si>
  <si>
    <t>E. Zona 5 (Kiri Atas)</t>
  </si>
  <si>
    <t>Pompa Zona Kanan Bawah</t>
  </si>
  <si>
    <t>Pompa Zona Atas</t>
  </si>
  <si>
    <t>Jika ditinjau dari 80% pemakaian air bersih</t>
  </si>
  <si>
    <t xml:space="preserve">UBAP Air Recycling </t>
  </si>
  <si>
    <t>Total Keseluruhan</t>
  </si>
  <si>
    <t>Black water :</t>
  </si>
  <si>
    <t>Lantai 1</t>
  </si>
  <si>
    <t>Lantai 2</t>
  </si>
  <si>
    <t>Lantai 3</t>
  </si>
  <si>
    <t>Lantai 4</t>
  </si>
  <si>
    <t>Lantai 5</t>
  </si>
  <si>
    <t>Lantai 6</t>
  </si>
  <si>
    <t>Lantai</t>
  </si>
  <si>
    <t>Kumulatif UBAP</t>
  </si>
  <si>
    <t>Diameter Pipa (inch)</t>
  </si>
  <si>
    <t>Gedung A</t>
  </si>
  <si>
    <t>Gedung B</t>
  </si>
  <si>
    <t>Gedung C</t>
  </si>
  <si>
    <t>Gedung D</t>
  </si>
  <si>
    <t>Gedung F</t>
  </si>
  <si>
    <t>- Kloset tangki gelontor</t>
  </si>
  <si>
    <t>- Peturasan katup gelontor</t>
  </si>
  <si>
    <t>- Kloset katup gelontor</t>
  </si>
  <si>
    <t>TOTAL PARKIR P2A-P3B</t>
  </si>
  <si>
    <t>Grey Water:</t>
  </si>
  <si>
    <t>- Bak Pel</t>
  </si>
  <si>
    <t>- Sink Cuci Muka</t>
  </si>
  <si>
    <t>Lantai 10</t>
  </si>
  <si>
    <t>Lantai 9</t>
  </si>
  <si>
    <t>Lantai 9 B1 - Lantai 11 B2</t>
  </si>
  <si>
    <t xml:space="preserve">Lantai 9 </t>
  </si>
  <si>
    <t>Lantai 8 B1 - Lantai 10 B2</t>
  </si>
  <si>
    <t>Lantai 8</t>
  </si>
  <si>
    <t>Lantai 7 B1 - Lantai 9 B2</t>
  </si>
  <si>
    <t>Lantai 7</t>
  </si>
  <si>
    <t>Lantai Parkir P6B-P7B</t>
  </si>
  <si>
    <t>Lantai Parkir P5A-P6B</t>
  </si>
  <si>
    <t>Lantai Parkir P3A-P4B</t>
  </si>
  <si>
    <t>Lantai Parkir P2A-P3B</t>
  </si>
  <si>
    <t xml:space="preserve">Lantai 1 </t>
  </si>
  <si>
    <t>Lantai Basement</t>
  </si>
  <si>
    <t>Lantai P7A</t>
  </si>
  <si>
    <t>Lantai P4A-P5B</t>
  </si>
  <si>
    <t>Lantai P1A-P2B</t>
  </si>
  <si>
    <t>Diameter Pipa (Vertikal)</t>
  </si>
  <si>
    <t>1. SNI 8153:2015</t>
  </si>
  <si>
    <t>- Bak Cuci Piring</t>
  </si>
  <si>
    <t>- Shower</t>
  </si>
  <si>
    <t>- Keran</t>
  </si>
  <si>
    <t xml:space="preserve">- Bak Cuci Tangan </t>
  </si>
  <si>
    <t>Limbah Medis :</t>
  </si>
  <si>
    <t>- Sink Kran Klinik</t>
  </si>
  <si>
    <t>- Scrub</t>
  </si>
  <si>
    <t>- Sink Lab</t>
  </si>
  <si>
    <t>LANTAI PARKIR 7 B1 - LANTAI 9 B2</t>
  </si>
  <si>
    <t>TOTAL LANTAI PARKIR 7 B1 - LANTAI 9 B2</t>
  </si>
  <si>
    <t>LANTAI PARKIR 8B1 - LANTAI 10 B2</t>
  </si>
  <si>
    <t>TOTAL PARKIR 8B1 - LANTAI 10 B2</t>
  </si>
  <si>
    <t>LANTAI PARKIR 9B1 - LANTAI 11 B2</t>
  </si>
  <si>
    <t>TOTAL PARKIR 9B1 - LANTAI 11 B2</t>
  </si>
  <si>
    <t>LANTAI PARKIR P1A-P2B</t>
  </si>
  <si>
    <t>TOTALPARKIR P1A-P2B</t>
  </si>
  <si>
    <t>LANTAI PARKIR P4A-P5B</t>
  </si>
  <si>
    <t>TOTAL LANTAI PARKIR P4A-P5B</t>
  </si>
  <si>
    <r>
      <t xml:space="preserve">Unit Beban Alat Plumbing </t>
    </r>
    <r>
      <rPr>
        <b/>
        <sz val="11"/>
        <color theme="1"/>
        <rFont val="Times New Roman"/>
        <family val="1"/>
      </rPr>
      <t>¹</t>
    </r>
  </si>
  <si>
    <t>Diameter Pipa (mm)</t>
  </si>
  <si>
    <t>Dimaeter Pipa (mm)</t>
  </si>
  <si>
    <t>Black Water</t>
  </si>
  <si>
    <t>Grey Water</t>
  </si>
  <si>
    <t>Limbah Medis</t>
  </si>
  <si>
    <t>Segmen</t>
  </si>
  <si>
    <t>Dari</t>
  </si>
  <si>
    <t>Ke</t>
  </si>
  <si>
    <t>Alat Plambing</t>
  </si>
  <si>
    <t>UBAP Kumulatif</t>
  </si>
  <si>
    <t>Dia. (mm)</t>
  </si>
  <si>
    <t xml:space="preserve">KL </t>
  </si>
  <si>
    <t>KL</t>
  </si>
  <si>
    <t>-</t>
  </si>
  <si>
    <t>G</t>
  </si>
  <si>
    <t>Black Water (Shaft 1A.1)</t>
  </si>
  <si>
    <t>H</t>
  </si>
  <si>
    <t>I</t>
  </si>
  <si>
    <t>J</t>
  </si>
  <si>
    <t>K</t>
  </si>
  <si>
    <t>M</t>
  </si>
  <si>
    <t>N</t>
  </si>
  <si>
    <t>O</t>
  </si>
  <si>
    <t>P</t>
  </si>
  <si>
    <t>Grey Water (Shaft 1A.1)</t>
  </si>
  <si>
    <r>
      <t>[ (1/4) 𝜋 d</t>
    </r>
    <r>
      <rPr>
        <sz val="11"/>
        <color theme="1"/>
        <rFont val="Times New Roman"/>
        <family val="1"/>
      </rPr>
      <t>²</t>
    </r>
    <r>
      <rPr>
        <sz val="11"/>
        <color theme="1"/>
        <rFont val="Calibri"/>
        <family val="2"/>
      </rPr>
      <t xml:space="preserve"> ]</t>
    </r>
  </si>
  <si>
    <t>Liter/jam</t>
  </si>
  <si>
    <t>PEMAKAIAN AIR RATA-RATA PERORANG PERHARI</t>
  </si>
  <si>
    <t>No.</t>
  </si>
  <si>
    <t>Jenis Gedung</t>
  </si>
  <si>
    <t>Pemakaian Air rata rata sehari</t>
  </si>
  <si>
    <t>Jangka waktu Pemakaian rata-rata sehari</t>
  </si>
  <si>
    <t>Perbandingan Luas lantai efektif/total</t>
  </si>
  <si>
    <t>(Liter)</t>
  </si>
  <si>
    <t>(Jam)</t>
  </si>
  <si>
    <t>(%)</t>
  </si>
  <si>
    <t>Perumahan Mewah</t>
  </si>
  <si>
    <t>8-10</t>
  </si>
  <si>
    <t>42-45</t>
  </si>
  <si>
    <t>Setiap Penghuni</t>
  </si>
  <si>
    <t>Rumah Biasa</t>
  </si>
  <si>
    <t>160-250</t>
  </si>
  <si>
    <t>50-53</t>
  </si>
  <si>
    <t>Apartement</t>
  </si>
  <si>
    <t>200-250</t>
  </si>
  <si>
    <t>45-50</t>
  </si>
  <si>
    <t>Mewah 250 liter</t>
  </si>
  <si>
    <t>Menengah 180 liter</t>
  </si>
  <si>
    <t>Bujangan 120 liter</t>
  </si>
  <si>
    <t>Asrama</t>
  </si>
  <si>
    <t>Rumah Sakit</t>
  </si>
  <si>
    <t>Mewah &gt;1000</t>
  </si>
  <si>
    <t>(Setiap Tempat Tidur Pasien)</t>
  </si>
  <si>
    <t>Menengah 500-1000</t>
  </si>
  <si>
    <t>45-48</t>
  </si>
  <si>
    <t>Pasien Luar: 8 Liter</t>
  </si>
  <si>
    <t>Umum 350-500</t>
  </si>
  <si>
    <t>Staff/Pegawai: 120 Liter</t>
  </si>
  <si>
    <t>Keluarga Pasien : 160 Liter</t>
  </si>
  <si>
    <t>Sekolah Dasar</t>
  </si>
  <si>
    <t>58-60</t>
  </si>
  <si>
    <t>Guru: 100 Liter</t>
  </si>
  <si>
    <t>SLTP</t>
  </si>
  <si>
    <t>SLTA dan Lebih Tinggi</t>
  </si>
  <si>
    <t>Guru / Dosen: 100 Liter</t>
  </si>
  <si>
    <t>Rumah Toko</t>
  </si>
  <si>
    <t>100-200</t>
  </si>
  <si>
    <t>Gedung Kantor</t>
  </si>
  <si>
    <t>60-70</t>
  </si>
  <si>
    <t>Setiap Pegawai</t>
  </si>
  <si>
    <t>Toserba (Toko Serba ada, Departement Store)</t>
  </si>
  <si>
    <t>55-60</t>
  </si>
  <si>
    <t>Pemakaian air hanya untuk kakus, belum termasuk untuk bagian restoran</t>
  </si>
  <si>
    <t>Pabrik/Industri</t>
  </si>
  <si>
    <t>Buruh pria: 60</t>
  </si>
  <si>
    <t>Per orang, setiap giliran (kalau kerja lebih dari 8 jam sehari)</t>
  </si>
  <si>
    <t>Buruh Wanita : 100</t>
  </si>
  <si>
    <t>Stasiun/Terminal</t>
  </si>
  <si>
    <t>Setiap Penumpang (yang tiba maupun berangkat)</t>
  </si>
  <si>
    <t>Restoran</t>
  </si>
  <si>
    <t>Untuk Penghuni: 160 Liter</t>
  </si>
  <si>
    <t>Restoran Umum</t>
  </si>
  <si>
    <t>Untuk Penghuni: 160 Liter , Pelayan; 100 Liter 70% dari Jumlah tamu perlu 15 Liter untuk orang kakus dancuci tangan</t>
  </si>
  <si>
    <t>Gedung Pertunjukan</t>
  </si>
  <si>
    <t>53-55</t>
  </si>
  <si>
    <t>Kalau digunakan siang dan malam, pemakaian air dihitung per penonton. Jam pemakaian air dalam tabel adalah untuk satukali pertunjukan</t>
  </si>
  <si>
    <t>Gedung Bioskop</t>
  </si>
  <si>
    <t>Toko Pengecer</t>
  </si>
  <si>
    <t>Pedagang besar: 30 Liter/ Tamu</t>
  </si>
  <si>
    <t>150 Liter/ staff atau 5 Liter perhari setiap m2 luas lantai</t>
  </si>
  <si>
    <t xml:space="preserve">Hotel Penginapan </t>
  </si>
  <si>
    <t>250-300</t>
  </si>
  <si>
    <t>untuk setiap tamu, untuk staff 120-150 Liter, penginapan 200 liter</t>
  </si>
  <si>
    <t>Gedung Peribadatan</t>
  </si>
  <si>
    <t>didasarkan pada jumlah jemaah perhari</t>
  </si>
  <si>
    <t>Perpustakaan</t>
  </si>
  <si>
    <t>untuk setiap pembaca yang tinggal</t>
  </si>
  <si>
    <t>Bar</t>
  </si>
  <si>
    <t>Setiap Tamu</t>
  </si>
  <si>
    <t>Perkumpulan Sosial</t>
  </si>
  <si>
    <t>Club Malam</t>
  </si>
  <si>
    <t>120-350</t>
  </si>
  <si>
    <t>Setiap Tempat duduk</t>
  </si>
  <si>
    <t>Gedung Perkumpulan</t>
  </si>
  <si>
    <t>150-200</t>
  </si>
  <si>
    <t>Laboratorium</t>
  </si>
  <si>
    <t>Setiap Staff</t>
  </si>
  <si>
    <t>Head pompa :</t>
  </si>
  <si>
    <t>qpu = qmax</t>
  </si>
  <si>
    <t>[ (Qp - Qmax) Tp + Qpu x Tpu ]</t>
  </si>
  <si>
    <t>Cadangan (hari)</t>
  </si>
  <si>
    <t xml:space="preserve">Total </t>
  </si>
  <si>
    <t>Total Kebutuhan Air Bersih</t>
  </si>
  <si>
    <t>Total Kebutuhan Air Recycling</t>
  </si>
  <si>
    <t>Air bersih dari gedung B, dan F</t>
  </si>
  <si>
    <t>TOTAL UBAP B &amp; D</t>
  </si>
  <si>
    <t>Total Keseluruhan Kebutuhan Air</t>
  </si>
  <si>
    <t>Air Limbah yang dihasilkan IPAL B</t>
  </si>
  <si>
    <t>Air Limbah yang dihasilkan IPAL D</t>
  </si>
  <si>
    <r>
      <t>*</t>
    </r>
    <r>
      <rPr>
        <i/>
        <sz val="11"/>
        <color theme="1"/>
        <rFont val="Calibri"/>
        <family val="2"/>
        <scheme val="minor"/>
      </rPr>
      <t>Sumber: Perancangan dan Pemeliharaan Sistem Plumbing, Soufyan Moh.Noerbambang dan Takeo Momimura</t>
    </r>
  </si>
  <si>
    <t>Air bersih dari gedung A,C,D,E</t>
  </si>
  <si>
    <t>Main Gedung A</t>
  </si>
  <si>
    <t>Riser 1 Gedung A</t>
  </si>
  <si>
    <t>Riser 2 Gedung A</t>
  </si>
  <si>
    <t>Main Gedung B</t>
  </si>
  <si>
    <t>Riser 1 Gedung B</t>
  </si>
  <si>
    <t>Riser 2 Gedung B</t>
  </si>
  <si>
    <t>Main Gedung C</t>
  </si>
  <si>
    <t>Riser 1 Gedung C</t>
  </si>
  <si>
    <t>Riser 2 Gedung C</t>
  </si>
  <si>
    <t>Main Gedung D</t>
  </si>
  <si>
    <t>Riser 2 Gedung D</t>
  </si>
  <si>
    <t>Riser 1 Gedung D</t>
  </si>
  <si>
    <t>Main Gedung E</t>
  </si>
  <si>
    <t>Main Gedung F</t>
  </si>
  <si>
    <t>Diameter (mm)</t>
  </si>
  <si>
    <t>Roof Tank 1</t>
  </si>
  <si>
    <t>Roof Tank 2</t>
  </si>
  <si>
    <t>Roof Tank 3</t>
  </si>
  <si>
    <t>Roof Tank</t>
  </si>
  <si>
    <t>Kapasitas (m3)</t>
  </si>
  <si>
    <t>c</t>
  </si>
  <si>
    <t>Kap : 1500Kap lpm, Head : 60 m</t>
  </si>
  <si>
    <t>Persenan untuk kesimpulan</t>
  </si>
  <si>
    <t>UBAP Air bersih</t>
  </si>
  <si>
    <t>Delta</t>
  </si>
  <si>
    <t>delta</t>
  </si>
  <si>
    <t>Kebutuhan air bersih</t>
  </si>
  <si>
    <t>Kebutuhan air recycling</t>
  </si>
  <si>
    <t>Mine Pipe Air Bersih</t>
  </si>
  <si>
    <t>Mine Pipe Air Recycling</t>
  </si>
  <si>
    <t>RISER Pipe Air Bersih</t>
  </si>
  <si>
    <t>RISER Pipe Air Recycling</t>
  </si>
  <si>
    <t>RT Air Bersih</t>
  </si>
  <si>
    <t>RT Air RECYCLE</t>
  </si>
  <si>
    <t>Kap Pompa Transfer Air Bersih</t>
  </si>
  <si>
    <t>Kap Pompa Transfer Air Recycling</t>
  </si>
  <si>
    <t>Head Pompa Transfer Air Bersih</t>
  </si>
  <si>
    <t>Head Pompa Transfer Air Recycling</t>
  </si>
  <si>
    <t>Kap Pompa Booster Air Bersih</t>
  </si>
  <si>
    <t>Kap Pompa Booster Air Recycling</t>
  </si>
  <si>
    <t>Head Pompa Booster Air Bersih</t>
  </si>
  <si>
    <t>Head Pompa Booster Air Recycling</t>
  </si>
  <si>
    <t>GWT Pipe Air Bersih</t>
  </si>
  <si>
    <t>GWT Pipe Air RECYCLE</t>
  </si>
  <si>
    <t>PERENCANA</t>
  </si>
  <si>
    <t>DELTA</t>
  </si>
  <si>
    <t>USULAN PERHITUNGAN SEWAGE PIT RS UPT VERTIKAL SURABAYA</t>
  </si>
  <si>
    <t>A. Sewage Lift Station Air Limbah (SLS-A1)</t>
  </si>
  <si>
    <t>- Melayani Sebagian Limbah Lantai 1 Gedung A</t>
  </si>
  <si>
    <t xml:space="preserve">Nama Alat Plambing </t>
  </si>
  <si>
    <t>UBAP Air Buangan</t>
  </si>
  <si>
    <t>Jumlah UBAP Air Buangan</t>
  </si>
  <si>
    <t>Sink lab</t>
  </si>
  <si>
    <t>Sink kran klinik</t>
  </si>
  <si>
    <t>Waktu tunggu pompa</t>
  </si>
  <si>
    <t>V air</t>
  </si>
  <si>
    <t>Spare</t>
  </si>
  <si>
    <t xml:space="preserve">V bak </t>
  </si>
  <si>
    <t>Dimensi Sewage Pit</t>
  </si>
  <si>
    <t>Volume (m3)</t>
  </si>
  <si>
    <t>P (m)</t>
  </si>
  <si>
    <t>L (m)</t>
  </si>
  <si>
    <t>T (m)</t>
  </si>
  <si>
    <t xml:space="preserve">Kapasitas pompa </t>
  </si>
  <si>
    <t>dibulatkan</t>
  </si>
  <si>
    <t>Total head</t>
  </si>
  <si>
    <t>Tipe Pompa</t>
  </si>
  <si>
    <t>Submersible Pump With Cutter</t>
  </si>
  <si>
    <t>Q pompa</t>
  </si>
  <si>
    <t>B. Sewage Lift Station Air Kotor dan Air Bekas (SLS-E1)</t>
  </si>
  <si>
    <t>- Melayani Sebagian Toilet Lantai 1 Gedung E</t>
  </si>
  <si>
    <t>- Melayani Sebagian Toilet Lantai 1 Gedung A</t>
  </si>
  <si>
    <t>Nama Alat Plambing</t>
  </si>
  <si>
    <t>Kloset tangki gelontor</t>
  </si>
  <si>
    <t>Bak cuci tangan</t>
  </si>
  <si>
    <t>Floor drain</t>
  </si>
  <si>
    <t xml:space="preserve">Q </t>
  </si>
  <si>
    <t xml:space="preserve">Spare </t>
  </si>
  <si>
    <t>V Bak</t>
  </si>
  <si>
    <t>C. Sewage Lift Station Air Kotor dan Air Bekas (SLS-E2)</t>
  </si>
  <si>
    <t>Bak cuci piring</t>
  </si>
  <si>
    <t>Minor Head Loss</t>
  </si>
  <si>
    <t>D. Sewage Lift Station Air Kotor dan Air Bekas (SLS-C1)</t>
  </si>
  <si>
    <t>- Melayani Sebagian Toilet Lantai BS Gedung C</t>
  </si>
  <si>
    <t>- Melayani SLS-E1 &amp; SLS-E2</t>
  </si>
  <si>
    <t>UBAP SLS-E1</t>
  </si>
  <si>
    <t>UBAP SLS-E2</t>
  </si>
  <si>
    <t>Rujukan Perhitungan :</t>
  </si>
  <si>
    <t>1) SNI 8153 : 2015</t>
  </si>
  <si>
    <t>2) SNI 03-7065-2005</t>
  </si>
  <si>
    <t>3) Pedoman Perencanaan Teknik Terinci Sistem Pengelolaan Air Limbah Domestik Terpusat (SPALD-T) - Buku B, Cipta Karya</t>
  </si>
  <si>
    <t>A. Sewage Lift Station Air Kotor dan Air Bekas (SLS-B1)</t>
  </si>
  <si>
    <t xml:space="preserve">- Melayani Sebagian Toilet Lantai Basement Gedung B </t>
  </si>
  <si>
    <t>- Melayani Sebagian Toilet Lantai 1 Gedung F</t>
  </si>
  <si>
    <t>Lt. Basement Sisi Gedung F</t>
  </si>
  <si>
    <t>Lt. 1</t>
  </si>
  <si>
    <t>Titik</t>
  </si>
  <si>
    <t>Total UBAP</t>
  </si>
  <si>
    <t>B. Bak Pre-Treatment (BPT-B2)</t>
  </si>
  <si>
    <t>- Melayani Limbah Lantai 2 Sampai Lantai 10 Gedung B</t>
  </si>
  <si>
    <t>Lt. 2</t>
  </si>
  <si>
    <t>Lt. 3</t>
  </si>
  <si>
    <t>Lt. 4</t>
  </si>
  <si>
    <t>Lt. 5</t>
  </si>
  <si>
    <t>Lt. 7</t>
  </si>
  <si>
    <t>Lt. 8</t>
  </si>
  <si>
    <t>Lt. 9</t>
  </si>
  <si>
    <t>Lt. 10</t>
  </si>
  <si>
    <t>Dimensi Bak Pre-Treatment</t>
  </si>
  <si>
    <t>A. Sewage Pit Air Kotor dan Air Bekas (SLS-C3)</t>
  </si>
  <si>
    <t>- Melayani Sebagian Toilet Lantai 2 Sampai Dengan 6 Gedung A</t>
  </si>
  <si>
    <t>- Melayani Sebagian Toilet Lantai Basement dan Lantai 1 Gedung C</t>
  </si>
  <si>
    <t>- Melayani Sebagian Alat Saniter Basement Gedung B</t>
  </si>
  <si>
    <t>Kloset katup gelontor</t>
  </si>
  <si>
    <t>Peturasan katup gelontor</t>
  </si>
  <si>
    <t>Sink cuci muka</t>
  </si>
  <si>
    <t>Lt. Bs sisi gedung B</t>
  </si>
  <si>
    <t>Lt. Bs sisi gedung C</t>
  </si>
  <si>
    <t>A. Sewage Lift Station Air Limbah (SLS-C2)</t>
  </si>
  <si>
    <t>- Melayani Limbah Lantai 2 Sampai Lantai 6 Gedung A</t>
  </si>
  <si>
    <t>- Melayanai Limbah SLS-A1</t>
  </si>
  <si>
    <t>- Melayani Limbah Lantai 1 Sampai Lantai 10 Gedung C</t>
  </si>
  <si>
    <t>A. Sewage Lift Station Air Kotor dan Air Bekas (SLS-D1)</t>
  </si>
  <si>
    <t>- Melayani Sebagian Toilet Lantai Basement Gedung D</t>
  </si>
  <si>
    <t>Lantai Bs</t>
  </si>
  <si>
    <t>Bak pel</t>
  </si>
  <si>
    <t>B. Sewage Lift Station Air Kotor dan Air Bekas Decay (SLS-D2)</t>
  </si>
  <si>
    <t>- Melayani Limbah Lantai Basement Gedung D</t>
  </si>
  <si>
    <t>B. Sewage Lift Station Air Kotor dan Bekas Decay (SLS-D3)</t>
  </si>
  <si>
    <t>- Melayani Sebagian Toilet Lantai 3 Sampai Dengan 10 Gedung D</t>
  </si>
  <si>
    <t xml:space="preserve">Bak cuci tangan </t>
  </si>
  <si>
    <t>B. Bak Pre-Treatment (SLS-D4)</t>
  </si>
  <si>
    <t>- Melayani Limbah Lantai 2 Sampai 10 Gedung D</t>
  </si>
  <si>
    <t>Bak Pre-Treatment</t>
  </si>
  <si>
    <t>A. Bak Decay Black Water (Padat)</t>
  </si>
  <si>
    <t>- Melayani Sebagian Kloset Lantai Basement Gedung D</t>
  </si>
  <si>
    <t>B. Bak Decay Grey Water (Cair)</t>
  </si>
  <si>
    <t>- Melayani Sebagian Toilet Basement Gedung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</si>
</sst>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"/>
    <numFmt numFmtId="165" formatCode="0.000"/>
    <numFmt numFmtId="166" formatCode="0.0000000"/>
    <numFmt numFmtId="167" formatCode="0.0%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252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0" fillId="0" borderId="1" xfId="0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0" fillId="0" borderId="1" xfId="0" applyBorder="1"/>
    <xf numFmtId="0" fontId="1" fillId="0" borderId="0" xfId="0" applyFont="1"/>
    <xf numFmtId="0" fontId="1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1" fillId="0" borderId="0" xfId="0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5" borderId="1" xfId="0" applyFont="1" applyFill="1" applyBorder="1" applyAlignment="1">
      <alignment horizontal="center"/>
    </xf>
    <xf numFmtId="0" fontId="0" fillId="0" borderId="6" xfId="0" applyBorder="1"/>
    <xf numFmtId="0" fontId="4" fillId="6" borderId="1" xfId="0" applyFont="1" applyFill="1" applyBorder="1"/>
    <xf numFmtId="0" fontId="0" fillId="7" borderId="1" xfId="0" applyFill="1" applyBorder="1"/>
    <xf numFmtId="0" fontId="0" fillId="5" borderId="1" xfId="0" applyFill="1" applyBorder="1"/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/>
    <xf numFmtId="1" fontId="0" fillId="0" borderId="0" xfId="0" applyNumberFormat="1"/>
    <xf numFmtId="0" fontId="0" fillId="0" borderId="1" xfId="0" applyBorder="1" applyAlignment="1">
      <alignment horizontal="left"/>
    </xf>
    <xf numFmtId="0" fontId="0" fillId="0" borderId="1" xfId="0" applyBorder="1" applyAlignment="1">
      <alignment vertical="center"/>
    </xf>
    <xf numFmtId="0" fontId="0" fillId="4" borderId="1" xfId="0" applyFill="1" applyBorder="1"/>
    <xf numFmtId="0" fontId="1" fillId="5" borderId="1" xfId="0" applyFont="1" applyFill="1" applyBorder="1"/>
    <xf numFmtId="0" fontId="0" fillId="3" borderId="9" xfId="0" applyFill="1" applyBorder="1"/>
    <xf numFmtId="0" fontId="0" fillId="3" borderId="0" xfId="0" applyFill="1"/>
    <xf numFmtId="1" fontId="0" fillId="0" borderId="1" xfId="0" applyNumberFormat="1" applyBorder="1" applyAlignment="1">
      <alignment horizontal="center"/>
    </xf>
    <xf numFmtId="0" fontId="3" fillId="0" borderId="1" xfId="0" applyFont="1" applyBorder="1" applyAlignment="1">
      <alignment horizontal="center"/>
    </xf>
    <xf numFmtId="2" fontId="0" fillId="0" borderId="1" xfId="0" applyNumberFormat="1" applyBorder="1"/>
    <xf numFmtId="0" fontId="1" fillId="0" borderId="1" xfId="0" applyFont="1" applyBorder="1" applyAlignment="1">
      <alignment horizontal="right" vertical="center"/>
    </xf>
    <xf numFmtId="0" fontId="0" fillId="0" borderId="5" xfId="0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/>
    </xf>
    <xf numFmtId="0" fontId="1" fillId="0" borderId="0" xfId="0" applyFont="1" applyAlignment="1">
      <alignment vertical="center"/>
    </xf>
    <xf numFmtId="0" fontId="0" fillId="2" borderId="1" xfId="0" applyFill="1" applyBorder="1" applyAlignment="1">
      <alignment horizontal="left" vertical="center"/>
    </xf>
    <xf numFmtId="1" fontId="0" fillId="5" borderId="1" xfId="0" applyNumberFormat="1" applyFill="1" applyBorder="1" applyAlignment="1">
      <alignment horizontal="center" vertical="center"/>
    </xf>
    <xf numFmtId="166" fontId="0" fillId="0" borderId="1" xfId="0" applyNumberFormat="1" applyBorder="1"/>
    <xf numFmtId="2" fontId="0" fillId="0" borderId="1" xfId="0" applyNumberFormat="1" applyBorder="1" applyAlignment="1">
      <alignment horizontal="center" vertical="center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/>
    <xf numFmtId="1" fontId="1" fillId="5" borderId="1" xfId="0" applyNumberFormat="1" applyFont="1" applyFill="1" applyBorder="1"/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0" fillId="2" borderId="1" xfId="0" applyFill="1" applyBorder="1"/>
    <xf numFmtId="2" fontId="0" fillId="0" borderId="0" xfId="0" applyNumberFormat="1"/>
    <xf numFmtId="0" fontId="0" fillId="0" borderId="0" xfId="0" applyAlignment="1">
      <alignment vertical="top" wrapText="1"/>
    </xf>
    <xf numFmtId="0" fontId="0" fillId="0" borderId="0" xfId="0" quotePrefix="1"/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 vertical="center" wrapText="1"/>
    </xf>
    <xf numFmtId="12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0" fillId="0" borderId="2" xfId="0" quotePrefix="1" applyNumberFormat="1" applyBorder="1" applyAlignment="1">
      <alignment horizontal="center" vertical="center"/>
    </xf>
    <xf numFmtId="0" fontId="0" fillId="0" borderId="2" xfId="0" quotePrefix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wrapText="1"/>
    </xf>
    <xf numFmtId="0" fontId="0" fillId="0" borderId="9" xfId="0" quotePrefix="1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9" xfId="0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wrapText="1"/>
    </xf>
    <xf numFmtId="164" fontId="0" fillId="5" borderId="1" xfId="0" applyNumberFormat="1" applyFill="1" applyBorder="1" applyAlignment="1">
      <alignment horizontal="center"/>
    </xf>
    <xf numFmtId="0" fontId="1" fillId="0" borderId="5" xfId="0" applyFont="1" applyBorder="1" applyAlignment="1">
      <alignment horizontal="right" vertical="center"/>
    </xf>
    <xf numFmtId="0" fontId="1" fillId="0" borderId="5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0" fillId="3" borderId="4" xfId="0" applyFill="1" applyBorder="1"/>
    <xf numFmtId="0" fontId="0" fillId="3" borderId="14" xfId="0" applyFill="1" applyBorder="1"/>
    <xf numFmtId="0" fontId="0" fillId="3" borderId="8" xfId="0" applyFill="1" applyBorder="1"/>
    <xf numFmtId="0" fontId="0" fillId="3" borderId="10" xfId="0" applyFill="1" applyBorder="1"/>
    <xf numFmtId="167" fontId="0" fillId="0" borderId="0" xfId="2" applyNumberFormat="1" applyFont="1"/>
    <xf numFmtId="10" fontId="0" fillId="0" borderId="0" xfId="2" applyNumberFormat="1" applyFont="1"/>
    <xf numFmtId="9" fontId="0" fillId="0" borderId="0" xfId="2" applyFont="1"/>
    <xf numFmtId="10" fontId="0" fillId="0" borderId="1" xfId="2" applyNumberFormat="1" applyFont="1" applyBorder="1" applyAlignment="1">
      <alignment horizontal="center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/>
    <xf numFmtId="0" fontId="1" fillId="3" borderId="9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wrapText="1"/>
    </xf>
    <xf numFmtId="0" fontId="0" fillId="3" borderId="9" xfId="0" applyFill="1" applyBorder="1" applyAlignment="1">
      <alignment horizontal="center" vertical="center"/>
    </xf>
    <xf numFmtId="0" fontId="0" fillId="3" borderId="9" xfId="0" applyFill="1" applyBorder="1" applyAlignment="1">
      <alignment horizontal="left" vertical="center"/>
    </xf>
    <xf numFmtId="0" fontId="0" fillId="3" borderId="9" xfId="0" quotePrefix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wrapText="1"/>
    </xf>
    <xf numFmtId="0" fontId="0" fillId="3" borderId="3" xfId="0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1" xfId="0" quotePrefix="1" applyFill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0" fillId="0" borderId="2" xfId="0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0" fillId="0" borderId="0" xfId="0" quotePrefix="1" applyAlignment="1">
      <alignment horizontal="left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165" fontId="0" fillId="2" borderId="1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wrapText="1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quotePrefix="1" applyAlignment="1">
      <alignment horizontal="left" vertical="center"/>
    </xf>
    <xf numFmtId="165" fontId="0" fillId="0" borderId="1" xfId="0" applyNumberForma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left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5" xfId="0" applyFont="1" applyBorder="1" applyAlignment="1">
      <alignment horizontal="right" vertical="center"/>
    </xf>
    <xf numFmtId="0" fontId="1" fillId="0" borderId="7" xfId="0" applyFont="1" applyBorder="1" applyAlignment="1">
      <alignment horizontal="right" vertical="center"/>
    </xf>
    <xf numFmtId="0" fontId="1" fillId="0" borderId="6" xfId="0" applyFont="1" applyBorder="1" applyAlignment="1">
      <alignment horizontal="right" vertical="center"/>
    </xf>
    <xf numFmtId="0" fontId="1" fillId="0" borderId="8" xfId="0" applyFont="1" applyBorder="1" applyAlignment="1">
      <alignment horizontal="right"/>
    </xf>
    <xf numFmtId="0" fontId="1" fillId="0" borderId="1" xfId="0" applyFont="1" applyBorder="1" applyAlignment="1">
      <alignment horizontal="right" vertical="center"/>
    </xf>
    <xf numFmtId="0" fontId="1" fillId="0" borderId="8" xfId="0" applyFont="1" applyBorder="1" applyAlignment="1">
      <alignment horizontal="right" vertical="center"/>
    </xf>
    <xf numFmtId="0" fontId="1" fillId="0" borderId="12" xfId="0" applyFont="1" applyBorder="1" applyAlignment="1">
      <alignment horizontal="right" vertical="center"/>
    </xf>
    <xf numFmtId="0" fontId="0" fillId="8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0" fontId="1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0" fontId="0" fillId="3" borderId="1" xfId="0" applyFill="1" applyBorder="1" applyAlignment="1">
      <alignment horizontal="left"/>
    </xf>
    <xf numFmtId="0" fontId="1" fillId="3" borderId="1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" fillId="5" borderId="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0" fillId="0" borderId="5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5" borderId="7" xfId="0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164" fontId="0" fillId="0" borderId="1" xfId="0" applyNumberFormat="1" applyBorder="1" applyAlignment="1">
      <alignment horizontal="center" vertical="center"/>
    </xf>
    <xf numFmtId="0" fontId="1" fillId="7" borderId="5" xfId="0" applyFont="1" applyFill="1" applyBorder="1" applyAlignment="1">
      <alignment horizontal="left"/>
    </xf>
    <xf numFmtId="0" fontId="1" fillId="7" borderId="7" xfId="0" applyFont="1" applyFill="1" applyBorder="1" applyAlignment="1">
      <alignment horizontal="left"/>
    </xf>
    <xf numFmtId="0" fontId="1" fillId="7" borderId="6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7" xfId="0" applyFont="1" applyFill="1" applyBorder="1" applyAlignment="1">
      <alignment horizontal="left"/>
    </xf>
    <xf numFmtId="0" fontId="1" fillId="3" borderId="6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0" fillId="3" borderId="1" xfId="0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right"/>
    </xf>
    <xf numFmtId="0" fontId="1" fillId="3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0" fillId="0" borderId="1" xfId="0" applyBorder="1" applyAlignment="1">
      <alignment horizontal="center" vertical="top"/>
    </xf>
    <xf numFmtId="0" fontId="0" fillId="0" borderId="0" xfId="0" applyAlignment="1">
      <alignment horizontal="center"/>
    </xf>
    <xf numFmtId="0" fontId="1" fillId="0" borderId="7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11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 vertical="center"/>
    </xf>
  </cellXfs>
  <cellStyles count="3">
    <cellStyle name="Comma 2" xfId="1" xr:uid="{822C7712-9B64-4696-A688-5F6F22214D7D}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image" Target="../media/image29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image" Target="../media/image29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image" Target="../media/image29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image" Target="../media/image29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image" Target="../media/image29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21771</xdr:colOff>
      <xdr:row>63</xdr:row>
      <xdr:rowOff>174171</xdr:rowOff>
    </xdr:from>
    <xdr:to>
      <xdr:col>6</xdr:col>
      <xdr:colOff>191879</xdr:colOff>
      <xdr:row>81</xdr:row>
      <xdr:rowOff>28578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7A4DE0-D500-DFFA-906B-F54BCB569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457" y="12017828"/>
          <a:ext cx="6553768" cy="3185436"/>
        </a:xfrm>
        <a:prstGeom prst="rect">
          <a:avLst/>
        </a:prstGeom>
      </xdr:spPr>
    </xdr:pic>
    <xdr:clientData/>
  </xdr:twoCellAnchor>
  <xdr:twoCellAnchor editAs="oneCell">
    <xdr:from>
      <xdr:col>6</xdr:col>
      <xdr:colOff>936172</xdr:colOff>
      <xdr:row>63</xdr:row>
      <xdr:rowOff>65314</xdr:rowOff>
    </xdr:from>
    <xdr:to>
      <xdr:col>11</xdr:col>
      <xdr:colOff>683985</xdr:colOff>
      <xdr:row>80</xdr:row>
      <xdr:rowOff>161305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68EB8D-2061-F2BC-7EBB-5339C2426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12429" y="11908971"/>
          <a:ext cx="5867399" cy="3241963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83</xdr:row>
      <xdr:rowOff>141514</xdr:rowOff>
    </xdr:from>
    <xdr:to>
      <xdr:col>5</xdr:col>
      <xdr:colOff>206963</xdr:colOff>
      <xdr:row>104</xdr:row>
      <xdr:rowOff>80886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DC3E303-0CF7-9F9B-A317-A0C1BA914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2515" y="19757571"/>
          <a:ext cx="4740051" cy="38255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8</xdr:col>
      <xdr:colOff>304800</xdr:colOff>
      <xdr:row>3</xdr:row>
      <xdr:rowOff>121920</xdr:rowOff>
    </xdr:to>
    <xdr:sp macro="" textlink="">
      <xdr:nvSpPr>
        <xdr:cNvPr id="15361" name="AutoShape 1">
          <a:extLst>
            <a:ext uri="{FF2B5EF4-FFF2-40B4-BE49-F238E27FC236}">
              <a16:creationId xmlns:a16="http://schemas.microsoft.com/office/drawing/2014/main" id="{759065C9-3E68-6195-C225-9736588FCC9F}"/>
            </a:ext>
          </a:extLst>
        </xdr:cNvPr>
        <xdr:cNvSpPr>
          <a:spLocks noChangeAspect="1" noChangeArrowheads="1"/>
        </xdr:cNvSpPr>
      </xdr:nvSpPr>
      <xdr:spPr bwMode="auto">
        <a:xfrm>
          <a:off x="7002780" y="3657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304800</xdr:colOff>
      <xdr:row>7</xdr:row>
      <xdr:rowOff>121920</xdr:rowOff>
    </xdr:to>
    <xdr:sp macro="" textlink="">
      <xdr:nvSpPr>
        <xdr:cNvPr id="15362" name="AutoShape 2" descr="tabel-pemakaian-air-rata-rata-orang-hari.webp (440×564)">
          <a:extLst>
            <a:ext uri="{FF2B5EF4-FFF2-40B4-BE49-F238E27FC236}">
              <a16:creationId xmlns:a16="http://schemas.microsoft.com/office/drawing/2014/main" id="{296E45F0-53CE-4152-5C37-6AC6DF86D215}"/>
            </a:ext>
          </a:extLst>
        </xdr:cNvPr>
        <xdr:cNvSpPr>
          <a:spLocks noChangeAspect="1" noChangeArrowheads="1"/>
        </xdr:cNvSpPr>
      </xdr:nvSpPr>
      <xdr:spPr bwMode="auto">
        <a:xfrm>
          <a:off x="7612380" y="1097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</xdr:row>
      <xdr:rowOff>0</xdr:rowOff>
    </xdr:from>
    <xdr:to>
      <xdr:col>10</xdr:col>
      <xdr:colOff>304800</xdr:colOff>
      <xdr:row>5</xdr:row>
      <xdr:rowOff>121920</xdr:rowOff>
    </xdr:to>
    <xdr:sp macro="" textlink="">
      <xdr:nvSpPr>
        <xdr:cNvPr id="15365" name="AutoShape 5">
          <a:extLst>
            <a:ext uri="{FF2B5EF4-FFF2-40B4-BE49-F238E27FC236}">
              <a16:creationId xmlns:a16="http://schemas.microsoft.com/office/drawing/2014/main" id="{369D20E2-AB37-8B5B-A14A-3A8B92084950}"/>
            </a:ext>
          </a:extLst>
        </xdr:cNvPr>
        <xdr:cNvSpPr>
          <a:spLocks noChangeAspect="1" noChangeArrowheads="1"/>
        </xdr:cNvSpPr>
      </xdr:nvSpPr>
      <xdr:spPr bwMode="auto">
        <a:xfrm>
          <a:off x="8221980" y="731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510541</xdr:colOff>
      <xdr:row>3</xdr:row>
      <xdr:rowOff>38100</xdr:rowOff>
    </xdr:from>
    <xdr:to>
      <xdr:col>15</xdr:col>
      <xdr:colOff>472350</xdr:colOff>
      <xdr:row>28</xdr:row>
      <xdr:rowOff>83820</xdr:rowOff>
    </xdr:to>
    <xdr:pic>
      <xdr:nvPicPr>
        <xdr:cNvPr id="4" name="Picture 51">
          <a:extLst>
            <a:ext uri="{FF2B5EF4-FFF2-40B4-BE49-F238E27FC236}">
              <a16:creationId xmlns:a16="http://schemas.microsoft.com/office/drawing/2014/main" id="{FAAEB6FA-DB12-1116-A2C4-B15ADBAFB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6481" y="586740"/>
          <a:ext cx="3602476" cy="461772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23</xdr:col>
      <xdr:colOff>1498117</xdr:colOff>
      <xdr:row>23</xdr:row>
      <xdr:rowOff>130721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90357C-9AC2-043B-6068-D996FC218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66533" y="558800"/>
          <a:ext cx="4198984" cy="3856054"/>
        </a:xfrm>
        <a:prstGeom prst="rect">
          <a:avLst/>
        </a:prstGeom>
      </xdr:spPr>
    </xdr:pic>
    <xdr:clientData/>
  </xdr:twoCellAnchor>
  <xdr:twoCellAnchor editAs="oneCell">
    <xdr:from>
      <xdr:col>24</xdr:col>
      <xdr:colOff>25400</xdr:colOff>
      <xdr:row>2</xdr:row>
      <xdr:rowOff>59269</xdr:rowOff>
    </xdr:from>
    <xdr:to>
      <xdr:col>29</xdr:col>
      <xdr:colOff>279400</xdr:colOff>
      <xdr:row>29</xdr:row>
      <xdr:rowOff>387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47FBF7-35B4-4D4E-909B-EF07DF75E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45400" y="431802"/>
          <a:ext cx="3302000" cy="497031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53789</xdr:colOff>
      <xdr:row>1</xdr:row>
      <xdr:rowOff>0</xdr:rowOff>
    </xdr:from>
    <xdr:to>
      <xdr:col>23</xdr:col>
      <xdr:colOff>145534</xdr:colOff>
      <xdr:row>33</xdr:row>
      <xdr:rowOff>26894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B8993D-867C-6D86-D9A1-F30640C68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28495" y="179294"/>
          <a:ext cx="3749345" cy="5934635"/>
        </a:xfrm>
        <a:prstGeom prst="rect">
          <a:avLst/>
        </a:prstGeom>
      </xdr:spPr>
    </xdr:pic>
    <xdr:clientData/>
  </xdr:twoCellAnchor>
  <xdr:twoCellAnchor editAs="oneCell">
    <xdr:from>
      <xdr:col>5</xdr:col>
      <xdr:colOff>403411</xdr:colOff>
      <xdr:row>43</xdr:row>
      <xdr:rowOff>53787</xdr:rowOff>
    </xdr:from>
    <xdr:to>
      <xdr:col>10</xdr:col>
      <xdr:colOff>384421</xdr:colOff>
      <xdr:row>50</xdr:row>
      <xdr:rowOff>89645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B31DFB-0600-5820-6A98-DE1DEFA06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835" y="7933763"/>
          <a:ext cx="3656539" cy="151503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55240</xdr:colOff>
      <xdr:row>3</xdr:row>
      <xdr:rowOff>83479</xdr:rowOff>
    </xdr:from>
    <xdr:to>
      <xdr:col>9</xdr:col>
      <xdr:colOff>477253</xdr:colOff>
      <xdr:row>5</xdr:row>
      <xdr:rowOff>123107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FCAF8C38-7B95-D691-9EDD-DD4DAEBF1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9829" y="636932"/>
          <a:ext cx="3241413" cy="4085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22860</xdr:colOff>
      <xdr:row>1</xdr:row>
      <xdr:rowOff>30480</xdr:rowOff>
    </xdr:from>
    <xdr:to>
      <xdr:col>23</xdr:col>
      <xdr:colOff>14030</xdr:colOff>
      <xdr:row>10</xdr:row>
      <xdr:rowOff>38100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6FDD5AC-D4A0-06FE-559A-E75D79D1F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5260" y="213360"/>
          <a:ext cx="2429570" cy="165354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7620</xdr:rowOff>
    </xdr:from>
    <xdr:to>
      <xdr:col>22</xdr:col>
      <xdr:colOff>579119</xdr:colOff>
      <xdr:row>19</xdr:row>
      <xdr:rowOff>65060</xdr:rowOff>
    </xdr:to>
    <xdr:pic>
      <xdr:nvPicPr>
        <xdr:cNvPr id="51" name="Picture 3">
          <a:extLst>
            <a:ext uri="{FF2B5EF4-FFF2-40B4-BE49-F238E27FC236}">
              <a16:creationId xmlns:a16="http://schemas.microsoft.com/office/drawing/2014/main" id="{87B047F6-8352-B147-2AA3-1231BD1B0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1836420"/>
          <a:ext cx="2407919" cy="15204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64</xdr:row>
      <xdr:rowOff>167639</xdr:rowOff>
    </xdr:from>
    <xdr:to>
      <xdr:col>4</xdr:col>
      <xdr:colOff>495300</xdr:colOff>
      <xdr:row>93</xdr:row>
      <xdr:rowOff>3884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CB8422-87CC-4B3B-BF90-9B5ACAB7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320" y="10843259"/>
          <a:ext cx="4076700" cy="5139765"/>
        </a:xfrm>
        <a:prstGeom prst="rect">
          <a:avLst/>
        </a:prstGeom>
      </xdr:spPr>
    </xdr:pic>
    <xdr:clientData/>
  </xdr:twoCellAnchor>
  <xdr:twoCellAnchor editAs="oneCell">
    <xdr:from>
      <xdr:col>6</xdr:col>
      <xdr:colOff>98611</xdr:colOff>
      <xdr:row>64</xdr:row>
      <xdr:rowOff>134473</xdr:rowOff>
    </xdr:from>
    <xdr:to>
      <xdr:col>9</xdr:col>
      <xdr:colOff>1798320</xdr:colOff>
      <xdr:row>84</xdr:row>
      <xdr:rowOff>2087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E360F-8F9C-42D6-B0C3-0E1E8A002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71651" y="10810093"/>
          <a:ext cx="4595309" cy="3525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252451</xdr:colOff>
      <xdr:row>64</xdr:row>
      <xdr:rowOff>173428</xdr:rowOff>
    </xdr:from>
    <xdr:to>
      <xdr:col>17</xdr:col>
      <xdr:colOff>305387</xdr:colOff>
      <xdr:row>89</xdr:row>
      <xdr:rowOff>65063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257A13-0D45-4EBC-B412-5B03F799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35044" y="11800984"/>
          <a:ext cx="4577899" cy="436015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143</xdr:row>
      <xdr:rowOff>167639</xdr:rowOff>
    </xdr:from>
    <xdr:to>
      <xdr:col>4</xdr:col>
      <xdr:colOff>304800</xdr:colOff>
      <xdr:row>172</xdr:row>
      <xdr:rowOff>3885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C2A70B-ACDD-4D35-BFB4-635D2D67B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" y="12054839"/>
          <a:ext cx="4076700" cy="5139765"/>
        </a:xfrm>
        <a:prstGeom prst="rect">
          <a:avLst/>
        </a:prstGeom>
      </xdr:spPr>
    </xdr:pic>
    <xdr:clientData/>
  </xdr:twoCellAnchor>
  <xdr:twoCellAnchor editAs="oneCell">
    <xdr:from>
      <xdr:col>6</xdr:col>
      <xdr:colOff>98611</xdr:colOff>
      <xdr:row>143</xdr:row>
      <xdr:rowOff>134473</xdr:rowOff>
    </xdr:from>
    <xdr:to>
      <xdr:col>9</xdr:col>
      <xdr:colOff>1135380</xdr:colOff>
      <xdr:row>163</xdr:row>
      <xdr:rowOff>2088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736CDA0-9940-4E85-B41A-AE13104D0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86991" y="12021673"/>
          <a:ext cx="4595309" cy="3525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252451</xdr:colOff>
      <xdr:row>143</xdr:row>
      <xdr:rowOff>173428</xdr:rowOff>
    </xdr:from>
    <xdr:to>
      <xdr:col>17</xdr:col>
      <xdr:colOff>259667</xdr:colOff>
      <xdr:row>168</xdr:row>
      <xdr:rowOff>65063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3BE40CC-FC31-4430-8DF7-67BA30976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44451" y="12060628"/>
          <a:ext cx="4571596" cy="446363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136</xdr:row>
      <xdr:rowOff>167639</xdr:rowOff>
    </xdr:from>
    <xdr:to>
      <xdr:col>5</xdr:col>
      <xdr:colOff>205740</xdr:colOff>
      <xdr:row>165</xdr:row>
      <xdr:rowOff>3884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001DC1C-82B3-4889-9928-1DDFE1E05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" y="12054839"/>
          <a:ext cx="4076700" cy="5139765"/>
        </a:xfrm>
        <a:prstGeom prst="rect">
          <a:avLst/>
        </a:prstGeom>
      </xdr:spPr>
    </xdr:pic>
    <xdr:clientData/>
  </xdr:twoCellAnchor>
  <xdr:twoCellAnchor editAs="oneCell">
    <xdr:from>
      <xdr:col>6</xdr:col>
      <xdr:colOff>98611</xdr:colOff>
      <xdr:row>136</xdr:row>
      <xdr:rowOff>134473</xdr:rowOff>
    </xdr:from>
    <xdr:to>
      <xdr:col>10</xdr:col>
      <xdr:colOff>525780</xdr:colOff>
      <xdr:row>156</xdr:row>
      <xdr:rowOff>2087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00657D9-3353-4F43-89C3-E37E6595D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86991" y="12021673"/>
          <a:ext cx="4595309" cy="3525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252451</xdr:colOff>
      <xdr:row>136</xdr:row>
      <xdr:rowOff>173428</xdr:rowOff>
    </xdr:from>
    <xdr:to>
      <xdr:col>17</xdr:col>
      <xdr:colOff>122507</xdr:colOff>
      <xdr:row>161</xdr:row>
      <xdr:rowOff>65063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010697-642A-427A-B82F-390A295CC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44451" y="12060628"/>
          <a:ext cx="4571596" cy="446363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122</xdr:row>
      <xdr:rowOff>167639</xdr:rowOff>
    </xdr:from>
    <xdr:to>
      <xdr:col>4</xdr:col>
      <xdr:colOff>933753</xdr:colOff>
      <xdr:row>151</xdr:row>
      <xdr:rowOff>3884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E65015-3074-4F91-8EA4-0702EFF28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320" y="25405079"/>
          <a:ext cx="4076700" cy="5139765"/>
        </a:xfrm>
        <a:prstGeom prst="rect">
          <a:avLst/>
        </a:prstGeom>
      </xdr:spPr>
    </xdr:pic>
    <xdr:clientData/>
  </xdr:twoCellAnchor>
  <xdr:twoCellAnchor editAs="oneCell">
    <xdr:from>
      <xdr:col>6</xdr:col>
      <xdr:colOff>98611</xdr:colOff>
      <xdr:row>122</xdr:row>
      <xdr:rowOff>134473</xdr:rowOff>
    </xdr:from>
    <xdr:to>
      <xdr:col>9</xdr:col>
      <xdr:colOff>1448646</xdr:colOff>
      <xdr:row>142</xdr:row>
      <xdr:rowOff>2087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7D65851-7992-42C9-9D6B-49201942D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5471" y="25371913"/>
          <a:ext cx="4595309" cy="3525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252451</xdr:colOff>
      <xdr:row>122</xdr:row>
      <xdr:rowOff>173428</xdr:rowOff>
    </xdr:from>
    <xdr:to>
      <xdr:col>16</xdr:col>
      <xdr:colOff>533986</xdr:colOff>
      <xdr:row>147</xdr:row>
      <xdr:rowOff>65063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3F93C7B-8442-4B35-8788-01756B22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07091" y="25410868"/>
          <a:ext cx="4571596" cy="446363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21</xdr:row>
      <xdr:rowOff>167639</xdr:rowOff>
    </xdr:from>
    <xdr:to>
      <xdr:col>4</xdr:col>
      <xdr:colOff>304800</xdr:colOff>
      <xdr:row>50</xdr:row>
      <xdr:rowOff>3885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4A2B1B-9619-40A1-8E48-D4AB088D2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" y="22837139"/>
          <a:ext cx="4076700" cy="5139765"/>
        </a:xfrm>
        <a:prstGeom prst="rect">
          <a:avLst/>
        </a:prstGeom>
      </xdr:spPr>
    </xdr:pic>
    <xdr:clientData/>
  </xdr:twoCellAnchor>
  <xdr:twoCellAnchor editAs="oneCell">
    <xdr:from>
      <xdr:col>6</xdr:col>
      <xdr:colOff>98611</xdr:colOff>
      <xdr:row>21</xdr:row>
      <xdr:rowOff>134473</xdr:rowOff>
    </xdr:from>
    <xdr:to>
      <xdr:col>9</xdr:col>
      <xdr:colOff>1363980</xdr:colOff>
      <xdr:row>41</xdr:row>
      <xdr:rowOff>2088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3AE5B2-1384-44A5-A904-59CA16CF0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4191" y="22803973"/>
          <a:ext cx="4595309" cy="3525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252451</xdr:colOff>
      <xdr:row>8</xdr:row>
      <xdr:rowOff>173428</xdr:rowOff>
    </xdr:from>
    <xdr:to>
      <xdr:col>16</xdr:col>
      <xdr:colOff>533987</xdr:colOff>
      <xdr:row>33</xdr:row>
      <xdr:rowOff>65063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CF3EF8-EA6B-431F-8296-9447C5A7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19811" y="22842928"/>
          <a:ext cx="4571596" cy="446363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20</xdr:row>
      <xdr:rowOff>167639</xdr:rowOff>
    </xdr:from>
    <xdr:to>
      <xdr:col>4</xdr:col>
      <xdr:colOff>304800</xdr:colOff>
      <xdr:row>49</xdr:row>
      <xdr:rowOff>3884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40D595-0D22-47FA-B811-5E5D717F8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" y="22837139"/>
          <a:ext cx="4076700" cy="5139765"/>
        </a:xfrm>
        <a:prstGeom prst="rect">
          <a:avLst/>
        </a:prstGeom>
      </xdr:spPr>
    </xdr:pic>
    <xdr:clientData/>
  </xdr:twoCellAnchor>
  <xdr:twoCellAnchor editAs="oneCell">
    <xdr:from>
      <xdr:col>6</xdr:col>
      <xdr:colOff>98611</xdr:colOff>
      <xdr:row>20</xdr:row>
      <xdr:rowOff>134473</xdr:rowOff>
    </xdr:from>
    <xdr:to>
      <xdr:col>9</xdr:col>
      <xdr:colOff>1363980</xdr:colOff>
      <xdr:row>40</xdr:row>
      <xdr:rowOff>2087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A0D6D7-C484-4822-A15E-B34087DEF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4191" y="22803973"/>
          <a:ext cx="4595309" cy="3525214"/>
        </a:xfrm>
        <a:prstGeom prst="rect">
          <a:avLst/>
        </a:prstGeom>
      </xdr:spPr>
    </xdr:pic>
    <xdr:clientData/>
  </xdr:twoCellAnchor>
  <xdr:twoCellAnchor editAs="oneCell">
    <xdr:from>
      <xdr:col>9</xdr:col>
      <xdr:colOff>2055851</xdr:colOff>
      <xdr:row>22</xdr:row>
      <xdr:rowOff>33866</xdr:rowOff>
    </xdr:from>
    <xdr:to>
      <xdr:col>14</xdr:col>
      <xdr:colOff>271520</xdr:colOff>
      <xdr:row>46</xdr:row>
      <xdr:rowOff>111768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1BC129-5420-4871-B26C-5631C9E45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27984" y="4309533"/>
          <a:ext cx="4574136" cy="45483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21771</xdr:colOff>
      <xdr:row>143</xdr:row>
      <xdr:rowOff>174171</xdr:rowOff>
    </xdr:from>
    <xdr:to>
      <xdr:col>6</xdr:col>
      <xdr:colOff>740519</xdr:colOff>
      <xdr:row>161</xdr:row>
      <xdr:rowOff>28577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2EC27B-151C-420A-9C2C-A15CC12F9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1" y="11878491"/>
          <a:ext cx="6548048" cy="3146247"/>
        </a:xfrm>
        <a:prstGeom prst="rect">
          <a:avLst/>
        </a:prstGeom>
      </xdr:spPr>
    </xdr:pic>
    <xdr:clientData/>
  </xdr:twoCellAnchor>
  <xdr:twoCellAnchor editAs="oneCell">
    <xdr:from>
      <xdr:col>6</xdr:col>
      <xdr:colOff>936172</xdr:colOff>
      <xdr:row>143</xdr:row>
      <xdr:rowOff>65314</xdr:rowOff>
    </xdr:from>
    <xdr:to>
      <xdr:col>11</xdr:col>
      <xdr:colOff>105590</xdr:colOff>
      <xdr:row>160</xdr:row>
      <xdr:rowOff>161305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DE14CA-9DFE-4DE4-B665-B2A240ACB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4552" y="11769634"/>
          <a:ext cx="5875018" cy="320495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165</xdr:row>
      <xdr:rowOff>141514</xdr:rowOff>
    </xdr:from>
    <xdr:to>
      <xdr:col>5</xdr:col>
      <xdr:colOff>77423</xdr:colOff>
      <xdr:row>186</xdr:row>
      <xdr:rowOff>80886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6FC4FC-70D7-44AA-AEAD-1B5B44343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869" y="19526794"/>
          <a:ext cx="4732154" cy="377985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99</xdr:row>
      <xdr:rowOff>72771</xdr:rowOff>
    </xdr:from>
    <xdr:to>
      <xdr:col>4</xdr:col>
      <xdr:colOff>1150322</xdr:colOff>
      <xdr:row>114</xdr:row>
      <xdr:rowOff>137161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3FCC788B-6165-47A0-853C-EFAD2AF68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406491"/>
          <a:ext cx="4404062" cy="280758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115</xdr:row>
      <xdr:rowOff>22860</xdr:rowOff>
    </xdr:from>
    <xdr:to>
      <xdr:col>5</xdr:col>
      <xdr:colOff>373811</xdr:colOff>
      <xdr:row>124</xdr:row>
      <xdr:rowOff>141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FD48AB7-10A8-C4F1-BCC9-ECBFF690F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460" y="21282660"/>
          <a:ext cx="4968671" cy="162320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72771</xdr:rowOff>
    </xdr:from>
    <xdr:to>
      <xdr:col>4</xdr:col>
      <xdr:colOff>982682</xdr:colOff>
      <xdr:row>148</xdr:row>
      <xdr:rowOff>137160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42F9B0-F79A-40BE-ACC3-B487C813C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406491"/>
          <a:ext cx="4404062" cy="280758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149</xdr:row>
      <xdr:rowOff>22860</xdr:rowOff>
    </xdr:from>
    <xdr:to>
      <xdr:col>5</xdr:col>
      <xdr:colOff>221411</xdr:colOff>
      <xdr:row>158</xdr:row>
      <xdr:rowOff>141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152E25-3401-448A-A12E-06E086E68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460" y="21282660"/>
          <a:ext cx="4968671" cy="162320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72771</xdr:rowOff>
    </xdr:from>
    <xdr:to>
      <xdr:col>4</xdr:col>
      <xdr:colOff>510242</xdr:colOff>
      <xdr:row>78</xdr:row>
      <xdr:rowOff>137160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2CFAFC-7155-4AAC-81F9-E3AF90F2A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406491"/>
          <a:ext cx="4404062" cy="2807589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79</xdr:row>
      <xdr:rowOff>22860</xdr:rowOff>
    </xdr:from>
    <xdr:to>
      <xdr:col>4</xdr:col>
      <xdr:colOff>1092631</xdr:colOff>
      <xdr:row>88</xdr:row>
      <xdr:rowOff>141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72A51F-3187-47C1-8941-0C7D2F202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460" y="21282660"/>
          <a:ext cx="4968671" cy="162320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80</xdr:row>
      <xdr:rowOff>0</xdr:rowOff>
    </xdr:from>
    <xdr:to>
      <xdr:col>5</xdr:col>
      <xdr:colOff>343258</xdr:colOff>
      <xdr:row>113</xdr:row>
      <xdr:rowOff>38626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B1567F-1563-7F09-02BA-CC42F6E26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4851380"/>
          <a:ext cx="4130398" cy="6073666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</xdr:colOff>
      <xdr:row>81</xdr:row>
      <xdr:rowOff>38100</xdr:rowOff>
    </xdr:from>
    <xdr:to>
      <xdr:col>10</xdr:col>
      <xdr:colOff>914751</xdr:colOff>
      <xdr:row>91</xdr:row>
      <xdr:rowOff>167810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60377DC-3637-543C-D5D5-2B980FC44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54980" y="15072360"/>
          <a:ext cx="4054191" cy="1958510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</xdr:colOff>
      <xdr:row>91</xdr:row>
      <xdr:rowOff>167640</xdr:rowOff>
    </xdr:from>
    <xdr:to>
      <xdr:col>10</xdr:col>
      <xdr:colOff>899507</xdr:colOff>
      <xdr:row>98</xdr:row>
      <xdr:rowOff>160130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6C4A1B1-2D17-07C2-E113-ABDA4F4B2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85460" y="17030700"/>
          <a:ext cx="4008467" cy="1272650"/>
        </a:xfrm>
        <a:prstGeom prst="rect">
          <a:avLst/>
        </a:prstGeom>
      </xdr:spPr>
    </xdr:pic>
    <xdr:clientData/>
  </xdr:twoCellAnchor>
  <xdr:twoCellAnchor editAs="oneCell">
    <xdr:from>
      <xdr:col>11</xdr:col>
      <xdr:colOff>861060</xdr:colOff>
      <xdr:row>81</xdr:row>
      <xdr:rowOff>99060</xdr:rowOff>
    </xdr:from>
    <xdr:to>
      <xdr:col>19</xdr:col>
      <xdr:colOff>560949</xdr:colOff>
      <xdr:row>95</xdr:row>
      <xdr:rowOff>149837</xdr:rowOff>
    </xdr:to>
    <xdr:pic>
      <xdr:nvPicPr>
        <xdr:cNvPr id="6" name="Picture 8">
          <a:extLst>
            <a:ext uri="{FF2B5EF4-FFF2-40B4-BE49-F238E27FC236}">
              <a16:creationId xmlns:a16="http://schemas.microsoft.com/office/drawing/2014/main" id="{A72A5449-0C8A-425C-95D4-BA039D6F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47020" y="15133320"/>
          <a:ext cx="6428349" cy="261109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271640</xdr:colOff>
      <xdr:row>0</xdr:row>
      <xdr:rowOff>0</xdr:rowOff>
    </xdr:from>
    <xdr:to>
      <xdr:col>7</xdr:col>
      <xdr:colOff>138564</xdr:colOff>
      <xdr:row>3</xdr:row>
      <xdr:rowOff>72880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A2EFDE16-A4B0-4A57-A274-EC308BE28442}"/>
            </a:ext>
          </a:extLst>
        </xdr:cNvPr>
        <xdr:cNvGrpSpPr>
          <a:grpSpLocks noChangeAspect="1"/>
        </xdr:cNvGrpSpPr>
      </xdr:nvGrpSpPr>
      <xdr:grpSpPr bwMode="auto">
        <a:xfrm>
          <a:off x="4287828" y="0"/>
          <a:ext cx="3936901" cy="610762"/>
          <a:chOff x="6594931" y="174468"/>
          <a:chExt cx="3827567" cy="756463"/>
        </a:xfrm>
      </xdr:grpSpPr>
      <xdr:grpSp>
        <xdr:nvGrpSpPr>
          <xdr:cNvPr id="3" name="Group 4">
            <a:extLst>
              <a:ext uri="{FF2B5EF4-FFF2-40B4-BE49-F238E27FC236}">
                <a16:creationId xmlns:a16="http://schemas.microsoft.com/office/drawing/2014/main" id="{DC777E22-2A6A-593D-C527-044A2ED11685}"/>
              </a:ext>
            </a:extLst>
          </xdr:cNvPr>
          <xdr:cNvGrpSpPr>
            <a:grpSpLocks/>
          </xdr:cNvGrpSpPr>
        </xdr:nvGrpSpPr>
        <xdr:grpSpPr bwMode="auto">
          <a:xfrm>
            <a:off x="6632680" y="174468"/>
            <a:ext cx="3789818" cy="696687"/>
            <a:chOff x="11177233" y="1640036"/>
            <a:chExt cx="3781140" cy="544040"/>
          </a:xfrm>
        </xdr:grpSpPr>
        <xdr:pic>
          <xdr:nvPicPr>
            <xdr:cNvPr id="6" name="Picture 526">
              <a:extLst>
                <a:ext uri="{FF2B5EF4-FFF2-40B4-BE49-F238E27FC236}">
                  <a16:creationId xmlns:a16="http://schemas.microsoft.com/office/drawing/2014/main" id="{0BD5EEA2-3942-49BB-D7CB-2F34A7718EEB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264844" y="1902954"/>
              <a:ext cx="1346310" cy="2811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3F927CF7-C6F3-A1C1-34EE-667D23A14D3B}"/>
                </a:ext>
              </a:extLst>
            </xdr:cNvPr>
            <xdr:cNvSpPr txBox="1"/>
          </xdr:nvSpPr>
          <xdr:spPr>
            <a:xfrm>
              <a:off x="11177233" y="1640036"/>
              <a:ext cx="3781140" cy="2344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n-US" sz="1100" b="1"/>
                <a:t>PEMBERI KERJA	</a:t>
              </a:r>
              <a:r>
                <a:rPr lang="en-US" sz="1100" b="1" baseline="0"/>
                <a:t>            </a:t>
              </a:r>
              <a:r>
                <a:rPr lang="en-US" sz="1100" b="1"/>
                <a:t> KONSULTAN</a:t>
              </a:r>
              <a:r>
                <a:rPr lang="en-US" sz="1100" b="1" baseline="0"/>
                <a:t> MK          KONTRAKTOR</a:t>
              </a:r>
              <a:endParaRPr lang="id-ID" sz="1100" b="1"/>
            </a:p>
          </xdr:txBody>
        </xdr:sp>
      </xdr:grpSp>
      <xdr:pic>
        <xdr:nvPicPr>
          <xdr:cNvPr id="4" name="Picture 1">
            <a:extLst>
              <a:ext uri="{FF2B5EF4-FFF2-40B4-BE49-F238E27FC236}">
                <a16:creationId xmlns:a16="http://schemas.microsoft.com/office/drawing/2014/main" id="{CAB9AEA7-5CFD-32E9-4D6B-4CF9BA7513C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260694" y="532673"/>
            <a:ext cx="739307" cy="36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2">
            <a:extLst>
              <a:ext uri="{FF2B5EF4-FFF2-40B4-BE49-F238E27FC236}">
                <a16:creationId xmlns:a16="http://schemas.microsoft.com/office/drawing/2014/main" id="{F81F51D5-DD22-DB36-E111-43916AD871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594931" y="498931"/>
            <a:ext cx="979476" cy="43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315576</xdr:colOff>
      <xdr:row>255</xdr:row>
      <xdr:rowOff>76970</xdr:rowOff>
    </xdr:from>
    <xdr:to>
      <xdr:col>6</xdr:col>
      <xdr:colOff>1118247</xdr:colOff>
      <xdr:row>268</xdr:row>
      <xdr:rowOff>91264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7E274CC-261A-4C4B-85A7-9F346C435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5576" y="48159170"/>
          <a:ext cx="7470171" cy="239173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271640</xdr:colOff>
      <xdr:row>0</xdr:row>
      <xdr:rowOff>0</xdr:rowOff>
    </xdr:from>
    <xdr:to>
      <xdr:col>7</xdr:col>
      <xdr:colOff>138564</xdr:colOff>
      <xdr:row>3</xdr:row>
      <xdr:rowOff>72880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DC9CD63A-60C1-4E86-ABCD-4561F3572109}"/>
            </a:ext>
          </a:extLst>
        </xdr:cNvPr>
        <xdr:cNvGrpSpPr>
          <a:grpSpLocks noChangeAspect="1"/>
        </xdr:cNvGrpSpPr>
      </xdr:nvGrpSpPr>
      <xdr:grpSpPr bwMode="auto">
        <a:xfrm>
          <a:off x="4287828" y="0"/>
          <a:ext cx="3936901" cy="610762"/>
          <a:chOff x="6594931" y="174468"/>
          <a:chExt cx="3827567" cy="756463"/>
        </a:xfrm>
      </xdr:grpSpPr>
      <xdr:grpSp>
        <xdr:nvGrpSpPr>
          <xdr:cNvPr id="3" name="Group 4">
            <a:extLst>
              <a:ext uri="{FF2B5EF4-FFF2-40B4-BE49-F238E27FC236}">
                <a16:creationId xmlns:a16="http://schemas.microsoft.com/office/drawing/2014/main" id="{19AAC733-B90A-C213-D2E7-E2F79446736A}"/>
              </a:ext>
            </a:extLst>
          </xdr:cNvPr>
          <xdr:cNvGrpSpPr>
            <a:grpSpLocks/>
          </xdr:cNvGrpSpPr>
        </xdr:nvGrpSpPr>
        <xdr:grpSpPr bwMode="auto">
          <a:xfrm>
            <a:off x="6632680" y="174468"/>
            <a:ext cx="3789818" cy="696687"/>
            <a:chOff x="11177233" y="1640036"/>
            <a:chExt cx="3781140" cy="544040"/>
          </a:xfrm>
        </xdr:grpSpPr>
        <xdr:pic>
          <xdr:nvPicPr>
            <xdr:cNvPr id="6" name="Picture 526">
              <a:extLst>
                <a:ext uri="{FF2B5EF4-FFF2-40B4-BE49-F238E27FC236}">
                  <a16:creationId xmlns:a16="http://schemas.microsoft.com/office/drawing/2014/main" id="{F8398014-0180-EE6A-C672-8667C3D98B1D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264844" y="1902954"/>
              <a:ext cx="1346310" cy="2811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850A9B66-009F-EB51-9D45-6FB2BE9F3BAC}"/>
                </a:ext>
              </a:extLst>
            </xdr:cNvPr>
            <xdr:cNvSpPr txBox="1"/>
          </xdr:nvSpPr>
          <xdr:spPr>
            <a:xfrm>
              <a:off x="11177233" y="1640036"/>
              <a:ext cx="3781140" cy="2344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n-US" sz="1100" b="1"/>
                <a:t>PEMBERI KERJA	</a:t>
              </a:r>
              <a:r>
                <a:rPr lang="en-US" sz="1100" b="1" baseline="0"/>
                <a:t>            </a:t>
              </a:r>
              <a:r>
                <a:rPr lang="en-US" sz="1100" b="1"/>
                <a:t> KONSULTAN</a:t>
              </a:r>
              <a:r>
                <a:rPr lang="en-US" sz="1100" b="1" baseline="0"/>
                <a:t> MK          KONTRAKTOR</a:t>
              </a:r>
              <a:endParaRPr lang="id-ID" sz="1100" b="1"/>
            </a:p>
          </xdr:txBody>
        </xdr:sp>
      </xdr:grpSp>
      <xdr:pic>
        <xdr:nvPicPr>
          <xdr:cNvPr id="4" name="Picture 1">
            <a:extLst>
              <a:ext uri="{FF2B5EF4-FFF2-40B4-BE49-F238E27FC236}">
                <a16:creationId xmlns:a16="http://schemas.microsoft.com/office/drawing/2014/main" id="{A9AA616C-ECEC-4423-3292-4DC3C2FB0E3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260694" y="532673"/>
            <a:ext cx="739307" cy="36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2">
            <a:extLst>
              <a:ext uri="{FF2B5EF4-FFF2-40B4-BE49-F238E27FC236}">
                <a16:creationId xmlns:a16="http://schemas.microsoft.com/office/drawing/2014/main" id="{C74C2ABF-4CAE-3867-6601-9C1F4248015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594931" y="498931"/>
            <a:ext cx="979476" cy="43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315576</xdr:colOff>
      <xdr:row>156</xdr:row>
      <xdr:rowOff>76970</xdr:rowOff>
    </xdr:from>
    <xdr:to>
      <xdr:col>6</xdr:col>
      <xdr:colOff>1118247</xdr:colOff>
      <xdr:row>169</xdr:row>
      <xdr:rowOff>91264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78B21B3-7C96-4266-BA5D-32DBFC07E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5576" y="29139650"/>
          <a:ext cx="7470171" cy="239173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271640</xdr:colOff>
      <xdr:row>0</xdr:row>
      <xdr:rowOff>0</xdr:rowOff>
    </xdr:from>
    <xdr:to>
      <xdr:col>7</xdr:col>
      <xdr:colOff>138564</xdr:colOff>
      <xdr:row>3</xdr:row>
      <xdr:rowOff>72880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F1B4411F-C888-486F-9ED7-F54796C9B4D2}"/>
            </a:ext>
          </a:extLst>
        </xdr:cNvPr>
        <xdr:cNvGrpSpPr>
          <a:grpSpLocks noChangeAspect="1"/>
        </xdr:cNvGrpSpPr>
      </xdr:nvGrpSpPr>
      <xdr:grpSpPr bwMode="auto">
        <a:xfrm>
          <a:off x="4180252" y="0"/>
          <a:ext cx="3936900" cy="610762"/>
          <a:chOff x="6594931" y="174468"/>
          <a:chExt cx="3827567" cy="756463"/>
        </a:xfrm>
      </xdr:grpSpPr>
      <xdr:grpSp>
        <xdr:nvGrpSpPr>
          <xdr:cNvPr id="3" name="Group 4">
            <a:extLst>
              <a:ext uri="{FF2B5EF4-FFF2-40B4-BE49-F238E27FC236}">
                <a16:creationId xmlns:a16="http://schemas.microsoft.com/office/drawing/2014/main" id="{435EF0CC-89BE-D3EA-38A9-2DAA79A2C8C9}"/>
              </a:ext>
            </a:extLst>
          </xdr:cNvPr>
          <xdr:cNvGrpSpPr>
            <a:grpSpLocks/>
          </xdr:cNvGrpSpPr>
        </xdr:nvGrpSpPr>
        <xdr:grpSpPr bwMode="auto">
          <a:xfrm>
            <a:off x="6632680" y="174468"/>
            <a:ext cx="3789818" cy="696687"/>
            <a:chOff x="11177233" y="1640036"/>
            <a:chExt cx="3781140" cy="544040"/>
          </a:xfrm>
        </xdr:grpSpPr>
        <xdr:pic>
          <xdr:nvPicPr>
            <xdr:cNvPr id="6" name="Picture 526">
              <a:extLst>
                <a:ext uri="{FF2B5EF4-FFF2-40B4-BE49-F238E27FC236}">
                  <a16:creationId xmlns:a16="http://schemas.microsoft.com/office/drawing/2014/main" id="{86790398-A3AC-3DA8-EE62-2F4D2F3C642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264844" y="1902954"/>
              <a:ext cx="1346310" cy="2811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683F9F1F-1715-93DE-C53C-196DC6C69E3C}"/>
                </a:ext>
              </a:extLst>
            </xdr:cNvPr>
            <xdr:cNvSpPr txBox="1"/>
          </xdr:nvSpPr>
          <xdr:spPr>
            <a:xfrm>
              <a:off x="11177233" y="1640036"/>
              <a:ext cx="3781140" cy="2344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n-US" sz="1100" b="1"/>
                <a:t>PEMBERI KERJA	</a:t>
              </a:r>
              <a:r>
                <a:rPr lang="en-US" sz="1100" b="1" baseline="0"/>
                <a:t>            </a:t>
              </a:r>
              <a:r>
                <a:rPr lang="en-US" sz="1100" b="1"/>
                <a:t> KONSULTAN</a:t>
              </a:r>
              <a:r>
                <a:rPr lang="en-US" sz="1100" b="1" baseline="0"/>
                <a:t> MK          KONTRAKTOR</a:t>
              </a:r>
              <a:endParaRPr lang="id-ID" sz="1100" b="1"/>
            </a:p>
          </xdr:txBody>
        </xdr:sp>
      </xdr:grpSp>
      <xdr:pic>
        <xdr:nvPicPr>
          <xdr:cNvPr id="4" name="Picture 1">
            <a:extLst>
              <a:ext uri="{FF2B5EF4-FFF2-40B4-BE49-F238E27FC236}">
                <a16:creationId xmlns:a16="http://schemas.microsoft.com/office/drawing/2014/main" id="{F7558C49-2C4A-2106-D7FA-88AFCF1158A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260694" y="532673"/>
            <a:ext cx="739307" cy="36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2">
            <a:extLst>
              <a:ext uri="{FF2B5EF4-FFF2-40B4-BE49-F238E27FC236}">
                <a16:creationId xmlns:a16="http://schemas.microsoft.com/office/drawing/2014/main" id="{B5A6B230-4576-50BB-1D83-C5CE5B89E0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594931" y="498931"/>
            <a:ext cx="979476" cy="43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315576</xdr:colOff>
      <xdr:row>232</xdr:row>
      <xdr:rowOff>76970</xdr:rowOff>
    </xdr:from>
    <xdr:to>
      <xdr:col>6</xdr:col>
      <xdr:colOff>1225823</xdr:colOff>
      <xdr:row>245</xdr:row>
      <xdr:rowOff>91264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4FED475-5965-452D-A2BB-967F93BBE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5576" y="43930070"/>
          <a:ext cx="7471067" cy="239173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271640</xdr:colOff>
      <xdr:row>0</xdr:row>
      <xdr:rowOff>0</xdr:rowOff>
    </xdr:from>
    <xdr:to>
      <xdr:col>7</xdr:col>
      <xdr:colOff>138564</xdr:colOff>
      <xdr:row>3</xdr:row>
      <xdr:rowOff>72880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B7557581-BB04-4085-AD6A-B88D3D695E26}"/>
            </a:ext>
          </a:extLst>
        </xdr:cNvPr>
        <xdr:cNvGrpSpPr>
          <a:grpSpLocks noChangeAspect="1"/>
        </xdr:cNvGrpSpPr>
      </xdr:nvGrpSpPr>
      <xdr:grpSpPr bwMode="auto">
        <a:xfrm>
          <a:off x="4287828" y="0"/>
          <a:ext cx="3936901" cy="610762"/>
          <a:chOff x="6594931" y="174468"/>
          <a:chExt cx="3827567" cy="756463"/>
        </a:xfrm>
      </xdr:grpSpPr>
      <xdr:grpSp>
        <xdr:nvGrpSpPr>
          <xdr:cNvPr id="3" name="Group 4">
            <a:extLst>
              <a:ext uri="{FF2B5EF4-FFF2-40B4-BE49-F238E27FC236}">
                <a16:creationId xmlns:a16="http://schemas.microsoft.com/office/drawing/2014/main" id="{FB30C75B-F7BF-A102-9871-474C2E90B08B}"/>
              </a:ext>
            </a:extLst>
          </xdr:cNvPr>
          <xdr:cNvGrpSpPr>
            <a:grpSpLocks/>
          </xdr:cNvGrpSpPr>
        </xdr:nvGrpSpPr>
        <xdr:grpSpPr bwMode="auto">
          <a:xfrm>
            <a:off x="6632680" y="174468"/>
            <a:ext cx="3789818" cy="696687"/>
            <a:chOff x="11177233" y="1640036"/>
            <a:chExt cx="3781140" cy="544040"/>
          </a:xfrm>
        </xdr:grpSpPr>
        <xdr:pic>
          <xdr:nvPicPr>
            <xdr:cNvPr id="6" name="Picture 526">
              <a:extLst>
                <a:ext uri="{FF2B5EF4-FFF2-40B4-BE49-F238E27FC236}">
                  <a16:creationId xmlns:a16="http://schemas.microsoft.com/office/drawing/2014/main" id="{F682F184-8530-1B95-3DD4-CFF66A954A14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264844" y="1902954"/>
              <a:ext cx="1346310" cy="2811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53480D7B-6ED9-81A9-3263-6271EFF72AD8}"/>
                </a:ext>
              </a:extLst>
            </xdr:cNvPr>
            <xdr:cNvSpPr txBox="1"/>
          </xdr:nvSpPr>
          <xdr:spPr>
            <a:xfrm>
              <a:off x="11177233" y="1640036"/>
              <a:ext cx="3781140" cy="2344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n-US" sz="1100" b="1"/>
                <a:t>PEMBERI KERJA	</a:t>
              </a:r>
              <a:r>
                <a:rPr lang="en-US" sz="1100" b="1" baseline="0"/>
                <a:t>            </a:t>
              </a:r>
              <a:r>
                <a:rPr lang="en-US" sz="1100" b="1"/>
                <a:t> KONSULTAN</a:t>
              </a:r>
              <a:r>
                <a:rPr lang="en-US" sz="1100" b="1" baseline="0"/>
                <a:t> MK          KONTRAKTOR</a:t>
              </a:r>
              <a:endParaRPr lang="id-ID" sz="1100" b="1"/>
            </a:p>
          </xdr:txBody>
        </xdr:sp>
      </xdr:grpSp>
      <xdr:pic>
        <xdr:nvPicPr>
          <xdr:cNvPr id="4" name="Picture 1">
            <a:extLst>
              <a:ext uri="{FF2B5EF4-FFF2-40B4-BE49-F238E27FC236}">
                <a16:creationId xmlns:a16="http://schemas.microsoft.com/office/drawing/2014/main" id="{F217AD17-F565-5AFB-A7A1-63750548339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260694" y="532673"/>
            <a:ext cx="739307" cy="36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2">
            <a:extLst>
              <a:ext uri="{FF2B5EF4-FFF2-40B4-BE49-F238E27FC236}">
                <a16:creationId xmlns:a16="http://schemas.microsoft.com/office/drawing/2014/main" id="{25A60467-76C5-31AA-81D3-9139D7A310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594931" y="498931"/>
            <a:ext cx="979476" cy="43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315576</xdr:colOff>
      <xdr:row>235</xdr:row>
      <xdr:rowOff>76970</xdr:rowOff>
    </xdr:from>
    <xdr:to>
      <xdr:col>6</xdr:col>
      <xdr:colOff>1118247</xdr:colOff>
      <xdr:row>248</xdr:row>
      <xdr:rowOff>91264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E049B95-F979-44B0-A69A-1384E7E43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5576" y="44135810"/>
          <a:ext cx="7470171" cy="239173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271640</xdr:colOff>
      <xdr:row>0</xdr:row>
      <xdr:rowOff>0</xdr:rowOff>
    </xdr:from>
    <xdr:to>
      <xdr:col>7</xdr:col>
      <xdr:colOff>138564</xdr:colOff>
      <xdr:row>3</xdr:row>
      <xdr:rowOff>72880</xdr:rowOff>
    </xdr:to>
    <xdr:grpSp>
      <xdr:nvGrpSpPr>
        <xdr:cNvPr id="2" name="Group 4">
          <a:extLst>
            <a:ext uri="{FF2B5EF4-FFF2-40B4-BE49-F238E27FC236}">
              <a16:creationId xmlns:a16="http://schemas.microsoft.com/office/drawing/2014/main" id="{D40B7CF7-79F3-4A45-A8C2-9153E4A3529C}"/>
            </a:ext>
          </a:extLst>
        </xdr:cNvPr>
        <xdr:cNvGrpSpPr>
          <a:grpSpLocks noChangeAspect="1"/>
        </xdr:cNvGrpSpPr>
      </xdr:nvGrpSpPr>
      <xdr:grpSpPr bwMode="auto">
        <a:xfrm>
          <a:off x="4287828" y="0"/>
          <a:ext cx="3936901" cy="610762"/>
          <a:chOff x="6594931" y="174468"/>
          <a:chExt cx="3827567" cy="756463"/>
        </a:xfrm>
      </xdr:grpSpPr>
      <xdr:grpSp>
        <xdr:nvGrpSpPr>
          <xdr:cNvPr id="3" name="Group 4">
            <a:extLst>
              <a:ext uri="{FF2B5EF4-FFF2-40B4-BE49-F238E27FC236}">
                <a16:creationId xmlns:a16="http://schemas.microsoft.com/office/drawing/2014/main" id="{307E0BA2-F57E-E230-905F-F559CF42CFE2}"/>
              </a:ext>
            </a:extLst>
          </xdr:cNvPr>
          <xdr:cNvGrpSpPr>
            <a:grpSpLocks/>
          </xdr:cNvGrpSpPr>
        </xdr:nvGrpSpPr>
        <xdr:grpSpPr bwMode="auto">
          <a:xfrm>
            <a:off x="6632680" y="174468"/>
            <a:ext cx="3789818" cy="696687"/>
            <a:chOff x="11177233" y="1640036"/>
            <a:chExt cx="3781140" cy="544040"/>
          </a:xfrm>
        </xdr:grpSpPr>
        <xdr:pic>
          <xdr:nvPicPr>
            <xdr:cNvPr id="6" name="Picture 526">
              <a:extLst>
                <a:ext uri="{FF2B5EF4-FFF2-40B4-BE49-F238E27FC236}">
                  <a16:creationId xmlns:a16="http://schemas.microsoft.com/office/drawing/2014/main" id="{7FD5D0C8-D600-29A9-AEA7-B19944042AD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264844" y="1902954"/>
              <a:ext cx="1346310" cy="2811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A626D14E-08F7-3FE3-EDBC-F85C35412C06}"/>
                </a:ext>
              </a:extLst>
            </xdr:cNvPr>
            <xdr:cNvSpPr txBox="1"/>
          </xdr:nvSpPr>
          <xdr:spPr>
            <a:xfrm>
              <a:off x="11177233" y="1640036"/>
              <a:ext cx="3781140" cy="23441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n-US" sz="1100" b="1"/>
                <a:t>PEMBERI KERJA	</a:t>
              </a:r>
              <a:r>
                <a:rPr lang="en-US" sz="1100" b="1" baseline="0"/>
                <a:t>            </a:t>
              </a:r>
              <a:r>
                <a:rPr lang="en-US" sz="1100" b="1"/>
                <a:t> KONSULTAN</a:t>
              </a:r>
              <a:r>
                <a:rPr lang="en-US" sz="1100" b="1" baseline="0"/>
                <a:t> MK          KONTRAKTOR</a:t>
              </a:r>
              <a:endParaRPr lang="id-ID" sz="1100" b="1"/>
            </a:p>
          </xdr:txBody>
        </xdr:sp>
      </xdr:grpSp>
      <xdr:pic>
        <xdr:nvPicPr>
          <xdr:cNvPr id="4" name="Picture 1">
            <a:extLst>
              <a:ext uri="{FF2B5EF4-FFF2-40B4-BE49-F238E27FC236}">
                <a16:creationId xmlns:a16="http://schemas.microsoft.com/office/drawing/2014/main" id="{5F9A3322-2865-E457-8EDC-65B5171E8A8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260694" y="532673"/>
            <a:ext cx="739307" cy="36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Picture 2">
            <a:extLst>
              <a:ext uri="{FF2B5EF4-FFF2-40B4-BE49-F238E27FC236}">
                <a16:creationId xmlns:a16="http://schemas.microsoft.com/office/drawing/2014/main" id="{9F5AF814-CD6A-6E5C-0E96-F35E5DDA539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594931" y="498931"/>
            <a:ext cx="979476" cy="43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315576</xdr:colOff>
      <xdr:row>66</xdr:row>
      <xdr:rowOff>76970</xdr:rowOff>
    </xdr:from>
    <xdr:to>
      <xdr:col>6</xdr:col>
      <xdr:colOff>1118247</xdr:colOff>
      <xdr:row>79</xdr:row>
      <xdr:rowOff>91264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444A7A6-F60E-4B25-9BFA-381B1BFC4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5576" y="12512810"/>
          <a:ext cx="7470171" cy="239173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6</xdr:row>
      <xdr:rowOff>0</xdr:rowOff>
    </xdr:from>
    <xdr:to>
      <xdr:col>27</xdr:col>
      <xdr:colOff>348760</xdr:colOff>
      <xdr:row>34</xdr:row>
      <xdr:rowOff>93617</xdr:rowOff>
    </xdr:to>
    <xdr:pic>
      <xdr:nvPicPr>
        <xdr:cNvPr id="2" name="Picture 51">
          <a:extLst>
            <a:ext uri="{FF2B5EF4-FFF2-40B4-BE49-F238E27FC236}">
              <a16:creationId xmlns:a16="http://schemas.microsoft.com/office/drawing/2014/main" id="{A843ECA9-CE5E-45DF-A61B-6DF0CD4B2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58657" y="1110343"/>
          <a:ext cx="4006360" cy="52142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21771</xdr:colOff>
      <xdr:row>135</xdr:row>
      <xdr:rowOff>174171</xdr:rowOff>
    </xdr:from>
    <xdr:to>
      <xdr:col>8</xdr:col>
      <xdr:colOff>100439</xdr:colOff>
      <xdr:row>153</xdr:row>
      <xdr:rowOff>28578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1F6A43-877E-4565-9F02-D6892DF2D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1" y="26508891"/>
          <a:ext cx="6548048" cy="3146247"/>
        </a:xfrm>
        <a:prstGeom prst="rect">
          <a:avLst/>
        </a:prstGeom>
      </xdr:spPr>
    </xdr:pic>
    <xdr:clientData/>
  </xdr:twoCellAnchor>
  <xdr:twoCellAnchor editAs="oneCell">
    <xdr:from>
      <xdr:col>6</xdr:col>
      <xdr:colOff>936172</xdr:colOff>
      <xdr:row>135</xdr:row>
      <xdr:rowOff>65314</xdr:rowOff>
    </xdr:from>
    <xdr:to>
      <xdr:col>12</xdr:col>
      <xdr:colOff>593270</xdr:colOff>
      <xdr:row>152</xdr:row>
      <xdr:rowOff>161305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3BC433-3E1A-43BE-A0C9-3E232DA29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85512" y="26400034"/>
          <a:ext cx="5875018" cy="320495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156</xdr:row>
      <xdr:rowOff>141514</xdr:rowOff>
    </xdr:from>
    <xdr:to>
      <xdr:col>6</xdr:col>
      <xdr:colOff>191723</xdr:colOff>
      <xdr:row>177</xdr:row>
      <xdr:rowOff>80886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557C36-193D-4404-9CF3-6F16D2ADE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869" y="34157194"/>
          <a:ext cx="4732154" cy="377985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</xdr:colOff>
      <xdr:row>2</xdr:row>
      <xdr:rowOff>121921</xdr:rowOff>
    </xdr:from>
    <xdr:to>
      <xdr:col>12</xdr:col>
      <xdr:colOff>133193</xdr:colOff>
      <xdr:row>34</xdr:row>
      <xdr:rowOff>15241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4B6DCA-FBFB-7482-C31D-213A5C1BA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" y="487681"/>
          <a:ext cx="6175853" cy="5745480"/>
        </a:xfrm>
        <a:prstGeom prst="rect">
          <a:avLst/>
        </a:prstGeom>
      </xdr:spPr>
    </xdr:pic>
    <xdr:clientData/>
  </xdr:twoCellAnchor>
  <xdr:twoCellAnchor editAs="oneCell">
    <xdr:from>
      <xdr:col>16</xdr:col>
      <xdr:colOff>480060</xdr:colOff>
      <xdr:row>1</xdr:row>
      <xdr:rowOff>99060</xdr:rowOff>
    </xdr:from>
    <xdr:to>
      <xdr:col>26</xdr:col>
      <xdr:colOff>350520</xdr:colOff>
      <xdr:row>36</xdr:row>
      <xdr:rowOff>64938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150122-9C6A-F33F-6EA7-7B6B7EB27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3660" y="281940"/>
          <a:ext cx="5966460" cy="6366678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</xdr:colOff>
      <xdr:row>47</xdr:row>
      <xdr:rowOff>175260</xdr:rowOff>
    </xdr:from>
    <xdr:to>
      <xdr:col>19</xdr:col>
      <xdr:colOff>365760</xdr:colOff>
      <xdr:row>89</xdr:row>
      <xdr:rowOff>118109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01368F-2C4E-16AF-C835-831B0DD06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" y="8770620"/>
          <a:ext cx="10675620" cy="762380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160020</xdr:colOff>
      <xdr:row>0</xdr:row>
      <xdr:rowOff>160020</xdr:rowOff>
    </xdr:from>
    <xdr:to>
      <xdr:col>17</xdr:col>
      <xdr:colOff>68582</xdr:colOff>
      <xdr:row>19</xdr:row>
      <xdr:rowOff>106989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0E1F81-FF97-E3E0-F3C3-D49224A2D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6420" y="160020"/>
          <a:ext cx="4785362" cy="3421689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15241</xdr:colOff>
      <xdr:row>1</xdr:row>
      <xdr:rowOff>15240</xdr:rowOff>
    </xdr:from>
    <xdr:to>
      <xdr:col>24</xdr:col>
      <xdr:colOff>425473</xdr:colOff>
      <xdr:row>15</xdr:row>
      <xdr:rowOff>60960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F18C29-9662-FADA-58EA-BB2809CF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88041" y="198120"/>
          <a:ext cx="4067832" cy="26060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21771</xdr:colOff>
      <xdr:row>122</xdr:row>
      <xdr:rowOff>174171</xdr:rowOff>
    </xdr:from>
    <xdr:to>
      <xdr:col>6</xdr:col>
      <xdr:colOff>344279</xdr:colOff>
      <xdr:row>140</xdr:row>
      <xdr:rowOff>28578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5C35EC-0D0C-4DFD-A871-CF242FAC5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1" y="25289691"/>
          <a:ext cx="6548048" cy="3146247"/>
        </a:xfrm>
        <a:prstGeom prst="rect">
          <a:avLst/>
        </a:prstGeom>
      </xdr:spPr>
    </xdr:pic>
    <xdr:clientData/>
  </xdr:twoCellAnchor>
  <xdr:twoCellAnchor editAs="oneCell">
    <xdr:from>
      <xdr:col>6</xdr:col>
      <xdr:colOff>936172</xdr:colOff>
      <xdr:row>122</xdr:row>
      <xdr:rowOff>65314</xdr:rowOff>
    </xdr:from>
    <xdr:to>
      <xdr:col>11</xdr:col>
      <xdr:colOff>189858</xdr:colOff>
      <xdr:row>139</xdr:row>
      <xdr:rowOff>161305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1D651F-E054-4449-A640-C4C1F0141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3732" y="25180834"/>
          <a:ext cx="5875018" cy="320495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144</xdr:row>
      <xdr:rowOff>141514</xdr:rowOff>
    </xdr:from>
    <xdr:to>
      <xdr:col>4</xdr:col>
      <xdr:colOff>1121363</xdr:colOff>
      <xdr:row>165</xdr:row>
      <xdr:rowOff>80885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A1EDAF8-94FC-4AE0-8482-9EED91F6D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869" y="32937994"/>
          <a:ext cx="4732154" cy="37798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21771</xdr:colOff>
      <xdr:row>20</xdr:row>
      <xdr:rowOff>174171</xdr:rowOff>
    </xdr:from>
    <xdr:to>
      <xdr:col>6</xdr:col>
      <xdr:colOff>847199</xdr:colOff>
      <xdr:row>38</xdr:row>
      <xdr:rowOff>28578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4CC3BF-0440-4AB7-A338-3DC09FC98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1" y="11878491"/>
          <a:ext cx="6548048" cy="3146247"/>
        </a:xfrm>
        <a:prstGeom prst="rect">
          <a:avLst/>
        </a:prstGeom>
      </xdr:spPr>
    </xdr:pic>
    <xdr:clientData/>
  </xdr:twoCellAnchor>
  <xdr:twoCellAnchor editAs="oneCell">
    <xdr:from>
      <xdr:col>6</xdr:col>
      <xdr:colOff>936172</xdr:colOff>
      <xdr:row>20</xdr:row>
      <xdr:rowOff>65314</xdr:rowOff>
    </xdr:from>
    <xdr:to>
      <xdr:col>13</xdr:col>
      <xdr:colOff>93936</xdr:colOff>
      <xdr:row>37</xdr:row>
      <xdr:rowOff>161305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B93D9E-67E6-422A-87F8-7F2E60622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4552" y="11769634"/>
          <a:ext cx="5875018" cy="320495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</xdr:row>
      <xdr:rowOff>141514</xdr:rowOff>
    </xdr:from>
    <xdr:to>
      <xdr:col>5</xdr:col>
      <xdr:colOff>153623</xdr:colOff>
      <xdr:row>62</xdr:row>
      <xdr:rowOff>80888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63397E1-9283-4826-BB69-C9AA3700F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869" y="19526794"/>
          <a:ext cx="4732154" cy="37798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21771</xdr:colOff>
      <xdr:row>19</xdr:row>
      <xdr:rowOff>174171</xdr:rowOff>
    </xdr:from>
    <xdr:to>
      <xdr:col>6</xdr:col>
      <xdr:colOff>755759</xdr:colOff>
      <xdr:row>37</xdr:row>
      <xdr:rowOff>28577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0D3AE2-BEFF-4999-B363-2534E03E5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1" y="11878491"/>
          <a:ext cx="6548048" cy="3146247"/>
        </a:xfrm>
        <a:prstGeom prst="rect">
          <a:avLst/>
        </a:prstGeom>
      </xdr:spPr>
    </xdr:pic>
    <xdr:clientData/>
  </xdr:twoCellAnchor>
  <xdr:twoCellAnchor editAs="oneCell">
    <xdr:from>
      <xdr:col>6</xdr:col>
      <xdr:colOff>936172</xdr:colOff>
      <xdr:row>19</xdr:row>
      <xdr:rowOff>65314</xdr:rowOff>
    </xdr:from>
    <xdr:to>
      <xdr:col>12</xdr:col>
      <xdr:colOff>605821</xdr:colOff>
      <xdr:row>36</xdr:row>
      <xdr:rowOff>161305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932C15-1A74-48B9-898E-D532229A3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4552" y="11769634"/>
          <a:ext cx="5875018" cy="320495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40</xdr:row>
      <xdr:rowOff>141514</xdr:rowOff>
    </xdr:from>
    <xdr:to>
      <xdr:col>5</xdr:col>
      <xdr:colOff>153623</xdr:colOff>
      <xdr:row>61</xdr:row>
      <xdr:rowOff>80885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3B6DC14-6A5D-470C-97C5-6DDC62C9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6869" y="19526794"/>
          <a:ext cx="4732154" cy="37798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494770</xdr:colOff>
      <xdr:row>1</xdr:row>
      <xdr:rowOff>110365</xdr:rowOff>
    </xdr:from>
    <xdr:to>
      <xdr:col>17</xdr:col>
      <xdr:colOff>563517</xdr:colOff>
      <xdr:row>16</xdr:row>
      <xdr:rowOff>156741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39156AF6-E5D8-DFB0-0C9B-5024EFBCB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59001" y="291794"/>
          <a:ext cx="3726347" cy="2789576"/>
        </a:xfrm>
        <a:prstGeom prst="rect">
          <a:avLst/>
        </a:prstGeom>
      </xdr:spPr>
    </xdr:pic>
    <xdr:clientData/>
  </xdr:twoCellAnchor>
  <xdr:oneCellAnchor>
    <xdr:from>
      <xdr:col>11</xdr:col>
      <xdr:colOff>598714</xdr:colOff>
      <xdr:row>22</xdr:row>
      <xdr:rowOff>32657</xdr:rowOff>
    </xdr:from>
    <xdr:ext cx="3741420" cy="2831556"/>
    <xdr:pic>
      <xdr:nvPicPr>
        <xdr:cNvPr id="32" name="Picture 2">
          <a:extLst>
            <a:ext uri="{FF2B5EF4-FFF2-40B4-BE49-F238E27FC236}">
              <a16:creationId xmlns:a16="http://schemas.microsoft.com/office/drawing/2014/main" id="{310F4024-8C3C-4CEB-9F0D-1B3AB4F2B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2257" y="4283528"/>
          <a:ext cx="3741420" cy="2831556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44</xdr:row>
      <xdr:rowOff>0</xdr:rowOff>
    </xdr:from>
    <xdr:ext cx="3741420" cy="2831556"/>
    <xdr:pic>
      <xdr:nvPicPr>
        <xdr:cNvPr id="6" name="Picture 2">
          <a:extLst>
            <a:ext uri="{FF2B5EF4-FFF2-40B4-BE49-F238E27FC236}">
              <a16:creationId xmlns:a16="http://schemas.microsoft.com/office/drawing/2014/main" id="{8CEB027B-24DF-4F50-891A-19C35BCD1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15200" y="4023360"/>
          <a:ext cx="3741420" cy="2831556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65</xdr:row>
      <xdr:rowOff>0</xdr:rowOff>
    </xdr:from>
    <xdr:ext cx="3741420" cy="2831556"/>
    <xdr:pic>
      <xdr:nvPicPr>
        <xdr:cNvPr id="7" name="Picture 2">
          <a:extLst>
            <a:ext uri="{FF2B5EF4-FFF2-40B4-BE49-F238E27FC236}">
              <a16:creationId xmlns:a16="http://schemas.microsoft.com/office/drawing/2014/main" id="{5D55669F-BF55-4F46-9DF9-AE8E7A9BF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2413" y="11763375"/>
          <a:ext cx="3741420" cy="2831556"/>
        </a:xfrm>
        <a:prstGeom prst="rect">
          <a:avLst/>
        </a:prstGeom>
      </xdr:spPr>
    </xdr:pic>
    <xdr:clientData/>
  </xdr:oneCellAnchor>
  <xdr:twoCellAnchor>
    <xdr:from>
      <xdr:col>13</xdr:col>
      <xdr:colOff>534737</xdr:colOff>
      <xdr:row>10</xdr:row>
      <xdr:rowOff>156633</xdr:rowOff>
    </xdr:from>
    <xdr:to>
      <xdr:col>13</xdr:col>
      <xdr:colOff>537634</xdr:colOff>
      <xdr:row>15</xdr:row>
      <xdr:rowOff>48795</xdr:rowOff>
    </xdr:to>
    <xdr:cxnSp macro="">
      <xdr:nvCxnSpPr>
        <xdr:cNvPr id="10" name="Straight Connector 46">
          <a:extLst>
            <a:ext uri="{FF2B5EF4-FFF2-40B4-BE49-F238E27FC236}">
              <a16:creationId xmlns:a16="http://schemas.microsoft.com/office/drawing/2014/main" id="{A9C46CE3-8DA9-CA8E-4535-1B7420E2B7DC}"/>
            </a:ext>
          </a:extLst>
        </xdr:cNvPr>
        <xdr:cNvCxnSpPr/>
      </xdr:nvCxnSpPr>
      <xdr:spPr>
        <a:xfrm flipV="1">
          <a:off x="9416270" y="2159000"/>
          <a:ext cx="2897" cy="802328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423334</xdr:colOff>
      <xdr:row>10</xdr:row>
      <xdr:rowOff>152400</xdr:rowOff>
    </xdr:from>
    <xdr:to>
      <xdr:col>13</xdr:col>
      <xdr:colOff>546100</xdr:colOff>
      <xdr:row>10</xdr:row>
      <xdr:rowOff>156633</xdr:rowOff>
    </xdr:to>
    <xdr:cxnSp macro="">
      <xdr:nvCxnSpPr>
        <xdr:cNvPr id="14" name="Straight Connector 48">
          <a:extLst>
            <a:ext uri="{FF2B5EF4-FFF2-40B4-BE49-F238E27FC236}">
              <a16:creationId xmlns:a16="http://schemas.microsoft.com/office/drawing/2014/main" id="{0F5022AD-B4F6-E092-C517-C7502F0596E0}"/>
            </a:ext>
          </a:extLst>
        </xdr:cNvPr>
        <xdr:cNvCxnSpPr/>
      </xdr:nvCxnSpPr>
      <xdr:spPr>
        <a:xfrm flipV="1">
          <a:off x="8695267" y="2154767"/>
          <a:ext cx="732366" cy="4233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90714</xdr:colOff>
      <xdr:row>48</xdr:row>
      <xdr:rowOff>152400</xdr:rowOff>
    </xdr:from>
    <xdr:to>
      <xdr:col>16</xdr:col>
      <xdr:colOff>101600</xdr:colOff>
      <xdr:row>57</xdr:row>
      <xdr:rowOff>107406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9589F0D7-5012-EB03-79BF-BB43C1927C1A}"/>
            </a:ext>
          </a:extLst>
        </xdr:cNvPr>
        <xdr:cNvCxnSpPr/>
      </xdr:nvCxnSpPr>
      <xdr:spPr>
        <a:xfrm flipV="1">
          <a:off x="10809514" y="9113520"/>
          <a:ext cx="10886" cy="1600926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421640</xdr:colOff>
      <xdr:row>48</xdr:row>
      <xdr:rowOff>142237</xdr:rowOff>
    </xdr:from>
    <xdr:to>
      <xdr:col>16</xdr:col>
      <xdr:colOff>101600</xdr:colOff>
      <xdr:row>48</xdr:row>
      <xdr:rowOff>157840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146F28B1-AA54-E455-3F50-A389DE407887}"/>
            </a:ext>
          </a:extLst>
        </xdr:cNvPr>
        <xdr:cNvCxnSpPr/>
      </xdr:nvCxnSpPr>
      <xdr:spPr>
        <a:xfrm flipH="1" flipV="1">
          <a:off x="8694783" y="9035866"/>
          <a:ext cx="2118360" cy="15603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109646</xdr:colOff>
      <xdr:row>28</xdr:row>
      <xdr:rowOff>132367</xdr:rowOff>
    </xdr:from>
    <xdr:to>
      <xdr:col>15</xdr:col>
      <xdr:colOff>118057</xdr:colOff>
      <xdr:row>35</xdr:row>
      <xdr:rowOff>150853</xdr:rowOff>
    </xdr:to>
    <xdr:cxnSp macro="">
      <xdr:nvCxnSpPr>
        <xdr:cNvPr id="70" name="Straight Connector 61">
          <a:extLst>
            <a:ext uri="{FF2B5EF4-FFF2-40B4-BE49-F238E27FC236}">
              <a16:creationId xmlns:a16="http://schemas.microsoft.com/office/drawing/2014/main" id="{6985D070-5F6D-FAEB-5331-E428A5C1D9ED}"/>
            </a:ext>
          </a:extLst>
        </xdr:cNvPr>
        <xdr:cNvCxnSpPr/>
      </xdr:nvCxnSpPr>
      <xdr:spPr>
        <a:xfrm flipV="1">
          <a:off x="10194519" y="5423437"/>
          <a:ext cx="8411" cy="1295641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508635</xdr:colOff>
      <xdr:row>28</xdr:row>
      <xdr:rowOff>144949</xdr:rowOff>
    </xdr:from>
    <xdr:to>
      <xdr:col>15</xdr:col>
      <xdr:colOff>125847</xdr:colOff>
      <xdr:row>28</xdr:row>
      <xdr:rowOff>147101</xdr:rowOff>
    </xdr:to>
    <xdr:cxnSp macro="">
      <xdr:nvCxnSpPr>
        <xdr:cNvPr id="67" name="Straight Connector 65">
          <a:extLst>
            <a:ext uri="{FF2B5EF4-FFF2-40B4-BE49-F238E27FC236}">
              <a16:creationId xmlns:a16="http://schemas.microsoft.com/office/drawing/2014/main" id="{9BB53E38-072D-7F2D-3E44-7F3BB3202DC9}"/>
            </a:ext>
          </a:extLst>
        </xdr:cNvPr>
        <xdr:cNvCxnSpPr/>
      </xdr:nvCxnSpPr>
      <xdr:spPr>
        <a:xfrm>
          <a:off x="8769001" y="5436019"/>
          <a:ext cx="1441719" cy="215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593272</xdr:colOff>
      <xdr:row>98</xdr:row>
      <xdr:rowOff>104273</xdr:rowOff>
    </xdr:from>
    <xdr:to>
      <xdr:col>12</xdr:col>
      <xdr:colOff>593558</xdr:colOff>
      <xdr:row>99</xdr:row>
      <xdr:rowOff>92529</xdr:rowOff>
    </xdr:to>
    <xdr:cxnSp macro="">
      <xdr:nvCxnSpPr>
        <xdr:cNvPr id="115" name="Straight Connector 72">
          <a:extLst>
            <a:ext uri="{FF2B5EF4-FFF2-40B4-BE49-F238E27FC236}">
              <a16:creationId xmlns:a16="http://schemas.microsoft.com/office/drawing/2014/main" id="{EC3831CF-315F-3C16-4E18-5D9BA472545E}"/>
            </a:ext>
          </a:extLst>
        </xdr:cNvPr>
        <xdr:cNvCxnSpPr/>
      </xdr:nvCxnSpPr>
      <xdr:spPr>
        <a:xfrm flipV="1">
          <a:off x="8463643" y="18239873"/>
          <a:ext cx="286" cy="173313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521368</xdr:colOff>
      <xdr:row>98</xdr:row>
      <xdr:rowOff>120315</xdr:rowOff>
    </xdr:from>
    <xdr:to>
      <xdr:col>12</xdr:col>
      <xdr:colOff>589547</xdr:colOff>
      <xdr:row>98</xdr:row>
      <xdr:rowOff>120315</xdr:rowOff>
    </xdr:to>
    <xdr:cxnSp macro="">
      <xdr:nvCxnSpPr>
        <xdr:cNvPr id="114" name="Straight Connector 74">
          <a:extLst>
            <a:ext uri="{FF2B5EF4-FFF2-40B4-BE49-F238E27FC236}">
              <a16:creationId xmlns:a16="http://schemas.microsoft.com/office/drawing/2014/main" id="{4BF41C1B-8A13-65F9-D3B3-B841F2FB0370}"/>
            </a:ext>
          </a:extLst>
        </xdr:cNvPr>
        <xdr:cNvCxnSpPr/>
      </xdr:nvCxnSpPr>
      <xdr:spPr>
        <a:xfrm>
          <a:off x="7836568" y="18199768"/>
          <a:ext cx="68179" cy="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94682</xdr:colOff>
      <xdr:row>69</xdr:row>
      <xdr:rowOff>137160</xdr:rowOff>
    </xdr:from>
    <xdr:to>
      <xdr:col>16</xdr:col>
      <xdr:colOff>101600</xdr:colOff>
      <xdr:row>78</xdr:row>
      <xdr:rowOff>109479</xdr:rowOff>
    </xdr:to>
    <xdr:cxnSp macro="">
      <xdr:nvCxnSpPr>
        <xdr:cNvPr id="76" name="Straight Connector 75">
          <a:extLst>
            <a:ext uri="{FF2B5EF4-FFF2-40B4-BE49-F238E27FC236}">
              <a16:creationId xmlns:a16="http://schemas.microsoft.com/office/drawing/2014/main" id="{7EFE5A98-F266-697E-68B3-A866C80DF066}"/>
            </a:ext>
          </a:extLst>
        </xdr:cNvPr>
        <xdr:cNvCxnSpPr/>
      </xdr:nvCxnSpPr>
      <xdr:spPr>
        <a:xfrm flipV="1">
          <a:off x="10813482" y="12938760"/>
          <a:ext cx="6918" cy="1618239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477520</xdr:colOff>
      <xdr:row>69</xdr:row>
      <xdr:rowOff>137160</xdr:rowOff>
    </xdr:from>
    <xdr:to>
      <xdr:col>16</xdr:col>
      <xdr:colOff>91943</xdr:colOff>
      <xdr:row>69</xdr:row>
      <xdr:rowOff>142440</xdr:rowOff>
    </xdr:to>
    <xdr:cxnSp macro="">
      <xdr:nvCxnSpPr>
        <xdr:cNvPr id="78" name="Straight Connector 77">
          <a:extLst>
            <a:ext uri="{FF2B5EF4-FFF2-40B4-BE49-F238E27FC236}">
              <a16:creationId xmlns:a16="http://schemas.microsoft.com/office/drawing/2014/main" id="{CD8D62DB-3CDC-31B5-7EFF-1555540F9957}"/>
            </a:ext>
          </a:extLst>
        </xdr:cNvPr>
        <xdr:cNvCxnSpPr/>
      </xdr:nvCxnSpPr>
      <xdr:spPr>
        <a:xfrm flipH="1" flipV="1">
          <a:off x="8757920" y="12938760"/>
          <a:ext cx="2052823" cy="5280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436359</xdr:colOff>
      <xdr:row>104</xdr:row>
      <xdr:rowOff>13025</xdr:rowOff>
    </xdr:from>
    <xdr:to>
      <xdr:col>17</xdr:col>
      <xdr:colOff>200080</xdr:colOff>
      <xdr:row>121</xdr:row>
      <xdr:rowOff>115716</xdr:rowOff>
    </xdr:to>
    <xdr:pic>
      <xdr:nvPicPr>
        <xdr:cNvPr id="170" name="Picture 97">
          <a:extLst>
            <a:ext uri="{FF2B5EF4-FFF2-40B4-BE49-F238E27FC236}">
              <a16:creationId xmlns:a16="http://schemas.microsoft.com/office/drawing/2014/main" id="{0F566F1E-2BD9-3A6D-C12E-B65B9F661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2821" y="18978358"/>
          <a:ext cx="2824746" cy="3249899"/>
        </a:xfrm>
        <a:prstGeom prst="rect">
          <a:avLst/>
        </a:prstGeom>
      </xdr:spPr>
    </xdr:pic>
    <xdr:clientData/>
  </xdr:twoCellAnchor>
  <xdr:twoCellAnchor>
    <xdr:from>
      <xdr:col>13</xdr:col>
      <xdr:colOff>523240</xdr:colOff>
      <xdr:row>117</xdr:row>
      <xdr:rowOff>86360</xdr:rowOff>
    </xdr:from>
    <xdr:to>
      <xdr:col>13</xdr:col>
      <xdr:colOff>523240</xdr:colOff>
      <xdr:row>120</xdr:row>
      <xdr:rowOff>45720</xdr:rowOff>
    </xdr:to>
    <xdr:cxnSp macro="">
      <xdr:nvCxnSpPr>
        <xdr:cNvPr id="101" name="Straight Connector 100">
          <a:extLst>
            <a:ext uri="{FF2B5EF4-FFF2-40B4-BE49-F238E27FC236}">
              <a16:creationId xmlns:a16="http://schemas.microsoft.com/office/drawing/2014/main" id="{D49A8382-40C9-B7CA-4ACA-8D01C56E6352}"/>
            </a:ext>
          </a:extLst>
        </xdr:cNvPr>
        <xdr:cNvCxnSpPr/>
      </xdr:nvCxnSpPr>
      <xdr:spPr>
        <a:xfrm flipV="1">
          <a:off x="8448040" y="21483320"/>
          <a:ext cx="0" cy="508000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259080</xdr:colOff>
      <xdr:row>117</xdr:row>
      <xdr:rowOff>96520</xdr:rowOff>
    </xdr:from>
    <xdr:to>
      <xdr:col>13</xdr:col>
      <xdr:colOff>528320</xdr:colOff>
      <xdr:row>117</xdr:row>
      <xdr:rowOff>96520</xdr:rowOff>
    </xdr:to>
    <xdr:cxnSp macro="">
      <xdr:nvCxnSpPr>
        <xdr:cNvPr id="105" name="Straight Connector 104">
          <a:extLst>
            <a:ext uri="{FF2B5EF4-FFF2-40B4-BE49-F238E27FC236}">
              <a16:creationId xmlns:a16="http://schemas.microsoft.com/office/drawing/2014/main" id="{EFDDD95B-609E-3218-C7CF-F5DA93C1BE32}"/>
            </a:ext>
          </a:extLst>
        </xdr:cNvPr>
        <xdr:cNvCxnSpPr/>
      </xdr:nvCxnSpPr>
      <xdr:spPr>
        <a:xfrm flipH="1">
          <a:off x="8183880" y="21493480"/>
          <a:ext cx="269240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379659</xdr:colOff>
      <xdr:row>51</xdr:row>
      <xdr:rowOff>134016</xdr:rowOff>
    </xdr:from>
    <xdr:to>
      <xdr:col>14</xdr:col>
      <xdr:colOff>389819</xdr:colOff>
      <xdr:row>57</xdr:row>
      <xdr:rowOff>98456</xdr:rowOff>
    </xdr:to>
    <xdr:cxnSp macro="">
      <xdr:nvCxnSpPr>
        <xdr:cNvPr id="3" name="Straight Connector 116">
          <a:extLst>
            <a:ext uri="{FF2B5EF4-FFF2-40B4-BE49-F238E27FC236}">
              <a16:creationId xmlns:a16="http://schemas.microsoft.com/office/drawing/2014/main" id="{6A1EA70B-1A8F-EA26-D392-9A04BD83DD82}"/>
            </a:ext>
          </a:extLst>
        </xdr:cNvPr>
        <xdr:cNvCxnSpPr/>
      </xdr:nvCxnSpPr>
      <xdr:spPr>
        <a:xfrm flipV="1">
          <a:off x="10067945" y="9568302"/>
          <a:ext cx="10160" cy="1053011"/>
        </a:xfrm>
        <a:prstGeom prst="line">
          <a:avLst/>
        </a:prstGeom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461675</xdr:colOff>
      <xdr:row>51</xdr:row>
      <xdr:rowOff>129420</xdr:rowOff>
    </xdr:from>
    <xdr:to>
      <xdr:col>14</xdr:col>
      <xdr:colOff>401804</xdr:colOff>
      <xdr:row>51</xdr:row>
      <xdr:rowOff>129420</xdr:rowOff>
    </xdr:to>
    <xdr:cxnSp macro="">
      <xdr:nvCxnSpPr>
        <xdr:cNvPr id="9" name="Straight Connector 118">
          <a:extLst>
            <a:ext uri="{FF2B5EF4-FFF2-40B4-BE49-F238E27FC236}">
              <a16:creationId xmlns:a16="http://schemas.microsoft.com/office/drawing/2014/main" id="{D65864B5-F0D5-F318-3D17-843E8437545A}"/>
            </a:ext>
          </a:extLst>
        </xdr:cNvPr>
        <xdr:cNvCxnSpPr/>
      </xdr:nvCxnSpPr>
      <xdr:spPr>
        <a:xfrm flipH="1">
          <a:off x="8928342" y="9563706"/>
          <a:ext cx="1161748" cy="0"/>
        </a:xfrm>
        <a:prstGeom prst="line">
          <a:avLst/>
        </a:prstGeom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229658</xdr:colOff>
      <xdr:row>12</xdr:row>
      <xdr:rowOff>71438</xdr:rowOff>
    </xdr:from>
    <xdr:to>
      <xdr:col>13</xdr:col>
      <xdr:colOff>229658</xdr:colOff>
      <xdr:row>15</xdr:row>
      <xdr:rowOff>47626</xdr:rowOff>
    </xdr:to>
    <xdr:cxnSp macro="">
      <xdr:nvCxnSpPr>
        <xdr:cNvPr id="16" name="Straight Connector 9">
          <a:extLst>
            <a:ext uri="{FF2B5EF4-FFF2-40B4-BE49-F238E27FC236}">
              <a16:creationId xmlns:a16="http://schemas.microsoft.com/office/drawing/2014/main" id="{5CEA2C61-64C7-5DB7-70FC-5378DAEA8111}"/>
            </a:ext>
          </a:extLst>
        </xdr:cNvPr>
        <xdr:cNvCxnSpPr/>
      </xdr:nvCxnSpPr>
      <xdr:spPr>
        <a:xfrm flipV="1">
          <a:off x="9111191" y="2437871"/>
          <a:ext cx="0" cy="522288"/>
        </a:xfrm>
        <a:prstGeom prst="line">
          <a:avLst/>
        </a:prstGeom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412327</xdr:colOff>
      <xdr:row>12</xdr:row>
      <xdr:rowOff>76730</xdr:rowOff>
    </xdr:from>
    <xdr:to>
      <xdr:col>13</xdr:col>
      <xdr:colOff>221192</xdr:colOff>
      <xdr:row>12</xdr:row>
      <xdr:rowOff>82127</xdr:rowOff>
    </xdr:to>
    <xdr:cxnSp macro="">
      <xdr:nvCxnSpPr>
        <xdr:cNvPr id="18" name="Straight Connector 15">
          <a:extLst>
            <a:ext uri="{FF2B5EF4-FFF2-40B4-BE49-F238E27FC236}">
              <a16:creationId xmlns:a16="http://schemas.microsoft.com/office/drawing/2014/main" id="{1B708251-155A-D61F-0213-02B07D59F865}"/>
            </a:ext>
          </a:extLst>
        </xdr:cNvPr>
        <xdr:cNvCxnSpPr/>
      </xdr:nvCxnSpPr>
      <xdr:spPr>
        <a:xfrm flipV="1">
          <a:off x="8684260" y="2443163"/>
          <a:ext cx="418465" cy="5397"/>
        </a:xfrm>
        <a:prstGeom prst="line">
          <a:avLst/>
        </a:prstGeom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113913</xdr:colOff>
      <xdr:row>30</xdr:row>
      <xdr:rowOff>149959</xdr:rowOff>
    </xdr:from>
    <xdr:to>
      <xdr:col>14</xdr:col>
      <xdr:colOff>118395</xdr:colOff>
      <xdr:row>35</xdr:row>
      <xdr:rowOff>118583</xdr:rowOff>
    </xdr:to>
    <xdr:cxnSp macro="">
      <xdr:nvCxnSpPr>
        <xdr:cNvPr id="164" name="Straight Connector 25">
          <a:extLst>
            <a:ext uri="{FF2B5EF4-FFF2-40B4-BE49-F238E27FC236}">
              <a16:creationId xmlns:a16="http://schemas.microsoft.com/office/drawing/2014/main" id="{1C151086-96BE-E43A-B9FE-F9F37B5554BC}"/>
            </a:ext>
          </a:extLst>
        </xdr:cNvPr>
        <xdr:cNvCxnSpPr/>
      </xdr:nvCxnSpPr>
      <xdr:spPr>
        <a:xfrm flipV="1">
          <a:off x="9624445" y="5831200"/>
          <a:ext cx="4482" cy="884953"/>
        </a:xfrm>
        <a:prstGeom prst="line">
          <a:avLst/>
        </a:prstGeom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512842</xdr:colOff>
      <xdr:row>30</xdr:row>
      <xdr:rowOff>159604</xdr:rowOff>
    </xdr:from>
    <xdr:to>
      <xdr:col>14</xdr:col>
      <xdr:colOff>118395</xdr:colOff>
      <xdr:row>30</xdr:row>
      <xdr:rowOff>164086</xdr:rowOff>
    </xdr:to>
    <xdr:cxnSp macro="">
      <xdr:nvCxnSpPr>
        <xdr:cNvPr id="148" name="Straight Connector 32">
          <a:extLst>
            <a:ext uri="{FF2B5EF4-FFF2-40B4-BE49-F238E27FC236}">
              <a16:creationId xmlns:a16="http://schemas.microsoft.com/office/drawing/2014/main" id="{2A54631C-0240-5C97-13E2-98F1C2E01D06}"/>
            </a:ext>
          </a:extLst>
        </xdr:cNvPr>
        <xdr:cNvCxnSpPr/>
      </xdr:nvCxnSpPr>
      <xdr:spPr>
        <a:xfrm>
          <a:off x="8801601" y="5840845"/>
          <a:ext cx="827326" cy="4482"/>
        </a:xfrm>
        <a:prstGeom prst="line">
          <a:avLst/>
        </a:prstGeom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376237</xdr:colOff>
      <xdr:row>72</xdr:row>
      <xdr:rowOff>131763</xdr:rowOff>
    </xdr:from>
    <xdr:to>
      <xdr:col>14</xdr:col>
      <xdr:colOff>381000</xdr:colOff>
      <xdr:row>78</xdr:row>
      <xdr:rowOff>98425</xdr:rowOff>
    </xdr:to>
    <xdr:cxnSp macro="">
      <xdr:nvCxnSpPr>
        <xdr:cNvPr id="151" name="Straight Connector 150">
          <a:extLst>
            <a:ext uri="{FF2B5EF4-FFF2-40B4-BE49-F238E27FC236}">
              <a16:creationId xmlns:a16="http://schemas.microsoft.com/office/drawing/2014/main" id="{701AE89E-CEF2-7F5C-9583-B3AA6654539B}"/>
            </a:ext>
          </a:extLst>
        </xdr:cNvPr>
        <xdr:cNvCxnSpPr/>
      </xdr:nvCxnSpPr>
      <xdr:spPr>
        <a:xfrm flipV="1">
          <a:off x="9875837" y="13482003"/>
          <a:ext cx="4763" cy="1063942"/>
        </a:xfrm>
        <a:prstGeom prst="line">
          <a:avLst/>
        </a:prstGeom>
        <a:ln/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428625</xdr:colOff>
      <xdr:row>72</xdr:row>
      <xdr:rowOff>142240</xdr:rowOff>
    </xdr:from>
    <xdr:to>
      <xdr:col>14</xdr:col>
      <xdr:colOff>381000</xdr:colOff>
      <xdr:row>72</xdr:row>
      <xdr:rowOff>147003</xdr:rowOff>
    </xdr:to>
    <xdr:cxnSp macro="">
      <xdr:nvCxnSpPr>
        <xdr:cNvPr id="157" name="Straight Connector 156">
          <a:extLst>
            <a:ext uri="{FF2B5EF4-FFF2-40B4-BE49-F238E27FC236}">
              <a16:creationId xmlns:a16="http://schemas.microsoft.com/office/drawing/2014/main" id="{C44328FE-138A-03FB-CD39-305F531EBA87}"/>
            </a:ext>
          </a:extLst>
        </xdr:cNvPr>
        <xdr:cNvCxnSpPr/>
      </xdr:nvCxnSpPr>
      <xdr:spPr>
        <a:xfrm flipH="1">
          <a:off x="8709025" y="13492480"/>
          <a:ext cx="1171575" cy="4763"/>
        </a:xfrm>
        <a:prstGeom prst="line">
          <a:avLst/>
        </a:prstGeom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388620</xdr:colOff>
      <xdr:row>83</xdr:row>
      <xdr:rowOff>0</xdr:rowOff>
    </xdr:from>
    <xdr:to>
      <xdr:col>17</xdr:col>
      <xdr:colOff>152341</xdr:colOff>
      <xdr:row>100</xdr:row>
      <xdr:rowOff>149796</xdr:rowOff>
    </xdr:to>
    <xdr:pic>
      <xdr:nvPicPr>
        <xdr:cNvPr id="160" name="Picture 48">
          <a:extLst>
            <a:ext uri="{FF2B5EF4-FFF2-40B4-BE49-F238E27FC236}">
              <a16:creationId xmlns:a16="http://schemas.microsoft.com/office/drawing/2014/main" id="{E3A6BCEE-FF43-4B63-9B0F-BF3B9C40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60080" y="15179040"/>
          <a:ext cx="2811721" cy="3258756"/>
        </a:xfrm>
        <a:prstGeom prst="rect">
          <a:avLst/>
        </a:prstGeom>
      </xdr:spPr>
    </xdr:pic>
    <xdr:clientData/>
  </xdr:twoCellAnchor>
  <xdr:twoCellAnchor>
    <xdr:from>
      <xdr:col>14</xdr:col>
      <xdr:colOff>86677</xdr:colOff>
      <xdr:row>94</xdr:row>
      <xdr:rowOff>176213</xdr:rowOff>
    </xdr:from>
    <xdr:to>
      <xdr:col>14</xdr:col>
      <xdr:colOff>96202</xdr:colOff>
      <xdr:row>99</xdr:row>
      <xdr:rowOff>33338</xdr:rowOff>
    </xdr:to>
    <xdr:cxnSp macro="">
      <xdr:nvCxnSpPr>
        <xdr:cNvPr id="232" name="Straight Connector 50">
          <a:extLst>
            <a:ext uri="{FF2B5EF4-FFF2-40B4-BE49-F238E27FC236}">
              <a16:creationId xmlns:a16="http://schemas.microsoft.com/office/drawing/2014/main" id="{510EE7B1-A1A5-9F58-162D-D05EDD37C4AF}"/>
            </a:ext>
          </a:extLst>
        </xdr:cNvPr>
        <xdr:cNvCxnSpPr/>
      </xdr:nvCxnSpPr>
      <xdr:spPr>
        <a:xfrm flipH="1" flipV="1">
          <a:off x="9586277" y="17549813"/>
          <a:ext cx="9525" cy="771525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204787</xdr:colOff>
      <xdr:row>94</xdr:row>
      <xdr:rowOff>184377</xdr:rowOff>
    </xdr:from>
    <xdr:to>
      <xdr:col>14</xdr:col>
      <xdr:colOff>80962</xdr:colOff>
      <xdr:row>94</xdr:row>
      <xdr:rowOff>184377</xdr:rowOff>
    </xdr:to>
    <xdr:cxnSp macro="">
      <xdr:nvCxnSpPr>
        <xdr:cNvPr id="31" name="Straight Connector 54">
          <a:extLst>
            <a:ext uri="{FF2B5EF4-FFF2-40B4-BE49-F238E27FC236}">
              <a16:creationId xmlns:a16="http://schemas.microsoft.com/office/drawing/2014/main" id="{BAC212FC-CAB0-E487-16FA-6B16BF4F4C81}"/>
            </a:ext>
          </a:extLst>
        </xdr:cNvPr>
        <xdr:cNvCxnSpPr/>
      </xdr:nvCxnSpPr>
      <xdr:spPr>
        <a:xfrm>
          <a:off x="9087530" y="17759363"/>
          <a:ext cx="485775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192741</xdr:colOff>
      <xdr:row>94</xdr:row>
      <xdr:rowOff>58271</xdr:rowOff>
    </xdr:from>
    <xdr:to>
      <xdr:col>14</xdr:col>
      <xdr:colOff>194422</xdr:colOff>
      <xdr:row>99</xdr:row>
      <xdr:rowOff>38941</xdr:rowOff>
    </xdr:to>
    <xdr:cxnSp macro="">
      <xdr:nvCxnSpPr>
        <xdr:cNvPr id="183" name="Straight Connector 59">
          <a:extLst>
            <a:ext uri="{FF2B5EF4-FFF2-40B4-BE49-F238E27FC236}">
              <a16:creationId xmlns:a16="http://schemas.microsoft.com/office/drawing/2014/main" id="{6DFE4694-6980-415A-B423-04A09FD344D6}"/>
            </a:ext>
          </a:extLst>
        </xdr:cNvPr>
        <xdr:cNvCxnSpPr/>
      </xdr:nvCxnSpPr>
      <xdr:spPr>
        <a:xfrm flipH="1" flipV="1">
          <a:off x="9282953" y="17333259"/>
          <a:ext cx="1681" cy="899553"/>
        </a:xfrm>
        <a:prstGeom prst="line">
          <a:avLst/>
        </a:prstGeom>
        <a:ln/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206188</xdr:colOff>
      <xdr:row>94</xdr:row>
      <xdr:rowOff>62753</xdr:rowOff>
    </xdr:from>
    <xdr:to>
      <xdr:col>14</xdr:col>
      <xdr:colOff>198904</xdr:colOff>
      <xdr:row>94</xdr:row>
      <xdr:rowOff>65835</xdr:rowOff>
    </xdr:to>
    <xdr:cxnSp macro="">
      <xdr:nvCxnSpPr>
        <xdr:cNvPr id="182" name="Straight Connector 62">
          <a:extLst>
            <a:ext uri="{FF2B5EF4-FFF2-40B4-BE49-F238E27FC236}">
              <a16:creationId xmlns:a16="http://schemas.microsoft.com/office/drawing/2014/main" id="{9C08A0A1-6C3C-4686-80A5-529617291A97}"/>
            </a:ext>
          </a:extLst>
        </xdr:cNvPr>
        <xdr:cNvCxnSpPr/>
      </xdr:nvCxnSpPr>
      <xdr:spPr>
        <a:xfrm>
          <a:off x="8686800" y="17337741"/>
          <a:ext cx="602316" cy="3082"/>
        </a:xfrm>
        <a:prstGeom prst="line">
          <a:avLst/>
        </a:prstGeom>
        <a:ln/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104775</xdr:colOff>
      <xdr:row>115</xdr:row>
      <xdr:rowOff>177800</xdr:rowOff>
    </xdr:from>
    <xdr:to>
      <xdr:col>14</xdr:col>
      <xdr:colOff>106680</xdr:colOff>
      <xdr:row>120</xdr:row>
      <xdr:rowOff>47625</xdr:rowOff>
    </xdr:to>
    <xdr:cxnSp macro="">
      <xdr:nvCxnSpPr>
        <xdr:cNvPr id="192" name="Straight Connector 191">
          <a:extLst>
            <a:ext uri="{FF2B5EF4-FFF2-40B4-BE49-F238E27FC236}">
              <a16:creationId xmlns:a16="http://schemas.microsoft.com/office/drawing/2014/main" id="{AD42DA41-544C-0B64-9386-08FC7CF87D2A}"/>
            </a:ext>
          </a:extLst>
        </xdr:cNvPr>
        <xdr:cNvCxnSpPr/>
      </xdr:nvCxnSpPr>
      <xdr:spPr>
        <a:xfrm flipV="1">
          <a:off x="9604375" y="21391880"/>
          <a:ext cx="1905" cy="784225"/>
        </a:xfrm>
        <a:prstGeom prst="line">
          <a:avLst/>
        </a:prstGeom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134937</xdr:colOff>
      <xdr:row>115</xdr:row>
      <xdr:rowOff>181610</xdr:rowOff>
    </xdr:from>
    <xdr:to>
      <xdr:col>14</xdr:col>
      <xdr:colOff>120650</xdr:colOff>
      <xdr:row>115</xdr:row>
      <xdr:rowOff>181610</xdr:rowOff>
    </xdr:to>
    <xdr:cxnSp macro="">
      <xdr:nvCxnSpPr>
        <xdr:cNvPr id="196" name="Straight Connector 195">
          <a:extLst>
            <a:ext uri="{FF2B5EF4-FFF2-40B4-BE49-F238E27FC236}">
              <a16:creationId xmlns:a16="http://schemas.microsoft.com/office/drawing/2014/main" id="{24B36AC5-EE43-0A97-C1A3-3E8D1D2013BE}"/>
            </a:ext>
          </a:extLst>
        </xdr:cNvPr>
        <xdr:cNvCxnSpPr/>
      </xdr:nvCxnSpPr>
      <xdr:spPr>
        <a:xfrm flipH="1">
          <a:off x="9024937" y="21395690"/>
          <a:ext cx="595313" cy="0"/>
        </a:xfrm>
        <a:prstGeom prst="line">
          <a:avLst/>
        </a:prstGeom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324758</xdr:colOff>
      <xdr:row>51</xdr:row>
      <xdr:rowOff>172720</xdr:rowOff>
    </xdr:from>
    <xdr:to>
      <xdr:col>14</xdr:col>
      <xdr:colOff>330200</xdr:colOff>
      <xdr:row>57</xdr:row>
      <xdr:rowOff>96883</xdr:rowOff>
    </xdr:to>
    <xdr:cxnSp macro="">
      <xdr:nvCxnSpPr>
        <xdr:cNvPr id="12" name="Straight Connector 202">
          <a:extLst>
            <a:ext uri="{FF2B5EF4-FFF2-40B4-BE49-F238E27FC236}">
              <a16:creationId xmlns:a16="http://schemas.microsoft.com/office/drawing/2014/main" id="{7ED66B63-05C7-655F-E4A6-6AEC41E762DE}"/>
            </a:ext>
          </a:extLst>
        </xdr:cNvPr>
        <xdr:cNvCxnSpPr/>
      </xdr:nvCxnSpPr>
      <xdr:spPr>
        <a:xfrm flipV="1">
          <a:off x="9824358" y="9682480"/>
          <a:ext cx="5442" cy="1021443"/>
        </a:xfrm>
        <a:prstGeom prst="line">
          <a:avLst/>
        </a:prstGeom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533400</xdr:colOff>
      <xdr:row>51</xdr:row>
      <xdr:rowOff>167640</xdr:rowOff>
    </xdr:from>
    <xdr:to>
      <xdr:col>14</xdr:col>
      <xdr:colOff>341449</xdr:colOff>
      <xdr:row>51</xdr:row>
      <xdr:rowOff>176711</xdr:rowOff>
    </xdr:to>
    <xdr:cxnSp macro="">
      <xdr:nvCxnSpPr>
        <xdr:cNvPr id="11" name="Straight Connector 204">
          <a:extLst>
            <a:ext uri="{FF2B5EF4-FFF2-40B4-BE49-F238E27FC236}">
              <a16:creationId xmlns:a16="http://schemas.microsoft.com/office/drawing/2014/main" id="{F2DFC641-C106-0A4A-AC49-889F9C85F321}"/>
            </a:ext>
          </a:extLst>
        </xdr:cNvPr>
        <xdr:cNvCxnSpPr/>
      </xdr:nvCxnSpPr>
      <xdr:spPr>
        <a:xfrm flipH="1" flipV="1">
          <a:off x="8813800" y="9677400"/>
          <a:ext cx="1027249" cy="9071"/>
        </a:xfrm>
        <a:prstGeom prst="line">
          <a:avLst/>
        </a:prstGeom>
        <a:ln>
          <a:solidFill>
            <a:srgbClr val="0070C0"/>
          </a:solidFill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135038</xdr:colOff>
      <xdr:row>12</xdr:row>
      <xdr:rowOff>135038</xdr:rowOff>
    </xdr:from>
    <xdr:to>
      <xdr:col>13</xdr:col>
      <xdr:colOff>138832</xdr:colOff>
      <xdr:row>15</xdr:row>
      <xdr:rowOff>34644</xdr:rowOff>
    </xdr:to>
    <xdr:cxnSp macro="">
      <xdr:nvCxnSpPr>
        <xdr:cNvPr id="210" name="Straight Connector 83">
          <a:extLst>
            <a:ext uri="{FF2B5EF4-FFF2-40B4-BE49-F238E27FC236}">
              <a16:creationId xmlns:a16="http://schemas.microsoft.com/office/drawing/2014/main" id="{D6F29F65-291F-E5FF-5DA2-0131D6E52D31}"/>
            </a:ext>
          </a:extLst>
        </xdr:cNvPr>
        <xdr:cNvCxnSpPr/>
      </xdr:nvCxnSpPr>
      <xdr:spPr>
        <a:xfrm flipH="1" flipV="1">
          <a:off x="9034684" y="2517494"/>
          <a:ext cx="3794" cy="449403"/>
        </a:xfrm>
        <a:prstGeom prst="line">
          <a:avLst/>
        </a:prstGeom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425770</xdr:colOff>
      <xdr:row>12</xdr:row>
      <xdr:rowOff>144539</xdr:rowOff>
    </xdr:from>
    <xdr:to>
      <xdr:col>13</xdr:col>
      <xdr:colOff>136210</xdr:colOff>
      <xdr:row>12</xdr:row>
      <xdr:rowOff>144539</xdr:rowOff>
    </xdr:to>
    <xdr:cxnSp macro="">
      <xdr:nvCxnSpPr>
        <xdr:cNvPr id="213" name="Straight Connector 86">
          <a:extLst>
            <a:ext uri="{FF2B5EF4-FFF2-40B4-BE49-F238E27FC236}">
              <a16:creationId xmlns:a16="http://schemas.microsoft.com/office/drawing/2014/main" id="{4FDF44F7-7987-292C-2D5F-98248284A649}"/>
            </a:ext>
          </a:extLst>
        </xdr:cNvPr>
        <xdr:cNvCxnSpPr/>
      </xdr:nvCxnSpPr>
      <xdr:spPr>
        <a:xfrm>
          <a:off x="8714529" y="2526995"/>
          <a:ext cx="321327" cy="0"/>
        </a:xfrm>
        <a:prstGeom prst="line">
          <a:avLst/>
        </a:prstGeom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67230</xdr:colOff>
      <xdr:row>31</xdr:row>
      <xdr:rowOff>18985</xdr:rowOff>
    </xdr:from>
    <xdr:to>
      <xdr:col>14</xdr:col>
      <xdr:colOff>74850</xdr:colOff>
      <xdr:row>35</xdr:row>
      <xdr:rowOff>129860</xdr:rowOff>
    </xdr:to>
    <xdr:cxnSp macro="">
      <xdr:nvCxnSpPr>
        <xdr:cNvPr id="218" name="Straight Connector 88">
          <a:extLst>
            <a:ext uri="{FF2B5EF4-FFF2-40B4-BE49-F238E27FC236}">
              <a16:creationId xmlns:a16="http://schemas.microsoft.com/office/drawing/2014/main" id="{5A3CDDEE-7374-6E03-2D8F-98389E20477E}"/>
            </a:ext>
          </a:extLst>
        </xdr:cNvPr>
        <xdr:cNvCxnSpPr/>
      </xdr:nvCxnSpPr>
      <xdr:spPr>
        <a:xfrm flipV="1">
          <a:off x="9566830" y="5871145"/>
          <a:ext cx="7620" cy="842395"/>
        </a:xfrm>
        <a:prstGeom prst="line">
          <a:avLst/>
        </a:prstGeom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523079</xdr:colOff>
      <xdr:row>31</xdr:row>
      <xdr:rowOff>31315</xdr:rowOff>
    </xdr:from>
    <xdr:to>
      <xdr:col>14</xdr:col>
      <xdr:colOff>65879</xdr:colOff>
      <xdr:row>31</xdr:row>
      <xdr:rowOff>35125</xdr:rowOff>
    </xdr:to>
    <xdr:cxnSp macro="">
      <xdr:nvCxnSpPr>
        <xdr:cNvPr id="217" name="Straight Connector 90">
          <a:extLst>
            <a:ext uri="{FF2B5EF4-FFF2-40B4-BE49-F238E27FC236}">
              <a16:creationId xmlns:a16="http://schemas.microsoft.com/office/drawing/2014/main" id="{D70EA694-FB45-89D7-56E5-E7B0943035B7}"/>
            </a:ext>
          </a:extLst>
        </xdr:cNvPr>
        <xdr:cNvCxnSpPr/>
      </xdr:nvCxnSpPr>
      <xdr:spPr>
        <a:xfrm flipV="1">
          <a:off x="8803479" y="5883475"/>
          <a:ext cx="762000" cy="3810"/>
        </a:xfrm>
        <a:prstGeom prst="line">
          <a:avLst/>
        </a:prstGeom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228599</xdr:colOff>
      <xdr:row>73</xdr:row>
      <xdr:rowOff>56777</xdr:rowOff>
    </xdr:from>
    <xdr:to>
      <xdr:col>14</xdr:col>
      <xdr:colOff>237564</xdr:colOff>
      <xdr:row>78</xdr:row>
      <xdr:rowOff>110564</xdr:rowOff>
    </xdr:to>
    <xdr:cxnSp macro="">
      <xdr:nvCxnSpPr>
        <xdr:cNvPr id="220" name="Straight Connector 219">
          <a:extLst>
            <a:ext uri="{FF2B5EF4-FFF2-40B4-BE49-F238E27FC236}">
              <a16:creationId xmlns:a16="http://schemas.microsoft.com/office/drawing/2014/main" id="{E79CE033-B1A4-CB96-AB8B-A2DF9B0D929C}"/>
            </a:ext>
          </a:extLst>
        </xdr:cNvPr>
        <xdr:cNvCxnSpPr/>
      </xdr:nvCxnSpPr>
      <xdr:spPr>
        <a:xfrm flipV="1">
          <a:off x="9728199" y="13589897"/>
          <a:ext cx="8965" cy="968187"/>
        </a:xfrm>
        <a:prstGeom prst="line">
          <a:avLst/>
        </a:prstGeom>
        <a:ln>
          <a:solidFill>
            <a:srgbClr val="0070C0"/>
          </a:solidFill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398929</xdr:colOff>
      <xdr:row>73</xdr:row>
      <xdr:rowOff>56179</xdr:rowOff>
    </xdr:from>
    <xdr:to>
      <xdr:col>14</xdr:col>
      <xdr:colOff>233082</xdr:colOff>
      <xdr:row>73</xdr:row>
      <xdr:rowOff>60662</xdr:rowOff>
    </xdr:to>
    <xdr:cxnSp macro="">
      <xdr:nvCxnSpPr>
        <xdr:cNvPr id="222" name="Straight Connector 221">
          <a:extLst>
            <a:ext uri="{FF2B5EF4-FFF2-40B4-BE49-F238E27FC236}">
              <a16:creationId xmlns:a16="http://schemas.microsoft.com/office/drawing/2014/main" id="{9B5AED7B-1074-056A-1AD7-B929280CE280}"/>
            </a:ext>
          </a:extLst>
        </xdr:cNvPr>
        <xdr:cNvCxnSpPr/>
      </xdr:nvCxnSpPr>
      <xdr:spPr>
        <a:xfrm flipH="1">
          <a:off x="8679329" y="13589299"/>
          <a:ext cx="1053353" cy="4483"/>
        </a:xfrm>
        <a:prstGeom prst="line">
          <a:avLst/>
        </a:prstGeom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489183</xdr:colOff>
      <xdr:row>1</xdr:row>
      <xdr:rowOff>163610</xdr:rowOff>
    </xdr:from>
    <xdr:to>
      <xdr:col>24</xdr:col>
      <xdr:colOff>557931</xdr:colOff>
      <xdr:row>17</xdr:row>
      <xdr:rowOff>53483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DDA4CA6C-D7C3-4049-A4BD-E32EDBC8D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03029" y="345039"/>
          <a:ext cx="3726348" cy="2815953"/>
        </a:xfrm>
        <a:prstGeom prst="rect">
          <a:avLst/>
        </a:prstGeom>
      </xdr:spPr>
    </xdr:pic>
    <xdr:clientData/>
  </xdr:twoCellAnchor>
  <xdr:twoCellAnchor>
    <xdr:from>
      <xdr:col>20</xdr:col>
      <xdr:colOff>237067</xdr:colOff>
      <xdr:row>12</xdr:row>
      <xdr:rowOff>93134</xdr:rowOff>
    </xdr:from>
    <xdr:to>
      <xdr:col>20</xdr:col>
      <xdr:colOff>242147</xdr:colOff>
      <xdr:row>15</xdr:row>
      <xdr:rowOff>89747</xdr:rowOff>
    </xdr:to>
    <xdr:cxnSp macro="">
      <xdr:nvCxnSpPr>
        <xdr:cNvPr id="20" name="Straight Connector 7">
          <a:extLst>
            <a:ext uri="{FF2B5EF4-FFF2-40B4-BE49-F238E27FC236}">
              <a16:creationId xmlns:a16="http://schemas.microsoft.com/office/drawing/2014/main" id="{5EE2B98F-E6CD-739D-67D6-3AD78E1F068B}"/>
            </a:ext>
          </a:extLst>
        </xdr:cNvPr>
        <xdr:cNvCxnSpPr/>
      </xdr:nvCxnSpPr>
      <xdr:spPr>
        <a:xfrm flipH="1" flipV="1">
          <a:off x="13385800" y="2459567"/>
          <a:ext cx="5080" cy="542713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435188</xdr:colOff>
      <xdr:row>12</xdr:row>
      <xdr:rowOff>95672</xdr:rowOff>
    </xdr:from>
    <xdr:to>
      <xdr:col>20</xdr:col>
      <xdr:colOff>242148</xdr:colOff>
      <xdr:row>12</xdr:row>
      <xdr:rowOff>100752</xdr:rowOff>
    </xdr:to>
    <xdr:cxnSp macro="">
      <xdr:nvCxnSpPr>
        <xdr:cNvPr id="22" name="Straight Connector 9">
          <a:extLst>
            <a:ext uri="{FF2B5EF4-FFF2-40B4-BE49-F238E27FC236}">
              <a16:creationId xmlns:a16="http://schemas.microsoft.com/office/drawing/2014/main" id="{9E6306FB-F33A-9153-333A-3121A13BCA5D}"/>
            </a:ext>
          </a:extLst>
        </xdr:cNvPr>
        <xdr:cNvCxnSpPr/>
      </xdr:nvCxnSpPr>
      <xdr:spPr>
        <a:xfrm>
          <a:off x="12974321" y="2462105"/>
          <a:ext cx="416560" cy="508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122767</xdr:colOff>
      <xdr:row>13</xdr:row>
      <xdr:rowOff>42334</xdr:rowOff>
    </xdr:from>
    <xdr:to>
      <xdr:col>20</xdr:col>
      <xdr:colOff>127000</xdr:colOff>
      <xdr:row>15</xdr:row>
      <xdr:rowOff>101600</xdr:rowOff>
    </xdr:to>
    <xdr:cxnSp macro="">
      <xdr:nvCxnSpPr>
        <xdr:cNvPr id="17" name="Straight Connector 12">
          <a:extLst>
            <a:ext uri="{FF2B5EF4-FFF2-40B4-BE49-F238E27FC236}">
              <a16:creationId xmlns:a16="http://schemas.microsoft.com/office/drawing/2014/main" id="{5A6B69AF-7A1C-230F-0C2D-74929EDC3316}"/>
            </a:ext>
          </a:extLst>
        </xdr:cNvPr>
        <xdr:cNvCxnSpPr/>
      </xdr:nvCxnSpPr>
      <xdr:spPr>
        <a:xfrm flipH="1" flipV="1">
          <a:off x="13271500" y="2408767"/>
          <a:ext cx="4233" cy="423333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419100</xdr:colOff>
      <xdr:row>13</xdr:row>
      <xdr:rowOff>55033</xdr:rowOff>
    </xdr:from>
    <xdr:to>
      <xdr:col>20</xdr:col>
      <xdr:colOff>131233</xdr:colOff>
      <xdr:row>13</xdr:row>
      <xdr:rowOff>55034</xdr:rowOff>
    </xdr:to>
    <xdr:cxnSp macro="">
      <xdr:nvCxnSpPr>
        <xdr:cNvPr id="23" name="Straight Connector 14">
          <a:extLst>
            <a:ext uri="{FF2B5EF4-FFF2-40B4-BE49-F238E27FC236}">
              <a16:creationId xmlns:a16="http://schemas.microsoft.com/office/drawing/2014/main" id="{79FEA87F-9283-CE72-E287-C64941D3FED7}"/>
            </a:ext>
          </a:extLst>
        </xdr:cNvPr>
        <xdr:cNvCxnSpPr/>
      </xdr:nvCxnSpPr>
      <xdr:spPr>
        <a:xfrm>
          <a:off x="12958233" y="2603500"/>
          <a:ext cx="321733" cy="1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69850</xdr:colOff>
      <xdr:row>21</xdr:row>
      <xdr:rowOff>88557</xdr:rowOff>
    </xdr:from>
    <xdr:to>
      <xdr:col>25</xdr:col>
      <xdr:colOff>42343</xdr:colOff>
      <xdr:row>36</xdr:row>
      <xdr:rowOff>123761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63BDBA47-4A61-4A17-95CB-98660E1BA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14275" y="4074770"/>
          <a:ext cx="3630093" cy="2778404"/>
        </a:xfrm>
        <a:prstGeom prst="rect">
          <a:avLst/>
        </a:prstGeom>
      </xdr:spPr>
    </xdr:pic>
    <xdr:clientData/>
  </xdr:twoCellAnchor>
  <xdr:twoCellAnchor>
    <xdr:from>
      <xdr:col>20</xdr:col>
      <xdr:colOff>427090</xdr:colOff>
      <xdr:row>31</xdr:row>
      <xdr:rowOff>135738</xdr:rowOff>
    </xdr:from>
    <xdr:to>
      <xdr:col>20</xdr:col>
      <xdr:colOff>427090</xdr:colOff>
      <xdr:row>34</xdr:row>
      <xdr:rowOff>153667</xdr:rowOff>
    </xdr:to>
    <xdr:cxnSp macro="">
      <xdr:nvCxnSpPr>
        <xdr:cNvPr id="58" name="Straight Connector 19">
          <a:extLst>
            <a:ext uri="{FF2B5EF4-FFF2-40B4-BE49-F238E27FC236}">
              <a16:creationId xmlns:a16="http://schemas.microsoft.com/office/drawing/2014/main" id="{4FCB9C90-2DCB-64EC-2E44-D8F8A704AA6F}"/>
            </a:ext>
          </a:extLst>
        </xdr:cNvPr>
        <xdr:cNvCxnSpPr/>
      </xdr:nvCxnSpPr>
      <xdr:spPr>
        <a:xfrm flipV="1">
          <a:off x="13602938" y="6000244"/>
          <a:ext cx="0" cy="567727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569089</xdr:colOff>
      <xdr:row>31</xdr:row>
      <xdr:rowOff>131823</xdr:rowOff>
    </xdr:from>
    <xdr:to>
      <xdr:col>20</xdr:col>
      <xdr:colOff>436055</xdr:colOff>
      <xdr:row>31</xdr:row>
      <xdr:rowOff>133790</xdr:rowOff>
    </xdr:to>
    <xdr:cxnSp macro="">
      <xdr:nvCxnSpPr>
        <xdr:cNvPr id="48" name="Straight Connector 22">
          <a:extLst>
            <a:ext uri="{FF2B5EF4-FFF2-40B4-BE49-F238E27FC236}">
              <a16:creationId xmlns:a16="http://schemas.microsoft.com/office/drawing/2014/main" id="{E235458F-778D-BB74-79E7-9ADB11C4E792}"/>
            </a:ext>
          </a:extLst>
        </xdr:cNvPr>
        <xdr:cNvCxnSpPr/>
      </xdr:nvCxnSpPr>
      <xdr:spPr>
        <a:xfrm>
          <a:off x="13134051" y="5996329"/>
          <a:ext cx="477852" cy="1967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302560</xdr:colOff>
      <xdr:row>29</xdr:row>
      <xdr:rowOff>81643</xdr:rowOff>
    </xdr:from>
    <xdr:to>
      <xdr:col>21</xdr:col>
      <xdr:colOff>304800</xdr:colOff>
      <xdr:row>34</xdr:row>
      <xdr:rowOff>158804</xdr:rowOff>
    </xdr:to>
    <xdr:cxnSp macro="">
      <xdr:nvCxnSpPr>
        <xdr:cNvPr id="188" name="Straight Connector 23">
          <a:extLst>
            <a:ext uri="{FF2B5EF4-FFF2-40B4-BE49-F238E27FC236}">
              <a16:creationId xmlns:a16="http://schemas.microsoft.com/office/drawing/2014/main" id="{60359AF6-714E-4B2C-81A1-648BCFF1CC7A}"/>
            </a:ext>
          </a:extLst>
        </xdr:cNvPr>
        <xdr:cNvCxnSpPr/>
      </xdr:nvCxnSpPr>
      <xdr:spPr>
        <a:xfrm flipV="1">
          <a:off x="14062103" y="5627914"/>
          <a:ext cx="2240" cy="1002447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582386</xdr:colOff>
      <xdr:row>29</xdr:row>
      <xdr:rowOff>91888</xdr:rowOff>
    </xdr:from>
    <xdr:to>
      <xdr:col>21</xdr:col>
      <xdr:colOff>313444</xdr:colOff>
      <xdr:row>29</xdr:row>
      <xdr:rowOff>92529</xdr:rowOff>
    </xdr:to>
    <xdr:cxnSp macro="">
      <xdr:nvCxnSpPr>
        <xdr:cNvPr id="184" name="Straight Connector 25">
          <a:extLst>
            <a:ext uri="{FF2B5EF4-FFF2-40B4-BE49-F238E27FC236}">
              <a16:creationId xmlns:a16="http://schemas.microsoft.com/office/drawing/2014/main" id="{60A346FB-80CE-4798-8E7A-D41AA12A1296}"/>
            </a:ext>
          </a:extLst>
        </xdr:cNvPr>
        <xdr:cNvCxnSpPr/>
      </xdr:nvCxnSpPr>
      <xdr:spPr>
        <a:xfrm flipV="1">
          <a:off x="13122729" y="5638159"/>
          <a:ext cx="950258" cy="641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87113</xdr:colOff>
      <xdr:row>43</xdr:row>
      <xdr:rowOff>154986</xdr:rowOff>
    </xdr:from>
    <xdr:to>
      <xdr:col>25</xdr:col>
      <xdr:colOff>59606</xdr:colOff>
      <xdr:row>59</xdr:row>
      <xdr:rowOff>37791</xdr:rowOff>
    </xdr:to>
    <xdr:pic>
      <xdr:nvPicPr>
        <xdr:cNvPr id="56" name="Picture 2">
          <a:extLst>
            <a:ext uri="{FF2B5EF4-FFF2-40B4-BE49-F238E27FC236}">
              <a16:creationId xmlns:a16="http://schemas.microsoft.com/office/drawing/2014/main" id="{E0500F56-2CA5-4CF2-825B-897555932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03368" y="8172199"/>
          <a:ext cx="3630093" cy="2808884"/>
        </a:xfrm>
        <a:prstGeom prst="rect">
          <a:avLst/>
        </a:prstGeom>
      </xdr:spPr>
    </xdr:pic>
    <xdr:clientData/>
  </xdr:twoCellAnchor>
  <xdr:twoCellAnchor>
    <xdr:from>
      <xdr:col>21</xdr:col>
      <xdr:colOff>411189</xdr:colOff>
      <xdr:row>51</xdr:row>
      <xdr:rowOff>110943</xdr:rowOff>
    </xdr:from>
    <xdr:to>
      <xdr:col>21</xdr:col>
      <xdr:colOff>411655</xdr:colOff>
      <xdr:row>57</xdr:row>
      <xdr:rowOff>44282</xdr:rowOff>
    </xdr:to>
    <xdr:cxnSp macro="">
      <xdr:nvCxnSpPr>
        <xdr:cNvPr id="39" name="Straight Connector 28">
          <a:extLst>
            <a:ext uri="{FF2B5EF4-FFF2-40B4-BE49-F238E27FC236}">
              <a16:creationId xmlns:a16="http://schemas.microsoft.com/office/drawing/2014/main" id="{89B1A1EA-CCE6-4C4B-AB1F-770C38B94AA5}"/>
            </a:ext>
          </a:extLst>
        </xdr:cNvPr>
        <xdr:cNvCxnSpPr/>
      </xdr:nvCxnSpPr>
      <xdr:spPr>
        <a:xfrm flipV="1">
          <a:off x="14357833" y="9672437"/>
          <a:ext cx="466" cy="103692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590436</xdr:colOff>
      <xdr:row>51</xdr:row>
      <xdr:rowOff>77500</xdr:rowOff>
    </xdr:from>
    <xdr:to>
      <xdr:col>21</xdr:col>
      <xdr:colOff>444040</xdr:colOff>
      <xdr:row>51</xdr:row>
      <xdr:rowOff>89045</xdr:rowOff>
    </xdr:to>
    <xdr:cxnSp macro="">
      <xdr:nvCxnSpPr>
        <xdr:cNvPr id="42" name="Straight Connector 30">
          <a:extLst>
            <a:ext uri="{FF2B5EF4-FFF2-40B4-BE49-F238E27FC236}">
              <a16:creationId xmlns:a16="http://schemas.microsoft.com/office/drawing/2014/main" id="{9F865B68-22DB-49E3-B67F-6CFC60E55043}"/>
            </a:ext>
          </a:extLst>
        </xdr:cNvPr>
        <xdr:cNvCxnSpPr/>
      </xdr:nvCxnSpPr>
      <xdr:spPr>
        <a:xfrm>
          <a:off x="13316712" y="9638994"/>
          <a:ext cx="1073972" cy="1154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434281</xdr:colOff>
      <xdr:row>51</xdr:row>
      <xdr:rowOff>88223</xdr:rowOff>
    </xdr:from>
    <xdr:to>
      <xdr:col>21</xdr:col>
      <xdr:colOff>437772</xdr:colOff>
      <xdr:row>57</xdr:row>
      <xdr:rowOff>46261</xdr:rowOff>
    </xdr:to>
    <xdr:cxnSp macro="">
      <xdr:nvCxnSpPr>
        <xdr:cNvPr id="41" name="Straight Connector 33">
          <a:extLst>
            <a:ext uri="{FF2B5EF4-FFF2-40B4-BE49-F238E27FC236}">
              <a16:creationId xmlns:a16="http://schemas.microsoft.com/office/drawing/2014/main" id="{F033E530-8CAA-4252-932D-3E97262695A8}"/>
            </a:ext>
          </a:extLst>
        </xdr:cNvPr>
        <xdr:cNvCxnSpPr/>
      </xdr:nvCxnSpPr>
      <xdr:spPr>
        <a:xfrm flipV="1">
          <a:off x="14380925" y="9649717"/>
          <a:ext cx="3491" cy="1061624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557414</xdr:colOff>
      <xdr:row>51</xdr:row>
      <xdr:rowOff>108033</xdr:rowOff>
    </xdr:from>
    <xdr:to>
      <xdr:col>21</xdr:col>
      <xdr:colOff>420254</xdr:colOff>
      <xdr:row>51</xdr:row>
      <xdr:rowOff>118193</xdr:rowOff>
    </xdr:to>
    <xdr:cxnSp macro="">
      <xdr:nvCxnSpPr>
        <xdr:cNvPr id="40" name="Straight Connector 39">
          <a:extLst>
            <a:ext uri="{FF2B5EF4-FFF2-40B4-BE49-F238E27FC236}">
              <a16:creationId xmlns:a16="http://schemas.microsoft.com/office/drawing/2014/main" id="{638BF8F3-9759-4487-85F2-25E0C3A31187}"/>
            </a:ext>
          </a:extLst>
        </xdr:cNvPr>
        <xdr:cNvCxnSpPr/>
      </xdr:nvCxnSpPr>
      <xdr:spPr>
        <a:xfrm>
          <a:off x="13283690" y="9669527"/>
          <a:ext cx="1083208" cy="1016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76200</xdr:colOff>
      <xdr:row>65</xdr:row>
      <xdr:rowOff>2564</xdr:rowOff>
    </xdr:from>
    <xdr:to>
      <xdr:col>25</xdr:col>
      <xdr:colOff>236220</xdr:colOff>
      <xdr:row>81</xdr:row>
      <xdr:rowOff>1891</xdr:rowOff>
    </xdr:to>
    <xdr:pic>
      <xdr:nvPicPr>
        <xdr:cNvPr id="128" name="Picture 2">
          <a:extLst>
            <a:ext uri="{FF2B5EF4-FFF2-40B4-BE49-F238E27FC236}">
              <a16:creationId xmlns:a16="http://schemas.microsoft.com/office/drawing/2014/main" id="{A098BA9C-2419-4D34-9127-70EB1E0BA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16543" y="12031278"/>
          <a:ext cx="3817620" cy="2922635"/>
        </a:xfrm>
        <a:prstGeom prst="rect">
          <a:avLst/>
        </a:prstGeom>
      </xdr:spPr>
    </xdr:pic>
    <xdr:clientData/>
  </xdr:twoCellAnchor>
  <xdr:twoCellAnchor>
    <xdr:from>
      <xdr:col>21</xdr:col>
      <xdr:colOff>280851</xdr:colOff>
      <xdr:row>73</xdr:row>
      <xdr:rowOff>142240</xdr:rowOff>
    </xdr:from>
    <xdr:to>
      <xdr:col>21</xdr:col>
      <xdr:colOff>289560</xdr:colOff>
      <xdr:row>78</xdr:row>
      <xdr:rowOff>172720</xdr:rowOff>
    </xdr:to>
    <xdr:cxnSp macro="">
      <xdr:nvCxnSpPr>
        <xdr:cNvPr id="197" name="Straight Connector 41">
          <a:extLst>
            <a:ext uri="{FF2B5EF4-FFF2-40B4-BE49-F238E27FC236}">
              <a16:creationId xmlns:a16="http://schemas.microsoft.com/office/drawing/2014/main" id="{D094AE46-2B83-4D72-9C98-6227E64C5150}"/>
            </a:ext>
          </a:extLst>
        </xdr:cNvPr>
        <xdr:cNvCxnSpPr/>
      </xdr:nvCxnSpPr>
      <xdr:spPr>
        <a:xfrm flipV="1">
          <a:off x="14047651" y="13675360"/>
          <a:ext cx="8709" cy="94488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9071</xdr:colOff>
      <xdr:row>73</xdr:row>
      <xdr:rowOff>145142</xdr:rowOff>
    </xdr:from>
    <xdr:to>
      <xdr:col>21</xdr:col>
      <xdr:colOff>304800</xdr:colOff>
      <xdr:row>73</xdr:row>
      <xdr:rowOff>150949</xdr:rowOff>
    </xdr:to>
    <xdr:cxnSp macro="">
      <xdr:nvCxnSpPr>
        <xdr:cNvPr id="207" name="Straight Connector 42">
          <a:extLst>
            <a:ext uri="{FF2B5EF4-FFF2-40B4-BE49-F238E27FC236}">
              <a16:creationId xmlns:a16="http://schemas.microsoft.com/office/drawing/2014/main" id="{5C9CF9FA-8F9A-4635-B39D-FFAD1D0248E8}"/>
            </a:ext>
          </a:extLst>
        </xdr:cNvPr>
        <xdr:cNvCxnSpPr/>
      </xdr:nvCxnSpPr>
      <xdr:spPr>
        <a:xfrm flipV="1">
          <a:off x="13166271" y="13678262"/>
          <a:ext cx="905329" cy="5807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585289</xdr:colOff>
      <xdr:row>72</xdr:row>
      <xdr:rowOff>127000</xdr:rowOff>
    </xdr:from>
    <xdr:to>
      <xdr:col>21</xdr:col>
      <xdr:colOff>594360</xdr:colOff>
      <xdr:row>79</xdr:row>
      <xdr:rowOff>19957</xdr:rowOff>
    </xdr:to>
    <xdr:cxnSp macro="">
      <xdr:nvCxnSpPr>
        <xdr:cNvPr id="122" name="Straight Connector 46">
          <a:extLst>
            <a:ext uri="{FF2B5EF4-FFF2-40B4-BE49-F238E27FC236}">
              <a16:creationId xmlns:a16="http://schemas.microsoft.com/office/drawing/2014/main" id="{B523B5BB-3A71-46D3-AECB-6B60271B4325}"/>
            </a:ext>
          </a:extLst>
        </xdr:cNvPr>
        <xdr:cNvCxnSpPr/>
      </xdr:nvCxnSpPr>
      <xdr:spPr>
        <a:xfrm flipV="1">
          <a:off x="14352089" y="13477240"/>
          <a:ext cx="9071" cy="1173117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558800</xdr:colOff>
      <xdr:row>72</xdr:row>
      <xdr:rowOff>131716</xdr:rowOff>
    </xdr:from>
    <xdr:to>
      <xdr:col>21</xdr:col>
      <xdr:colOff>608511</xdr:colOff>
      <xdr:row>72</xdr:row>
      <xdr:rowOff>132080</xdr:rowOff>
    </xdr:to>
    <xdr:cxnSp macro="">
      <xdr:nvCxnSpPr>
        <xdr:cNvPr id="130" name="Straight Connector 50">
          <a:extLst>
            <a:ext uri="{FF2B5EF4-FFF2-40B4-BE49-F238E27FC236}">
              <a16:creationId xmlns:a16="http://schemas.microsoft.com/office/drawing/2014/main" id="{34F75ECF-416B-4B64-A084-DF6E2C586BC0}"/>
            </a:ext>
          </a:extLst>
        </xdr:cNvPr>
        <xdr:cNvCxnSpPr/>
      </xdr:nvCxnSpPr>
      <xdr:spPr>
        <a:xfrm flipV="1">
          <a:off x="13106400" y="13481956"/>
          <a:ext cx="1268911" cy="364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236483</xdr:colOff>
      <xdr:row>75</xdr:row>
      <xdr:rowOff>87586</xdr:rowOff>
    </xdr:from>
    <xdr:to>
      <xdr:col>13</xdr:col>
      <xdr:colOff>240862</xdr:colOff>
      <xdr:row>78</xdr:row>
      <xdr:rowOff>91965</xdr:rowOff>
    </xdr:to>
    <xdr:cxnSp macro="">
      <xdr:nvCxnSpPr>
        <xdr:cNvPr id="223" name="Straight Connector 222">
          <a:extLst>
            <a:ext uri="{FF2B5EF4-FFF2-40B4-BE49-F238E27FC236}">
              <a16:creationId xmlns:a16="http://schemas.microsoft.com/office/drawing/2014/main" id="{EA73A924-791D-97CE-FBA8-D04FF2DD1B70}"/>
            </a:ext>
          </a:extLst>
        </xdr:cNvPr>
        <xdr:cNvCxnSpPr/>
      </xdr:nvCxnSpPr>
      <xdr:spPr>
        <a:xfrm flipH="1" flipV="1">
          <a:off x="9108966" y="14066345"/>
          <a:ext cx="4379" cy="55617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372241</xdr:colOff>
      <xdr:row>75</xdr:row>
      <xdr:rowOff>96345</xdr:rowOff>
    </xdr:from>
    <xdr:to>
      <xdr:col>13</xdr:col>
      <xdr:colOff>232103</xdr:colOff>
      <xdr:row>75</xdr:row>
      <xdr:rowOff>100724</xdr:rowOff>
    </xdr:to>
    <xdr:cxnSp macro="">
      <xdr:nvCxnSpPr>
        <xdr:cNvPr id="225" name="Straight Connector 224">
          <a:extLst>
            <a:ext uri="{FF2B5EF4-FFF2-40B4-BE49-F238E27FC236}">
              <a16:creationId xmlns:a16="http://schemas.microsoft.com/office/drawing/2014/main" id="{027A5067-720C-C6DF-2825-E3909EA97FB4}"/>
            </a:ext>
          </a:extLst>
        </xdr:cNvPr>
        <xdr:cNvCxnSpPr/>
      </xdr:nvCxnSpPr>
      <xdr:spPr>
        <a:xfrm flipH="1">
          <a:off x="8636000" y="14075104"/>
          <a:ext cx="468586" cy="437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18143</xdr:colOff>
      <xdr:row>13</xdr:row>
      <xdr:rowOff>145142</xdr:rowOff>
    </xdr:from>
    <xdr:to>
      <xdr:col>20</xdr:col>
      <xdr:colOff>20815</xdr:colOff>
      <xdr:row>15</xdr:row>
      <xdr:rowOff>92242</xdr:rowOff>
    </xdr:to>
    <xdr:cxnSp macro="">
      <xdr:nvCxnSpPr>
        <xdr:cNvPr id="53" name="Straight Connector 7">
          <a:extLst>
            <a:ext uri="{FF2B5EF4-FFF2-40B4-BE49-F238E27FC236}">
              <a16:creationId xmlns:a16="http://schemas.microsoft.com/office/drawing/2014/main" id="{0C5F9F35-83D2-5BB0-CCA0-271AD590A915}"/>
            </a:ext>
          </a:extLst>
        </xdr:cNvPr>
        <xdr:cNvCxnSpPr/>
      </xdr:nvCxnSpPr>
      <xdr:spPr>
        <a:xfrm flipH="1" flipV="1">
          <a:off x="13168086" y="2688771"/>
          <a:ext cx="2672" cy="309957"/>
        </a:xfrm>
        <a:prstGeom prst="line">
          <a:avLst/>
        </a:prstGeom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381764</xdr:colOff>
      <xdr:row>13</xdr:row>
      <xdr:rowOff>150872</xdr:rowOff>
    </xdr:from>
    <xdr:to>
      <xdr:col>20</xdr:col>
      <xdr:colOff>28837</xdr:colOff>
      <xdr:row>13</xdr:row>
      <xdr:rowOff>150872</xdr:rowOff>
    </xdr:to>
    <xdr:cxnSp macro="">
      <xdr:nvCxnSpPr>
        <xdr:cNvPr id="51" name="Straight Connector 10">
          <a:extLst>
            <a:ext uri="{FF2B5EF4-FFF2-40B4-BE49-F238E27FC236}">
              <a16:creationId xmlns:a16="http://schemas.microsoft.com/office/drawing/2014/main" id="{8D1164A4-0879-4AD5-1A75-DB5D0130B58F}"/>
            </a:ext>
          </a:extLst>
        </xdr:cNvPr>
        <xdr:cNvCxnSpPr/>
      </xdr:nvCxnSpPr>
      <xdr:spPr>
        <a:xfrm>
          <a:off x="12922107" y="2694501"/>
          <a:ext cx="256673" cy="0"/>
        </a:xfrm>
        <a:prstGeom prst="line">
          <a:avLst/>
        </a:prstGeom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183776</xdr:colOff>
      <xdr:row>33</xdr:row>
      <xdr:rowOff>22411</xdr:rowOff>
    </xdr:from>
    <xdr:to>
      <xdr:col>20</xdr:col>
      <xdr:colOff>188258</xdr:colOff>
      <xdr:row>34</xdr:row>
      <xdr:rowOff>138953</xdr:rowOff>
    </xdr:to>
    <xdr:cxnSp macro="">
      <xdr:nvCxnSpPr>
        <xdr:cNvPr id="230" name="Straight Connector 29">
          <a:extLst>
            <a:ext uri="{FF2B5EF4-FFF2-40B4-BE49-F238E27FC236}">
              <a16:creationId xmlns:a16="http://schemas.microsoft.com/office/drawing/2014/main" id="{3F99D933-5C56-4476-972C-AF1DB9CAAD6A}"/>
            </a:ext>
          </a:extLst>
        </xdr:cNvPr>
        <xdr:cNvCxnSpPr/>
      </xdr:nvCxnSpPr>
      <xdr:spPr>
        <a:xfrm flipH="1" flipV="1">
          <a:off x="13335000" y="6270811"/>
          <a:ext cx="4482" cy="300318"/>
        </a:xfrm>
        <a:prstGeom prst="line">
          <a:avLst/>
        </a:prstGeom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526957</xdr:colOff>
      <xdr:row>33</xdr:row>
      <xdr:rowOff>26614</xdr:rowOff>
    </xdr:from>
    <xdr:to>
      <xdr:col>20</xdr:col>
      <xdr:colOff>188819</xdr:colOff>
      <xdr:row>33</xdr:row>
      <xdr:rowOff>31377</xdr:rowOff>
    </xdr:to>
    <xdr:cxnSp macro="">
      <xdr:nvCxnSpPr>
        <xdr:cNvPr id="227" name="Straight Connector 35">
          <a:extLst>
            <a:ext uri="{FF2B5EF4-FFF2-40B4-BE49-F238E27FC236}">
              <a16:creationId xmlns:a16="http://schemas.microsoft.com/office/drawing/2014/main" id="{A4D0E0D0-A85F-43FE-A308-DE15F64E7C6C}"/>
            </a:ext>
          </a:extLst>
        </xdr:cNvPr>
        <xdr:cNvCxnSpPr/>
      </xdr:nvCxnSpPr>
      <xdr:spPr>
        <a:xfrm flipH="1">
          <a:off x="13068581" y="6275014"/>
          <a:ext cx="271462" cy="4763"/>
        </a:xfrm>
        <a:prstGeom prst="line">
          <a:avLst/>
        </a:prstGeom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447675</xdr:colOff>
      <xdr:row>31</xdr:row>
      <xdr:rowOff>109537</xdr:rowOff>
    </xdr:from>
    <xdr:to>
      <xdr:col>20</xdr:col>
      <xdr:colOff>448534</xdr:colOff>
      <xdr:row>34</xdr:row>
      <xdr:rowOff>160959</xdr:rowOff>
    </xdr:to>
    <xdr:cxnSp macro="">
      <xdr:nvCxnSpPr>
        <xdr:cNvPr id="79" name="Straight Connector 38">
          <a:extLst>
            <a:ext uri="{FF2B5EF4-FFF2-40B4-BE49-F238E27FC236}">
              <a16:creationId xmlns:a16="http://schemas.microsoft.com/office/drawing/2014/main" id="{50C214AA-4FE6-45E3-AF5F-8202AE5FB85D}"/>
            </a:ext>
          </a:extLst>
        </xdr:cNvPr>
        <xdr:cNvCxnSpPr/>
      </xdr:nvCxnSpPr>
      <xdr:spPr>
        <a:xfrm flipH="1" flipV="1">
          <a:off x="13601700" y="5905500"/>
          <a:ext cx="859" cy="594347"/>
        </a:xfrm>
        <a:prstGeom prst="line">
          <a:avLst/>
        </a:prstGeom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547688</xdr:colOff>
      <xdr:row>31</xdr:row>
      <xdr:rowOff>104775</xdr:rowOff>
    </xdr:from>
    <xdr:to>
      <xdr:col>20</xdr:col>
      <xdr:colOff>433387</xdr:colOff>
      <xdr:row>31</xdr:row>
      <xdr:rowOff>109537</xdr:rowOff>
    </xdr:to>
    <xdr:cxnSp macro="">
      <xdr:nvCxnSpPr>
        <xdr:cNvPr id="85" name="Straight Connector 40">
          <a:extLst>
            <a:ext uri="{FF2B5EF4-FFF2-40B4-BE49-F238E27FC236}">
              <a16:creationId xmlns:a16="http://schemas.microsoft.com/office/drawing/2014/main" id="{09F375B8-903F-4F19-B3A4-955AFB304B70}"/>
            </a:ext>
          </a:extLst>
        </xdr:cNvPr>
        <xdr:cNvCxnSpPr/>
      </xdr:nvCxnSpPr>
      <xdr:spPr>
        <a:xfrm flipH="1" flipV="1">
          <a:off x="13092113" y="5900738"/>
          <a:ext cx="495299" cy="4762"/>
        </a:xfrm>
        <a:prstGeom prst="line">
          <a:avLst/>
        </a:prstGeom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489281</xdr:colOff>
      <xdr:row>53</xdr:row>
      <xdr:rowOff>171450</xdr:rowOff>
    </xdr:from>
    <xdr:to>
      <xdr:col>20</xdr:col>
      <xdr:colOff>495300</xdr:colOff>
      <xdr:row>57</xdr:row>
      <xdr:rowOff>41368</xdr:rowOff>
    </xdr:to>
    <xdr:cxnSp macro="">
      <xdr:nvCxnSpPr>
        <xdr:cNvPr id="177" name="Straight Connector 42">
          <a:extLst>
            <a:ext uri="{FF2B5EF4-FFF2-40B4-BE49-F238E27FC236}">
              <a16:creationId xmlns:a16="http://schemas.microsoft.com/office/drawing/2014/main" id="{10695556-C337-40CA-99CC-D32EB8C9B14F}"/>
            </a:ext>
          </a:extLst>
        </xdr:cNvPr>
        <xdr:cNvCxnSpPr/>
      </xdr:nvCxnSpPr>
      <xdr:spPr>
        <a:xfrm flipV="1">
          <a:off x="13643306" y="9948863"/>
          <a:ext cx="6019" cy="593818"/>
        </a:xfrm>
        <a:prstGeom prst="line">
          <a:avLst/>
        </a:prstGeom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542925</xdr:colOff>
      <xdr:row>53</xdr:row>
      <xdr:rowOff>109537</xdr:rowOff>
    </xdr:from>
    <xdr:to>
      <xdr:col>20</xdr:col>
      <xdr:colOff>546424</xdr:colOff>
      <xdr:row>57</xdr:row>
      <xdr:rowOff>46136</xdr:rowOff>
    </xdr:to>
    <xdr:cxnSp macro="">
      <xdr:nvCxnSpPr>
        <xdr:cNvPr id="176" name="Straight Connector 43">
          <a:extLst>
            <a:ext uri="{FF2B5EF4-FFF2-40B4-BE49-F238E27FC236}">
              <a16:creationId xmlns:a16="http://schemas.microsoft.com/office/drawing/2014/main" id="{44BDC201-7733-4820-B659-F54EC438F1F8}"/>
            </a:ext>
          </a:extLst>
        </xdr:cNvPr>
        <xdr:cNvCxnSpPr/>
      </xdr:nvCxnSpPr>
      <xdr:spPr>
        <a:xfrm flipH="1" flipV="1">
          <a:off x="13696950" y="9886950"/>
          <a:ext cx="3499" cy="660499"/>
        </a:xfrm>
        <a:prstGeom prst="line">
          <a:avLst/>
        </a:prstGeom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591670</xdr:colOff>
      <xdr:row>53</xdr:row>
      <xdr:rowOff>108772</xdr:rowOff>
    </xdr:from>
    <xdr:to>
      <xdr:col>20</xdr:col>
      <xdr:colOff>554616</xdr:colOff>
      <xdr:row>53</xdr:row>
      <xdr:rowOff>112059</xdr:rowOff>
    </xdr:to>
    <xdr:cxnSp macro="">
      <xdr:nvCxnSpPr>
        <xdr:cNvPr id="194" name="Straight Connector 30">
          <a:extLst>
            <a:ext uri="{FF2B5EF4-FFF2-40B4-BE49-F238E27FC236}">
              <a16:creationId xmlns:a16="http://schemas.microsoft.com/office/drawing/2014/main" id="{71AAB026-A072-4C71-AA58-AC7BAE14F18C}"/>
            </a:ext>
          </a:extLst>
        </xdr:cNvPr>
        <xdr:cNvCxnSpPr/>
      </xdr:nvCxnSpPr>
      <xdr:spPr>
        <a:xfrm flipV="1">
          <a:off x="13133294" y="10032701"/>
          <a:ext cx="572546" cy="3287"/>
        </a:xfrm>
        <a:prstGeom prst="line">
          <a:avLst/>
        </a:prstGeom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600635</xdr:colOff>
      <xdr:row>53</xdr:row>
      <xdr:rowOff>167043</xdr:rowOff>
    </xdr:from>
    <xdr:to>
      <xdr:col>20</xdr:col>
      <xdr:colOff>500828</xdr:colOff>
      <xdr:row>53</xdr:row>
      <xdr:rowOff>170330</xdr:rowOff>
    </xdr:to>
    <xdr:cxnSp macro="">
      <xdr:nvCxnSpPr>
        <xdr:cNvPr id="193" name="Straight Connector 30">
          <a:extLst>
            <a:ext uri="{FF2B5EF4-FFF2-40B4-BE49-F238E27FC236}">
              <a16:creationId xmlns:a16="http://schemas.microsoft.com/office/drawing/2014/main" id="{7707C2DD-F203-4027-A4F9-48AC2AEEA0DE}"/>
            </a:ext>
          </a:extLst>
        </xdr:cNvPr>
        <xdr:cNvCxnSpPr/>
      </xdr:nvCxnSpPr>
      <xdr:spPr>
        <a:xfrm flipV="1">
          <a:off x="13142259" y="10090972"/>
          <a:ext cx="509793" cy="3287"/>
        </a:xfrm>
        <a:prstGeom prst="line">
          <a:avLst/>
        </a:prstGeom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516708</xdr:colOff>
      <xdr:row>75</xdr:row>
      <xdr:rowOff>103414</xdr:rowOff>
    </xdr:from>
    <xdr:to>
      <xdr:col>20</xdr:col>
      <xdr:colOff>517071</xdr:colOff>
      <xdr:row>78</xdr:row>
      <xdr:rowOff>180340</xdr:rowOff>
    </xdr:to>
    <xdr:cxnSp macro="">
      <xdr:nvCxnSpPr>
        <xdr:cNvPr id="214" name="Straight Connector 41">
          <a:extLst>
            <a:ext uri="{FF2B5EF4-FFF2-40B4-BE49-F238E27FC236}">
              <a16:creationId xmlns:a16="http://schemas.microsoft.com/office/drawing/2014/main" id="{54B22ADF-32CF-4774-9B55-3E0831340192}"/>
            </a:ext>
          </a:extLst>
        </xdr:cNvPr>
        <xdr:cNvCxnSpPr/>
      </xdr:nvCxnSpPr>
      <xdr:spPr>
        <a:xfrm flipV="1">
          <a:off x="13666651" y="14162314"/>
          <a:ext cx="363" cy="632097"/>
        </a:xfrm>
        <a:prstGeom prst="line">
          <a:avLst/>
        </a:prstGeom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604157</xdr:colOff>
      <xdr:row>75</xdr:row>
      <xdr:rowOff>114662</xdr:rowOff>
    </xdr:from>
    <xdr:to>
      <xdr:col>20</xdr:col>
      <xdr:colOff>518885</xdr:colOff>
      <xdr:row>75</xdr:row>
      <xdr:rowOff>119743</xdr:rowOff>
    </xdr:to>
    <xdr:cxnSp macro="">
      <xdr:nvCxnSpPr>
        <xdr:cNvPr id="212" name="Straight Connector 42">
          <a:extLst>
            <a:ext uri="{FF2B5EF4-FFF2-40B4-BE49-F238E27FC236}">
              <a16:creationId xmlns:a16="http://schemas.microsoft.com/office/drawing/2014/main" id="{B19C4131-8DF4-4462-8AE6-1563C8158B2A}"/>
            </a:ext>
          </a:extLst>
        </xdr:cNvPr>
        <xdr:cNvCxnSpPr/>
      </xdr:nvCxnSpPr>
      <xdr:spPr>
        <a:xfrm flipV="1">
          <a:off x="13144500" y="14173562"/>
          <a:ext cx="524328" cy="5081"/>
        </a:xfrm>
        <a:prstGeom prst="line">
          <a:avLst/>
        </a:prstGeom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58616</xdr:colOff>
      <xdr:row>3</xdr:row>
      <xdr:rowOff>39077</xdr:rowOff>
    </xdr:from>
    <xdr:to>
      <xdr:col>16</xdr:col>
      <xdr:colOff>169097</xdr:colOff>
      <xdr:row>13</xdr:row>
      <xdr:rowOff>48847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F6E6AC-7B19-42D6-8C5C-59A7F2236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308" y="595923"/>
          <a:ext cx="4956018" cy="36634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419854</xdr:colOff>
      <xdr:row>4</xdr:row>
      <xdr:rowOff>7620</xdr:rowOff>
    </xdr:from>
    <xdr:ext cx="11849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D9C388A5-7CE0-F0C6-1092-F82BC9C0818E}"/>
                </a:ext>
              </a:extLst>
            </xdr:cNvPr>
            <xdr:cNvSpPr txBox="1"/>
          </xdr:nvSpPr>
          <xdr:spPr>
            <a:xfrm>
              <a:off x="5008601" y="744499"/>
              <a:ext cx="11849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ID" sz="1100" i="1">
                        <a:latin typeface="Cambria Math" panose="02040503050406030204" pitchFamily="18" charset="0"/>
                      </a:rPr>
                      <m:t>𝜋</m:t>
                    </m:r>
                  </m:oMath>
                </m:oMathPara>
              </a14:m>
              <a:endParaRPr lang="en-ID" sz="1100"/>
            </a:p>
          </xdr:txBody>
        </xdr:sp>
      </mc:Choice>
      <mc:Fallback xmlns="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D9C388A5-7CE0-F0C6-1092-F82BC9C0818E}"/>
                </a:ext>
              </a:extLst>
            </xdr:cNvPr>
            <xdr:cNvSpPr txBox="1"/>
          </xdr:nvSpPr>
          <xdr:spPr>
            <a:xfrm>
              <a:off x="5008601" y="744499"/>
              <a:ext cx="11849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ID" sz="1100" i="0">
                  <a:latin typeface="Cambria Math" panose="02040503050406030204" pitchFamily="18" charset="0"/>
                </a:rPr>
                <a:t>𝜋</a:t>
              </a:r>
              <a:endParaRPr lang="en-ID" sz="1100"/>
            </a:p>
          </xdr:txBody>
        </xdr:sp>
      </mc:Fallback>
    </mc:AlternateContent>
    <xdr:clientData/>
  </xdr:oneCellAnchor>
  <xdr:oneCellAnchor>
    <xdr:from>
      <xdr:col>7</xdr:col>
      <xdr:colOff>137160</xdr:colOff>
      <xdr:row>6</xdr:row>
      <xdr:rowOff>0</xdr:rowOff>
    </xdr:from>
    <xdr:ext cx="1192762" cy="18216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E9C02A5A-2630-6B18-D81B-B92A8250C22A}"/>
                </a:ext>
              </a:extLst>
            </xdr:cNvPr>
            <xdr:cNvSpPr txBox="1"/>
          </xdr:nvSpPr>
          <xdr:spPr>
            <a:xfrm>
              <a:off x="4716780" y="1097280"/>
              <a:ext cx="1192762" cy="1821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p>
                      <m:sSupPr>
                        <m:ctrlPr>
                          <a:rPr lang="en-ID" sz="11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((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𝑄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.4)/(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𝑣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.3,14)</m:t>
                        </m:r>
                      </m:e>
                      <m:sup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1/2</m:t>
                        </m:r>
                      </m:sup>
                    </m:sSup>
                  </m:oMath>
                </m:oMathPara>
              </a14:m>
              <a:endParaRPr lang="en-ID" sz="1100"/>
            </a:p>
          </xdr:txBody>
        </xdr:sp>
      </mc:Choice>
      <mc:Fallback xmlns="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E9C02A5A-2630-6B18-D81B-B92A8250C22A}"/>
                </a:ext>
              </a:extLst>
            </xdr:cNvPr>
            <xdr:cNvSpPr txBox="1"/>
          </xdr:nvSpPr>
          <xdr:spPr>
            <a:xfrm>
              <a:off x="4716780" y="1097280"/>
              <a:ext cx="1192762" cy="18216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ID" sz="1100" i="0">
                  <a:latin typeface="Cambria Math" panose="02040503050406030204" pitchFamily="18" charset="0"/>
                </a:rPr>
                <a:t>〖</a:t>
              </a:r>
              <a:r>
                <a:rPr lang="en-US" sz="1100" b="0" i="0">
                  <a:latin typeface="Cambria Math" panose="02040503050406030204" pitchFamily="18" charset="0"/>
                </a:rPr>
                <a:t>((𝑄.4)/(𝑣.3,14)</a:t>
              </a:r>
              <a:r>
                <a:rPr lang="en-ID" sz="1100" b="0" i="0">
                  <a:latin typeface="Cambria Math" panose="02040503050406030204" pitchFamily="18" charset="0"/>
                </a:rPr>
                <a:t>〗^(</a:t>
              </a:r>
              <a:r>
                <a:rPr lang="en-US" sz="1100" b="0" i="0">
                  <a:latin typeface="Cambria Math" panose="02040503050406030204" pitchFamily="18" charset="0"/>
                </a:rPr>
                <a:t>1/2</a:t>
              </a:r>
              <a:r>
                <a:rPr lang="en-ID" sz="1100" b="0" i="0">
                  <a:latin typeface="Cambria Math" panose="02040503050406030204" pitchFamily="18" charset="0"/>
                </a:rPr>
                <a:t>)</a:t>
              </a:r>
              <a:endParaRPr lang="en-ID" sz="1100"/>
            </a:p>
          </xdr:txBody>
        </xdr:sp>
      </mc:Fallback>
    </mc:AlternateContent>
    <xdr:clientData/>
  </xdr:oneCellAnchor>
  <xdr:twoCellAnchor editAs="oneCell">
    <xdr:from>
      <xdr:col>19</xdr:col>
      <xdr:colOff>54512</xdr:colOff>
      <xdr:row>0</xdr:row>
      <xdr:rowOff>0</xdr:rowOff>
    </xdr:from>
    <xdr:to>
      <xdr:col>29</xdr:col>
      <xdr:colOff>370114</xdr:colOff>
      <xdr:row>14</xdr:row>
      <xdr:rowOff>32020</xdr:rowOff>
    </xdr:to>
    <xdr:pic>
      <xdr:nvPicPr>
        <xdr:cNvPr id="2" name="Picture 8">
          <a:extLst>
            <a:ext uri="{FF2B5EF4-FFF2-40B4-BE49-F238E27FC236}">
              <a16:creationId xmlns:a16="http://schemas.microsoft.com/office/drawing/2014/main" id="{F870BEB8-BF0E-5845-2DEE-395848E86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9765" y="0"/>
          <a:ext cx="6411602" cy="2592340"/>
        </a:xfrm>
        <a:prstGeom prst="rect">
          <a:avLst/>
        </a:prstGeom>
      </xdr:spPr>
    </xdr:pic>
    <xdr:clientData/>
  </xdr:twoCellAnchor>
  <xdr:twoCellAnchor editAs="oneCell">
    <xdr:from>
      <xdr:col>19</xdr:col>
      <xdr:colOff>180452</xdr:colOff>
      <xdr:row>14</xdr:row>
      <xdr:rowOff>167641</xdr:rowOff>
    </xdr:from>
    <xdr:to>
      <xdr:col>29</xdr:col>
      <xdr:colOff>567484</xdr:colOff>
      <xdr:row>34</xdr:row>
      <xdr:rowOff>26797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56366B4A-3933-3E91-7939-B0F5926BB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55705" y="2746718"/>
          <a:ext cx="6483032" cy="3516756"/>
        </a:xfrm>
        <a:prstGeom prst="rect">
          <a:avLst/>
        </a:prstGeom>
      </xdr:spPr>
    </xdr:pic>
    <xdr:clientData/>
  </xdr:twoCellAnchor>
  <xdr:twoCellAnchor editAs="oneCell">
    <xdr:from>
      <xdr:col>31</xdr:col>
      <xdr:colOff>309825</xdr:colOff>
      <xdr:row>0</xdr:row>
      <xdr:rowOff>0</xdr:rowOff>
    </xdr:from>
    <xdr:to>
      <xdr:col>36</xdr:col>
      <xdr:colOff>387478</xdr:colOff>
      <xdr:row>24</xdr:row>
      <xdr:rowOff>113305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D8977D-9371-05D6-EC8F-1D91C2696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20374" y="0"/>
          <a:ext cx="3134026" cy="453458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IKO SARASVATY PRABOWO" id="{6B6695CB-3767-4919-8FB4-8E26A29E9720}" userId="S::20513239@students.uii.ac.id::87fdcc95-2c16-4ed7-bd44-5de38e2f3d18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3" dT="2023-02-23T07:19:52.41" personId="{6B6695CB-3767-4919-8FB4-8E26A29E9720}" id="{66EF72FC-97ED-41BE-99FE-C32FA76F0445}">
    <text xml:space="preserve">Dari 18
</text>
  </threadedComment>
  <threadedComment ref="D132" dT="2023-02-23T07:17:44.43" personId="{6B6695CB-3767-4919-8FB4-8E26A29E9720}" id="{365F4EED-40FA-4D74-9DAE-FDDC2F077787}">
    <text>Dari 2</text>
  </threadedComment>
  <threadedComment ref="D133" dT="2023-02-23T07:18:01.09" personId="{6B6695CB-3767-4919-8FB4-8E26A29E9720}" id="{42FE2026-1A84-4B38-B1A5-0060DD44ADBB}">
    <text>Dari 1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23" dT="2023-02-23T07:19:52.41" personId="{6B6695CB-3767-4919-8FB4-8E26A29E9720}" id="{77DF8730-A6DC-463F-969A-9CB58091B520}">
    <text xml:space="preserve">Dari 18
</text>
  </threadedComment>
  <threadedComment ref="D132" dT="2023-02-23T07:17:44.43" personId="{6B6695CB-3767-4919-8FB4-8E26A29E9720}" id="{3C7B0757-F440-4EE7-80C0-23CADD43401C}">
    <text>Dari 2</text>
  </threadedComment>
  <threadedComment ref="D133" dT="2023-02-23T07:18:01.09" personId="{6B6695CB-3767-4919-8FB4-8E26A29E9720}" id="{31C63BA1-3C02-47ED-9F22-F85466D2D3D0}">
    <text>Dari 1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J25" dT="2023-02-23T07:19:52.41" personId="{6B6695CB-3767-4919-8FB4-8E26A29E9720}" id="{2695BC6D-6634-4B6B-A72F-C46BE0E386CD}">
    <text xml:space="preserve">Dari 18
</text>
  </threadedComment>
  <threadedComment ref="J104" dT="2023-02-23T07:18:01.09" personId="{6B6695CB-3767-4919-8FB4-8E26A29E9720}" id="{38A988ED-63C8-48A9-B396-F7E7EF36E354}">
    <text>Dari 1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1.xml"/><Relationship Id="rId4" Type="http://schemas.microsoft.com/office/2017/10/relationships/threadedComment" Target="../threadedComments/threadedComment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94696-3037-4BB0-AD09-6803AA00B7B0}">
  <sheetPr>
    <tabColor rgb="FF00B0F0"/>
  </sheetPr>
  <dimension ref="A3:M83"/>
  <sheetViews>
    <sheetView view="pageBreakPreview" zoomScale="70" zoomScaleNormal="60" zoomScaleSheetLayoutView="70" workbookViewId="0">
      <pane xSplit="1" ySplit="4" topLeftCell="N5" activePane="bottomRight" state="frozen"/>
      <selection pane="topRight" activeCell="B1" sqref="B1"/>
      <selection pane="bottomLeft" activeCell="A5" sqref="A5"/>
      <selection pane="bottomRight" activeCell="N5" sqref="N5:AD64"/>
    </sheetView>
  </sheetViews>
  <sheetFormatPr defaultRowHeight="14.4" x14ac:dyDescent="0.3"/>
  <cols>
    <col min="1" max="1" width="4.6640625" style="9" bestFit="1" customWidth="1"/>
    <col min="3" max="3" width="28" customWidth="1"/>
    <col min="4" max="4" width="16" customWidth="1"/>
    <col min="5" max="5" width="16.109375" customWidth="1"/>
    <col min="6" max="6" width="24" customWidth="1"/>
    <col min="7" max="7" width="14.33203125" customWidth="1"/>
    <col min="8" max="8" width="13.88671875" customWidth="1"/>
    <col min="9" max="9" width="17.5546875" style="5" bestFit="1" customWidth="1"/>
    <col min="10" max="10" width="25.88671875" customWidth="1"/>
    <col min="11" max="11" width="17.5546875" bestFit="1" customWidth="1"/>
    <col min="12" max="12" width="19" bestFit="1" customWidth="1"/>
    <col min="13" max="13" width="17.5546875" style="5" bestFit="1" customWidth="1"/>
    <col min="14" max="14" width="11.33203125" customWidth="1"/>
    <col min="24" max="24" width="11.21875" customWidth="1"/>
  </cols>
  <sheetData>
    <row r="3" spans="1:13" x14ac:dyDescent="0.3">
      <c r="A3" s="10" t="s">
        <v>0</v>
      </c>
      <c r="B3" s="8" t="s">
        <v>47</v>
      </c>
      <c r="C3" s="6"/>
      <c r="D3" s="6"/>
      <c r="E3" s="6"/>
      <c r="F3" s="150" t="s">
        <v>83</v>
      </c>
      <c r="G3" s="150"/>
      <c r="H3" s="150"/>
      <c r="I3" s="150"/>
      <c r="J3" s="150" t="s">
        <v>84</v>
      </c>
      <c r="K3" s="150"/>
      <c r="L3" s="150"/>
      <c r="M3" s="150"/>
    </row>
    <row r="4" spans="1:13" ht="28.8" x14ac:dyDescent="0.3">
      <c r="B4" s="4" t="s">
        <v>2</v>
      </c>
      <c r="C4" s="4" t="s">
        <v>8</v>
      </c>
      <c r="D4" s="13" t="s">
        <v>7</v>
      </c>
      <c r="E4" s="22" t="s">
        <v>80</v>
      </c>
      <c r="F4" s="13" t="s">
        <v>6</v>
      </c>
      <c r="G4" s="13" t="s">
        <v>77</v>
      </c>
      <c r="H4" s="13" t="s">
        <v>78</v>
      </c>
      <c r="I4" s="19" t="s">
        <v>81</v>
      </c>
      <c r="J4" s="13" t="s">
        <v>87</v>
      </c>
      <c r="K4" s="13" t="s">
        <v>77</v>
      </c>
      <c r="L4" s="13" t="s">
        <v>78</v>
      </c>
      <c r="M4" s="19" t="s">
        <v>81</v>
      </c>
    </row>
    <row r="5" spans="1:13" x14ac:dyDescent="0.3">
      <c r="B5" s="158" t="s">
        <v>11</v>
      </c>
      <c r="C5" s="159"/>
      <c r="D5" s="159"/>
      <c r="E5" s="160"/>
      <c r="F5" s="15"/>
      <c r="G5" s="16"/>
      <c r="H5" s="16"/>
      <c r="I5" s="1"/>
      <c r="J5" s="15"/>
      <c r="K5" s="16"/>
      <c r="L5" s="16"/>
      <c r="M5" s="1"/>
    </row>
    <row r="6" spans="1:13" x14ac:dyDescent="0.3">
      <c r="B6" s="2">
        <v>1</v>
      </c>
      <c r="C6" s="3" t="s">
        <v>5</v>
      </c>
      <c r="D6" s="2">
        <f>1+1+1*3+1+1+1</f>
        <v>8</v>
      </c>
      <c r="E6" s="20"/>
      <c r="F6" s="2">
        <v>5</v>
      </c>
      <c r="G6" s="14"/>
      <c r="H6" s="14">
        <f>D6*F6</f>
        <v>40</v>
      </c>
      <c r="I6" s="21"/>
      <c r="J6" s="29">
        <v>5</v>
      </c>
      <c r="K6" s="14"/>
      <c r="L6" s="14">
        <f>J6*D6</f>
        <v>40</v>
      </c>
      <c r="M6" s="21"/>
    </row>
    <row r="7" spans="1:13" x14ac:dyDescent="0.3">
      <c r="B7" s="1">
        <v>2</v>
      </c>
      <c r="C7" s="7" t="s">
        <v>9</v>
      </c>
      <c r="D7" s="1">
        <f>1+1+1*3+1+1+1</f>
        <v>8</v>
      </c>
      <c r="E7" s="21"/>
      <c r="F7" s="1">
        <v>2</v>
      </c>
      <c r="G7" s="11">
        <f t="shared" ref="G7:G11" si="0">D7*F7</f>
        <v>16</v>
      </c>
      <c r="H7" s="11"/>
      <c r="I7" s="21"/>
      <c r="J7" s="1">
        <v>2</v>
      </c>
      <c r="K7" s="11">
        <f>D7*J7</f>
        <v>16</v>
      </c>
      <c r="L7" s="11"/>
      <c r="M7" s="21"/>
    </row>
    <row r="8" spans="1:13" x14ac:dyDescent="0.3">
      <c r="B8" s="1">
        <v>3</v>
      </c>
      <c r="C8" s="7" t="s">
        <v>4</v>
      </c>
      <c r="D8" s="1">
        <f>6+1+1+1*3+1+1+2+1+1+1+2+1</f>
        <v>21</v>
      </c>
      <c r="E8" s="21">
        <v>20</v>
      </c>
      <c r="F8" s="1">
        <v>2</v>
      </c>
      <c r="G8" s="11">
        <f t="shared" si="0"/>
        <v>42</v>
      </c>
      <c r="H8" s="11"/>
      <c r="I8" s="21">
        <f>E8*F8</f>
        <v>40</v>
      </c>
      <c r="J8" s="1">
        <v>2</v>
      </c>
      <c r="K8" s="11">
        <f t="shared" ref="K8:K14" si="1">J8*D8</f>
        <v>42</v>
      </c>
      <c r="L8" s="11"/>
      <c r="M8" s="21">
        <f>J8*E8</f>
        <v>40</v>
      </c>
    </row>
    <row r="9" spans="1:13" x14ac:dyDescent="0.3">
      <c r="B9" s="1">
        <v>4</v>
      </c>
      <c r="C9" s="7" t="s">
        <v>3</v>
      </c>
      <c r="D9" s="1">
        <f>1+1</f>
        <v>2</v>
      </c>
      <c r="E9" s="21">
        <v>2</v>
      </c>
      <c r="F9" s="1">
        <v>2</v>
      </c>
      <c r="G9" s="11">
        <f t="shared" si="0"/>
        <v>4</v>
      </c>
      <c r="H9" s="11"/>
      <c r="I9" s="21">
        <f t="shared" ref="I9:I14" si="2">E9*F9</f>
        <v>4</v>
      </c>
      <c r="J9" s="1">
        <v>2</v>
      </c>
      <c r="K9" s="11">
        <f t="shared" si="1"/>
        <v>4</v>
      </c>
      <c r="L9" s="11"/>
      <c r="M9" s="21">
        <f t="shared" ref="M9:M14" si="3">J9*E9</f>
        <v>4</v>
      </c>
    </row>
    <row r="10" spans="1:13" x14ac:dyDescent="0.3">
      <c r="B10" s="1">
        <v>5</v>
      </c>
      <c r="C10" s="7" t="s">
        <v>10</v>
      </c>
      <c r="D10" s="1">
        <f>1+1</f>
        <v>2</v>
      </c>
      <c r="E10" s="21">
        <v>2</v>
      </c>
      <c r="F10" s="1">
        <v>2</v>
      </c>
      <c r="G10" s="11">
        <f t="shared" ref="G10" si="4">D10*F10</f>
        <v>4</v>
      </c>
      <c r="H10" s="11"/>
      <c r="I10" s="21">
        <f t="shared" si="2"/>
        <v>4</v>
      </c>
      <c r="J10" s="1">
        <v>2</v>
      </c>
      <c r="K10" s="11">
        <f t="shared" si="1"/>
        <v>4</v>
      </c>
      <c r="L10" s="11"/>
      <c r="M10" s="21">
        <f t="shared" si="3"/>
        <v>4</v>
      </c>
    </row>
    <row r="11" spans="1:13" x14ac:dyDescent="0.3">
      <c r="B11" s="1">
        <v>6</v>
      </c>
      <c r="C11" s="7" t="s">
        <v>19</v>
      </c>
      <c r="D11" s="1">
        <f>1+2+1</f>
        <v>4</v>
      </c>
      <c r="E11" s="21">
        <v>4</v>
      </c>
      <c r="F11" s="1">
        <v>3</v>
      </c>
      <c r="G11" s="11">
        <f t="shared" si="0"/>
        <v>12</v>
      </c>
      <c r="H11" s="11"/>
      <c r="I11" s="21">
        <f t="shared" si="2"/>
        <v>12</v>
      </c>
      <c r="J11" s="30">
        <v>3</v>
      </c>
      <c r="K11" s="17">
        <f t="shared" si="1"/>
        <v>12</v>
      </c>
      <c r="L11" s="11"/>
      <c r="M11" s="21">
        <f t="shared" si="3"/>
        <v>12</v>
      </c>
    </row>
    <row r="12" spans="1:13" x14ac:dyDescent="0.3">
      <c r="B12" s="1">
        <v>7</v>
      </c>
      <c r="C12" s="7" t="s">
        <v>20</v>
      </c>
      <c r="D12" s="1">
        <v>6</v>
      </c>
      <c r="E12" s="21">
        <v>6</v>
      </c>
      <c r="F12" s="1">
        <v>4</v>
      </c>
      <c r="G12" s="11">
        <f t="shared" ref="G12:G13" si="5">D12*F12</f>
        <v>24</v>
      </c>
      <c r="H12" s="11"/>
      <c r="I12" s="21">
        <f t="shared" si="2"/>
        <v>24</v>
      </c>
      <c r="J12" s="30">
        <v>4</v>
      </c>
      <c r="K12" s="17">
        <f t="shared" si="1"/>
        <v>24</v>
      </c>
      <c r="L12" s="11"/>
      <c r="M12" s="21">
        <f t="shared" si="3"/>
        <v>24</v>
      </c>
    </row>
    <row r="13" spans="1:13" x14ac:dyDescent="0.3">
      <c r="B13" s="1">
        <v>8</v>
      </c>
      <c r="C13" s="7" t="s">
        <v>21</v>
      </c>
      <c r="D13" s="1">
        <f>1</f>
        <v>1</v>
      </c>
      <c r="E13" s="21"/>
      <c r="F13" s="1">
        <f>3</f>
        <v>3</v>
      </c>
      <c r="G13" s="11">
        <f t="shared" si="5"/>
        <v>3</v>
      </c>
      <c r="H13" s="11"/>
      <c r="I13" s="21">
        <f t="shared" si="2"/>
        <v>0</v>
      </c>
      <c r="J13" s="1">
        <v>3</v>
      </c>
      <c r="K13" s="11">
        <f t="shared" si="1"/>
        <v>3</v>
      </c>
      <c r="L13" s="11"/>
      <c r="M13" s="21">
        <f t="shared" si="3"/>
        <v>0</v>
      </c>
    </row>
    <row r="14" spans="1:13" x14ac:dyDescent="0.3">
      <c r="B14" s="1">
        <v>9</v>
      </c>
      <c r="C14" s="7" t="s">
        <v>22</v>
      </c>
      <c r="D14" s="1">
        <f>2</f>
        <v>2</v>
      </c>
      <c r="E14" s="21">
        <v>2</v>
      </c>
      <c r="F14" s="1">
        <f>2</f>
        <v>2</v>
      </c>
      <c r="G14" s="11">
        <f t="shared" ref="G14" si="6">D14*F14</f>
        <v>4</v>
      </c>
      <c r="H14" s="11"/>
      <c r="I14" s="21">
        <f t="shared" si="2"/>
        <v>4</v>
      </c>
      <c r="J14" s="1">
        <v>2</v>
      </c>
      <c r="K14" s="11">
        <f t="shared" si="1"/>
        <v>4</v>
      </c>
      <c r="L14" s="11"/>
      <c r="M14" s="21">
        <f t="shared" si="3"/>
        <v>4</v>
      </c>
    </row>
    <row r="15" spans="1:13" x14ac:dyDescent="0.3">
      <c r="B15" s="155"/>
      <c r="C15" s="156"/>
      <c r="D15" s="156"/>
      <c r="E15" s="157"/>
      <c r="F15" s="101" t="s">
        <v>12</v>
      </c>
      <c r="G15" s="17">
        <f>SUM(G6:G14)</f>
        <v>109</v>
      </c>
      <c r="H15" s="17">
        <f>SUM(H6:H14)</f>
        <v>40</v>
      </c>
      <c r="I15" s="23">
        <f>SUM(I7:I14)</f>
        <v>88</v>
      </c>
      <c r="J15" s="38" t="s">
        <v>12</v>
      </c>
      <c r="K15" s="17">
        <f>SUM(K6:K14)</f>
        <v>109</v>
      </c>
      <c r="L15" s="17">
        <f>SUM(L6:L14)</f>
        <v>40</v>
      </c>
      <c r="M15" s="23">
        <f>SUM(M7:M14)</f>
        <v>88</v>
      </c>
    </row>
    <row r="16" spans="1:13" x14ac:dyDescent="0.3">
      <c r="B16" s="158" t="s">
        <v>17</v>
      </c>
      <c r="C16" s="159"/>
      <c r="D16" s="159"/>
      <c r="E16" s="160"/>
      <c r="F16" s="15"/>
      <c r="G16" s="16"/>
      <c r="H16" s="16"/>
      <c r="I16" s="1"/>
      <c r="J16" s="15"/>
      <c r="K16" s="16"/>
      <c r="L16" s="16"/>
      <c r="M16" s="1"/>
    </row>
    <row r="17" spans="2:13" x14ac:dyDescent="0.3">
      <c r="B17" s="2">
        <v>1</v>
      </c>
      <c r="C17" s="3" t="s">
        <v>5</v>
      </c>
      <c r="D17" s="2">
        <f>1*2+1+4+2+3+1</f>
        <v>13</v>
      </c>
      <c r="E17" s="20"/>
      <c r="F17" s="2">
        <v>5</v>
      </c>
      <c r="G17" s="14"/>
      <c r="H17" s="14">
        <f>D17*F17</f>
        <v>65</v>
      </c>
      <c r="I17" s="21"/>
      <c r="J17" s="2">
        <v>5</v>
      </c>
      <c r="K17" s="14"/>
      <c r="L17" s="14">
        <f>J17*D17</f>
        <v>65</v>
      </c>
      <c r="M17" s="21"/>
    </row>
    <row r="18" spans="2:13" x14ac:dyDescent="0.3">
      <c r="B18" s="1">
        <v>2</v>
      </c>
      <c r="C18" s="3" t="s">
        <v>24</v>
      </c>
      <c r="D18" s="2">
        <f>2</f>
        <v>2</v>
      </c>
      <c r="E18" s="20"/>
      <c r="F18" s="2">
        <f>10</f>
        <v>10</v>
      </c>
      <c r="G18" s="14">
        <f>D18*F18</f>
        <v>20</v>
      </c>
      <c r="H18" s="14"/>
      <c r="I18" s="21"/>
      <c r="J18" s="29">
        <v>10</v>
      </c>
      <c r="K18" s="31">
        <f>J18*D18</f>
        <v>20</v>
      </c>
      <c r="L18" s="14"/>
      <c r="M18" s="21"/>
    </row>
    <row r="19" spans="2:13" x14ac:dyDescent="0.3">
      <c r="B19" s="2">
        <v>3</v>
      </c>
      <c r="C19" s="7" t="s">
        <v>9</v>
      </c>
      <c r="D19" s="1">
        <f>1*2+1+2+4+2+3+1</f>
        <v>15</v>
      </c>
      <c r="E19" s="21"/>
      <c r="F19" s="1">
        <v>2</v>
      </c>
      <c r="G19" s="11">
        <f t="shared" ref="G19:G26" si="7">D19*F19</f>
        <v>30</v>
      </c>
      <c r="H19" s="11"/>
      <c r="I19" s="21"/>
      <c r="J19" s="1">
        <v>2</v>
      </c>
      <c r="K19" s="14">
        <f t="shared" ref="K19:K27" si="8">J19*D19</f>
        <v>30</v>
      </c>
      <c r="L19" s="11"/>
      <c r="M19" s="21"/>
    </row>
    <row r="20" spans="2:13" x14ac:dyDescent="0.3">
      <c r="B20" s="1">
        <v>4</v>
      </c>
      <c r="C20" s="7" t="s">
        <v>4</v>
      </c>
      <c r="D20" s="1">
        <f>1+1+5+2+1+1+3</f>
        <v>14</v>
      </c>
      <c r="E20" s="21">
        <v>14</v>
      </c>
      <c r="F20" s="1">
        <v>2</v>
      </c>
      <c r="G20" s="11">
        <f t="shared" si="7"/>
        <v>28</v>
      </c>
      <c r="H20" s="11"/>
      <c r="I20" s="21">
        <f>E20*F20</f>
        <v>28</v>
      </c>
      <c r="J20" s="30">
        <v>2</v>
      </c>
      <c r="K20" s="31">
        <f>J20*D20</f>
        <v>28</v>
      </c>
      <c r="L20" s="11"/>
      <c r="M20" s="21">
        <f>E20*J20</f>
        <v>28</v>
      </c>
    </row>
    <row r="21" spans="2:13" x14ac:dyDescent="0.3">
      <c r="B21" s="2">
        <v>5</v>
      </c>
      <c r="C21" s="7" t="s">
        <v>16</v>
      </c>
      <c r="D21" s="1">
        <f>3</f>
        <v>3</v>
      </c>
      <c r="E21" s="21"/>
      <c r="F21" s="1">
        <v>5</v>
      </c>
      <c r="G21" s="11">
        <f t="shared" si="7"/>
        <v>15</v>
      </c>
      <c r="H21" s="11"/>
      <c r="I21" s="21"/>
      <c r="J21" s="30">
        <v>5</v>
      </c>
      <c r="K21" s="31">
        <f>J21*D21</f>
        <v>15</v>
      </c>
      <c r="L21" s="11"/>
      <c r="M21" s="21"/>
    </row>
    <row r="22" spans="2:13" x14ac:dyDescent="0.3">
      <c r="B22" s="1">
        <v>6</v>
      </c>
      <c r="C22" s="7" t="s">
        <v>3</v>
      </c>
      <c r="D22" s="1">
        <f>1+1</f>
        <v>2</v>
      </c>
      <c r="E22" s="21">
        <v>2</v>
      </c>
      <c r="F22" s="1">
        <v>2</v>
      </c>
      <c r="G22" s="11">
        <f t="shared" si="7"/>
        <v>4</v>
      </c>
      <c r="H22" s="11"/>
      <c r="I22" s="21">
        <f t="shared" ref="I22:I27" si="9">E22*F22</f>
        <v>4</v>
      </c>
      <c r="J22" s="30">
        <v>2</v>
      </c>
      <c r="K22" s="31">
        <f t="shared" si="8"/>
        <v>4</v>
      </c>
      <c r="L22" s="11"/>
      <c r="M22" s="21">
        <f t="shared" ref="M22:M27" si="10">E22*J22</f>
        <v>4</v>
      </c>
    </row>
    <row r="23" spans="2:13" x14ac:dyDescent="0.3">
      <c r="B23" s="2">
        <v>7</v>
      </c>
      <c r="C23" s="7" t="s">
        <v>10</v>
      </c>
      <c r="D23" s="1">
        <f>1+1+1</f>
        <v>3</v>
      </c>
      <c r="E23" s="21">
        <v>3</v>
      </c>
      <c r="F23" s="1">
        <v>2</v>
      </c>
      <c r="G23" s="11">
        <f t="shared" si="7"/>
        <v>6</v>
      </c>
      <c r="H23" s="11"/>
      <c r="I23" s="21">
        <f t="shared" si="9"/>
        <v>6</v>
      </c>
      <c r="J23" s="30">
        <v>2</v>
      </c>
      <c r="K23" s="31">
        <f t="shared" si="8"/>
        <v>6</v>
      </c>
      <c r="L23" s="11"/>
      <c r="M23" s="21">
        <f t="shared" si="10"/>
        <v>6</v>
      </c>
    </row>
    <row r="24" spans="2:13" x14ac:dyDescent="0.3">
      <c r="B24" s="1">
        <v>8</v>
      </c>
      <c r="C24" s="7" t="s">
        <v>19</v>
      </c>
      <c r="D24" s="1">
        <f>1</f>
        <v>1</v>
      </c>
      <c r="E24" s="21">
        <v>1</v>
      </c>
      <c r="F24" s="1">
        <v>3</v>
      </c>
      <c r="G24" s="11">
        <f t="shared" si="7"/>
        <v>3</v>
      </c>
      <c r="H24" s="11"/>
      <c r="I24" s="21">
        <f t="shared" si="9"/>
        <v>3</v>
      </c>
      <c r="J24" s="30">
        <v>3</v>
      </c>
      <c r="K24" s="31">
        <f t="shared" si="8"/>
        <v>3</v>
      </c>
      <c r="L24" s="11"/>
      <c r="M24" s="21">
        <f t="shared" si="10"/>
        <v>3</v>
      </c>
    </row>
    <row r="25" spans="2:13" x14ac:dyDescent="0.3">
      <c r="B25" s="2">
        <v>9</v>
      </c>
      <c r="C25" s="7" t="s">
        <v>20</v>
      </c>
      <c r="D25" s="1">
        <f>1</f>
        <v>1</v>
      </c>
      <c r="E25" s="21">
        <v>1</v>
      </c>
      <c r="F25" s="1">
        <v>4</v>
      </c>
      <c r="G25" s="11">
        <f t="shared" si="7"/>
        <v>4</v>
      </c>
      <c r="H25" s="11"/>
      <c r="I25" s="21">
        <f t="shared" si="9"/>
        <v>4</v>
      </c>
      <c r="J25" s="30">
        <v>4</v>
      </c>
      <c r="K25" s="31">
        <f t="shared" si="8"/>
        <v>4</v>
      </c>
      <c r="L25" s="11"/>
      <c r="M25" s="21">
        <f t="shared" si="10"/>
        <v>4</v>
      </c>
    </row>
    <row r="26" spans="2:13" x14ac:dyDescent="0.3">
      <c r="B26" s="1">
        <v>10</v>
      </c>
      <c r="C26" s="7" t="s">
        <v>22</v>
      </c>
      <c r="D26" s="1">
        <f>1*3+2+5+5</f>
        <v>15</v>
      </c>
      <c r="E26" s="21">
        <v>15</v>
      </c>
      <c r="F26" s="1">
        <f>2</f>
        <v>2</v>
      </c>
      <c r="G26" s="11">
        <f t="shared" si="7"/>
        <v>30</v>
      </c>
      <c r="H26" s="11"/>
      <c r="I26" s="21">
        <f t="shared" si="9"/>
        <v>30</v>
      </c>
      <c r="J26" s="30">
        <v>2</v>
      </c>
      <c r="K26" s="14">
        <f t="shared" si="8"/>
        <v>30</v>
      </c>
      <c r="L26" s="11"/>
      <c r="M26" s="21">
        <f t="shared" si="10"/>
        <v>30</v>
      </c>
    </row>
    <row r="27" spans="2:13" x14ac:dyDescent="0.3">
      <c r="B27" s="2">
        <v>11</v>
      </c>
      <c r="C27" s="7" t="s">
        <v>23</v>
      </c>
      <c r="D27" s="1">
        <f>1</f>
        <v>1</v>
      </c>
      <c r="E27" s="21">
        <v>1</v>
      </c>
      <c r="F27" s="1">
        <f>2</f>
        <v>2</v>
      </c>
      <c r="G27" s="11">
        <f t="shared" ref="G27" si="11">D27*F27</f>
        <v>2</v>
      </c>
      <c r="H27" s="11"/>
      <c r="I27" s="21">
        <f t="shared" si="9"/>
        <v>2</v>
      </c>
      <c r="J27" s="1">
        <v>2</v>
      </c>
      <c r="K27" s="14">
        <f t="shared" si="8"/>
        <v>2</v>
      </c>
      <c r="L27" s="11"/>
      <c r="M27" s="21">
        <f t="shared" si="10"/>
        <v>2</v>
      </c>
    </row>
    <row r="28" spans="2:13" x14ac:dyDescent="0.3">
      <c r="B28" s="151"/>
      <c r="C28" s="151"/>
      <c r="D28" s="151"/>
      <c r="E28" s="151"/>
      <c r="F28" s="102" t="s">
        <v>18</v>
      </c>
      <c r="G28" s="17">
        <f>SUM(G17:G27)</f>
        <v>142</v>
      </c>
      <c r="H28" s="17">
        <f>SUM(H17:H27)</f>
        <v>65</v>
      </c>
      <c r="I28" s="23">
        <f>SUM(I20:I27)</f>
        <v>77</v>
      </c>
      <c r="J28" s="38" t="s">
        <v>18</v>
      </c>
      <c r="K28" s="17">
        <f>SUM(K17:K27)</f>
        <v>142</v>
      </c>
      <c r="L28" s="17">
        <f>SUM(L17:L27)</f>
        <v>65</v>
      </c>
      <c r="M28" s="23">
        <f>SUM(M20:M27)</f>
        <v>77</v>
      </c>
    </row>
    <row r="29" spans="2:13" x14ac:dyDescent="0.3">
      <c r="B29" s="158" t="s">
        <v>25</v>
      </c>
      <c r="C29" s="159"/>
      <c r="D29" s="159"/>
      <c r="E29" s="159"/>
      <c r="F29" s="15"/>
      <c r="G29" s="16"/>
      <c r="H29" s="16"/>
      <c r="I29" s="1"/>
      <c r="J29" s="15"/>
      <c r="K29" s="16"/>
      <c r="L29" s="16"/>
      <c r="M29" s="1"/>
    </row>
    <row r="30" spans="2:13" x14ac:dyDescent="0.3">
      <c r="B30" s="2">
        <v>1</v>
      </c>
      <c r="C30" s="3" t="s">
        <v>5</v>
      </c>
      <c r="D30" s="2">
        <f>1+6+2+1+6+2+1+2</f>
        <v>21</v>
      </c>
      <c r="E30" s="20"/>
      <c r="F30" s="2">
        <v>5</v>
      </c>
      <c r="G30" s="14"/>
      <c r="H30" s="14">
        <f t="shared" ref="H30" si="12">D30*F30</f>
        <v>105</v>
      </c>
      <c r="I30" s="21"/>
      <c r="J30" s="2">
        <v>5</v>
      </c>
      <c r="K30" s="14"/>
      <c r="L30" s="14">
        <f>J30*D30</f>
        <v>105</v>
      </c>
      <c r="M30" s="21"/>
    </row>
    <row r="31" spans="2:13" x14ac:dyDescent="0.3">
      <c r="B31" s="2">
        <v>2</v>
      </c>
      <c r="C31" s="7" t="s">
        <v>9</v>
      </c>
      <c r="D31" s="1">
        <f>1+6+2+1+6+2+1+2</f>
        <v>21</v>
      </c>
      <c r="E31" s="21"/>
      <c r="F31" s="1">
        <v>2</v>
      </c>
      <c r="G31" s="11">
        <f t="shared" ref="G31:G35" si="13">D31*F31</f>
        <v>42</v>
      </c>
      <c r="H31" s="11"/>
      <c r="I31" s="21"/>
      <c r="J31" s="1">
        <v>2</v>
      </c>
      <c r="K31" s="11">
        <f>J31*D31</f>
        <v>42</v>
      </c>
      <c r="L31" s="11"/>
      <c r="M31" s="21"/>
    </row>
    <row r="32" spans="2:13" x14ac:dyDescent="0.3">
      <c r="B32" s="2">
        <v>3</v>
      </c>
      <c r="C32" s="7" t="s">
        <v>4</v>
      </c>
      <c r="D32" s="1">
        <f>6+7+4+1+1+7+1+5+2+1+8+1+1+2+2+1+2</f>
        <v>52</v>
      </c>
      <c r="E32" s="21">
        <v>35</v>
      </c>
      <c r="F32" s="1">
        <v>2</v>
      </c>
      <c r="G32" s="11">
        <f t="shared" si="13"/>
        <v>104</v>
      </c>
      <c r="H32" s="11"/>
      <c r="I32" s="21">
        <f>E32*F32</f>
        <v>70</v>
      </c>
      <c r="J32" s="30">
        <v>2</v>
      </c>
      <c r="K32" s="17">
        <f t="shared" ref="K32:K35" si="14">J32*D32</f>
        <v>104</v>
      </c>
      <c r="L32" s="11"/>
      <c r="M32" s="21">
        <f>E32*J32</f>
        <v>70</v>
      </c>
    </row>
    <row r="33" spans="2:13" x14ac:dyDescent="0.3">
      <c r="B33" s="2">
        <v>4</v>
      </c>
      <c r="C33" s="7" t="s">
        <v>16</v>
      </c>
      <c r="D33" s="1">
        <f>2+2</f>
        <v>4</v>
      </c>
      <c r="E33" s="21"/>
      <c r="F33" s="1">
        <v>5</v>
      </c>
      <c r="G33" s="11">
        <f t="shared" si="13"/>
        <v>20</v>
      </c>
      <c r="H33" s="11"/>
      <c r="I33" s="21"/>
      <c r="J33" s="30">
        <v>5</v>
      </c>
      <c r="K33" s="17">
        <f>J33*D33</f>
        <v>20</v>
      </c>
      <c r="L33" s="11"/>
      <c r="M33" s="21"/>
    </row>
    <row r="34" spans="2:13" x14ac:dyDescent="0.3">
      <c r="B34" s="2">
        <v>5</v>
      </c>
      <c r="C34" s="7" t="s">
        <v>10</v>
      </c>
      <c r="D34" s="1">
        <f>2+2</f>
        <v>4</v>
      </c>
      <c r="E34" s="21">
        <v>2</v>
      </c>
      <c r="F34" s="1">
        <v>2</v>
      </c>
      <c r="G34" s="11">
        <f t="shared" si="13"/>
        <v>8</v>
      </c>
      <c r="H34" s="11"/>
      <c r="I34" s="21">
        <f t="shared" ref="I34:I35" si="15">E34*F34</f>
        <v>4</v>
      </c>
      <c r="J34" s="30">
        <v>2</v>
      </c>
      <c r="K34" s="17">
        <f>J34*D34</f>
        <v>8</v>
      </c>
      <c r="L34" s="11"/>
      <c r="M34" s="21">
        <f t="shared" ref="M34:M35" si="16">E34*J34</f>
        <v>4</v>
      </c>
    </row>
    <row r="35" spans="2:13" x14ac:dyDescent="0.3">
      <c r="B35" s="2">
        <v>6</v>
      </c>
      <c r="C35" s="7" t="s">
        <v>19</v>
      </c>
      <c r="D35" s="1">
        <f>1+1</f>
        <v>2</v>
      </c>
      <c r="E35" s="21">
        <v>2</v>
      </c>
      <c r="F35" s="1">
        <v>3</v>
      </c>
      <c r="G35" s="11">
        <f t="shared" si="13"/>
        <v>6</v>
      </c>
      <c r="H35" s="11"/>
      <c r="I35" s="21">
        <f t="shared" si="15"/>
        <v>6</v>
      </c>
      <c r="J35" s="30">
        <v>3</v>
      </c>
      <c r="K35" s="17">
        <f t="shared" si="14"/>
        <v>6</v>
      </c>
      <c r="L35" s="11"/>
      <c r="M35" s="21">
        <f t="shared" si="16"/>
        <v>6</v>
      </c>
    </row>
    <row r="36" spans="2:13" x14ac:dyDescent="0.3">
      <c r="B36" s="151"/>
      <c r="C36" s="151"/>
      <c r="D36" s="151"/>
      <c r="E36" s="151"/>
      <c r="F36" s="102" t="s">
        <v>26</v>
      </c>
      <c r="G36" s="17">
        <f>SUM(G30:G35)</f>
        <v>180</v>
      </c>
      <c r="H36" s="17">
        <f>SUM(H30:H35)</f>
        <v>105</v>
      </c>
      <c r="I36" s="23">
        <f>SUM(I31:I35)</f>
        <v>80</v>
      </c>
      <c r="J36" s="38" t="s">
        <v>26</v>
      </c>
      <c r="K36" s="17">
        <f>SUM(K30:K35)</f>
        <v>180</v>
      </c>
      <c r="L36" s="17">
        <f>SUM(L30:L35)</f>
        <v>105</v>
      </c>
      <c r="M36" s="23">
        <f>SUM(M31:M35)</f>
        <v>80</v>
      </c>
    </row>
    <row r="37" spans="2:13" x14ac:dyDescent="0.3">
      <c r="B37" s="158" t="s">
        <v>27</v>
      </c>
      <c r="C37" s="159"/>
      <c r="D37" s="159"/>
      <c r="E37" s="159"/>
      <c r="F37" s="15"/>
      <c r="G37" s="16"/>
      <c r="H37" s="16"/>
      <c r="I37" s="1"/>
      <c r="J37" s="15"/>
      <c r="K37" s="16"/>
      <c r="L37" s="16"/>
      <c r="M37" s="1"/>
    </row>
    <row r="38" spans="2:13" x14ac:dyDescent="0.3">
      <c r="B38" s="2">
        <v>1</v>
      </c>
      <c r="C38" s="3" t="s">
        <v>5</v>
      </c>
      <c r="D38" s="2">
        <f>1+6+1+6</f>
        <v>14</v>
      </c>
      <c r="E38" s="20"/>
      <c r="F38" s="2">
        <v>5</v>
      </c>
      <c r="G38" s="14"/>
      <c r="H38" s="14">
        <f t="shared" ref="H38" si="17">D38*F38</f>
        <v>70</v>
      </c>
      <c r="I38" s="21"/>
      <c r="J38" s="2">
        <v>5</v>
      </c>
      <c r="K38" s="14"/>
      <c r="L38" s="14">
        <f>J38*D38</f>
        <v>70</v>
      </c>
      <c r="M38" s="21"/>
    </row>
    <row r="39" spans="2:13" x14ac:dyDescent="0.3">
      <c r="B39" s="2">
        <v>2</v>
      </c>
      <c r="C39" s="7" t="s">
        <v>9</v>
      </c>
      <c r="D39" s="1">
        <f>1+6+1+6</f>
        <v>14</v>
      </c>
      <c r="E39" s="21"/>
      <c r="F39" s="1">
        <v>2</v>
      </c>
      <c r="G39" s="11">
        <f t="shared" ref="G39:G42" si="18">D39*F39</f>
        <v>28</v>
      </c>
      <c r="H39" s="11"/>
      <c r="I39" s="21"/>
      <c r="J39" s="1">
        <v>2</v>
      </c>
      <c r="K39" s="11">
        <f>J39*D39</f>
        <v>28</v>
      </c>
      <c r="L39" s="11"/>
      <c r="M39" s="21"/>
    </row>
    <row r="40" spans="2:13" x14ac:dyDescent="0.3">
      <c r="B40" s="2">
        <v>3</v>
      </c>
      <c r="C40" s="7" t="s">
        <v>4</v>
      </c>
      <c r="D40" s="1">
        <f>18+4+1+1+7+8+1+8+13</f>
        <v>61</v>
      </c>
      <c r="E40" s="21">
        <v>38</v>
      </c>
      <c r="F40" s="1">
        <v>2</v>
      </c>
      <c r="G40" s="11">
        <f t="shared" si="18"/>
        <v>122</v>
      </c>
      <c r="H40" s="11"/>
      <c r="I40" s="21">
        <f>E40*F40</f>
        <v>76</v>
      </c>
      <c r="J40" s="30">
        <v>2</v>
      </c>
      <c r="K40" s="17">
        <f t="shared" ref="K40:K42" si="19">J40*D40</f>
        <v>122</v>
      </c>
      <c r="L40" s="11"/>
      <c r="M40" s="21">
        <f>E40*J40</f>
        <v>76</v>
      </c>
    </row>
    <row r="41" spans="2:13" x14ac:dyDescent="0.3">
      <c r="B41" s="2">
        <v>4</v>
      </c>
      <c r="C41" s="7" t="s">
        <v>16</v>
      </c>
      <c r="D41" s="1">
        <f>2+2</f>
        <v>4</v>
      </c>
      <c r="E41" s="21"/>
      <c r="F41" s="1">
        <v>5</v>
      </c>
      <c r="G41" s="11">
        <f t="shared" si="18"/>
        <v>20</v>
      </c>
      <c r="H41" s="11"/>
      <c r="I41" s="21"/>
      <c r="J41" s="30">
        <v>5</v>
      </c>
      <c r="K41" s="17">
        <f>J41*D41</f>
        <v>20</v>
      </c>
      <c r="L41" s="11"/>
      <c r="M41" s="21"/>
    </row>
    <row r="42" spans="2:13" x14ac:dyDescent="0.3">
      <c r="B42" s="2">
        <v>5</v>
      </c>
      <c r="C42" s="7" t="s">
        <v>19</v>
      </c>
      <c r="D42" s="1">
        <f>1+1</f>
        <v>2</v>
      </c>
      <c r="E42" s="21">
        <v>2</v>
      </c>
      <c r="F42" s="1">
        <v>3</v>
      </c>
      <c r="G42" s="11">
        <f t="shared" si="18"/>
        <v>6</v>
      </c>
      <c r="H42" s="11"/>
      <c r="I42" s="21">
        <f t="shared" ref="I42" si="20">E42*F42</f>
        <v>6</v>
      </c>
      <c r="J42" s="30">
        <v>3</v>
      </c>
      <c r="K42" s="17">
        <f t="shared" si="19"/>
        <v>6</v>
      </c>
      <c r="L42" s="11"/>
      <c r="M42" s="21">
        <f t="shared" ref="M42" si="21">E42*J42</f>
        <v>6</v>
      </c>
    </row>
    <row r="43" spans="2:13" x14ac:dyDescent="0.3">
      <c r="B43" s="152"/>
      <c r="C43" s="152"/>
      <c r="D43" s="152"/>
      <c r="E43" s="153"/>
      <c r="F43" s="102" t="s">
        <v>28</v>
      </c>
      <c r="G43" s="17">
        <f>SUM(G38:G42)</f>
        <v>176</v>
      </c>
      <c r="H43" s="17">
        <f>SUM(H38:H42)</f>
        <v>70</v>
      </c>
      <c r="I43" s="23">
        <f>SUM(I38:I42)</f>
        <v>82</v>
      </c>
      <c r="J43" s="38" t="s">
        <v>28</v>
      </c>
      <c r="K43" s="17">
        <f>SUM(K38:K42)</f>
        <v>176</v>
      </c>
      <c r="L43" s="17">
        <f>SUM(L38:L42)</f>
        <v>70</v>
      </c>
      <c r="M43" s="21">
        <f>SUM(M38:M42)</f>
        <v>82</v>
      </c>
    </row>
    <row r="44" spans="2:13" x14ac:dyDescent="0.3">
      <c r="B44" s="158" t="s">
        <v>29</v>
      </c>
      <c r="C44" s="159"/>
      <c r="D44" s="159"/>
      <c r="E44" s="159"/>
      <c r="F44" s="15"/>
      <c r="G44" s="16"/>
      <c r="H44" s="16"/>
      <c r="I44" s="1"/>
      <c r="J44" s="15"/>
      <c r="K44" s="16"/>
      <c r="L44" s="16"/>
      <c r="M44" s="1"/>
    </row>
    <row r="45" spans="2:13" x14ac:dyDescent="0.3">
      <c r="B45" s="2">
        <v>1</v>
      </c>
      <c r="C45" s="3" t="s">
        <v>5</v>
      </c>
      <c r="D45" s="2">
        <f>1+6+1+6</f>
        <v>14</v>
      </c>
      <c r="E45" s="20"/>
      <c r="F45" s="2">
        <v>5</v>
      </c>
      <c r="G45" s="14"/>
      <c r="H45" s="14">
        <f t="shared" ref="H45" si="22">D45*F45</f>
        <v>70</v>
      </c>
      <c r="I45" s="21"/>
      <c r="J45" s="2">
        <v>5</v>
      </c>
      <c r="K45" s="14"/>
      <c r="L45" s="14">
        <f>J45*D45</f>
        <v>70</v>
      </c>
      <c r="M45" s="21"/>
    </row>
    <row r="46" spans="2:13" x14ac:dyDescent="0.3">
      <c r="B46" s="2">
        <v>2</v>
      </c>
      <c r="C46" s="7" t="s">
        <v>9</v>
      </c>
      <c r="D46" s="1">
        <f>1+6+1+6</f>
        <v>14</v>
      </c>
      <c r="E46" s="21"/>
      <c r="F46" s="1">
        <v>2</v>
      </c>
      <c r="G46" s="11">
        <f t="shared" ref="G46:G49" si="23">D46*F46</f>
        <v>28</v>
      </c>
      <c r="H46" s="11"/>
      <c r="I46" s="21"/>
      <c r="J46" s="30">
        <v>2</v>
      </c>
      <c r="K46" s="17">
        <f>J46*D46</f>
        <v>28</v>
      </c>
      <c r="L46" s="11"/>
      <c r="M46" s="21"/>
    </row>
    <row r="47" spans="2:13" x14ac:dyDescent="0.3">
      <c r="B47" s="2">
        <v>3</v>
      </c>
      <c r="C47" s="7" t="s">
        <v>4</v>
      </c>
      <c r="D47" s="1">
        <f>1+3+1+3</f>
        <v>8</v>
      </c>
      <c r="E47" s="21">
        <v>2</v>
      </c>
      <c r="F47" s="1">
        <v>2</v>
      </c>
      <c r="G47" s="11">
        <f t="shared" si="23"/>
        <v>16</v>
      </c>
      <c r="H47" s="11"/>
      <c r="I47" s="21">
        <f>E47*F47</f>
        <v>4</v>
      </c>
      <c r="J47" s="30">
        <v>2</v>
      </c>
      <c r="K47" s="17">
        <f t="shared" ref="K47:K49" si="24">J47*D47</f>
        <v>16</v>
      </c>
      <c r="L47" s="11"/>
      <c r="M47" s="21">
        <f>J47*E47</f>
        <v>4</v>
      </c>
    </row>
    <row r="48" spans="2:13" x14ac:dyDescent="0.3">
      <c r="B48" s="2">
        <v>4</v>
      </c>
      <c r="C48" s="7" t="s">
        <v>16</v>
      </c>
      <c r="D48" s="1">
        <f>2+2</f>
        <v>4</v>
      </c>
      <c r="E48" s="21"/>
      <c r="F48" s="1">
        <v>5</v>
      </c>
      <c r="G48" s="11">
        <f t="shared" si="23"/>
        <v>20</v>
      </c>
      <c r="H48" s="11"/>
      <c r="I48" s="21"/>
      <c r="J48" s="30">
        <v>5</v>
      </c>
      <c r="K48" s="17">
        <f>J48*D48</f>
        <v>20</v>
      </c>
      <c r="L48" s="11"/>
      <c r="M48" s="21"/>
    </row>
    <row r="49" spans="2:13" x14ac:dyDescent="0.3">
      <c r="B49" s="2">
        <v>5</v>
      </c>
      <c r="C49" s="7" t="s">
        <v>3</v>
      </c>
      <c r="D49" s="1">
        <f>1+1</f>
        <v>2</v>
      </c>
      <c r="E49" s="21">
        <v>2</v>
      </c>
      <c r="F49" s="1">
        <v>2</v>
      </c>
      <c r="G49" s="11">
        <f t="shared" si="23"/>
        <v>4</v>
      </c>
      <c r="H49" s="11"/>
      <c r="I49" s="21">
        <f t="shared" ref="I49" si="25">E49*F49</f>
        <v>4</v>
      </c>
      <c r="J49" s="30">
        <v>2</v>
      </c>
      <c r="K49" s="17">
        <f t="shared" si="24"/>
        <v>4</v>
      </c>
      <c r="L49" s="11"/>
      <c r="M49" s="21">
        <f t="shared" ref="M49" si="26">J49*E49</f>
        <v>4</v>
      </c>
    </row>
    <row r="50" spans="2:13" x14ac:dyDescent="0.3">
      <c r="B50" s="152"/>
      <c r="C50" s="152"/>
      <c r="D50" s="152"/>
      <c r="E50" s="153"/>
      <c r="F50" s="102" t="s">
        <v>30</v>
      </c>
      <c r="G50" s="17">
        <f>SUM(G45:G49)</f>
        <v>68</v>
      </c>
      <c r="H50" s="17">
        <f>SUM(H45:H49)</f>
        <v>70</v>
      </c>
      <c r="I50" s="23">
        <f>SUM(I45:I49)</f>
        <v>8</v>
      </c>
      <c r="J50" s="38" t="s">
        <v>30</v>
      </c>
      <c r="K50" s="17">
        <f>SUM(K45:K49)</f>
        <v>68</v>
      </c>
      <c r="L50" s="17">
        <f>SUM(L45:L49)</f>
        <v>70</v>
      </c>
      <c r="M50" s="23">
        <f>SUM(M45:M49)</f>
        <v>8</v>
      </c>
    </row>
    <row r="51" spans="2:13" x14ac:dyDescent="0.3">
      <c r="B51" s="158" t="s">
        <v>31</v>
      </c>
      <c r="C51" s="159"/>
      <c r="D51" s="159"/>
      <c r="E51" s="159"/>
      <c r="F51" s="15"/>
      <c r="G51" s="16"/>
      <c r="H51" s="16"/>
      <c r="I51" s="1"/>
      <c r="J51" s="15"/>
      <c r="K51" s="16"/>
      <c r="L51" s="16"/>
      <c r="M51" s="1"/>
    </row>
    <row r="52" spans="2:13" x14ac:dyDescent="0.3">
      <c r="B52" s="2">
        <v>1</v>
      </c>
      <c r="C52" s="3" t="s">
        <v>5</v>
      </c>
      <c r="D52" s="2">
        <f>1+6+1+6</f>
        <v>14</v>
      </c>
      <c r="E52" s="20"/>
      <c r="F52" s="2">
        <v>5</v>
      </c>
      <c r="G52" s="31"/>
      <c r="H52" s="14">
        <f>D52*F52</f>
        <v>70</v>
      </c>
      <c r="I52" s="21"/>
      <c r="J52" s="2">
        <v>5</v>
      </c>
      <c r="K52" s="14"/>
      <c r="L52" s="2">
        <f>J52*D52</f>
        <v>70</v>
      </c>
      <c r="M52" s="21"/>
    </row>
    <row r="53" spans="2:13" x14ac:dyDescent="0.3">
      <c r="B53" s="2">
        <v>2</v>
      </c>
      <c r="C53" s="7" t="s">
        <v>9</v>
      </c>
      <c r="D53" s="1">
        <f>1+6+1+6</f>
        <v>14</v>
      </c>
      <c r="E53" s="21"/>
      <c r="F53" s="1">
        <v>2</v>
      </c>
      <c r="G53" s="11">
        <f t="shared" ref="G53:G56" si="27">D53*F53</f>
        <v>28</v>
      </c>
      <c r="H53" s="11"/>
      <c r="I53" s="21"/>
      <c r="J53" s="1">
        <v>2</v>
      </c>
      <c r="K53" s="11">
        <f>J53*D53</f>
        <v>28</v>
      </c>
      <c r="L53" s="1"/>
      <c r="M53" s="21"/>
    </row>
    <row r="54" spans="2:13" x14ac:dyDescent="0.3">
      <c r="B54" s="2">
        <v>3</v>
      </c>
      <c r="C54" s="7" t="s">
        <v>4</v>
      </c>
      <c r="D54" s="1">
        <f>1+3+1+3</f>
        <v>8</v>
      </c>
      <c r="E54" s="21">
        <v>2</v>
      </c>
      <c r="F54" s="1">
        <v>2</v>
      </c>
      <c r="G54" s="11">
        <f t="shared" si="27"/>
        <v>16</v>
      </c>
      <c r="H54" s="11"/>
      <c r="I54" s="21">
        <f>E54*F54</f>
        <v>4</v>
      </c>
      <c r="J54" s="30">
        <v>2</v>
      </c>
      <c r="K54" s="17">
        <f t="shared" ref="K54" si="28">J54*D54</f>
        <v>16</v>
      </c>
      <c r="L54" s="1"/>
      <c r="M54" s="21">
        <f>E54*F54</f>
        <v>4</v>
      </c>
    </row>
    <row r="55" spans="2:13" x14ac:dyDescent="0.3">
      <c r="B55" s="2">
        <v>4</v>
      </c>
      <c r="C55" s="7" t="s">
        <v>16</v>
      </c>
      <c r="D55" s="1">
        <f>2+2</f>
        <v>4</v>
      </c>
      <c r="E55" s="21"/>
      <c r="F55" s="1">
        <v>5</v>
      </c>
      <c r="G55" s="11">
        <f t="shared" si="27"/>
        <v>20</v>
      </c>
      <c r="H55" s="11"/>
      <c r="I55" s="21"/>
      <c r="J55" s="30">
        <v>5</v>
      </c>
      <c r="K55" s="17">
        <f>J55*D55</f>
        <v>20</v>
      </c>
      <c r="L55" s="1"/>
      <c r="M55" s="21"/>
    </row>
    <row r="56" spans="2:13" x14ac:dyDescent="0.3">
      <c r="B56" s="2">
        <v>5</v>
      </c>
      <c r="C56" s="7" t="s">
        <v>19</v>
      </c>
      <c r="D56" s="1">
        <f>1+1</f>
        <v>2</v>
      </c>
      <c r="E56" s="21">
        <v>2</v>
      </c>
      <c r="F56" s="1">
        <v>3</v>
      </c>
      <c r="G56" s="11">
        <f t="shared" si="27"/>
        <v>6</v>
      </c>
      <c r="H56" s="11"/>
      <c r="I56" s="21">
        <f>E56*F56</f>
        <v>6</v>
      </c>
      <c r="J56" s="1">
        <v>3</v>
      </c>
      <c r="K56" s="11">
        <f>J56*D56</f>
        <v>6</v>
      </c>
      <c r="L56" s="1"/>
      <c r="M56" s="21">
        <f>J56*E56</f>
        <v>6</v>
      </c>
    </row>
    <row r="57" spans="2:13" x14ac:dyDescent="0.3">
      <c r="B57" s="161" t="s">
        <v>32</v>
      </c>
      <c r="C57" s="162"/>
      <c r="D57" s="162"/>
      <c r="E57" s="162"/>
      <c r="F57" s="163"/>
      <c r="G57" s="17">
        <f>SUM(G52:G56)</f>
        <v>70</v>
      </c>
      <c r="H57" s="17">
        <f>SUM(H52:H56)</f>
        <v>70</v>
      </c>
      <c r="I57" s="23">
        <f>SUM(I52:I56)</f>
        <v>10</v>
      </c>
      <c r="J57" s="39" t="s">
        <v>32</v>
      </c>
      <c r="K57" s="11">
        <f>SUM(K52:K56)</f>
        <v>70</v>
      </c>
      <c r="L57" s="1">
        <f>SUM(L52:L56)</f>
        <v>70</v>
      </c>
      <c r="M57" s="23">
        <f>SUM(M52:M56)</f>
        <v>10</v>
      </c>
    </row>
    <row r="58" spans="2:13" x14ac:dyDescent="0.3">
      <c r="B58" s="161" t="s">
        <v>50</v>
      </c>
      <c r="C58" s="162"/>
      <c r="D58" s="162"/>
      <c r="E58" s="162"/>
      <c r="F58" s="163"/>
      <c r="G58" s="17">
        <f>SUM(G15,G28,G36)</f>
        <v>431</v>
      </c>
      <c r="H58" s="17">
        <f>SUM(H15,H28,H36)</f>
        <v>210</v>
      </c>
      <c r="I58" s="1"/>
      <c r="J58" s="39" t="s">
        <v>50</v>
      </c>
      <c r="K58" s="11">
        <f>SUM(K15,K28,K36)</f>
        <v>431</v>
      </c>
      <c r="L58" s="1">
        <f>SUM(L15,L28,L36)</f>
        <v>210</v>
      </c>
      <c r="M58" s="11"/>
    </row>
    <row r="59" spans="2:13" x14ac:dyDescent="0.3">
      <c r="B59" s="161" t="s">
        <v>51</v>
      </c>
      <c r="C59" s="162"/>
      <c r="D59" s="162"/>
      <c r="E59" s="162"/>
      <c r="F59" s="163"/>
      <c r="G59" s="17">
        <f>SUM(G43,G50,G57)</f>
        <v>314</v>
      </c>
      <c r="H59" s="17">
        <f>SUM(H43,H50,H57)</f>
        <v>210</v>
      </c>
      <c r="I59" s="1"/>
      <c r="J59" s="39" t="s">
        <v>51</v>
      </c>
      <c r="K59" s="11">
        <f>SUM(K43,K50,K57)</f>
        <v>314</v>
      </c>
      <c r="L59" s="1">
        <f>L43+L50+L57</f>
        <v>210</v>
      </c>
      <c r="M59" s="11"/>
    </row>
    <row r="60" spans="2:13" x14ac:dyDescent="0.3">
      <c r="B60" s="161" t="s">
        <v>1</v>
      </c>
      <c r="C60" s="162"/>
      <c r="D60" s="162"/>
      <c r="E60" s="162"/>
      <c r="F60" s="163"/>
      <c r="G60" s="17">
        <f>SUM(G15,G28,G36,G43,G50,G57)</f>
        <v>745</v>
      </c>
      <c r="H60" s="17">
        <f>SUM(H15,H28,H36,H43,H50,H57)</f>
        <v>420</v>
      </c>
      <c r="I60" s="17">
        <f>SUM(I15,I28,I36,I43,I50,I57)</f>
        <v>345</v>
      </c>
      <c r="J60" s="39" t="s">
        <v>1</v>
      </c>
      <c r="K60" s="11">
        <f>SUM(K58:K59)</f>
        <v>745</v>
      </c>
      <c r="L60" s="1">
        <f>SUM(L58:L59)</f>
        <v>420</v>
      </c>
      <c r="M60" s="11">
        <f>SUM(M15,M28,M36,M43,M50,M57)</f>
        <v>345</v>
      </c>
    </row>
    <row r="62" spans="2:13" x14ac:dyDescent="0.3">
      <c r="B62" t="s">
        <v>85</v>
      </c>
    </row>
    <row r="63" spans="2:13" x14ac:dyDescent="0.3">
      <c r="B63" s="154" t="s">
        <v>86</v>
      </c>
      <c r="C63" s="154"/>
      <c r="D63" s="154"/>
      <c r="E63" s="154"/>
      <c r="F63" s="154"/>
      <c r="G63" s="154"/>
    </row>
    <row r="83" spans="2:7" x14ac:dyDescent="0.3">
      <c r="B83" s="154" t="s">
        <v>271</v>
      </c>
      <c r="C83" s="154"/>
      <c r="D83" s="154"/>
      <c r="E83" s="154"/>
      <c r="F83" s="154"/>
      <c r="G83" s="154"/>
    </row>
  </sheetData>
  <mergeCells count="19">
    <mergeCell ref="B51:E51"/>
    <mergeCell ref="B57:F57"/>
    <mergeCell ref="B58:F58"/>
    <mergeCell ref="J3:M3"/>
    <mergeCell ref="B36:E36"/>
    <mergeCell ref="B43:E43"/>
    <mergeCell ref="B63:G63"/>
    <mergeCell ref="B83:G83"/>
    <mergeCell ref="F3:I3"/>
    <mergeCell ref="B50:E50"/>
    <mergeCell ref="B15:E15"/>
    <mergeCell ref="B16:E16"/>
    <mergeCell ref="B5:E5"/>
    <mergeCell ref="B28:E28"/>
    <mergeCell ref="B29:E29"/>
    <mergeCell ref="B59:F59"/>
    <mergeCell ref="B60:F60"/>
    <mergeCell ref="B37:E37"/>
    <mergeCell ref="B44:E4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9DB83-F98C-426D-AA99-EA2DFC6E6E64}">
  <dimension ref="B2:V93"/>
  <sheetViews>
    <sheetView topLeftCell="A20" zoomScale="90" zoomScaleNormal="90" workbookViewId="0">
      <selection activeCell="C34" sqref="C34"/>
    </sheetView>
  </sheetViews>
  <sheetFormatPr defaultRowHeight="14.4" x14ac:dyDescent="0.3"/>
  <cols>
    <col min="2" max="2" width="12.6640625" customWidth="1"/>
    <col min="3" max="3" width="19.109375" customWidth="1"/>
    <col min="4" max="4" width="19.21875" customWidth="1"/>
    <col min="5" max="5" width="30.21875" customWidth="1"/>
    <col min="6" max="6" width="16.6640625" customWidth="1"/>
    <col min="12" max="12" width="17.109375" customWidth="1"/>
    <col min="13" max="13" width="18.109375" customWidth="1"/>
    <col min="16" max="16" width="14.109375" customWidth="1"/>
    <col min="17" max="17" width="14.77734375" customWidth="1"/>
    <col min="20" max="20" width="11.109375" customWidth="1"/>
    <col min="21" max="21" width="13.77734375" customWidth="1"/>
    <col min="23" max="23" width="16.6640625" customWidth="1"/>
    <col min="24" max="24" width="25.5546875" customWidth="1"/>
  </cols>
  <sheetData>
    <row r="2" spans="2:5" x14ac:dyDescent="0.3">
      <c r="B2" s="174" t="s">
        <v>183</v>
      </c>
      <c r="C2" s="174"/>
      <c r="D2" s="174"/>
    </row>
    <row r="4" spans="2:5" x14ac:dyDescent="0.3">
      <c r="B4" s="174" t="s">
        <v>110</v>
      </c>
      <c r="C4" s="174"/>
    </row>
    <row r="5" spans="2:5" x14ac:dyDescent="0.3">
      <c r="B5" s="190" t="s">
        <v>120</v>
      </c>
      <c r="C5" s="190"/>
    </row>
    <row r="7" spans="2:5" x14ac:dyDescent="0.3">
      <c r="B7" s="154" t="s">
        <v>121</v>
      </c>
      <c r="C7" s="154"/>
      <c r="D7" s="154"/>
    </row>
    <row r="9" spans="2:5" x14ac:dyDescent="0.3">
      <c r="B9" s="188" t="s">
        <v>111</v>
      </c>
      <c r="C9" s="188"/>
    </row>
    <row r="10" spans="2:5" x14ac:dyDescent="0.3">
      <c r="B10" s="32" t="s">
        <v>112</v>
      </c>
      <c r="C10" s="177" t="s">
        <v>116</v>
      </c>
      <c r="D10" s="178"/>
      <c r="E10" s="179"/>
    </row>
    <row r="11" spans="2:5" x14ac:dyDescent="0.3">
      <c r="B11" s="32" t="s">
        <v>113</v>
      </c>
      <c r="C11" s="177" t="s">
        <v>117</v>
      </c>
      <c r="D11" s="178"/>
      <c r="E11" s="179"/>
    </row>
    <row r="12" spans="2:5" x14ac:dyDescent="0.3">
      <c r="B12" s="32" t="s">
        <v>114</v>
      </c>
      <c r="C12" s="177" t="s">
        <v>118</v>
      </c>
      <c r="D12" s="178"/>
      <c r="E12" s="179"/>
    </row>
    <row r="13" spans="2:5" x14ac:dyDescent="0.3">
      <c r="B13" s="32" t="s">
        <v>115</v>
      </c>
      <c r="C13" s="177" t="s">
        <v>119</v>
      </c>
      <c r="D13" s="178"/>
      <c r="E13" s="179"/>
    </row>
    <row r="15" spans="2:5" x14ac:dyDescent="0.3">
      <c r="B15" s="187" t="s">
        <v>122</v>
      </c>
      <c r="C15" s="187" t="s">
        <v>95</v>
      </c>
      <c r="D15" s="187" t="s">
        <v>108</v>
      </c>
      <c r="E15" s="186" t="s">
        <v>129</v>
      </c>
    </row>
    <row r="16" spans="2:5" x14ac:dyDescent="0.3">
      <c r="B16" s="187"/>
      <c r="C16" s="187"/>
      <c r="D16" s="187"/>
      <c r="E16" s="186"/>
    </row>
    <row r="17" spans="2:20" x14ac:dyDescent="0.3">
      <c r="B17" s="11" t="s">
        <v>123</v>
      </c>
      <c r="C17" s="11">
        <f>'Kebutuhan Air Bersih'!C3</f>
        <v>745</v>
      </c>
      <c r="D17" s="11">
        <f>'Kebutuhan Air Bersih'!C11</f>
        <v>345</v>
      </c>
      <c r="E17" s="11">
        <f>'Kebutuhan Air Bersih'!C4</f>
        <v>625</v>
      </c>
    </row>
    <row r="18" spans="2:20" x14ac:dyDescent="0.3">
      <c r="B18" s="11" t="s">
        <v>124</v>
      </c>
      <c r="C18" s="11">
        <f>'Kebutuhan Air Bersih'!C23</f>
        <v>1446</v>
      </c>
      <c r="D18" s="11">
        <f>'Kebutuhan Air Bersih'!C31</f>
        <v>759</v>
      </c>
      <c r="E18" s="11">
        <f>'Kebutuhan Air Bersih'!C24</f>
        <v>970</v>
      </c>
    </row>
    <row r="19" spans="2:20" x14ac:dyDescent="0.3">
      <c r="B19" s="11" t="s">
        <v>125</v>
      </c>
      <c r="C19" s="11">
        <f>'Kebutuhan Air Bersih'!C45</f>
        <v>2028</v>
      </c>
      <c r="D19" s="11">
        <f>'Kebutuhan Air Bersih'!C53</f>
        <v>1035</v>
      </c>
      <c r="E19" s="11">
        <f>'Kebutuhan Air Bersih'!C46</f>
        <v>1230</v>
      </c>
    </row>
    <row r="20" spans="2:20" x14ac:dyDescent="0.3">
      <c r="B20" s="11" t="s">
        <v>126</v>
      </c>
      <c r="C20" s="11">
        <f>'Kebutuhan Air Bersih'!C66</f>
        <v>2038</v>
      </c>
      <c r="D20" s="11">
        <f>'Kebutuhan Air Bersih'!C74</f>
        <v>935</v>
      </c>
      <c r="E20" s="11">
        <f>'Kebutuhan Air Bersih'!C67</f>
        <v>1250</v>
      </c>
    </row>
    <row r="21" spans="2:20" x14ac:dyDescent="0.3">
      <c r="B21" s="11" t="s">
        <v>127</v>
      </c>
      <c r="C21" s="11">
        <f>'Kebutuhan Air Bersih'!C88</f>
        <v>56</v>
      </c>
      <c r="D21" s="11"/>
      <c r="E21" s="11">
        <f>'Kebutuhan Air Bersih'!C89</f>
        <v>115</v>
      </c>
    </row>
    <row r="22" spans="2:20" x14ac:dyDescent="0.3">
      <c r="B22" s="11" t="s">
        <v>128</v>
      </c>
      <c r="C22" s="11">
        <f>'Kebutuhan Air Bersih'!C108</f>
        <v>29</v>
      </c>
      <c r="D22" s="11"/>
      <c r="E22" s="11">
        <f>'Kebutuhan Air Bersih'!C109</f>
        <v>65</v>
      </c>
    </row>
    <row r="23" spans="2:20" x14ac:dyDescent="0.3">
      <c r="B23" s="189" t="s">
        <v>109</v>
      </c>
      <c r="C23" s="189"/>
      <c r="D23" s="189"/>
      <c r="E23" s="36">
        <f>SUM(E17:E22)</f>
        <v>4255</v>
      </c>
    </row>
    <row r="25" spans="2:20" x14ac:dyDescent="0.3">
      <c r="B25" s="40" t="s">
        <v>131</v>
      </c>
      <c r="D25" s="174" t="s">
        <v>131</v>
      </c>
      <c r="E25" s="174"/>
      <c r="G25" s="11" t="s">
        <v>133</v>
      </c>
      <c r="H25" s="11" t="s">
        <v>132</v>
      </c>
    </row>
    <row r="26" spans="2:20" x14ac:dyDescent="0.3">
      <c r="B26" s="11" t="s">
        <v>139</v>
      </c>
      <c r="D26" s="151" t="s">
        <v>141</v>
      </c>
      <c r="E26" s="151"/>
      <c r="G26" s="11">
        <v>2</v>
      </c>
      <c r="H26" s="11">
        <v>3</v>
      </c>
    </row>
    <row r="28" spans="2:20" x14ac:dyDescent="0.3">
      <c r="B28" s="40" t="s">
        <v>130</v>
      </c>
      <c r="D28" s="40" t="s">
        <v>112</v>
      </c>
      <c r="E28" s="40" t="s">
        <v>113</v>
      </c>
      <c r="G28" t="s">
        <v>137</v>
      </c>
    </row>
    <row r="29" spans="2:20" x14ac:dyDescent="0.3">
      <c r="B29" s="11" t="s">
        <v>140</v>
      </c>
      <c r="D29" s="11" t="s">
        <v>143</v>
      </c>
      <c r="E29" s="11" t="s">
        <v>148</v>
      </c>
      <c r="G29" t="s">
        <v>138</v>
      </c>
    </row>
    <row r="30" spans="2:20" x14ac:dyDescent="0.3">
      <c r="M30" s="154" t="s">
        <v>121</v>
      </c>
      <c r="N30" s="154"/>
      <c r="O30" s="154"/>
      <c r="P30" s="154"/>
    </row>
    <row r="31" spans="2:20" x14ac:dyDescent="0.3">
      <c r="B31" s="154" t="s">
        <v>121</v>
      </c>
      <c r="C31" s="154"/>
      <c r="D31" s="154"/>
      <c r="E31" s="154"/>
      <c r="G31" s="154" t="s">
        <v>121</v>
      </c>
      <c r="H31" s="154"/>
      <c r="I31" s="154"/>
      <c r="J31" s="154"/>
    </row>
    <row r="32" spans="2:20" x14ac:dyDescent="0.3">
      <c r="L32" s="11" t="s">
        <v>123</v>
      </c>
      <c r="P32" s="11" t="s">
        <v>124</v>
      </c>
      <c r="T32" s="11" t="s">
        <v>127</v>
      </c>
    </row>
    <row r="33" spans="2:22" x14ac:dyDescent="0.3">
      <c r="L33" s="11" t="s">
        <v>130</v>
      </c>
      <c r="M33" s="11">
        <f>E17</f>
        <v>625</v>
      </c>
      <c r="N33" s="11" t="s">
        <v>96</v>
      </c>
      <c r="P33" s="11" t="s">
        <v>130</v>
      </c>
      <c r="Q33" s="11">
        <f>E18</f>
        <v>970</v>
      </c>
      <c r="R33" s="11" t="s">
        <v>96</v>
      </c>
      <c r="T33" s="11" t="s">
        <v>130</v>
      </c>
      <c r="U33" s="11">
        <f>E21</f>
        <v>115</v>
      </c>
      <c r="V33" s="11" t="s">
        <v>96</v>
      </c>
    </row>
    <row r="34" spans="2:22" x14ac:dyDescent="0.3">
      <c r="B34" s="11" t="s">
        <v>130</v>
      </c>
      <c r="C34" s="11">
        <f>E23</f>
        <v>4255</v>
      </c>
      <c r="D34" s="11" t="s">
        <v>96</v>
      </c>
      <c r="G34" s="11" t="s">
        <v>114</v>
      </c>
      <c r="H34" s="11">
        <v>10</v>
      </c>
      <c r="L34" s="11" t="s">
        <v>131</v>
      </c>
      <c r="M34" s="11">
        <f>(M33*60)/$H$26</f>
        <v>12500</v>
      </c>
      <c r="N34" s="11" t="s">
        <v>135</v>
      </c>
      <c r="P34" s="11" t="s">
        <v>131</v>
      </c>
      <c r="Q34" s="11">
        <f>(Q33*60)/$H$26</f>
        <v>19400</v>
      </c>
      <c r="R34" s="11" t="s">
        <v>135</v>
      </c>
      <c r="T34" s="11" t="s">
        <v>131</v>
      </c>
      <c r="U34" s="11">
        <f>(U33*60)/$H$26</f>
        <v>2300</v>
      </c>
      <c r="V34" s="11" t="s">
        <v>135</v>
      </c>
    </row>
    <row r="35" spans="2:22" x14ac:dyDescent="0.3">
      <c r="B35" s="11" t="s">
        <v>131</v>
      </c>
      <c r="C35" s="11">
        <f>(C34*60)/$H$26</f>
        <v>85100</v>
      </c>
      <c r="D35" s="11" t="s">
        <v>135</v>
      </c>
      <c r="G35" t="s">
        <v>166</v>
      </c>
      <c r="L35" s="11" t="s">
        <v>112</v>
      </c>
      <c r="M35" s="11">
        <f>M34*$H$34</f>
        <v>125000</v>
      </c>
      <c r="N35" s="11" t="s">
        <v>136</v>
      </c>
      <c r="P35" s="11" t="s">
        <v>112</v>
      </c>
      <c r="Q35" s="11">
        <f>Q34*$H$34</f>
        <v>194000</v>
      </c>
      <c r="R35" s="11" t="s">
        <v>136</v>
      </c>
      <c r="T35" s="11" t="s">
        <v>112</v>
      </c>
      <c r="U35" s="11">
        <f>U34*$H$34</f>
        <v>23000</v>
      </c>
      <c r="V35" s="11" t="s">
        <v>136</v>
      </c>
    </row>
    <row r="36" spans="2:22" x14ac:dyDescent="0.3">
      <c r="B36" s="11" t="s">
        <v>112</v>
      </c>
      <c r="C36" s="11">
        <f>C35*$H$34</f>
        <v>851000</v>
      </c>
      <c r="D36" s="11" t="s">
        <v>136</v>
      </c>
      <c r="L36" s="32"/>
      <c r="M36" s="11">
        <f>M35/1000</f>
        <v>125</v>
      </c>
      <c r="N36" s="11" t="s">
        <v>134</v>
      </c>
      <c r="P36" s="32"/>
      <c r="Q36" s="11">
        <f>Q35/1000</f>
        <v>194</v>
      </c>
      <c r="R36" s="11" t="s">
        <v>134</v>
      </c>
      <c r="T36" s="32"/>
      <c r="U36" s="11">
        <f>U35/1000</f>
        <v>23</v>
      </c>
      <c r="V36" s="11" t="s">
        <v>134</v>
      </c>
    </row>
    <row r="37" spans="2:22" x14ac:dyDescent="0.3">
      <c r="B37" s="32"/>
      <c r="C37" s="11">
        <f>C36/1000</f>
        <v>851</v>
      </c>
      <c r="D37" s="11" t="s">
        <v>134</v>
      </c>
      <c r="L37" s="11" t="s">
        <v>113</v>
      </c>
      <c r="M37" s="48">
        <f>(2/3)*M34</f>
        <v>8333.3333333333321</v>
      </c>
      <c r="N37" s="11" t="s">
        <v>462</v>
      </c>
      <c r="P37" s="11" t="s">
        <v>113</v>
      </c>
      <c r="Q37" s="48">
        <f>(2/3)*Q34</f>
        <v>12933.333333333332</v>
      </c>
      <c r="R37" s="11" t="s">
        <v>462</v>
      </c>
      <c r="T37" s="11" t="s">
        <v>113</v>
      </c>
      <c r="U37" s="48">
        <f>(2/3)*U34</f>
        <v>1533.3333333333333</v>
      </c>
      <c r="V37" s="11" t="s">
        <v>462</v>
      </c>
    </row>
    <row r="38" spans="2:22" x14ac:dyDescent="0.3">
      <c r="B38" s="11" t="s">
        <v>113</v>
      </c>
      <c r="C38" s="48">
        <f>(2/3)*C35</f>
        <v>56733.333333333328</v>
      </c>
      <c r="D38" s="11" t="s">
        <v>462</v>
      </c>
    </row>
    <row r="39" spans="2:22" x14ac:dyDescent="0.3">
      <c r="L39" s="171" t="s">
        <v>162</v>
      </c>
      <c r="M39" s="171"/>
      <c r="P39" s="171" t="s">
        <v>162</v>
      </c>
      <c r="Q39" s="171"/>
      <c r="T39" s="171" t="s">
        <v>162</v>
      </c>
      <c r="U39" s="171"/>
    </row>
    <row r="40" spans="2:22" x14ac:dyDescent="0.3">
      <c r="B40" s="171" t="s">
        <v>162</v>
      </c>
      <c r="C40" s="171"/>
      <c r="L40" s="46">
        <f>(M35-(M37*$H$34)*1)</f>
        <v>41666.666666666686</v>
      </c>
      <c r="M40" s="1" t="s">
        <v>136</v>
      </c>
      <c r="P40" s="46">
        <f>(Q35-(Q37*$H$34)*1)</f>
        <v>64666.666666666686</v>
      </c>
      <c r="Q40" s="1" t="s">
        <v>136</v>
      </c>
      <c r="T40" s="46">
        <f>(U35-(U37*$H$34)*1)</f>
        <v>7666.6666666666679</v>
      </c>
      <c r="U40" s="1" t="s">
        <v>136</v>
      </c>
    </row>
    <row r="41" spans="2:22" x14ac:dyDescent="0.3">
      <c r="B41" s="46">
        <f>(C36-(C38*H34)*1)</f>
        <v>283666.66666666674</v>
      </c>
      <c r="C41" s="1" t="s">
        <v>136</v>
      </c>
      <c r="L41" s="45">
        <v>0</v>
      </c>
      <c r="M41" s="1" t="s">
        <v>181</v>
      </c>
      <c r="P41" s="45">
        <v>0</v>
      </c>
      <c r="Q41" s="1" t="s">
        <v>181</v>
      </c>
      <c r="T41" s="45">
        <v>0</v>
      </c>
      <c r="U41" s="1" t="s">
        <v>181</v>
      </c>
    </row>
    <row r="42" spans="2:22" x14ac:dyDescent="0.3">
      <c r="B42" s="45">
        <v>0</v>
      </c>
      <c r="C42" s="1" t="s">
        <v>181</v>
      </c>
      <c r="L42" s="66">
        <f>(1+L41)*L40/1000</f>
        <v>41.666666666666686</v>
      </c>
      <c r="M42" s="28" t="s">
        <v>97</v>
      </c>
      <c r="P42" s="66">
        <f>(1+P41)*P40/1000</f>
        <v>64.666666666666686</v>
      </c>
      <c r="Q42" s="28" t="s">
        <v>97</v>
      </c>
      <c r="T42" s="66">
        <f>(1+T41)*T40/1000</f>
        <v>7.6666666666666679</v>
      </c>
      <c r="U42" s="28" t="s">
        <v>97</v>
      </c>
    </row>
    <row r="43" spans="2:22" x14ac:dyDescent="0.3">
      <c r="B43" s="66">
        <f>(1+B42)*B41/1000</f>
        <v>283.66666666666674</v>
      </c>
      <c r="C43" s="28" t="s">
        <v>97</v>
      </c>
      <c r="D43" s="49"/>
      <c r="L43" s="11">
        <v>2</v>
      </c>
      <c r="M43" s="11" t="s">
        <v>546</v>
      </c>
      <c r="P43" s="11">
        <v>2</v>
      </c>
      <c r="Q43" s="11" t="s">
        <v>546</v>
      </c>
      <c r="T43" s="11">
        <v>2</v>
      </c>
      <c r="U43" s="11" t="s">
        <v>546</v>
      </c>
    </row>
    <row r="44" spans="2:22" x14ac:dyDescent="0.3">
      <c r="B44" s="11">
        <v>2</v>
      </c>
      <c r="C44" s="11" t="s">
        <v>546</v>
      </c>
      <c r="L44" s="100">
        <f>L42*L43</f>
        <v>83.333333333333371</v>
      </c>
      <c r="M44" s="37" t="s">
        <v>134</v>
      </c>
      <c r="P44" s="100">
        <f>P42*P43</f>
        <v>129.33333333333337</v>
      </c>
      <c r="Q44" s="37" t="s">
        <v>134</v>
      </c>
      <c r="T44" s="100">
        <f>T42*T43</f>
        <v>15.333333333333336</v>
      </c>
      <c r="U44" s="37" t="s">
        <v>134</v>
      </c>
    </row>
    <row r="45" spans="2:22" x14ac:dyDescent="0.3">
      <c r="B45" s="100">
        <f>B43*B44</f>
        <v>567.33333333333348</v>
      </c>
      <c r="C45" s="37" t="s">
        <v>134</v>
      </c>
      <c r="D45">
        <v>600</v>
      </c>
    </row>
    <row r="46" spans="2:22" x14ac:dyDescent="0.3">
      <c r="L46" s="11" t="s">
        <v>125</v>
      </c>
      <c r="P46" s="11" t="s">
        <v>126</v>
      </c>
      <c r="T46" s="11" t="s">
        <v>128</v>
      </c>
    </row>
    <row r="47" spans="2:22" x14ac:dyDescent="0.3">
      <c r="B47" s="187" t="s">
        <v>122</v>
      </c>
      <c r="C47" s="171" t="s">
        <v>163</v>
      </c>
      <c r="D47" s="187" t="s">
        <v>191</v>
      </c>
      <c r="L47" s="11" t="s">
        <v>130</v>
      </c>
      <c r="M47" s="11">
        <f>E19</f>
        <v>1230</v>
      </c>
      <c r="N47" s="11" t="s">
        <v>96</v>
      </c>
      <c r="P47" s="11" t="s">
        <v>130</v>
      </c>
      <c r="Q47" s="11">
        <f>E20</f>
        <v>1250</v>
      </c>
      <c r="R47" s="11" t="s">
        <v>96</v>
      </c>
      <c r="T47" s="11" t="s">
        <v>130</v>
      </c>
      <c r="U47" s="11">
        <f>E22</f>
        <v>65</v>
      </c>
      <c r="V47" s="11" t="s">
        <v>96</v>
      </c>
    </row>
    <row r="48" spans="2:22" x14ac:dyDescent="0.3">
      <c r="B48" s="187"/>
      <c r="C48" s="171"/>
      <c r="D48" s="187"/>
      <c r="L48" s="11" t="s">
        <v>131</v>
      </c>
      <c r="M48" s="11">
        <f>(M47*60)/$H$26</f>
        <v>24600</v>
      </c>
      <c r="N48" s="11" t="s">
        <v>135</v>
      </c>
      <c r="P48" s="11" t="s">
        <v>131</v>
      </c>
      <c r="Q48" s="11">
        <f>(Q47*60)/$H$26</f>
        <v>25000</v>
      </c>
      <c r="R48" s="11" t="s">
        <v>135</v>
      </c>
      <c r="T48" s="11" t="s">
        <v>131</v>
      </c>
      <c r="U48" s="11">
        <f>(U47*60)/$H$26</f>
        <v>1300</v>
      </c>
      <c r="V48" s="11" t="s">
        <v>135</v>
      </c>
    </row>
    <row r="49" spans="2:22" x14ac:dyDescent="0.3">
      <c r="B49" s="11" t="s">
        <v>123</v>
      </c>
      <c r="C49" s="11">
        <f>'Kebutuhan Air Bersih'!C7</f>
        <v>420</v>
      </c>
      <c r="D49" s="11">
        <f>'Kebutuhan Air Bersih'!C8</f>
        <v>400</v>
      </c>
      <c r="F49" s="76"/>
      <c r="L49" s="11" t="s">
        <v>112</v>
      </c>
      <c r="M49" s="11">
        <f>M48*$H$34</f>
        <v>246000</v>
      </c>
      <c r="N49" s="11" t="s">
        <v>136</v>
      </c>
      <c r="P49" s="11" t="s">
        <v>112</v>
      </c>
      <c r="Q49" s="11">
        <f>Q48*$H$34</f>
        <v>250000</v>
      </c>
      <c r="R49" s="11" t="s">
        <v>136</v>
      </c>
      <c r="T49" s="11" t="s">
        <v>112</v>
      </c>
      <c r="U49" s="11">
        <f>U48*$H$34</f>
        <v>13000</v>
      </c>
      <c r="V49" s="11" t="s">
        <v>136</v>
      </c>
    </row>
    <row r="50" spans="2:22" x14ac:dyDescent="0.3">
      <c r="B50" s="11" t="s">
        <v>124</v>
      </c>
      <c r="C50" s="11">
        <f>'Kebutuhan Air Bersih'!C27</f>
        <v>830</v>
      </c>
      <c r="D50" s="11">
        <f>'Kebutuhan Air Bersih'!C28</f>
        <v>690</v>
      </c>
      <c r="L50" s="32"/>
      <c r="M50" s="11">
        <f>M49/1000</f>
        <v>246</v>
      </c>
      <c r="N50" s="11" t="s">
        <v>134</v>
      </c>
      <c r="P50" s="32"/>
      <c r="Q50" s="11">
        <f>Q49/1000</f>
        <v>250</v>
      </c>
      <c r="R50" s="11" t="s">
        <v>134</v>
      </c>
      <c r="T50" s="32"/>
      <c r="U50" s="11">
        <f>U49/1000</f>
        <v>13</v>
      </c>
      <c r="V50" s="11" t="s">
        <v>134</v>
      </c>
    </row>
    <row r="51" spans="2:22" x14ac:dyDescent="0.3">
      <c r="B51" s="11" t="s">
        <v>125</v>
      </c>
      <c r="C51" s="11">
        <f>'Kebutuhan Air Bersih'!C49</f>
        <v>1100</v>
      </c>
      <c r="D51" s="11">
        <f>'Kebutuhan Air Bersih'!C50</f>
        <v>850</v>
      </c>
      <c r="L51" s="11" t="s">
        <v>113</v>
      </c>
      <c r="M51" s="48">
        <f>(2/3)*M48</f>
        <v>16400</v>
      </c>
      <c r="N51" s="11" t="s">
        <v>462</v>
      </c>
      <c r="P51" s="11" t="s">
        <v>113</v>
      </c>
      <c r="Q51" s="48">
        <f>(2/3)*Q48</f>
        <v>16666.666666666664</v>
      </c>
      <c r="R51" s="11" t="s">
        <v>462</v>
      </c>
      <c r="T51" s="11" t="s">
        <v>113</v>
      </c>
      <c r="U51" s="48">
        <f>(2/3)*U48</f>
        <v>866.66666666666663</v>
      </c>
      <c r="V51" s="11" t="s">
        <v>462</v>
      </c>
    </row>
    <row r="52" spans="2:22" x14ac:dyDescent="0.3">
      <c r="B52" s="11" t="s">
        <v>126</v>
      </c>
      <c r="C52" s="11">
        <f>'Kebutuhan Air Bersih'!C70</f>
        <v>1090</v>
      </c>
      <c r="D52" s="11">
        <f>'Kebutuhan Air Bersih'!C71</f>
        <v>825</v>
      </c>
    </row>
    <row r="53" spans="2:22" x14ac:dyDescent="0.3">
      <c r="B53" s="11" t="s">
        <v>127</v>
      </c>
      <c r="C53" s="11">
        <f>'Kebutuhan Air Bersih'!C92</f>
        <v>65</v>
      </c>
      <c r="D53" s="11">
        <f>'Kebutuhan Air Bersih'!C93</f>
        <v>125</v>
      </c>
      <c r="L53" s="171" t="s">
        <v>162</v>
      </c>
      <c r="M53" s="171"/>
      <c r="P53" s="171" t="s">
        <v>162</v>
      </c>
      <c r="Q53" s="171"/>
      <c r="T53" s="171" t="s">
        <v>162</v>
      </c>
      <c r="U53" s="171"/>
    </row>
    <row r="54" spans="2:22" x14ac:dyDescent="0.3">
      <c r="B54" s="11" t="s">
        <v>128</v>
      </c>
      <c r="C54" s="11">
        <f>'Kebutuhan Air Bersih'!C112</f>
        <v>50</v>
      </c>
      <c r="D54" s="11">
        <f>'Kebutuhan Air Bersih'!C113</f>
        <v>110</v>
      </c>
      <c r="F54" s="76"/>
      <c r="L54" s="46">
        <f>(M49-(M51*$H$34)*1)</f>
        <v>82000</v>
      </c>
      <c r="M54" s="1" t="s">
        <v>136</v>
      </c>
      <c r="P54" s="46">
        <f>(Q49-(Q51*$H$34)*1)</f>
        <v>83333.333333333372</v>
      </c>
      <c r="Q54" s="1" t="s">
        <v>136</v>
      </c>
      <c r="T54" s="46">
        <f>(U49-(U51*$H$34)*1)</f>
        <v>4333.3333333333339</v>
      </c>
      <c r="U54" s="1" t="s">
        <v>136</v>
      </c>
    </row>
    <row r="55" spans="2:22" x14ac:dyDescent="0.3">
      <c r="B55" s="11" t="s">
        <v>109</v>
      </c>
      <c r="C55" s="11">
        <f>SUM(C49:C54)</f>
        <v>3555</v>
      </c>
      <c r="D55" s="11">
        <f>SUM(D49:D54)</f>
        <v>3000</v>
      </c>
      <c r="L55" s="45">
        <v>0</v>
      </c>
      <c r="M55" s="1" t="s">
        <v>181</v>
      </c>
      <c r="P55" s="45">
        <v>0</v>
      </c>
      <c r="Q55" s="1" t="s">
        <v>181</v>
      </c>
      <c r="T55" s="45">
        <v>0</v>
      </c>
      <c r="U55" s="1" t="s">
        <v>181</v>
      </c>
    </row>
    <row r="56" spans="2:22" x14ac:dyDescent="0.3">
      <c r="L56" s="66">
        <f>(1+L55)*L54/1000</f>
        <v>82</v>
      </c>
      <c r="M56" s="28" t="s">
        <v>97</v>
      </c>
      <c r="P56" s="66">
        <f>(1+P55)*P54/1000</f>
        <v>83.333333333333371</v>
      </c>
      <c r="Q56" s="28" t="s">
        <v>97</v>
      </c>
      <c r="T56" s="66">
        <f>(1+T55)*T54/1000</f>
        <v>4.3333333333333339</v>
      </c>
      <c r="U56" s="28" t="s">
        <v>97</v>
      </c>
    </row>
    <row r="57" spans="2:22" x14ac:dyDescent="0.3">
      <c r="B57" s="11" t="s">
        <v>130</v>
      </c>
      <c r="C57" s="11">
        <v>3000</v>
      </c>
      <c r="D57" s="11" t="s">
        <v>96</v>
      </c>
      <c r="L57" s="11">
        <v>2</v>
      </c>
      <c r="M57" s="11" t="s">
        <v>546</v>
      </c>
      <c r="P57" s="11">
        <v>2</v>
      </c>
      <c r="Q57" s="11" t="s">
        <v>546</v>
      </c>
      <c r="T57" s="11">
        <v>2</v>
      </c>
      <c r="U57" s="11" t="s">
        <v>546</v>
      </c>
    </row>
    <row r="58" spans="2:22" x14ac:dyDescent="0.3">
      <c r="B58" s="11" t="s">
        <v>131</v>
      </c>
      <c r="C58" s="47">
        <f>(C57*60)/H26</f>
        <v>60000</v>
      </c>
      <c r="D58" s="11" t="s">
        <v>135</v>
      </c>
      <c r="L58" s="100">
        <f>L56*L57</f>
        <v>164</v>
      </c>
      <c r="M58" s="37" t="s">
        <v>134</v>
      </c>
      <c r="P58" s="100">
        <f>P56*P57</f>
        <v>166.66666666666674</v>
      </c>
      <c r="Q58" s="37" t="s">
        <v>134</v>
      </c>
      <c r="T58" s="100">
        <f>T56*T57</f>
        <v>8.6666666666666679</v>
      </c>
      <c r="U58" s="37" t="s">
        <v>134</v>
      </c>
    </row>
    <row r="59" spans="2:22" x14ac:dyDescent="0.3">
      <c r="B59" s="11" t="s">
        <v>112</v>
      </c>
      <c r="C59" s="47">
        <f>C58*H34</f>
        <v>600000</v>
      </c>
      <c r="D59" s="11" t="s">
        <v>136</v>
      </c>
    </row>
    <row r="60" spans="2:22" x14ac:dyDescent="0.3">
      <c r="B60" s="32"/>
      <c r="C60" s="47">
        <f>C59/1000</f>
        <v>600</v>
      </c>
      <c r="D60" s="11" t="s">
        <v>134</v>
      </c>
      <c r="F60" s="76"/>
      <c r="L60" s="49">
        <f>L44+P44+T44+T58+P58+L58</f>
        <v>567.33333333333348</v>
      </c>
    </row>
    <row r="61" spans="2:22" x14ac:dyDescent="0.3">
      <c r="B61" s="11" t="s">
        <v>113</v>
      </c>
      <c r="C61" s="48">
        <f>(2/3)*C58</f>
        <v>40000</v>
      </c>
      <c r="D61" s="11" t="s">
        <v>136</v>
      </c>
    </row>
    <row r="63" spans="2:22" x14ac:dyDescent="0.3">
      <c r="B63" s="171" t="s">
        <v>164</v>
      </c>
      <c r="C63" s="171"/>
      <c r="L63" s="11" t="s">
        <v>123</v>
      </c>
      <c r="P63" s="11" t="s">
        <v>124</v>
      </c>
      <c r="T63" s="11" t="s">
        <v>127</v>
      </c>
    </row>
    <row r="64" spans="2:22" x14ac:dyDescent="0.3">
      <c r="B64" s="46">
        <f>(C59-(C61*H34))*1</f>
        <v>200000</v>
      </c>
      <c r="C64" s="1" t="s">
        <v>136</v>
      </c>
      <c r="L64" s="11" t="s">
        <v>130</v>
      </c>
      <c r="M64" s="11">
        <f>D49</f>
        <v>400</v>
      </c>
      <c r="N64" s="11" t="s">
        <v>96</v>
      </c>
      <c r="P64" s="11" t="s">
        <v>130</v>
      </c>
      <c r="Q64" s="11">
        <f>D50</f>
        <v>690</v>
      </c>
      <c r="R64" s="11" t="s">
        <v>96</v>
      </c>
      <c r="T64" s="11" t="s">
        <v>130</v>
      </c>
      <c r="U64" s="11">
        <f>D53</f>
        <v>125</v>
      </c>
      <c r="V64" s="11" t="s">
        <v>96</v>
      </c>
    </row>
    <row r="65" spans="2:22" x14ac:dyDescent="0.3">
      <c r="B65" s="45">
        <f>B42</f>
        <v>0</v>
      </c>
      <c r="C65" s="1" t="str">
        <f>C42</f>
        <v>Safety Factor</v>
      </c>
      <c r="L65" s="11" t="s">
        <v>131</v>
      </c>
      <c r="M65" s="11">
        <f>(M64*60)/$H$26</f>
        <v>8000</v>
      </c>
      <c r="N65" s="11" t="s">
        <v>135</v>
      </c>
      <c r="P65" s="11" t="s">
        <v>131</v>
      </c>
      <c r="Q65" s="11">
        <f>(Q64*60)/$H$26</f>
        <v>13800</v>
      </c>
      <c r="R65" s="11" t="s">
        <v>135</v>
      </c>
      <c r="T65" s="11" t="s">
        <v>131</v>
      </c>
      <c r="U65" s="11">
        <f>(U64*60)/$H$26</f>
        <v>2500</v>
      </c>
      <c r="V65" s="11" t="s">
        <v>135</v>
      </c>
    </row>
    <row r="66" spans="2:22" x14ac:dyDescent="0.3">
      <c r="B66" s="66">
        <f>(1+B65)*B64/1000</f>
        <v>200</v>
      </c>
      <c r="C66" s="28" t="s">
        <v>97</v>
      </c>
      <c r="L66" s="11" t="s">
        <v>112</v>
      </c>
      <c r="M66" s="11">
        <f>M65*$H$34</f>
        <v>80000</v>
      </c>
      <c r="N66" s="11" t="s">
        <v>136</v>
      </c>
      <c r="P66" s="11" t="s">
        <v>112</v>
      </c>
      <c r="Q66" s="11">
        <f>Q65*$H$34</f>
        <v>138000</v>
      </c>
      <c r="R66" s="11" t="s">
        <v>136</v>
      </c>
      <c r="T66" s="11" t="s">
        <v>112</v>
      </c>
      <c r="U66" s="11">
        <f>U65*$H$34</f>
        <v>25000</v>
      </c>
      <c r="V66" s="11" t="s">
        <v>136</v>
      </c>
    </row>
    <row r="67" spans="2:22" x14ac:dyDescent="0.3">
      <c r="B67" s="11">
        <v>2</v>
      </c>
      <c r="C67" s="11" t="s">
        <v>546</v>
      </c>
      <c r="D67" s="50"/>
      <c r="L67" s="32"/>
      <c r="M67" s="11">
        <f>M66/1000</f>
        <v>80</v>
      </c>
      <c r="N67" s="11" t="s">
        <v>134</v>
      </c>
      <c r="P67" s="32"/>
      <c r="Q67" s="11">
        <f>Q66/1000</f>
        <v>138</v>
      </c>
      <c r="R67" s="11" t="s">
        <v>134</v>
      </c>
      <c r="T67" s="32"/>
      <c r="U67" s="11">
        <f>U66/1000</f>
        <v>25</v>
      </c>
      <c r="V67" s="11" t="s">
        <v>134</v>
      </c>
    </row>
    <row r="68" spans="2:22" x14ac:dyDescent="0.3">
      <c r="B68" s="37">
        <f>B66*B67</f>
        <v>400</v>
      </c>
      <c r="C68" s="37" t="s">
        <v>134</v>
      </c>
      <c r="L68" s="11" t="s">
        <v>113</v>
      </c>
      <c r="M68" s="48">
        <f>(2/3)*M65</f>
        <v>5333.333333333333</v>
      </c>
      <c r="N68" s="11" t="s">
        <v>462</v>
      </c>
      <c r="P68" s="11" t="s">
        <v>113</v>
      </c>
      <c r="Q68" s="48">
        <f>(2/3)*Q65</f>
        <v>9200</v>
      </c>
      <c r="R68" s="11" t="s">
        <v>462</v>
      </c>
      <c r="T68" s="11" t="s">
        <v>113</v>
      </c>
      <c r="U68" s="48">
        <f>(2/3)*U65</f>
        <v>1666.6666666666665</v>
      </c>
      <c r="V68" s="11" t="s">
        <v>462</v>
      </c>
    </row>
    <row r="70" spans="2:22" x14ac:dyDescent="0.3">
      <c r="L70" s="171" t="s">
        <v>162</v>
      </c>
      <c r="M70" s="171"/>
      <c r="P70" s="171" t="s">
        <v>162</v>
      </c>
      <c r="Q70" s="171"/>
      <c r="T70" s="171" t="s">
        <v>162</v>
      </c>
      <c r="U70" s="171"/>
    </row>
    <row r="71" spans="2:22" x14ac:dyDescent="0.3">
      <c r="L71" s="46">
        <f>(M66-(M68*$H$34)*1)</f>
        <v>26666.666666666672</v>
      </c>
      <c r="M71" s="1" t="s">
        <v>136</v>
      </c>
      <c r="P71" s="46">
        <f>(Q66-(Q68*$H$34)*1)</f>
        <v>46000</v>
      </c>
      <c r="Q71" s="1" t="s">
        <v>136</v>
      </c>
      <c r="T71" s="46">
        <f>(U66-(U68*$H$34)*1)</f>
        <v>8333.3333333333358</v>
      </c>
      <c r="U71" s="1" t="s">
        <v>136</v>
      </c>
    </row>
    <row r="72" spans="2:22" x14ac:dyDescent="0.3">
      <c r="L72" s="45">
        <v>0</v>
      </c>
      <c r="M72" s="1" t="s">
        <v>181</v>
      </c>
      <c r="P72" s="45">
        <v>0</v>
      </c>
      <c r="Q72" s="1" t="s">
        <v>181</v>
      </c>
      <c r="T72" s="45">
        <v>0</v>
      </c>
      <c r="U72" s="1" t="s">
        <v>181</v>
      </c>
    </row>
    <row r="73" spans="2:22" x14ac:dyDescent="0.3">
      <c r="L73" s="66">
        <f>(1+L72)*L71/1000</f>
        <v>26.666666666666671</v>
      </c>
      <c r="M73" s="28" t="s">
        <v>97</v>
      </c>
      <c r="P73" s="66">
        <f>(1+P72)*P71/1000</f>
        <v>46</v>
      </c>
      <c r="Q73" s="28" t="s">
        <v>97</v>
      </c>
      <c r="T73" s="66">
        <f>(1+T72)*T71/1000</f>
        <v>8.3333333333333357</v>
      </c>
      <c r="U73" s="28" t="s">
        <v>97</v>
      </c>
    </row>
    <row r="74" spans="2:22" x14ac:dyDescent="0.3">
      <c r="L74" s="11">
        <v>2</v>
      </c>
      <c r="M74" s="11" t="s">
        <v>546</v>
      </c>
      <c r="P74" s="11">
        <v>2</v>
      </c>
      <c r="Q74" s="11" t="s">
        <v>546</v>
      </c>
      <c r="T74" s="11">
        <v>2</v>
      </c>
      <c r="U74" s="11" t="s">
        <v>546</v>
      </c>
    </row>
    <row r="75" spans="2:22" x14ac:dyDescent="0.3">
      <c r="L75" s="100">
        <f>L73*L74</f>
        <v>53.333333333333343</v>
      </c>
      <c r="M75" s="37" t="s">
        <v>134</v>
      </c>
      <c r="P75" s="100">
        <f>P73*P74</f>
        <v>92</v>
      </c>
      <c r="Q75" s="37" t="s">
        <v>134</v>
      </c>
      <c r="T75" s="100">
        <f>T73*T74</f>
        <v>16.666666666666671</v>
      </c>
      <c r="U75" s="37" t="s">
        <v>134</v>
      </c>
    </row>
    <row r="77" spans="2:22" x14ac:dyDescent="0.3">
      <c r="L77" s="11" t="s">
        <v>125</v>
      </c>
      <c r="P77" s="11" t="s">
        <v>126</v>
      </c>
      <c r="T77" s="11" t="s">
        <v>128</v>
      </c>
    </row>
    <row r="78" spans="2:22" x14ac:dyDescent="0.3">
      <c r="L78" s="11" t="s">
        <v>130</v>
      </c>
      <c r="M78" s="11">
        <f>D51</f>
        <v>850</v>
      </c>
      <c r="N78" s="11" t="s">
        <v>96</v>
      </c>
      <c r="P78" s="11" t="s">
        <v>130</v>
      </c>
      <c r="Q78" s="11">
        <f>D52</f>
        <v>825</v>
      </c>
      <c r="R78" s="11" t="s">
        <v>96</v>
      </c>
      <c r="T78" s="11" t="s">
        <v>130</v>
      </c>
      <c r="U78" s="11">
        <f>D54</f>
        <v>110</v>
      </c>
      <c r="V78" s="11" t="s">
        <v>96</v>
      </c>
    </row>
    <row r="79" spans="2:22" x14ac:dyDescent="0.3">
      <c r="L79" s="11" t="s">
        <v>131</v>
      </c>
      <c r="M79" s="11">
        <f>(M78*60)/$H$26</f>
        <v>17000</v>
      </c>
      <c r="N79" s="11" t="s">
        <v>135</v>
      </c>
      <c r="P79" s="11" t="s">
        <v>131</v>
      </c>
      <c r="Q79" s="11">
        <f>(Q78*60)/$H$26</f>
        <v>16500</v>
      </c>
      <c r="R79" s="11" t="s">
        <v>135</v>
      </c>
      <c r="T79" s="11" t="s">
        <v>131</v>
      </c>
      <c r="U79" s="11">
        <f>(U78*60)/$H$26</f>
        <v>2200</v>
      </c>
      <c r="V79" s="11" t="s">
        <v>135</v>
      </c>
    </row>
    <row r="80" spans="2:22" x14ac:dyDescent="0.3">
      <c r="L80" s="11" t="s">
        <v>112</v>
      </c>
      <c r="M80" s="11">
        <f>M79*$H$34</f>
        <v>170000</v>
      </c>
      <c r="N80" s="11" t="s">
        <v>136</v>
      </c>
      <c r="P80" s="11" t="s">
        <v>112</v>
      </c>
      <c r="Q80" s="11">
        <f>Q79*$H$34</f>
        <v>165000</v>
      </c>
      <c r="R80" s="11" t="s">
        <v>136</v>
      </c>
      <c r="T80" s="11" t="s">
        <v>112</v>
      </c>
      <c r="U80" s="11">
        <f>U79*$H$34</f>
        <v>22000</v>
      </c>
      <c r="V80" s="11" t="s">
        <v>136</v>
      </c>
    </row>
    <row r="81" spans="12:22" x14ac:dyDescent="0.3">
      <c r="L81" s="32"/>
      <c r="M81" s="11">
        <f>M80/1000</f>
        <v>170</v>
      </c>
      <c r="N81" s="11" t="s">
        <v>134</v>
      </c>
      <c r="P81" s="32"/>
      <c r="Q81" s="11">
        <f>Q80/1000</f>
        <v>165</v>
      </c>
      <c r="R81" s="11" t="s">
        <v>134</v>
      </c>
      <c r="T81" s="32"/>
      <c r="U81" s="11">
        <f>U80/1000</f>
        <v>22</v>
      </c>
      <c r="V81" s="11" t="s">
        <v>134</v>
      </c>
    </row>
    <row r="82" spans="12:22" x14ac:dyDescent="0.3">
      <c r="L82" s="11" t="s">
        <v>113</v>
      </c>
      <c r="M82" s="48">
        <f>(2/3)*M79</f>
        <v>11333.333333333332</v>
      </c>
      <c r="N82" s="11" t="s">
        <v>462</v>
      </c>
      <c r="P82" s="11" t="s">
        <v>113</v>
      </c>
      <c r="Q82" s="48">
        <f>(2/3)*Q79</f>
        <v>11000</v>
      </c>
      <c r="R82" s="11" t="s">
        <v>462</v>
      </c>
      <c r="T82" s="11" t="s">
        <v>113</v>
      </c>
      <c r="U82" s="48">
        <f>(2/3)*U79</f>
        <v>1466.6666666666665</v>
      </c>
      <c r="V82" s="11" t="s">
        <v>462</v>
      </c>
    </row>
    <row r="84" spans="12:22" x14ac:dyDescent="0.3">
      <c r="L84" s="171" t="s">
        <v>162</v>
      </c>
      <c r="M84" s="171"/>
      <c r="P84" s="171" t="s">
        <v>162</v>
      </c>
      <c r="Q84" s="171"/>
      <c r="T84" s="171" t="s">
        <v>162</v>
      </c>
      <c r="U84" s="171"/>
    </row>
    <row r="85" spans="12:22" x14ac:dyDescent="0.3">
      <c r="L85" s="46">
        <f>(M80-(M82*$H$34)*1)</f>
        <v>56666.666666666686</v>
      </c>
      <c r="M85" s="1" t="s">
        <v>136</v>
      </c>
      <c r="P85" s="46">
        <f>(Q80-(Q82*$H$34)*1)</f>
        <v>55000</v>
      </c>
      <c r="Q85" s="1" t="s">
        <v>136</v>
      </c>
      <c r="T85" s="46">
        <f>(U80-(U82*$H$34)*1)</f>
        <v>7333.3333333333358</v>
      </c>
      <c r="U85" s="1" t="s">
        <v>136</v>
      </c>
    </row>
    <row r="86" spans="12:22" x14ac:dyDescent="0.3">
      <c r="L86" s="45">
        <v>0</v>
      </c>
      <c r="M86" s="1" t="s">
        <v>181</v>
      </c>
      <c r="P86" s="45">
        <v>0</v>
      </c>
      <c r="Q86" s="1" t="s">
        <v>181</v>
      </c>
      <c r="T86" s="45">
        <v>0</v>
      </c>
      <c r="U86" s="1" t="s">
        <v>181</v>
      </c>
    </row>
    <row r="87" spans="12:22" x14ac:dyDescent="0.3">
      <c r="L87" s="66">
        <f>(1+L86)*L85/1000</f>
        <v>56.666666666666686</v>
      </c>
      <c r="M87" s="28" t="s">
        <v>97</v>
      </c>
      <c r="P87" s="66">
        <f>(1+P86)*P85/1000</f>
        <v>55</v>
      </c>
      <c r="Q87" s="28" t="s">
        <v>97</v>
      </c>
      <c r="T87" s="66">
        <f>(1+T86)*T85/1000</f>
        <v>7.3333333333333357</v>
      </c>
      <c r="U87" s="28" t="s">
        <v>97</v>
      </c>
    </row>
    <row r="88" spans="12:22" x14ac:dyDescent="0.3">
      <c r="L88" s="11">
        <v>2</v>
      </c>
      <c r="M88" s="11" t="s">
        <v>546</v>
      </c>
      <c r="P88" s="11">
        <v>2</v>
      </c>
      <c r="Q88" s="11" t="s">
        <v>546</v>
      </c>
      <c r="T88" s="11">
        <v>2</v>
      </c>
      <c r="U88" s="11" t="s">
        <v>546</v>
      </c>
    </row>
    <row r="89" spans="12:22" x14ac:dyDescent="0.3">
      <c r="L89" s="100">
        <f>L87*L88</f>
        <v>113.33333333333337</v>
      </c>
      <c r="M89" s="37" t="s">
        <v>134</v>
      </c>
      <c r="P89" s="100">
        <f>P87*P88</f>
        <v>110</v>
      </c>
      <c r="Q89" s="37" t="s">
        <v>134</v>
      </c>
      <c r="T89" s="100">
        <f>T87*T88</f>
        <v>14.666666666666671</v>
      </c>
      <c r="U89" s="37" t="s">
        <v>134</v>
      </c>
    </row>
    <row r="92" spans="12:22" x14ac:dyDescent="0.3">
      <c r="L92" s="49"/>
    </row>
    <row r="93" spans="12:22" x14ac:dyDescent="0.3">
      <c r="P93" s="49"/>
    </row>
  </sheetData>
  <mergeCells count="36">
    <mergeCell ref="B63:C63"/>
    <mergeCell ref="D25:E25"/>
    <mergeCell ref="D26:E26"/>
    <mergeCell ref="B31:E31"/>
    <mergeCell ref="B40:C40"/>
    <mergeCell ref="B47:B48"/>
    <mergeCell ref="C47:C48"/>
    <mergeCell ref="G31:J31"/>
    <mergeCell ref="B2:D2"/>
    <mergeCell ref="D47:D48"/>
    <mergeCell ref="B9:C9"/>
    <mergeCell ref="B23:D23"/>
    <mergeCell ref="B4:C4"/>
    <mergeCell ref="B15:B16"/>
    <mergeCell ref="B5:C5"/>
    <mergeCell ref="B7:D7"/>
    <mergeCell ref="C15:C16"/>
    <mergeCell ref="D15:D16"/>
    <mergeCell ref="M30:P30"/>
    <mergeCell ref="C10:E10"/>
    <mergeCell ref="C11:E11"/>
    <mergeCell ref="C12:E12"/>
    <mergeCell ref="C13:E13"/>
    <mergeCell ref="E15:E16"/>
    <mergeCell ref="L39:M39"/>
    <mergeCell ref="P39:Q39"/>
    <mergeCell ref="T39:U39"/>
    <mergeCell ref="L53:M53"/>
    <mergeCell ref="P53:Q53"/>
    <mergeCell ref="T53:U53"/>
    <mergeCell ref="L70:M70"/>
    <mergeCell ref="P70:Q70"/>
    <mergeCell ref="T70:U70"/>
    <mergeCell ref="L84:M84"/>
    <mergeCell ref="P84:Q84"/>
    <mergeCell ref="T84:U84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8F453-5B27-45F9-99C0-53A2FA8C80AE}">
  <dimension ref="A2:L87"/>
  <sheetViews>
    <sheetView topLeftCell="C13" zoomScale="85" zoomScaleNormal="85" workbookViewId="0">
      <selection activeCell="C35" sqref="C35"/>
    </sheetView>
  </sheetViews>
  <sheetFormatPr defaultRowHeight="14.4" x14ac:dyDescent="0.3"/>
  <cols>
    <col min="2" max="2" width="14" customWidth="1"/>
    <col min="3" max="3" width="15.77734375" customWidth="1"/>
    <col min="4" max="4" width="15.21875" customWidth="1"/>
    <col min="5" max="5" width="15.109375" customWidth="1"/>
    <col min="6" max="6" width="14.109375" customWidth="1"/>
    <col min="10" max="10" width="12.77734375" customWidth="1"/>
    <col min="11" max="11" width="11.109375" customWidth="1"/>
    <col min="12" max="12" width="12" customWidth="1"/>
  </cols>
  <sheetData>
    <row r="2" spans="2:12" x14ac:dyDescent="0.3">
      <c r="B2" s="33" t="s">
        <v>343</v>
      </c>
    </row>
    <row r="3" spans="2:12" x14ac:dyDescent="0.3">
      <c r="B3" s="174" t="s">
        <v>147</v>
      </c>
      <c r="C3" s="174"/>
      <c r="D3" s="174"/>
      <c r="I3" s="51" t="s">
        <v>150</v>
      </c>
      <c r="J3" s="27"/>
      <c r="K3" s="27"/>
    </row>
    <row r="4" spans="2:12" x14ac:dyDescent="0.3">
      <c r="B4" s="151" t="s">
        <v>545</v>
      </c>
      <c r="C4" s="151"/>
      <c r="D4" s="151"/>
      <c r="I4" s="181" t="s">
        <v>149</v>
      </c>
      <c r="J4" s="181"/>
      <c r="K4" s="181"/>
    </row>
    <row r="5" spans="2:12" x14ac:dyDescent="0.3">
      <c r="I5" s="181" t="s">
        <v>169</v>
      </c>
      <c r="J5" s="181"/>
      <c r="K5" s="181"/>
    </row>
    <row r="6" spans="2:12" x14ac:dyDescent="0.3">
      <c r="B6" s="154" t="s">
        <v>121</v>
      </c>
      <c r="C6" s="154"/>
      <c r="D6" s="154"/>
      <c r="E6" s="154"/>
    </row>
    <row r="8" spans="2:12" x14ac:dyDescent="0.3">
      <c r="B8" s="188" t="s">
        <v>156</v>
      </c>
      <c r="C8" s="188"/>
      <c r="I8" s="11" t="s">
        <v>133</v>
      </c>
      <c r="J8" s="11" t="s">
        <v>132</v>
      </c>
    </row>
    <row r="9" spans="2:12" x14ac:dyDescent="0.3">
      <c r="B9" s="32" t="s">
        <v>151</v>
      </c>
      <c r="C9" s="181" t="s">
        <v>157</v>
      </c>
      <c r="D9" s="181"/>
      <c r="E9" s="181"/>
      <c r="F9" s="181"/>
      <c r="I9" s="11">
        <v>2</v>
      </c>
      <c r="J9" s="11">
        <v>3.5</v>
      </c>
    </row>
    <row r="10" spans="2:12" x14ac:dyDescent="0.3">
      <c r="B10" s="32" t="s">
        <v>152</v>
      </c>
      <c r="C10" s="181" t="s">
        <v>158</v>
      </c>
      <c r="D10" s="181"/>
      <c r="E10" s="181"/>
      <c r="F10" s="181"/>
    </row>
    <row r="11" spans="2:12" x14ac:dyDescent="0.3">
      <c r="B11" s="32" t="s">
        <v>153</v>
      </c>
      <c r="C11" s="181" t="s">
        <v>159</v>
      </c>
      <c r="D11" s="181"/>
      <c r="E11" s="181"/>
      <c r="F11" s="181"/>
      <c r="I11" t="s">
        <v>137</v>
      </c>
    </row>
    <row r="12" spans="2:12" x14ac:dyDescent="0.3">
      <c r="B12" s="32" t="s">
        <v>154</v>
      </c>
      <c r="C12" s="181" t="s">
        <v>160</v>
      </c>
      <c r="D12" s="181"/>
      <c r="E12" s="181"/>
      <c r="F12" s="181"/>
      <c r="I12" t="s">
        <v>138</v>
      </c>
    </row>
    <row r="13" spans="2:12" x14ac:dyDescent="0.3">
      <c r="B13" s="32" t="s">
        <v>155</v>
      </c>
      <c r="C13" s="181" t="s">
        <v>161</v>
      </c>
      <c r="D13" s="181"/>
      <c r="E13" s="181"/>
      <c r="F13" s="181"/>
    </row>
    <row r="14" spans="2:12" x14ac:dyDescent="0.3">
      <c r="I14" s="154" t="s">
        <v>121</v>
      </c>
      <c r="J14" s="154"/>
      <c r="K14" s="154"/>
      <c r="L14" s="154"/>
    </row>
    <row r="15" spans="2:12" x14ac:dyDescent="0.3">
      <c r="B15" s="187" t="s">
        <v>122</v>
      </c>
      <c r="C15" s="187" t="s">
        <v>95</v>
      </c>
      <c r="D15" s="191" t="s">
        <v>108</v>
      </c>
      <c r="E15" s="187" t="s">
        <v>129</v>
      </c>
    </row>
    <row r="16" spans="2:12" ht="27.6" customHeight="1" x14ac:dyDescent="0.3">
      <c r="B16" s="187"/>
      <c r="C16" s="187"/>
      <c r="D16" s="192"/>
      <c r="E16" s="187"/>
      <c r="I16" s="1" t="s">
        <v>155</v>
      </c>
      <c r="J16" s="1" t="s">
        <v>179</v>
      </c>
    </row>
    <row r="17" spans="2:12" x14ac:dyDescent="0.3">
      <c r="B17" s="11" t="s">
        <v>123</v>
      </c>
      <c r="C17" s="11">
        <f>'Kebutuhan Air Bersih'!C3</f>
        <v>745</v>
      </c>
      <c r="D17" s="11">
        <f>'Kebutuhan Air Bersih'!C11</f>
        <v>345</v>
      </c>
      <c r="E17" s="11">
        <f>'Kebutuhan Air Bersih'!C4</f>
        <v>625</v>
      </c>
      <c r="I17" s="1" t="s">
        <v>153</v>
      </c>
      <c r="J17" s="1" t="s">
        <v>179</v>
      </c>
    </row>
    <row r="18" spans="2:12" x14ac:dyDescent="0.3">
      <c r="B18" s="11" t="s">
        <v>124</v>
      </c>
      <c r="C18" s="11">
        <f>'Kebutuhan Air Bersih'!C23</f>
        <v>1446</v>
      </c>
      <c r="D18" s="11">
        <f>'Kebutuhan Air Bersih'!C31</f>
        <v>759</v>
      </c>
      <c r="E18" s="11">
        <f>'Kebutuhan Air Bersih'!C24</f>
        <v>970</v>
      </c>
    </row>
    <row r="19" spans="2:12" x14ac:dyDescent="0.3">
      <c r="B19" s="11" t="s">
        <v>125</v>
      </c>
      <c r="C19" s="11">
        <f>'Kebutuhan Air Bersih'!C45</f>
        <v>2028</v>
      </c>
      <c r="D19" s="11">
        <f>'Kebutuhan Air Bersih'!C53</f>
        <v>1035</v>
      </c>
      <c r="E19" s="11">
        <f>'Kebutuhan Air Bersih'!C46</f>
        <v>1230</v>
      </c>
    </row>
    <row r="20" spans="2:12" x14ac:dyDescent="0.3">
      <c r="B20" s="11" t="s">
        <v>126</v>
      </c>
      <c r="C20" s="11">
        <f>'Kebutuhan Air Bersih'!C66</f>
        <v>2038</v>
      </c>
      <c r="D20" s="11">
        <f>'Kebutuhan Air Bersih'!C74</f>
        <v>935</v>
      </c>
      <c r="E20" s="11">
        <f>'Kebutuhan Air Bersih'!C67</f>
        <v>1250</v>
      </c>
    </row>
    <row r="21" spans="2:12" x14ac:dyDescent="0.3">
      <c r="B21" s="11" t="s">
        <v>127</v>
      </c>
      <c r="C21" s="11">
        <f>'Kebutuhan Air Bersih'!C88</f>
        <v>56</v>
      </c>
      <c r="D21" s="11"/>
      <c r="E21" s="11">
        <f>'Kebutuhan Air Bersih'!C89</f>
        <v>115</v>
      </c>
    </row>
    <row r="22" spans="2:12" x14ac:dyDescent="0.3">
      <c r="B22" s="11" t="s">
        <v>128</v>
      </c>
      <c r="C22" s="11">
        <f>'Kebutuhan Air Bersih'!C108</f>
        <v>29</v>
      </c>
      <c r="D22" s="11"/>
      <c r="E22" s="11">
        <f>'Kebutuhan Air Bersih'!C109</f>
        <v>65</v>
      </c>
    </row>
    <row r="23" spans="2:12" x14ac:dyDescent="0.3">
      <c r="B23" s="189" t="s">
        <v>109</v>
      </c>
      <c r="C23" s="189"/>
      <c r="D23" s="189"/>
      <c r="E23" s="36">
        <f>SUM(E17:E22)</f>
        <v>4255</v>
      </c>
    </row>
    <row r="25" spans="2:12" x14ac:dyDescent="0.3">
      <c r="B25" s="40"/>
      <c r="C25" s="40" t="s">
        <v>170</v>
      </c>
      <c r="D25" s="40" t="s">
        <v>171</v>
      </c>
      <c r="E25" s="40" t="s">
        <v>172</v>
      </c>
    </row>
    <row r="26" spans="2:12" x14ac:dyDescent="0.3">
      <c r="B26" s="52" t="s">
        <v>168</v>
      </c>
      <c r="C26" s="11">
        <f>SUM(E18,E22)</f>
        <v>1035</v>
      </c>
      <c r="D26" s="11">
        <f>E19</f>
        <v>1230</v>
      </c>
      <c r="E26" s="11">
        <f>SUM(E17,E20,E21)</f>
        <v>1990</v>
      </c>
    </row>
    <row r="28" spans="2:12" x14ac:dyDescent="0.3">
      <c r="B28" s="174" t="s">
        <v>170</v>
      </c>
      <c r="C28" s="174"/>
      <c r="D28" s="174"/>
      <c r="F28" s="174" t="s">
        <v>178</v>
      </c>
      <c r="G28" s="174"/>
      <c r="H28" s="174"/>
      <c r="J28" s="174" t="s">
        <v>172</v>
      </c>
      <c r="K28" s="174"/>
      <c r="L28" s="174"/>
    </row>
    <row r="29" spans="2:12" x14ac:dyDescent="0.3">
      <c r="B29" s="32" t="s">
        <v>165</v>
      </c>
      <c r="C29" s="32">
        <f>E18+E22</f>
        <v>1035</v>
      </c>
      <c r="D29" s="32" t="s">
        <v>96</v>
      </c>
      <c r="F29" s="32" t="s">
        <v>165</v>
      </c>
      <c r="G29" s="32">
        <f>E19</f>
        <v>1230</v>
      </c>
      <c r="H29" s="32" t="s">
        <v>96</v>
      </c>
      <c r="J29" s="32" t="s">
        <v>165</v>
      </c>
      <c r="K29" s="32">
        <f>E20+E17+E21</f>
        <v>1990</v>
      </c>
      <c r="L29" s="32" t="s">
        <v>96</v>
      </c>
    </row>
    <row r="30" spans="2:12" x14ac:dyDescent="0.3">
      <c r="B30" s="32"/>
      <c r="C30" s="32">
        <f>C29/1000</f>
        <v>1.0349999999999999</v>
      </c>
      <c r="D30" s="32" t="s">
        <v>174</v>
      </c>
      <c r="F30" s="32"/>
      <c r="G30" s="32">
        <f>G29/1000</f>
        <v>1.23</v>
      </c>
      <c r="H30" s="32" t="s">
        <v>174</v>
      </c>
      <c r="J30" s="32"/>
      <c r="K30" s="32">
        <f>K29/1000</f>
        <v>1.99</v>
      </c>
      <c r="L30" s="32" t="s">
        <v>174</v>
      </c>
    </row>
    <row r="31" spans="2:12" x14ac:dyDescent="0.3">
      <c r="B31" s="32" t="s">
        <v>131</v>
      </c>
      <c r="C31" s="32">
        <f>(C30*60)/J9</f>
        <v>17.74285714285714</v>
      </c>
      <c r="D31" s="32" t="s">
        <v>167</v>
      </c>
      <c r="F31" s="32" t="s">
        <v>131</v>
      </c>
      <c r="G31" s="32">
        <f>(G30*60)/J9</f>
        <v>21.085714285714285</v>
      </c>
      <c r="H31" s="32" t="s">
        <v>167</v>
      </c>
      <c r="J31" s="32" t="s">
        <v>131</v>
      </c>
      <c r="K31" s="32">
        <f>(K30*60)/J9</f>
        <v>34.114285714285714</v>
      </c>
      <c r="L31" s="32" t="s">
        <v>167</v>
      </c>
    </row>
    <row r="32" spans="2:12" x14ac:dyDescent="0.3">
      <c r="B32" s="32" t="s">
        <v>175</v>
      </c>
      <c r="C32" s="32">
        <f>C31*I9</f>
        <v>35.48571428571428</v>
      </c>
      <c r="D32" s="32" t="s">
        <v>167</v>
      </c>
      <c r="F32" s="32" t="s">
        <v>175</v>
      </c>
      <c r="G32" s="32">
        <f>G31*I9</f>
        <v>42.171428571428571</v>
      </c>
      <c r="H32" s="32" t="s">
        <v>167</v>
      </c>
      <c r="J32" s="32" t="s">
        <v>175</v>
      </c>
      <c r="K32" s="32">
        <f>K31*I9</f>
        <v>68.228571428571428</v>
      </c>
      <c r="L32" s="32" t="s">
        <v>167</v>
      </c>
    </row>
    <row r="33" spans="2:12" x14ac:dyDescent="0.3">
      <c r="B33" s="32" t="s">
        <v>176</v>
      </c>
      <c r="C33" s="32">
        <f>C30</f>
        <v>1.0349999999999999</v>
      </c>
      <c r="D33" s="32" t="s">
        <v>174</v>
      </c>
      <c r="F33" s="32" t="s">
        <v>176</v>
      </c>
      <c r="G33" s="32">
        <f>G30</f>
        <v>1.23</v>
      </c>
      <c r="H33" s="32" t="s">
        <v>174</v>
      </c>
      <c r="J33" s="32" t="s">
        <v>176</v>
      </c>
      <c r="K33" s="32">
        <f>K30</f>
        <v>1.99</v>
      </c>
      <c r="L33" s="32" t="s">
        <v>174</v>
      </c>
    </row>
    <row r="34" spans="2:12" x14ac:dyDescent="0.3">
      <c r="B34" s="32" t="s">
        <v>152</v>
      </c>
      <c r="C34" s="32">
        <f>C32/60</f>
        <v>0.5914285714285713</v>
      </c>
      <c r="D34" s="32" t="s">
        <v>174</v>
      </c>
      <c r="F34" s="32" t="s">
        <v>152</v>
      </c>
      <c r="G34" s="32">
        <f>G32/60</f>
        <v>0.70285714285714285</v>
      </c>
      <c r="H34" s="32" t="s">
        <v>174</v>
      </c>
      <c r="J34" s="32" t="s">
        <v>152</v>
      </c>
      <c r="K34" s="32">
        <f>K32/60</f>
        <v>1.1371428571428572</v>
      </c>
      <c r="L34" s="32" t="s">
        <v>174</v>
      </c>
    </row>
    <row r="35" spans="2:12" x14ac:dyDescent="0.3">
      <c r="B35" s="53" t="s">
        <v>153</v>
      </c>
      <c r="C35" s="53">
        <v>30</v>
      </c>
      <c r="D35" s="53" t="s">
        <v>177</v>
      </c>
      <c r="F35" s="53" t="s">
        <v>153</v>
      </c>
      <c r="G35" s="53">
        <v>30</v>
      </c>
      <c r="H35" s="53" t="s">
        <v>177</v>
      </c>
      <c r="J35" s="53" t="s">
        <v>153</v>
      </c>
      <c r="K35" s="53">
        <v>30</v>
      </c>
      <c r="L35" s="53" t="s">
        <v>177</v>
      </c>
    </row>
    <row r="36" spans="2:12" x14ac:dyDescent="0.3">
      <c r="B36" s="53" t="s">
        <v>155</v>
      </c>
      <c r="C36" s="53">
        <v>10</v>
      </c>
      <c r="D36" s="53" t="s">
        <v>177</v>
      </c>
      <c r="F36" s="53" t="s">
        <v>155</v>
      </c>
      <c r="G36" s="53">
        <v>10</v>
      </c>
      <c r="H36" s="53" t="s">
        <v>177</v>
      </c>
      <c r="J36" s="53" t="s">
        <v>155</v>
      </c>
      <c r="K36" s="53">
        <v>10</v>
      </c>
      <c r="L36" s="53" t="s">
        <v>177</v>
      </c>
    </row>
    <row r="37" spans="2:12" x14ac:dyDescent="0.3">
      <c r="B37" s="55" t="s">
        <v>154</v>
      </c>
      <c r="C37" s="56">
        <f>C34</f>
        <v>0.5914285714285713</v>
      </c>
      <c r="D37" s="55" t="s">
        <v>174</v>
      </c>
      <c r="E37" s="56"/>
      <c r="F37" s="55" t="s">
        <v>154</v>
      </c>
      <c r="G37" s="56">
        <f>G34</f>
        <v>0.70285714285714285</v>
      </c>
      <c r="H37" s="55" t="s">
        <v>174</v>
      </c>
      <c r="I37" s="56"/>
      <c r="J37" s="55" t="s">
        <v>154</v>
      </c>
      <c r="K37" s="56">
        <f>K34</f>
        <v>1.1371428571428572</v>
      </c>
      <c r="L37" s="55" t="s">
        <v>174</v>
      </c>
    </row>
    <row r="38" spans="2:12" x14ac:dyDescent="0.3">
      <c r="B38" s="54" t="s">
        <v>173</v>
      </c>
      <c r="C38" s="72">
        <f>ROUNDUP(((C33-C34)*C35)+(C37*C36),0)</f>
        <v>20</v>
      </c>
      <c r="D38" s="54" t="s">
        <v>134</v>
      </c>
      <c r="F38" s="54" t="s">
        <v>173</v>
      </c>
      <c r="G38" s="72">
        <f>ROUNDUP(((G33-G34)*G35)+(G37*G36),0)</f>
        <v>23</v>
      </c>
      <c r="H38" s="54" t="s">
        <v>134</v>
      </c>
      <c r="J38" s="54" t="s">
        <v>173</v>
      </c>
      <c r="K38" s="72">
        <f>ROUNDUP(((K33-K34)*K35)+(K37*K36),0)</f>
        <v>37</v>
      </c>
      <c r="L38" s="54" t="s">
        <v>134</v>
      </c>
    </row>
    <row r="42" spans="2:12" x14ac:dyDescent="0.3">
      <c r="B42" s="40" t="s">
        <v>131</v>
      </c>
      <c r="C42" s="193" t="s">
        <v>131</v>
      </c>
      <c r="D42" s="194"/>
    </row>
    <row r="43" spans="2:12" x14ac:dyDescent="0.3">
      <c r="B43" s="11" t="s">
        <v>139</v>
      </c>
      <c r="C43" s="197" t="s">
        <v>141</v>
      </c>
      <c r="D43" s="153"/>
    </row>
    <row r="46" spans="2:12" x14ac:dyDescent="0.3">
      <c r="B46" s="33" t="s">
        <v>346</v>
      </c>
    </row>
    <row r="49" spans="2:12" x14ac:dyDescent="0.3">
      <c r="B49" s="191" t="s">
        <v>122</v>
      </c>
      <c r="C49" s="191" t="s">
        <v>163</v>
      </c>
      <c r="D49" s="191" t="s">
        <v>344</v>
      </c>
    </row>
    <row r="50" spans="2:12" ht="31.8" customHeight="1" x14ac:dyDescent="0.3">
      <c r="B50" s="192"/>
      <c r="C50" s="192"/>
      <c r="D50" s="192"/>
    </row>
    <row r="51" spans="2:12" x14ac:dyDescent="0.3">
      <c r="B51" s="11" t="s">
        <v>123</v>
      </c>
      <c r="C51" s="11">
        <f>'Kebutuhan Air Bersih'!C7</f>
        <v>420</v>
      </c>
      <c r="D51" s="11">
        <f>'Kebutuhan Air Bersih'!C8</f>
        <v>400</v>
      </c>
    </row>
    <row r="52" spans="2:12" x14ac:dyDescent="0.3">
      <c r="B52" s="11" t="s">
        <v>124</v>
      </c>
      <c r="C52" s="11">
        <f>'Kebutuhan Air Bersih'!C27</f>
        <v>830</v>
      </c>
      <c r="D52" s="11">
        <f>'Kebutuhan Air Bersih'!C28</f>
        <v>690</v>
      </c>
    </row>
    <row r="53" spans="2:12" x14ac:dyDescent="0.3">
      <c r="B53" s="11" t="s">
        <v>125</v>
      </c>
      <c r="C53" s="11">
        <f>'Kebutuhan Air Bersih'!C49</f>
        <v>1100</v>
      </c>
      <c r="D53" s="11">
        <f>'Kebutuhan Air Bersih'!C50</f>
        <v>850</v>
      </c>
    </row>
    <row r="54" spans="2:12" x14ac:dyDescent="0.3">
      <c r="B54" s="11" t="s">
        <v>126</v>
      </c>
      <c r="C54" s="11">
        <f>'Kebutuhan Air Bersih'!C70</f>
        <v>1090</v>
      </c>
      <c r="D54" s="11">
        <f>'Kebutuhan Air Bersih'!C71</f>
        <v>825</v>
      </c>
    </row>
    <row r="55" spans="2:12" x14ac:dyDescent="0.3">
      <c r="B55" s="11" t="s">
        <v>127</v>
      </c>
      <c r="C55" s="11">
        <f>'Kebutuhan Air Bersih'!C92</f>
        <v>65</v>
      </c>
      <c r="D55" s="11">
        <f>'Kebutuhan Air Bersih'!C93</f>
        <v>125</v>
      </c>
    </row>
    <row r="56" spans="2:12" x14ac:dyDescent="0.3">
      <c r="B56" s="11" t="s">
        <v>128</v>
      </c>
      <c r="C56" s="11">
        <f>'Kebutuhan Air Bersih'!C112</f>
        <v>50</v>
      </c>
      <c r="D56" s="11">
        <f>'Kebutuhan Air Bersih'!C113</f>
        <v>110</v>
      </c>
    </row>
    <row r="57" spans="2:12" x14ac:dyDescent="0.3">
      <c r="B57" s="195" t="s">
        <v>109</v>
      </c>
      <c r="C57" s="196"/>
      <c r="D57" s="36">
        <f>SUM(D51:D56)</f>
        <v>3000</v>
      </c>
    </row>
    <row r="60" spans="2:12" x14ac:dyDescent="0.3">
      <c r="B60" s="40"/>
      <c r="C60" s="40" t="s">
        <v>170</v>
      </c>
      <c r="D60" s="40" t="s">
        <v>171</v>
      </c>
      <c r="E60" s="40" t="s">
        <v>172</v>
      </c>
    </row>
    <row r="61" spans="2:12" x14ac:dyDescent="0.3">
      <c r="B61" s="52" t="s">
        <v>345</v>
      </c>
      <c r="C61" s="11">
        <f>D52+D56</f>
        <v>800</v>
      </c>
      <c r="D61" s="11">
        <f>D53</f>
        <v>850</v>
      </c>
      <c r="E61" s="11">
        <f>D51+D54+D55</f>
        <v>1350</v>
      </c>
    </row>
    <row r="63" spans="2:12" x14ac:dyDescent="0.3">
      <c r="B63" s="174" t="s">
        <v>170</v>
      </c>
      <c r="C63" s="174"/>
      <c r="D63" s="174"/>
      <c r="F63" s="174" t="s">
        <v>178</v>
      </c>
      <c r="G63" s="174"/>
      <c r="H63" s="174"/>
      <c r="J63" s="174" t="s">
        <v>172</v>
      </c>
      <c r="K63" s="174"/>
      <c r="L63" s="174"/>
    </row>
    <row r="64" spans="2:12" x14ac:dyDescent="0.3">
      <c r="B64" s="32" t="s">
        <v>165</v>
      </c>
      <c r="C64" s="32">
        <f>C61</f>
        <v>800</v>
      </c>
      <c r="D64" s="32" t="s">
        <v>96</v>
      </c>
      <c r="F64" s="32" t="s">
        <v>165</v>
      </c>
      <c r="G64" s="32">
        <f>D61</f>
        <v>850</v>
      </c>
      <c r="H64" s="32" t="s">
        <v>96</v>
      </c>
      <c r="J64" s="32" t="s">
        <v>165</v>
      </c>
      <c r="K64" s="32">
        <f>E61</f>
        <v>1350</v>
      </c>
      <c r="L64" s="32" t="s">
        <v>96</v>
      </c>
    </row>
    <row r="65" spans="2:12" x14ac:dyDescent="0.3">
      <c r="B65" s="32"/>
      <c r="C65" s="32">
        <f>C64/1000</f>
        <v>0.8</v>
      </c>
      <c r="D65" s="32" t="s">
        <v>174</v>
      </c>
      <c r="F65" s="32"/>
      <c r="G65" s="32">
        <f>G64/1000</f>
        <v>0.85</v>
      </c>
      <c r="H65" s="32" t="s">
        <v>174</v>
      </c>
      <c r="J65" s="32"/>
      <c r="K65" s="32">
        <f>K64/1000</f>
        <v>1.35</v>
      </c>
      <c r="L65" s="32" t="s">
        <v>174</v>
      </c>
    </row>
    <row r="66" spans="2:12" x14ac:dyDescent="0.3">
      <c r="B66" s="32" t="s">
        <v>131</v>
      </c>
      <c r="C66" s="32">
        <f>(C65*60)/J9</f>
        <v>13.714285714285714</v>
      </c>
      <c r="D66" s="32" t="s">
        <v>167</v>
      </c>
      <c r="F66" s="32" t="s">
        <v>131</v>
      </c>
      <c r="G66" s="32">
        <f>(G65*60)/J9</f>
        <v>14.571428571428571</v>
      </c>
      <c r="H66" s="32" t="s">
        <v>167</v>
      </c>
      <c r="J66" s="32" t="s">
        <v>131</v>
      </c>
      <c r="K66" s="32">
        <f>(K65*60)/J9</f>
        <v>23.142857142857142</v>
      </c>
      <c r="L66" s="32" t="s">
        <v>167</v>
      </c>
    </row>
    <row r="67" spans="2:12" x14ac:dyDescent="0.3">
      <c r="B67" s="32" t="s">
        <v>175</v>
      </c>
      <c r="C67" s="67">
        <f>C66*I9</f>
        <v>27.428571428571427</v>
      </c>
      <c r="D67" s="32" t="s">
        <v>167</v>
      </c>
      <c r="F67" s="32" t="s">
        <v>175</v>
      </c>
      <c r="G67" s="32">
        <f>G66*I9</f>
        <v>29.142857142857142</v>
      </c>
      <c r="H67" s="32" t="s">
        <v>167</v>
      </c>
      <c r="J67" s="32" t="s">
        <v>175</v>
      </c>
      <c r="K67" s="32">
        <f>K66*I9</f>
        <v>46.285714285714285</v>
      </c>
      <c r="L67" s="32" t="s">
        <v>167</v>
      </c>
    </row>
    <row r="68" spans="2:12" x14ac:dyDescent="0.3">
      <c r="B68" s="32" t="s">
        <v>176</v>
      </c>
      <c r="C68" s="32">
        <f>C65</f>
        <v>0.8</v>
      </c>
      <c r="D68" s="32" t="s">
        <v>174</v>
      </c>
      <c r="F68" s="32" t="s">
        <v>176</v>
      </c>
      <c r="G68" s="32">
        <f>G65</f>
        <v>0.85</v>
      </c>
      <c r="H68" s="32" t="s">
        <v>174</v>
      </c>
      <c r="J68" s="32" t="s">
        <v>176</v>
      </c>
      <c r="K68" s="32">
        <f>K65</f>
        <v>1.35</v>
      </c>
      <c r="L68" s="32" t="s">
        <v>174</v>
      </c>
    </row>
    <row r="69" spans="2:12" x14ac:dyDescent="0.3">
      <c r="B69" s="32" t="s">
        <v>152</v>
      </c>
      <c r="C69" s="32">
        <f>C67/60</f>
        <v>0.45714285714285713</v>
      </c>
      <c r="D69" s="32" t="s">
        <v>174</v>
      </c>
      <c r="F69" s="32" t="s">
        <v>152</v>
      </c>
      <c r="G69" s="32">
        <f>G67/60</f>
        <v>0.48571428571428571</v>
      </c>
      <c r="H69" s="32" t="s">
        <v>174</v>
      </c>
      <c r="J69" s="32" t="s">
        <v>152</v>
      </c>
      <c r="K69" s="32">
        <f>K67/60</f>
        <v>0.77142857142857146</v>
      </c>
      <c r="L69" s="32" t="s">
        <v>174</v>
      </c>
    </row>
    <row r="70" spans="2:12" x14ac:dyDescent="0.3">
      <c r="B70" s="53" t="s">
        <v>153</v>
      </c>
      <c r="C70" s="53">
        <v>30</v>
      </c>
      <c r="D70" s="53" t="s">
        <v>177</v>
      </c>
      <c r="F70" s="53" t="s">
        <v>153</v>
      </c>
      <c r="G70" s="53">
        <v>30</v>
      </c>
      <c r="H70" s="53" t="s">
        <v>177</v>
      </c>
      <c r="J70" s="53" t="s">
        <v>153</v>
      </c>
      <c r="K70" s="53">
        <v>30</v>
      </c>
      <c r="L70" s="53" t="s">
        <v>177</v>
      </c>
    </row>
    <row r="71" spans="2:12" x14ac:dyDescent="0.3">
      <c r="B71" s="53" t="s">
        <v>155</v>
      </c>
      <c r="C71" s="53">
        <v>10</v>
      </c>
      <c r="D71" s="53" t="s">
        <v>177</v>
      </c>
      <c r="F71" s="53" t="s">
        <v>155</v>
      </c>
      <c r="G71" s="53">
        <v>10</v>
      </c>
      <c r="H71" s="53" t="s">
        <v>177</v>
      </c>
      <c r="J71" s="53" t="s">
        <v>155</v>
      </c>
      <c r="K71" s="53">
        <v>10</v>
      </c>
      <c r="L71" s="53" t="s">
        <v>177</v>
      </c>
    </row>
    <row r="72" spans="2:12" x14ac:dyDescent="0.3">
      <c r="B72" s="55" t="s">
        <v>154</v>
      </c>
      <c r="C72" s="56">
        <f>C69</f>
        <v>0.45714285714285713</v>
      </c>
      <c r="D72" s="55" t="s">
        <v>174</v>
      </c>
      <c r="E72" s="56"/>
      <c r="F72" s="55" t="s">
        <v>154</v>
      </c>
      <c r="G72" s="56">
        <f>G69</f>
        <v>0.48571428571428571</v>
      </c>
      <c r="H72" s="55" t="s">
        <v>174</v>
      </c>
      <c r="I72" s="56"/>
      <c r="J72" s="55" t="s">
        <v>154</v>
      </c>
      <c r="K72" s="56">
        <f>K69</f>
        <v>0.77142857142857146</v>
      </c>
      <c r="L72" s="55" t="s">
        <v>174</v>
      </c>
    </row>
    <row r="73" spans="2:12" x14ac:dyDescent="0.3">
      <c r="B73" s="54" t="s">
        <v>173</v>
      </c>
      <c r="C73" s="72">
        <f>ROUNDUP(((C68-C69)*C70)+(C72*C71),0)</f>
        <v>15</v>
      </c>
      <c r="D73" s="54" t="s">
        <v>134</v>
      </c>
      <c r="F73" s="54" t="s">
        <v>173</v>
      </c>
      <c r="G73" s="72">
        <f>ROUNDUP(((G68-G69)*G70)+(G72*G71),0)</f>
        <v>16</v>
      </c>
      <c r="H73" s="54" t="s">
        <v>134</v>
      </c>
      <c r="J73" s="54" t="s">
        <v>173</v>
      </c>
      <c r="K73" s="72">
        <f>ROUNDUP(((K68-K69)*K70)+(K72*K71),0)</f>
        <v>26</v>
      </c>
      <c r="L73" s="54" t="s">
        <v>134</v>
      </c>
    </row>
    <row r="76" spans="2:12" x14ac:dyDescent="0.3">
      <c r="B76" t="s">
        <v>545</v>
      </c>
    </row>
    <row r="78" spans="2:12" x14ac:dyDescent="0.3">
      <c r="B78" s="32" t="s">
        <v>176</v>
      </c>
    </row>
    <row r="79" spans="2:12" x14ac:dyDescent="0.3">
      <c r="B79" t="s">
        <v>544</v>
      </c>
    </row>
    <row r="81" spans="1:6" x14ac:dyDescent="0.3">
      <c r="A81" s="56"/>
      <c r="B81" s="56"/>
      <c r="C81" s="56"/>
      <c r="D81" s="56"/>
      <c r="E81" s="56"/>
      <c r="F81" s="56"/>
    </row>
    <row r="82" spans="1:6" x14ac:dyDescent="0.3">
      <c r="A82" s="56"/>
      <c r="B82" s="183" t="s">
        <v>168</v>
      </c>
      <c r="C82" s="183"/>
      <c r="D82" s="183" t="s">
        <v>345</v>
      </c>
      <c r="E82" s="183"/>
      <c r="F82" s="56"/>
    </row>
    <row r="83" spans="1:6" x14ac:dyDescent="0.3">
      <c r="A83" s="56"/>
      <c r="B83" s="18" t="s">
        <v>575</v>
      </c>
      <c r="C83" s="18" t="s">
        <v>576</v>
      </c>
      <c r="D83" s="18" t="s">
        <v>575</v>
      </c>
      <c r="E83" s="18" t="s">
        <v>576</v>
      </c>
      <c r="F83" s="56"/>
    </row>
    <row r="84" spans="1:6" x14ac:dyDescent="0.3">
      <c r="A84" s="56"/>
      <c r="B84" s="114" t="s">
        <v>572</v>
      </c>
      <c r="C84" s="17">
        <v>20</v>
      </c>
      <c r="D84" s="114" t="s">
        <v>572</v>
      </c>
      <c r="E84" s="17">
        <v>15</v>
      </c>
      <c r="F84" s="56"/>
    </row>
    <row r="85" spans="1:6" x14ac:dyDescent="0.3">
      <c r="A85" s="56"/>
      <c r="B85" s="114" t="s">
        <v>573</v>
      </c>
      <c r="C85" s="17">
        <v>23</v>
      </c>
      <c r="D85" s="114" t="s">
        <v>573</v>
      </c>
      <c r="E85" s="17">
        <v>16</v>
      </c>
      <c r="F85" s="56"/>
    </row>
    <row r="86" spans="1:6" x14ac:dyDescent="0.3">
      <c r="A86" s="56"/>
      <c r="B86" s="114" t="s">
        <v>574</v>
      </c>
      <c r="C86" s="17">
        <v>37</v>
      </c>
      <c r="D86" s="114" t="s">
        <v>574</v>
      </c>
      <c r="E86" s="17">
        <v>26</v>
      </c>
      <c r="F86" s="56"/>
    </row>
    <row r="87" spans="1:6" x14ac:dyDescent="0.3">
      <c r="A87" s="56"/>
      <c r="B87" s="56"/>
      <c r="C87" s="56"/>
      <c r="D87" s="56"/>
      <c r="E87" s="56"/>
      <c r="F87" s="56"/>
    </row>
  </sheetData>
  <mergeCells count="31">
    <mergeCell ref="B82:C82"/>
    <mergeCell ref="D82:E82"/>
    <mergeCell ref="J63:L63"/>
    <mergeCell ref="C42:D42"/>
    <mergeCell ref="B57:C57"/>
    <mergeCell ref="B63:D63"/>
    <mergeCell ref="F63:H63"/>
    <mergeCell ref="B49:B50"/>
    <mergeCell ref="C49:C50"/>
    <mergeCell ref="D49:D50"/>
    <mergeCell ref="C43:D43"/>
    <mergeCell ref="C13:F13"/>
    <mergeCell ref="B3:D3"/>
    <mergeCell ref="B4:D4"/>
    <mergeCell ref="I4:K4"/>
    <mergeCell ref="I5:K5"/>
    <mergeCell ref="B6:E6"/>
    <mergeCell ref="B8:C8"/>
    <mergeCell ref="C9:F9"/>
    <mergeCell ref="C10:F10"/>
    <mergeCell ref="C11:F11"/>
    <mergeCell ref="C12:F12"/>
    <mergeCell ref="I14:L14"/>
    <mergeCell ref="B28:D28"/>
    <mergeCell ref="F28:H28"/>
    <mergeCell ref="J28:L28"/>
    <mergeCell ref="B15:B16"/>
    <mergeCell ref="C15:C16"/>
    <mergeCell ref="D15:D16"/>
    <mergeCell ref="E15:E16"/>
    <mergeCell ref="B23:D2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8D344-0434-479C-9B91-7E61103CF234}">
  <dimension ref="B2:S102"/>
  <sheetViews>
    <sheetView tabSelected="1" topLeftCell="A59" zoomScale="90" zoomScaleNormal="90" workbookViewId="0">
      <selection activeCell="C65" sqref="C65"/>
    </sheetView>
  </sheetViews>
  <sheetFormatPr defaultRowHeight="14.4" x14ac:dyDescent="0.3"/>
  <cols>
    <col min="2" max="2" width="19.109375" customWidth="1"/>
    <col min="3" max="3" width="11.77734375" customWidth="1"/>
    <col min="4" max="4" width="10.21875" customWidth="1"/>
    <col min="9" max="9" width="14.44140625" customWidth="1"/>
    <col min="10" max="10" width="14.88671875" customWidth="1"/>
    <col min="15" max="15" width="13.88671875" customWidth="1"/>
    <col min="16" max="16" width="13" customWidth="1"/>
    <col min="17" max="17" width="13.21875" customWidth="1"/>
    <col min="18" max="18" width="14.33203125" customWidth="1"/>
    <col min="20" max="20" width="15.44140625" bestFit="1" customWidth="1"/>
    <col min="21" max="21" width="13.6640625" bestFit="1" customWidth="1"/>
    <col min="22" max="22" width="12.5546875" customWidth="1"/>
    <col min="23" max="23" width="11.44140625" customWidth="1"/>
  </cols>
  <sheetData>
    <row r="2" spans="2:18" x14ac:dyDescent="0.3">
      <c r="B2" s="193" t="s">
        <v>189</v>
      </c>
      <c r="C2" s="202"/>
      <c r="D2" s="194"/>
    </row>
    <row r="3" spans="2:18" x14ac:dyDescent="0.3">
      <c r="L3" s="51" t="s">
        <v>150</v>
      </c>
      <c r="M3" s="27"/>
      <c r="N3" s="27"/>
    </row>
    <row r="4" spans="2:18" x14ac:dyDescent="0.3">
      <c r="B4" s="1" t="s">
        <v>182</v>
      </c>
      <c r="C4" s="1">
        <f>'Kebutuhan Air Bersih'!C4</f>
        <v>625</v>
      </c>
      <c r="D4" s="1" t="s">
        <v>190</v>
      </c>
      <c r="L4" s="181" t="s">
        <v>149</v>
      </c>
      <c r="M4" s="181"/>
      <c r="N4" s="181"/>
    </row>
    <row r="5" spans="2:18" x14ac:dyDescent="0.3">
      <c r="B5" s="46" t="s">
        <v>184</v>
      </c>
      <c r="C5" s="1">
        <f>'Kebutuhan Air Bersih'!C24</f>
        <v>970</v>
      </c>
      <c r="D5" s="1" t="s">
        <v>190</v>
      </c>
      <c r="L5" s="181" t="s">
        <v>169</v>
      </c>
      <c r="M5" s="181"/>
      <c r="N5" s="181"/>
    </row>
    <row r="6" spans="2:18" x14ac:dyDescent="0.3">
      <c r="B6" s="1" t="s">
        <v>185</v>
      </c>
      <c r="C6" s="1">
        <f>'Kebutuhan Air Bersih'!C46</f>
        <v>1230</v>
      </c>
      <c r="D6" s="1" t="s">
        <v>190</v>
      </c>
    </row>
    <row r="7" spans="2:18" x14ac:dyDescent="0.3">
      <c r="B7" s="46" t="s">
        <v>186</v>
      </c>
      <c r="C7" s="1">
        <f>'Kebutuhan Air Bersih'!C67</f>
        <v>1250</v>
      </c>
      <c r="D7" s="1" t="s">
        <v>190</v>
      </c>
    </row>
    <row r="8" spans="2:18" x14ac:dyDescent="0.3">
      <c r="B8" s="1" t="s">
        <v>187</v>
      </c>
      <c r="C8" s="1">
        <f>'Kebutuhan Air Bersih'!C89</f>
        <v>115</v>
      </c>
      <c r="D8" s="1" t="s">
        <v>190</v>
      </c>
    </row>
    <row r="9" spans="2:18" x14ac:dyDescent="0.3">
      <c r="B9" s="46" t="s">
        <v>188</v>
      </c>
      <c r="C9" s="1">
        <f>'Kebutuhan Air Bersih'!C109</f>
        <v>65</v>
      </c>
      <c r="D9" s="1" t="s">
        <v>190</v>
      </c>
      <c r="E9" s="49"/>
    </row>
    <row r="12" spans="2:18" x14ac:dyDescent="0.3">
      <c r="B12" s="33" t="s">
        <v>347</v>
      </c>
      <c r="C12" s="33"/>
      <c r="D12" s="33"/>
    </row>
    <row r="13" spans="2:18" x14ac:dyDescent="0.3">
      <c r="B13" s="33"/>
      <c r="C13" s="33"/>
      <c r="D13" s="33"/>
    </row>
    <row r="14" spans="2:18" x14ac:dyDescent="0.3">
      <c r="B14" s="33" t="s">
        <v>302</v>
      </c>
      <c r="I14" s="33" t="s">
        <v>303</v>
      </c>
      <c r="P14" s="33" t="s">
        <v>304</v>
      </c>
    </row>
    <row r="16" spans="2:18" x14ac:dyDescent="0.3">
      <c r="B16" s="11" t="s">
        <v>239</v>
      </c>
      <c r="C16" s="11">
        <f>'Volume RT'!E18+'Volume RT'!E22</f>
        <v>1035</v>
      </c>
      <c r="D16" s="11" t="s">
        <v>236</v>
      </c>
      <c r="I16" s="11" t="s">
        <v>239</v>
      </c>
      <c r="J16" s="11">
        <f>'Volume RT'!E19</f>
        <v>1230</v>
      </c>
      <c r="K16" s="11" t="s">
        <v>236</v>
      </c>
      <c r="P16" s="11" t="s">
        <v>239</v>
      </c>
      <c r="Q16" s="11">
        <f>'Volume GWT'!E17+'Volume GWT'!E20+'Volume GWT'!E21</f>
        <v>1990</v>
      </c>
      <c r="R16" s="11" t="s">
        <v>236</v>
      </c>
    </row>
    <row r="17" spans="2:19" x14ac:dyDescent="0.3">
      <c r="B17" s="11"/>
      <c r="C17" s="11">
        <f>(C16/1000)/60</f>
        <v>1.7249999999999998E-2</v>
      </c>
      <c r="D17" s="11" t="s">
        <v>194</v>
      </c>
      <c r="I17" s="11"/>
      <c r="J17" s="11">
        <f>(J16/1000)/60</f>
        <v>2.0500000000000001E-2</v>
      </c>
      <c r="K17" s="11" t="s">
        <v>194</v>
      </c>
      <c r="P17" s="11"/>
      <c r="Q17" s="11">
        <f>(Q16/1000)/60</f>
        <v>3.3166666666666664E-2</v>
      </c>
      <c r="R17" s="11" t="s">
        <v>194</v>
      </c>
    </row>
    <row r="18" spans="2:19" x14ac:dyDescent="0.3">
      <c r="B18" s="11" t="s">
        <v>199</v>
      </c>
      <c r="C18" s="11">
        <v>2</v>
      </c>
      <c r="D18" s="11" t="s">
        <v>198</v>
      </c>
      <c r="I18" s="11" t="s">
        <v>199</v>
      </c>
      <c r="J18" s="11">
        <v>2</v>
      </c>
      <c r="K18" s="11" t="s">
        <v>198</v>
      </c>
      <c r="P18" s="11" t="s">
        <v>199</v>
      </c>
      <c r="Q18" s="11">
        <v>2</v>
      </c>
      <c r="R18" s="11" t="s">
        <v>198</v>
      </c>
    </row>
    <row r="19" spans="2:19" x14ac:dyDescent="0.3">
      <c r="B19" s="11" t="s">
        <v>126</v>
      </c>
      <c r="C19" s="11">
        <f>SQRT((C17*4)/(C18*3.14))</f>
        <v>0.10482013712305863</v>
      </c>
      <c r="D19" s="11" t="s">
        <v>196</v>
      </c>
      <c r="I19" s="11" t="s">
        <v>126</v>
      </c>
      <c r="J19" s="11">
        <f>SQRT((J17*4)/(J18*3.14))</f>
        <v>0.11426865204755123</v>
      </c>
      <c r="K19" s="11" t="s">
        <v>196</v>
      </c>
      <c r="P19" s="11" t="s">
        <v>126</v>
      </c>
      <c r="Q19" s="11">
        <f>SQRT((Q17*4)/(Q18*3.14))</f>
        <v>0.14534533151354162</v>
      </c>
      <c r="R19" s="11" t="s">
        <v>196</v>
      </c>
    </row>
    <row r="20" spans="2:19" x14ac:dyDescent="0.3">
      <c r="B20" s="11"/>
      <c r="C20" s="11">
        <f>C19*1000</f>
        <v>104.82013712305863</v>
      </c>
      <c r="D20" s="11" t="s">
        <v>197</v>
      </c>
      <c r="I20" s="11"/>
      <c r="J20" s="11">
        <f>J19*1000</f>
        <v>114.26865204755123</v>
      </c>
      <c r="K20" s="11" t="s">
        <v>197</v>
      </c>
      <c r="P20" s="11"/>
      <c r="Q20" s="11">
        <f>Q19*1000</f>
        <v>145.34533151354162</v>
      </c>
      <c r="R20" s="11" t="s">
        <v>197</v>
      </c>
    </row>
    <row r="21" spans="2:19" x14ac:dyDescent="0.3">
      <c r="B21" s="11" t="s">
        <v>235</v>
      </c>
      <c r="C21" s="11">
        <v>150</v>
      </c>
      <c r="D21" s="11" t="s">
        <v>197</v>
      </c>
      <c r="I21" s="11" t="s">
        <v>235</v>
      </c>
      <c r="J21" s="11">
        <v>150</v>
      </c>
      <c r="K21" s="11" t="s">
        <v>197</v>
      </c>
      <c r="P21" s="11" t="s">
        <v>235</v>
      </c>
      <c r="Q21" s="11">
        <v>150</v>
      </c>
      <c r="R21" s="11" t="s">
        <v>197</v>
      </c>
    </row>
    <row r="22" spans="2:19" x14ac:dyDescent="0.3">
      <c r="B22" s="11" t="s">
        <v>234</v>
      </c>
      <c r="C22" s="11">
        <v>160</v>
      </c>
      <c r="D22" s="11" t="s">
        <v>197</v>
      </c>
      <c r="I22" s="11" t="s">
        <v>234</v>
      </c>
      <c r="J22" s="11">
        <v>160</v>
      </c>
      <c r="K22" s="11" t="s">
        <v>197</v>
      </c>
      <c r="P22" s="11" t="s">
        <v>234</v>
      </c>
      <c r="Q22" s="11">
        <v>160</v>
      </c>
      <c r="R22" s="11" t="s">
        <v>197</v>
      </c>
    </row>
    <row r="23" spans="2:19" ht="15" customHeight="1" x14ac:dyDescent="0.3"/>
    <row r="24" spans="2:19" x14ac:dyDescent="0.3">
      <c r="B24" s="199" t="s">
        <v>242</v>
      </c>
      <c r="C24" s="199"/>
      <c r="D24" s="199"/>
      <c r="E24" s="199"/>
      <c r="I24" s="199" t="s">
        <v>242</v>
      </c>
      <c r="J24" s="199"/>
      <c r="K24" s="199"/>
      <c r="L24" s="199"/>
      <c r="P24" s="199" t="s">
        <v>242</v>
      </c>
      <c r="Q24" s="199"/>
      <c r="R24" s="199"/>
      <c r="S24" s="199"/>
    </row>
    <row r="25" spans="2:19" x14ac:dyDescent="0.3">
      <c r="B25" s="176" t="s">
        <v>243</v>
      </c>
      <c r="C25" s="176"/>
      <c r="D25" s="176"/>
      <c r="E25" s="176"/>
      <c r="I25" s="176" t="s">
        <v>243</v>
      </c>
      <c r="J25" s="176"/>
      <c r="K25" s="176"/>
      <c r="L25" s="176"/>
      <c r="P25" s="176" t="s">
        <v>243</v>
      </c>
      <c r="Q25" s="176"/>
      <c r="R25" s="176"/>
      <c r="S25" s="176"/>
    </row>
    <row r="26" spans="2:19" x14ac:dyDescent="0.3">
      <c r="B26" s="11" t="s">
        <v>239</v>
      </c>
      <c r="C26" s="151">
        <f>C17</f>
        <v>1.7249999999999998E-2</v>
      </c>
      <c r="D26" s="151"/>
      <c r="E26" s="11" t="s">
        <v>194</v>
      </c>
      <c r="I26" s="11" t="s">
        <v>239</v>
      </c>
      <c r="J26" s="151">
        <f>J17</f>
        <v>2.0500000000000001E-2</v>
      </c>
      <c r="K26" s="151"/>
      <c r="L26" s="11" t="s">
        <v>194</v>
      </c>
      <c r="P26" s="11" t="s">
        <v>239</v>
      </c>
      <c r="Q26" s="151">
        <f>Q17</f>
        <v>3.3166666666666664E-2</v>
      </c>
      <c r="R26" s="151"/>
      <c r="S26" s="11" t="s">
        <v>194</v>
      </c>
    </row>
    <row r="27" spans="2:19" x14ac:dyDescent="0.3">
      <c r="B27" s="11" t="s">
        <v>125</v>
      </c>
      <c r="C27" s="151">
        <v>150</v>
      </c>
      <c r="D27" s="151"/>
      <c r="E27" s="11"/>
      <c r="I27" s="11" t="s">
        <v>125</v>
      </c>
      <c r="J27" s="151">
        <v>150</v>
      </c>
      <c r="K27" s="151"/>
      <c r="L27" s="11"/>
      <c r="P27" s="11" t="s">
        <v>125</v>
      </c>
      <c r="Q27" s="151">
        <v>150</v>
      </c>
      <c r="R27" s="151"/>
      <c r="S27" s="11"/>
    </row>
    <row r="28" spans="2:19" x14ac:dyDescent="0.3">
      <c r="B28" s="11" t="s">
        <v>126</v>
      </c>
      <c r="C28" s="151">
        <f>C19</f>
        <v>0.10482013712305863</v>
      </c>
      <c r="D28" s="151"/>
      <c r="E28" s="11" t="s">
        <v>196</v>
      </c>
      <c r="I28" s="11" t="s">
        <v>126</v>
      </c>
      <c r="J28" s="151">
        <f>J19</f>
        <v>0.11426865204755123</v>
      </c>
      <c r="K28" s="151"/>
      <c r="L28" s="11" t="s">
        <v>196</v>
      </c>
      <c r="P28" s="11" t="s">
        <v>126</v>
      </c>
      <c r="Q28" s="151">
        <f>Q19</f>
        <v>0.14534533151354162</v>
      </c>
      <c r="R28" s="151"/>
      <c r="S28" s="11" t="s">
        <v>196</v>
      </c>
    </row>
    <row r="29" spans="2:19" x14ac:dyDescent="0.3">
      <c r="B29" s="11" t="s">
        <v>237</v>
      </c>
      <c r="C29" s="151">
        <f>(98355)/1000</f>
        <v>98.355000000000004</v>
      </c>
      <c r="D29" s="151"/>
      <c r="E29" s="11" t="s">
        <v>196</v>
      </c>
      <c r="I29" s="11" t="s">
        <v>237</v>
      </c>
      <c r="J29" s="151">
        <f>93889/1000</f>
        <v>93.888999999999996</v>
      </c>
      <c r="K29" s="151"/>
      <c r="L29" s="11" t="s">
        <v>196</v>
      </c>
      <c r="P29" s="11" t="s">
        <v>237</v>
      </c>
      <c r="Q29" s="151">
        <f>(132543)/1000</f>
        <v>132.54300000000001</v>
      </c>
      <c r="R29" s="151"/>
      <c r="S29" s="11" t="s">
        <v>196</v>
      </c>
    </row>
    <row r="30" spans="2:19" x14ac:dyDescent="0.3">
      <c r="B30" s="11" t="s">
        <v>240</v>
      </c>
      <c r="C30" s="203">
        <f>(((10.67)*(C26^1.85))/((C27^1.85)*(C28^4.87)))*C29</f>
        <v>3.1892316350611201</v>
      </c>
      <c r="D30" s="203"/>
      <c r="E30" s="11" t="s">
        <v>196</v>
      </c>
      <c r="I30" s="11" t="s">
        <v>240</v>
      </c>
      <c r="J30" s="203">
        <f>(((10.67)*(J26^1.85))/((J27^1.85)*(J28^4.87)))*J29</f>
        <v>2.7520096253265103</v>
      </c>
      <c r="K30" s="203"/>
      <c r="L30" s="11" t="s">
        <v>196</v>
      </c>
      <c r="P30" s="11" t="s">
        <v>240</v>
      </c>
      <c r="Q30" s="203">
        <f>(((10.67)*(Q26^1.85))/((Q27^1.85)*(Q28^4.87)))*Q29</f>
        <v>2.9319561571721211</v>
      </c>
      <c r="R30" s="203"/>
      <c r="S30" s="11" t="s">
        <v>196</v>
      </c>
    </row>
    <row r="31" spans="2:19" x14ac:dyDescent="0.3">
      <c r="B31" s="151" t="s">
        <v>244</v>
      </c>
      <c r="C31" s="151"/>
      <c r="D31" s="151"/>
      <c r="E31" s="151"/>
      <c r="I31" s="151" t="s">
        <v>244</v>
      </c>
      <c r="J31" s="151"/>
      <c r="K31" s="151"/>
      <c r="L31" s="151"/>
      <c r="P31" s="151" t="s">
        <v>244</v>
      </c>
      <c r="Q31" s="151"/>
      <c r="R31" s="151"/>
      <c r="S31" s="151"/>
    </row>
    <row r="32" spans="2:19" x14ac:dyDescent="0.3">
      <c r="B32" s="11" t="s">
        <v>245</v>
      </c>
      <c r="C32" s="11" t="s">
        <v>246</v>
      </c>
      <c r="D32" s="11" t="s">
        <v>247</v>
      </c>
      <c r="E32" s="11" t="s">
        <v>248</v>
      </c>
      <c r="I32" s="11" t="s">
        <v>245</v>
      </c>
      <c r="J32" s="11" t="s">
        <v>246</v>
      </c>
      <c r="K32" s="11" t="s">
        <v>247</v>
      </c>
      <c r="L32" s="11" t="s">
        <v>248</v>
      </c>
      <c r="P32" s="11" t="s">
        <v>245</v>
      </c>
      <c r="Q32" s="11" t="s">
        <v>246</v>
      </c>
      <c r="R32" s="11" t="s">
        <v>247</v>
      </c>
      <c r="S32" s="11" t="s">
        <v>248</v>
      </c>
    </row>
    <row r="33" spans="2:19" x14ac:dyDescent="0.3">
      <c r="B33" s="51" t="s">
        <v>249</v>
      </c>
      <c r="C33" s="11">
        <v>7</v>
      </c>
      <c r="D33" s="11">
        <v>0.7</v>
      </c>
      <c r="E33" s="11">
        <f>C33*D33</f>
        <v>4.8999999999999995</v>
      </c>
      <c r="I33" s="51" t="s">
        <v>249</v>
      </c>
      <c r="J33" s="11">
        <v>7</v>
      </c>
      <c r="K33" s="11">
        <v>0.7</v>
      </c>
      <c r="L33" s="11">
        <f t="shared" ref="L33:L38" si="0">J33*K33</f>
        <v>4.8999999999999995</v>
      </c>
      <c r="P33" s="51" t="s">
        <v>249</v>
      </c>
      <c r="Q33" s="11">
        <v>7</v>
      </c>
      <c r="R33" s="11">
        <v>0.7</v>
      </c>
      <c r="S33" s="11">
        <f t="shared" ref="S33:S38" si="1">Q33*R33</f>
        <v>4.8999999999999995</v>
      </c>
    </row>
    <row r="34" spans="2:19" x14ac:dyDescent="0.3">
      <c r="B34" s="51" t="s">
        <v>259</v>
      </c>
      <c r="C34" s="11">
        <v>1</v>
      </c>
      <c r="D34" s="11">
        <v>0.2</v>
      </c>
      <c r="E34" s="11">
        <f>C34*D34</f>
        <v>0.2</v>
      </c>
      <c r="I34" s="51" t="s">
        <v>259</v>
      </c>
      <c r="J34" s="11">
        <v>1</v>
      </c>
      <c r="K34" s="11">
        <v>0.2</v>
      </c>
      <c r="L34" s="11">
        <f t="shared" si="0"/>
        <v>0.2</v>
      </c>
      <c r="P34" s="51" t="s">
        <v>259</v>
      </c>
      <c r="Q34" s="11">
        <v>1</v>
      </c>
      <c r="R34" s="11">
        <v>0.2</v>
      </c>
      <c r="S34" s="11">
        <f t="shared" si="1"/>
        <v>0.2</v>
      </c>
    </row>
    <row r="35" spans="2:19" x14ac:dyDescent="0.3">
      <c r="B35" s="32" t="s">
        <v>260</v>
      </c>
      <c r="C35" s="11">
        <v>4</v>
      </c>
      <c r="D35" s="11">
        <v>0.15</v>
      </c>
      <c r="E35" s="11">
        <f>C35*D35</f>
        <v>0.6</v>
      </c>
      <c r="I35" s="32" t="s">
        <v>260</v>
      </c>
      <c r="J35" s="11">
        <v>4</v>
      </c>
      <c r="K35" s="11">
        <v>0.15</v>
      </c>
      <c r="L35" s="11">
        <f t="shared" si="0"/>
        <v>0.6</v>
      </c>
      <c r="P35" s="32" t="s">
        <v>260</v>
      </c>
      <c r="Q35" s="11">
        <v>4</v>
      </c>
      <c r="R35" s="11">
        <v>0.15</v>
      </c>
      <c r="S35" s="11">
        <f t="shared" si="1"/>
        <v>0.6</v>
      </c>
    </row>
    <row r="36" spans="2:19" x14ac:dyDescent="0.3">
      <c r="B36" s="32" t="s">
        <v>261</v>
      </c>
      <c r="C36" s="11">
        <v>2</v>
      </c>
      <c r="D36" s="11">
        <v>0.04</v>
      </c>
      <c r="E36" s="11">
        <f t="shared" ref="E36:E38" si="2">C36*D36</f>
        <v>0.08</v>
      </c>
      <c r="I36" s="32" t="s">
        <v>261</v>
      </c>
      <c r="J36" s="11">
        <v>2</v>
      </c>
      <c r="K36" s="11">
        <v>0.04</v>
      </c>
      <c r="L36" s="11">
        <f t="shared" si="0"/>
        <v>0.08</v>
      </c>
      <c r="P36" s="32" t="s">
        <v>261</v>
      </c>
      <c r="Q36" s="11">
        <v>2</v>
      </c>
      <c r="R36" s="11">
        <v>0.04</v>
      </c>
      <c r="S36" s="11">
        <f t="shared" si="1"/>
        <v>0.08</v>
      </c>
    </row>
    <row r="37" spans="2:19" x14ac:dyDescent="0.3">
      <c r="B37" s="32" t="s">
        <v>263</v>
      </c>
      <c r="C37" s="11">
        <v>1</v>
      </c>
      <c r="D37" s="11">
        <v>1</v>
      </c>
      <c r="E37" s="11">
        <f t="shared" si="2"/>
        <v>1</v>
      </c>
      <c r="I37" s="32" t="s">
        <v>263</v>
      </c>
      <c r="J37" s="11">
        <v>1</v>
      </c>
      <c r="K37" s="11">
        <v>1</v>
      </c>
      <c r="L37" s="11">
        <f t="shared" si="0"/>
        <v>1</v>
      </c>
      <c r="P37" s="32" t="s">
        <v>263</v>
      </c>
      <c r="Q37" s="11">
        <v>1</v>
      </c>
      <c r="R37" s="11">
        <v>1</v>
      </c>
      <c r="S37" s="11">
        <f t="shared" si="1"/>
        <v>1</v>
      </c>
    </row>
    <row r="38" spans="2:19" x14ac:dyDescent="0.3">
      <c r="B38" s="32" t="s">
        <v>262</v>
      </c>
      <c r="C38" s="11">
        <v>1</v>
      </c>
      <c r="D38" s="11">
        <v>2.6</v>
      </c>
      <c r="E38" s="11">
        <f t="shared" si="2"/>
        <v>2.6</v>
      </c>
      <c r="I38" s="32" t="s">
        <v>262</v>
      </c>
      <c r="J38" s="11">
        <v>1</v>
      </c>
      <c r="K38" s="11">
        <v>2.6</v>
      </c>
      <c r="L38" s="11">
        <f t="shared" si="0"/>
        <v>2.6</v>
      </c>
      <c r="P38" s="32" t="s">
        <v>262</v>
      </c>
      <c r="Q38" s="11">
        <v>1</v>
      </c>
      <c r="R38" s="11">
        <v>2.6</v>
      </c>
      <c r="S38" s="11">
        <f t="shared" si="1"/>
        <v>2.6</v>
      </c>
    </row>
    <row r="39" spans="2:19" x14ac:dyDescent="0.3">
      <c r="B39" s="151" t="s">
        <v>250</v>
      </c>
      <c r="C39" s="151"/>
      <c r="D39" s="151"/>
      <c r="E39" s="11">
        <f>SUM(E33:E38)</f>
        <v>9.379999999999999</v>
      </c>
      <c r="I39" s="151" t="s">
        <v>250</v>
      </c>
      <c r="J39" s="151"/>
      <c r="K39" s="151"/>
      <c r="L39" s="11">
        <f>SUM(L33:L38)</f>
        <v>9.379999999999999</v>
      </c>
      <c r="P39" s="151" t="s">
        <v>250</v>
      </c>
      <c r="Q39" s="151"/>
      <c r="R39" s="151"/>
      <c r="S39" s="11">
        <f>SUM(S33:S38)</f>
        <v>9.379999999999999</v>
      </c>
    </row>
    <row r="40" spans="2:19" x14ac:dyDescent="0.3">
      <c r="B40" s="151"/>
      <c r="C40" s="151"/>
      <c r="D40" s="151"/>
      <c r="E40" s="151"/>
      <c r="I40" s="151"/>
      <c r="J40" s="151"/>
      <c r="K40" s="151"/>
      <c r="L40" s="151"/>
      <c r="P40" s="151"/>
      <c r="Q40" s="151"/>
      <c r="R40" s="151"/>
      <c r="S40" s="151"/>
    </row>
    <row r="41" spans="2:19" x14ac:dyDescent="0.3">
      <c r="B41" s="11" t="s">
        <v>199</v>
      </c>
      <c r="C41" s="176">
        <f>C18</f>
        <v>2</v>
      </c>
      <c r="D41" s="176"/>
      <c r="E41" s="11" t="s">
        <v>198</v>
      </c>
      <c r="I41" s="11" t="s">
        <v>199</v>
      </c>
      <c r="J41" s="176">
        <f>J18</f>
        <v>2</v>
      </c>
      <c r="K41" s="176"/>
      <c r="L41" s="11" t="s">
        <v>198</v>
      </c>
      <c r="P41" s="11" t="s">
        <v>199</v>
      </c>
      <c r="Q41" s="176">
        <f>Q18</f>
        <v>2</v>
      </c>
      <c r="R41" s="176"/>
      <c r="S41" s="11" t="s">
        <v>198</v>
      </c>
    </row>
    <row r="42" spans="2:19" x14ac:dyDescent="0.3">
      <c r="B42" s="11" t="s">
        <v>251</v>
      </c>
      <c r="C42" s="176">
        <f>C41^2</f>
        <v>4</v>
      </c>
      <c r="D42" s="176"/>
      <c r="E42" s="11" t="s">
        <v>252</v>
      </c>
      <c r="I42" s="11" t="s">
        <v>251</v>
      </c>
      <c r="J42" s="176">
        <f>J41^2</f>
        <v>4</v>
      </c>
      <c r="K42" s="176"/>
      <c r="L42" s="11" t="s">
        <v>252</v>
      </c>
      <c r="P42" s="11" t="s">
        <v>251</v>
      </c>
      <c r="Q42" s="176">
        <f>Q41^2</f>
        <v>4</v>
      </c>
      <c r="R42" s="176"/>
      <c r="S42" s="11" t="s">
        <v>252</v>
      </c>
    </row>
    <row r="43" spans="2:19" x14ac:dyDescent="0.3">
      <c r="B43" s="11" t="s">
        <v>253</v>
      </c>
      <c r="C43" s="176">
        <v>9.81</v>
      </c>
      <c r="D43" s="176"/>
      <c r="E43" s="11" t="s">
        <v>254</v>
      </c>
      <c r="I43" s="11" t="s">
        <v>253</v>
      </c>
      <c r="J43" s="176">
        <v>9.81</v>
      </c>
      <c r="K43" s="176"/>
      <c r="L43" s="11" t="s">
        <v>254</v>
      </c>
      <c r="P43" s="11" t="s">
        <v>253</v>
      </c>
      <c r="Q43" s="176">
        <v>9.81</v>
      </c>
      <c r="R43" s="176"/>
      <c r="S43" s="11" t="s">
        <v>254</v>
      </c>
    </row>
    <row r="44" spans="2:19" x14ac:dyDescent="0.3">
      <c r="B44" s="11" t="s">
        <v>255</v>
      </c>
      <c r="C44" s="151">
        <f>2*C43</f>
        <v>19.62</v>
      </c>
      <c r="D44" s="151"/>
      <c r="E44" s="11" t="s">
        <v>254</v>
      </c>
      <c r="I44" s="11" t="s">
        <v>255</v>
      </c>
      <c r="J44" s="151">
        <f>2*J43</f>
        <v>19.62</v>
      </c>
      <c r="K44" s="151"/>
      <c r="L44" s="11" t="s">
        <v>254</v>
      </c>
      <c r="P44" s="11" t="s">
        <v>255</v>
      </c>
      <c r="Q44" s="151">
        <f>2*Q43</f>
        <v>19.62</v>
      </c>
      <c r="R44" s="151"/>
      <c r="S44" s="11" t="s">
        <v>254</v>
      </c>
    </row>
    <row r="45" spans="2:19" x14ac:dyDescent="0.3">
      <c r="B45" s="11" t="s">
        <v>240</v>
      </c>
      <c r="C45" s="198">
        <f>(E39)*(C42/C44)</f>
        <v>1.9123343527013248</v>
      </c>
      <c r="D45" s="198"/>
      <c r="E45" s="11" t="s">
        <v>196</v>
      </c>
      <c r="I45" s="11" t="s">
        <v>240</v>
      </c>
      <c r="J45" s="198">
        <f>(L39)*(J42/J44)</f>
        <v>1.9123343527013248</v>
      </c>
      <c r="K45" s="198"/>
      <c r="L45" s="11" t="s">
        <v>196</v>
      </c>
      <c r="P45" s="11" t="s">
        <v>240</v>
      </c>
      <c r="Q45" s="198">
        <f>(S39)*(Q42/Q44)</f>
        <v>1.9123343527013248</v>
      </c>
      <c r="R45" s="198"/>
      <c r="S45" s="11" t="s">
        <v>196</v>
      </c>
    </row>
    <row r="46" spans="2:19" x14ac:dyDescent="0.3">
      <c r="B46" s="199" t="s">
        <v>256</v>
      </c>
      <c r="C46" s="199"/>
      <c r="D46" s="199"/>
      <c r="E46" s="199"/>
      <c r="I46" s="199" t="s">
        <v>256</v>
      </c>
      <c r="J46" s="199"/>
      <c r="K46" s="199"/>
      <c r="L46" s="199"/>
      <c r="P46" s="199" t="s">
        <v>256</v>
      </c>
      <c r="Q46" s="199"/>
      <c r="R46" s="199"/>
      <c r="S46" s="199"/>
    </row>
    <row r="47" spans="2:19" x14ac:dyDescent="0.3">
      <c r="B47" s="151" t="s">
        <v>257</v>
      </c>
      <c r="C47" s="151"/>
      <c r="D47" s="11">
        <f>((55240)/1000)-((891*2)/1000)</f>
        <v>53.457999999999998</v>
      </c>
      <c r="E47" s="11" t="s">
        <v>196</v>
      </c>
      <c r="I47" s="151" t="s">
        <v>257</v>
      </c>
      <c r="J47" s="151"/>
      <c r="K47" s="11">
        <f>((55888)-(891*2))/1000</f>
        <v>54.106000000000002</v>
      </c>
      <c r="L47" s="11" t="s">
        <v>196</v>
      </c>
      <c r="P47" s="151" t="s">
        <v>257</v>
      </c>
      <c r="Q47" s="151"/>
      <c r="R47" s="11">
        <f>((56503)-(2*891))/1000</f>
        <v>54.720999999999997</v>
      </c>
      <c r="S47" s="11" t="s">
        <v>196</v>
      </c>
    </row>
    <row r="48" spans="2:19" x14ac:dyDescent="0.3">
      <c r="B48" s="201" t="s">
        <v>258</v>
      </c>
      <c r="C48" s="201"/>
      <c r="D48" s="201"/>
      <c r="E48" s="201"/>
      <c r="I48" s="201" t="s">
        <v>258</v>
      </c>
      <c r="J48" s="201"/>
      <c r="K48" s="201"/>
      <c r="L48" s="201"/>
      <c r="P48" s="201" t="s">
        <v>258</v>
      </c>
      <c r="Q48" s="201"/>
      <c r="R48" s="201"/>
      <c r="S48" s="201"/>
    </row>
    <row r="49" spans="2:19" x14ac:dyDescent="0.3">
      <c r="B49" s="11" t="s">
        <v>199</v>
      </c>
      <c r="C49" s="11">
        <f>C41</f>
        <v>2</v>
      </c>
      <c r="D49" s="151" t="s">
        <v>198</v>
      </c>
      <c r="E49" s="151"/>
      <c r="I49" s="11" t="s">
        <v>199</v>
      </c>
      <c r="J49" s="11">
        <f>J41</f>
        <v>2</v>
      </c>
      <c r="K49" s="151" t="s">
        <v>198</v>
      </c>
      <c r="L49" s="151"/>
      <c r="P49" s="11" t="s">
        <v>199</v>
      </c>
      <c r="Q49" s="11">
        <f>Q41</f>
        <v>2</v>
      </c>
      <c r="R49" s="151" t="s">
        <v>198</v>
      </c>
      <c r="S49" s="151"/>
    </row>
    <row r="50" spans="2:19" x14ac:dyDescent="0.3">
      <c r="B50" s="11" t="s">
        <v>251</v>
      </c>
      <c r="C50" s="11">
        <f>C49^2</f>
        <v>4</v>
      </c>
      <c r="D50" s="151" t="s">
        <v>252</v>
      </c>
      <c r="E50" s="151"/>
      <c r="I50" s="11" t="s">
        <v>251</v>
      </c>
      <c r="J50" s="11">
        <f>J49^2</f>
        <v>4</v>
      </c>
      <c r="K50" s="151" t="s">
        <v>252</v>
      </c>
      <c r="L50" s="151"/>
      <c r="P50" s="11" t="s">
        <v>251</v>
      </c>
      <c r="Q50" s="11">
        <f>Q49^2</f>
        <v>4</v>
      </c>
      <c r="R50" s="151" t="s">
        <v>252</v>
      </c>
      <c r="S50" s="151"/>
    </row>
    <row r="51" spans="2:19" x14ac:dyDescent="0.3">
      <c r="B51" s="11" t="s">
        <v>253</v>
      </c>
      <c r="C51" s="11">
        <v>9.81</v>
      </c>
      <c r="D51" s="151" t="s">
        <v>254</v>
      </c>
      <c r="E51" s="151"/>
      <c r="I51" s="11" t="s">
        <v>253</v>
      </c>
      <c r="J51" s="11">
        <v>9.81</v>
      </c>
      <c r="K51" s="151" t="s">
        <v>254</v>
      </c>
      <c r="L51" s="151"/>
      <c r="P51" s="11" t="s">
        <v>253</v>
      </c>
      <c r="Q51" s="11">
        <v>9.81</v>
      </c>
      <c r="R51" s="151" t="s">
        <v>254</v>
      </c>
      <c r="S51" s="151"/>
    </row>
    <row r="52" spans="2:19" x14ac:dyDescent="0.3">
      <c r="B52" s="200" t="s">
        <v>258</v>
      </c>
      <c r="C52" s="176">
        <f>C50/(2*C51)</f>
        <v>0.2038735983690112</v>
      </c>
      <c r="D52" s="176" t="s">
        <v>196</v>
      </c>
      <c r="E52" s="176"/>
      <c r="I52" s="200" t="s">
        <v>258</v>
      </c>
      <c r="J52" s="176">
        <f>J50/(2*J51)</f>
        <v>0.2038735983690112</v>
      </c>
      <c r="K52" s="176" t="s">
        <v>196</v>
      </c>
      <c r="L52" s="176"/>
      <c r="P52" s="200" t="s">
        <v>258</v>
      </c>
      <c r="Q52" s="176">
        <f>Q50/(2*Q51)</f>
        <v>0.2038735983690112</v>
      </c>
      <c r="R52" s="176" t="s">
        <v>196</v>
      </c>
      <c r="S52" s="176"/>
    </row>
    <row r="53" spans="2:19" x14ac:dyDescent="0.3">
      <c r="B53" s="200"/>
      <c r="C53" s="176"/>
      <c r="D53" s="176"/>
      <c r="E53" s="176"/>
      <c r="I53" s="200"/>
      <c r="J53" s="176"/>
      <c r="K53" s="176"/>
      <c r="L53" s="176"/>
      <c r="P53" s="200"/>
      <c r="Q53" s="176"/>
      <c r="R53" s="176"/>
      <c r="S53" s="176"/>
    </row>
    <row r="55" spans="2:19" x14ac:dyDescent="0.3">
      <c r="B55" s="11" t="s">
        <v>264</v>
      </c>
      <c r="C55" s="57">
        <f>C52+D47+C45+C30</f>
        <v>58.763439586131454</v>
      </c>
      <c r="D55" s="57" t="s">
        <v>196</v>
      </c>
      <c r="E55" s="50"/>
      <c r="F55" s="50"/>
      <c r="G55" s="50"/>
      <c r="H55" s="50"/>
      <c r="I55" s="57" t="s">
        <v>264</v>
      </c>
      <c r="J55" s="57">
        <f>J52+K47+J45+J30</f>
        <v>58.974217576396846</v>
      </c>
      <c r="K55" s="57" t="s">
        <v>196</v>
      </c>
      <c r="L55" s="50"/>
      <c r="M55" s="50"/>
      <c r="N55" s="50"/>
      <c r="O55" s="50"/>
      <c r="P55" s="57" t="s">
        <v>264</v>
      </c>
      <c r="Q55" s="57">
        <f>Q52+R47+Q45+Q30</f>
        <v>59.769164108242457</v>
      </c>
      <c r="R55" s="57" t="s">
        <v>196</v>
      </c>
    </row>
    <row r="56" spans="2:19" x14ac:dyDescent="0.3"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</row>
    <row r="57" spans="2:19" x14ac:dyDescent="0.3"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</row>
    <row r="58" spans="2:19" x14ac:dyDescent="0.3">
      <c r="B58" s="33" t="s">
        <v>348</v>
      </c>
    </row>
    <row r="60" spans="2:19" x14ac:dyDescent="0.3">
      <c r="B60" s="33" t="s">
        <v>302</v>
      </c>
      <c r="I60" s="33" t="s">
        <v>303</v>
      </c>
      <c r="P60" s="33" t="s">
        <v>304</v>
      </c>
    </row>
    <row r="62" spans="2:19" x14ac:dyDescent="0.3">
      <c r="B62" s="11" t="s">
        <v>239</v>
      </c>
      <c r="C62" s="11">
        <f>'Volume RT'!C61</f>
        <v>800</v>
      </c>
      <c r="D62" s="11" t="s">
        <v>236</v>
      </c>
      <c r="I62" s="11" t="s">
        <v>239</v>
      </c>
      <c r="J62" s="11">
        <f>'Volume RT'!D61</f>
        <v>850</v>
      </c>
      <c r="K62" s="11" t="s">
        <v>236</v>
      </c>
      <c r="P62" s="11" t="s">
        <v>239</v>
      </c>
      <c r="Q62" s="11">
        <f>'Volume RT'!K64</f>
        <v>1350</v>
      </c>
      <c r="R62" s="11" t="s">
        <v>236</v>
      </c>
    </row>
    <row r="63" spans="2:19" x14ac:dyDescent="0.3">
      <c r="B63" s="11"/>
      <c r="C63" s="11">
        <f>(C62/1000)/60</f>
        <v>1.3333333333333334E-2</v>
      </c>
      <c r="D63" s="11" t="s">
        <v>194</v>
      </c>
      <c r="I63" s="11"/>
      <c r="J63" s="11">
        <f>(J62/1000)/60</f>
        <v>1.4166666666666666E-2</v>
      </c>
      <c r="K63" s="11" t="s">
        <v>194</v>
      </c>
      <c r="P63" s="11"/>
      <c r="Q63" s="11">
        <f>(Q62/1000)/60</f>
        <v>2.2500000000000003E-2</v>
      </c>
      <c r="R63" s="11" t="s">
        <v>194</v>
      </c>
    </row>
    <row r="64" spans="2:19" x14ac:dyDescent="0.3">
      <c r="B64" s="11" t="s">
        <v>199</v>
      </c>
      <c r="C64" s="11">
        <v>2</v>
      </c>
      <c r="D64" s="11" t="s">
        <v>198</v>
      </c>
      <c r="I64" s="11" t="s">
        <v>199</v>
      </c>
      <c r="J64" s="11">
        <v>2</v>
      </c>
      <c r="K64" s="11" t="s">
        <v>198</v>
      </c>
      <c r="P64" s="11" t="s">
        <v>199</v>
      </c>
      <c r="Q64" s="11">
        <v>2</v>
      </c>
      <c r="R64" s="11" t="s">
        <v>198</v>
      </c>
    </row>
    <row r="65" spans="2:19" x14ac:dyDescent="0.3">
      <c r="B65" s="11" t="s">
        <v>126</v>
      </c>
      <c r="C65" s="11">
        <f>SQRT((C63*4)/(C64*3.14))</f>
        <v>9.2155135516818282E-2</v>
      </c>
      <c r="D65" s="11" t="s">
        <v>196</v>
      </c>
      <c r="I65" s="11" t="s">
        <v>126</v>
      </c>
      <c r="J65" s="11">
        <f>SQRT((J63*4)/(J64*3.14))</f>
        <v>9.4991339419737836E-2</v>
      </c>
      <c r="K65" s="11" t="s">
        <v>196</v>
      </c>
      <c r="P65" s="11" t="s">
        <v>126</v>
      </c>
      <c r="Q65" s="11">
        <f>SQRT((Q63*4)/(Q64*3.14))</f>
        <v>0.11971303267014333</v>
      </c>
      <c r="R65" s="11" t="s">
        <v>196</v>
      </c>
    </row>
    <row r="66" spans="2:19" x14ac:dyDescent="0.3">
      <c r="B66" s="11"/>
      <c r="C66" s="11">
        <f>C65*1000</f>
        <v>92.155135516818277</v>
      </c>
      <c r="D66" s="11" t="s">
        <v>197</v>
      </c>
      <c r="I66" s="11"/>
      <c r="J66" s="11">
        <f>J65*1000</f>
        <v>94.991339419737841</v>
      </c>
      <c r="K66" s="11" t="s">
        <v>197</v>
      </c>
      <c r="P66" s="11"/>
      <c r="Q66" s="11">
        <f>Q65*1000</f>
        <v>119.71303267014332</v>
      </c>
      <c r="R66" s="11" t="s">
        <v>197</v>
      </c>
    </row>
    <row r="67" spans="2:19" x14ac:dyDescent="0.3">
      <c r="B67" s="11" t="s">
        <v>235</v>
      </c>
      <c r="C67" s="11">
        <v>100</v>
      </c>
      <c r="D67" s="11" t="s">
        <v>197</v>
      </c>
      <c r="I67" s="11" t="s">
        <v>235</v>
      </c>
      <c r="J67" s="11">
        <v>100</v>
      </c>
      <c r="K67" s="11" t="s">
        <v>197</v>
      </c>
      <c r="P67" s="11" t="s">
        <v>235</v>
      </c>
      <c r="Q67" s="11">
        <v>150</v>
      </c>
      <c r="R67" s="11" t="s">
        <v>197</v>
      </c>
    </row>
    <row r="68" spans="2:19" x14ac:dyDescent="0.3">
      <c r="B68" s="11" t="s">
        <v>234</v>
      </c>
      <c r="C68" s="11">
        <v>110</v>
      </c>
      <c r="D68" s="11" t="s">
        <v>197</v>
      </c>
      <c r="I68" s="11" t="s">
        <v>234</v>
      </c>
      <c r="J68" s="11">
        <v>110</v>
      </c>
      <c r="K68" s="11" t="s">
        <v>197</v>
      </c>
      <c r="P68" s="11" t="s">
        <v>234</v>
      </c>
      <c r="Q68" s="11">
        <v>160</v>
      </c>
      <c r="R68" s="11" t="s">
        <v>197</v>
      </c>
    </row>
    <row r="70" spans="2:19" x14ac:dyDescent="0.3">
      <c r="B70" s="199" t="s">
        <v>242</v>
      </c>
      <c r="C70" s="199"/>
      <c r="D70" s="199"/>
      <c r="E70" s="199"/>
      <c r="I70" s="199" t="s">
        <v>242</v>
      </c>
      <c r="J70" s="199"/>
      <c r="K70" s="199"/>
      <c r="L70" s="199"/>
      <c r="P70" s="199" t="s">
        <v>242</v>
      </c>
      <c r="Q70" s="199"/>
      <c r="R70" s="199"/>
      <c r="S70" s="199"/>
    </row>
    <row r="71" spans="2:19" x14ac:dyDescent="0.3">
      <c r="B71" s="176" t="s">
        <v>243</v>
      </c>
      <c r="C71" s="176"/>
      <c r="D71" s="176"/>
      <c r="E71" s="176"/>
      <c r="I71" s="176" t="s">
        <v>243</v>
      </c>
      <c r="J71" s="176"/>
      <c r="K71" s="176"/>
      <c r="L71" s="176"/>
      <c r="P71" s="176" t="s">
        <v>243</v>
      </c>
      <c r="Q71" s="176"/>
      <c r="R71" s="176"/>
      <c r="S71" s="176"/>
    </row>
    <row r="72" spans="2:19" x14ac:dyDescent="0.3">
      <c r="B72" s="11" t="s">
        <v>239</v>
      </c>
      <c r="C72" s="151">
        <f>C63</f>
        <v>1.3333333333333334E-2</v>
      </c>
      <c r="D72" s="151"/>
      <c r="E72" s="11" t="s">
        <v>194</v>
      </c>
      <c r="I72" s="11" t="s">
        <v>239</v>
      </c>
      <c r="J72" s="151">
        <f>J63</f>
        <v>1.4166666666666666E-2</v>
      </c>
      <c r="K72" s="151"/>
      <c r="L72" s="11" t="s">
        <v>194</v>
      </c>
      <c r="P72" s="11" t="s">
        <v>239</v>
      </c>
      <c r="Q72" s="151">
        <f>Q63</f>
        <v>2.2500000000000003E-2</v>
      </c>
      <c r="R72" s="151"/>
      <c r="S72" s="11" t="s">
        <v>194</v>
      </c>
    </row>
    <row r="73" spans="2:19" x14ac:dyDescent="0.3">
      <c r="B73" s="11" t="s">
        <v>125</v>
      </c>
      <c r="C73" s="151">
        <v>150</v>
      </c>
      <c r="D73" s="151"/>
      <c r="E73" s="11"/>
      <c r="I73" s="11" t="s">
        <v>125</v>
      </c>
      <c r="J73" s="151">
        <v>150</v>
      </c>
      <c r="K73" s="151"/>
      <c r="L73" s="11"/>
      <c r="P73" s="11" t="s">
        <v>125</v>
      </c>
      <c r="Q73" s="151">
        <v>150</v>
      </c>
      <c r="R73" s="151"/>
      <c r="S73" s="11"/>
    </row>
    <row r="74" spans="2:19" x14ac:dyDescent="0.3">
      <c r="B74" s="11" t="s">
        <v>126</v>
      </c>
      <c r="C74" s="151">
        <f>C65</f>
        <v>9.2155135516818282E-2</v>
      </c>
      <c r="D74" s="151"/>
      <c r="E74" s="11" t="s">
        <v>196</v>
      </c>
      <c r="I74" s="11" t="s">
        <v>126</v>
      </c>
      <c r="J74" s="151">
        <f>J65</f>
        <v>9.4991339419737836E-2</v>
      </c>
      <c r="K74" s="151"/>
      <c r="L74" s="11" t="s">
        <v>196</v>
      </c>
      <c r="P74" s="11" t="s">
        <v>126</v>
      </c>
      <c r="Q74" s="151">
        <f>Q65</f>
        <v>0.11971303267014333</v>
      </c>
      <c r="R74" s="151"/>
      <c r="S74" s="11" t="s">
        <v>196</v>
      </c>
    </row>
    <row r="75" spans="2:19" x14ac:dyDescent="0.3">
      <c r="B75" s="11" t="s">
        <v>237</v>
      </c>
      <c r="C75" s="151">
        <f>(99722)/1000</f>
        <v>99.721999999999994</v>
      </c>
      <c r="D75" s="151"/>
      <c r="E75" s="11" t="s">
        <v>196</v>
      </c>
      <c r="I75" s="11" t="s">
        <v>237</v>
      </c>
      <c r="J75" s="151">
        <f>(98410)/1000</f>
        <v>98.41</v>
      </c>
      <c r="K75" s="151"/>
      <c r="L75" s="11" t="s">
        <v>196</v>
      </c>
      <c r="P75" s="11" t="s">
        <v>237</v>
      </c>
      <c r="Q75" s="151">
        <f>(129319)/1000</f>
        <v>129.31899999999999</v>
      </c>
      <c r="R75" s="151"/>
      <c r="S75" s="11" t="s">
        <v>196</v>
      </c>
    </row>
    <row r="76" spans="2:19" x14ac:dyDescent="0.3">
      <c r="B76" s="11" t="s">
        <v>240</v>
      </c>
      <c r="C76" s="203">
        <f>(((10.67)*(C72^1.85))/((C73^1.85)*(C74^4.87)))*C75</f>
        <v>3.7593526138420055</v>
      </c>
      <c r="D76" s="203"/>
      <c r="E76" s="11" t="s">
        <v>196</v>
      </c>
      <c r="I76" s="11" t="s">
        <v>240</v>
      </c>
      <c r="J76" s="203">
        <f>(((10.67)*(J72^1.85))/((J73^1.85)*(J74^4.87)))*J75</f>
        <v>3.5806253787013573</v>
      </c>
      <c r="K76" s="203"/>
      <c r="L76" s="11" t="s">
        <v>196</v>
      </c>
      <c r="P76" s="11" t="s">
        <v>240</v>
      </c>
      <c r="Q76" s="203">
        <f>(((10.67)*(Q72^1.85))/((Q73^1.85)*(Q74^4.87)))*Q75</f>
        <v>3.5896062139114746</v>
      </c>
      <c r="R76" s="203"/>
      <c r="S76" s="11" t="s">
        <v>196</v>
      </c>
    </row>
    <row r="77" spans="2:19" x14ac:dyDescent="0.3">
      <c r="B77" s="151" t="s">
        <v>244</v>
      </c>
      <c r="C77" s="151"/>
      <c r="D77" s="151"/>
      <c r="E77" s="151"/>
      <c r="I77" s="151" t="s">
        <v>244</v>
      </c>
      <c r="J77" s="151"/>
      <c r="K77" s="151"/>
      <c r="L77" s="151"/>
      <c r="P77" s="151" t="s">
        <v>244</v>
      </c>
      <c r="Q77" s="151"/>
      <c r="R77" s="151"/>
      <c r="S77" s="151"/>
    </row>
    <row r="78" spans="2:19" x14ac:dyDescent="0.3">
      <c r="B78" s="11" t="s">
        <v>245</v>
      </c>
      <c r="C78" s="11" t="s">
        <v>246</v>
      </c>
      <c r="D78" s="11" t="s">
        <v>247</v>
      </c>
      <c r="E78" s="11" t="s">
        <v>248</v>
      </c>
      <c r="I78" s="11" t="s">
        <v>245</v>
      </c>
      <c r="J78" s="11" t="s">
        <v>246</v>
      </c>
      <c r="K78" s="11" t="s">
        <v>247</v>
      </c>
      <c r="L78" s="11" t="s">
        <v>248</v>
      </c>
      <c r="P78" s="11" t="s">
        <v>245</v>
      </c>
      <c r="Q78" s="11" t="s">
        <v>246</v>
      </c>
      <c r="R78" s="11" t="s">
        <v>247</v>
      </c>
      <c r="S78" s="11" t="s">
        <v>248</v>
      </c>
    </row>
    <row r="79" spans="2:19" x14ac:dyDescent="0.3">
      <c r="B79" s="51" t="s">
        <v>249</v>
      </c>
      <c r="C79" s="11">
        <v>7</v>
      </c>
      <c r="D79" s="11">
        <v>0.7</v>
      </c>
      <c r="E79" s="11">
        <f>C79*D79</f>
        <v>4.8999999999999995</v>
      </c>
      <c r="I79" s="51" t="s">
        <v>249</v>
      </c>
      <c r="J79" s="11">
        <v>7</v>
      </c>
      <c r="K79" s="11">
        <v>0.7</v>
      </c>
      <c r="L79" s="11">
        <f t="shared" ref="L79:L84" si="3">J79*K79</f>
        <v>4.8999999999999995</v>
      </c>
      <c r="P79" s="51" t="s">
        <v>249</v>
      </c>
      <c r="Q79" s="11">
        <v>7</v>
      </c>
      <c r="R79" s="11">
        <v>0.7</v>
      </c>
      <c r="S79" s="11">
        <f t="shared" ref="S79:S84" si="4">Q79*R79</f>
        <v>4.8999999999999995</v>
      </c>
    </row>
    <row r="80" spans="2:19" x14ac:dyDescent="0.3">
      <c r="B80" s="51" t="s">
        <v>259</v>
      </c>
      <c r="C80" s="11">
        <v>1</v>
      </c>
      <c r="D80" s="11">
        <v>0.2</v>
      </c>
      <c r="E80" s="11">
        <f>C80*D80</f>
        <v>0.2</v>
      </c>
      <c r="I80" s="51" t="s">
        <v>259</v>
      </c>
      <c r="J80" s="11">
        <v>1</v>
      </c>
      <c r="K80" s="11">
        <v>0.2</v>
      </c>
      <c r="L80" s="11">
        <f t="shared" si="3"/>
        <v>0.2</v>
      </c>
      <c r="P80" s="51" t="s">
        <v>259</v>
      </c>
      <c r="Q80" s="11">
        <v>1</v>
      </c>
      <c r="R80" s="11">
        <v>0.2</v>
      </c>
      <c r="S80" s="11">
        <f t="shared" si="4"/>
        <v>0.2</v>
      </c>
    </row>
    <row r="81" spans="2:19" x14ac:dyDescent="0.3">
      <c r="B81" s="32" t="s">
        <v>260</v>
      </c>
      <c r="C81" s="11">
        <v>4</v>
      </c>
      <c r="D81" s="11">
        <v>0.15</v>
      </c>
      <c r="E81" s="11">
        <f>C81*D81</f>
        <v>0.6</v>
      </c>
      <c r="I81" s="32" t="s">
        <v>260</v>
      </c>
      <c r="J81" s="11">
        <v>4</v>
      </c>
      <c r="K81" s="11">
        <v>0.15</v>
      </c>
      <c r="L81" s="11">
        <f t="shared" si="3"/>
        <v>0.6</v>
      </c>
      <c r="P81" s="32" t="s">
        <v>260</v>
      </c>
      <c r="Q81" s="11">
        <v>4</v>
      </c>
      <c r="R81" s="11">
        <v>0.15</v>
      </c>
      <c r="S81" s="11">
        <f t="shared" si="4"/>
        <v>0.6</v>
      </c>
    </row>
    <row r="82" spans="2:19" x14ac:dyDescent="0.3">
      <c r="B82" s="32" t="s">
        <v>261</v>
      </c>
      <c r="C82" s="11">
        <v>2</v>
      </c>
      <c r="D82" s="11">
        <v>0.04</v>
      </c>
      <c r="E82" s="11">
        <f t="shared" ref="E82:E84" si="5">C82*D82</f>
        <v>0.08</v>
      </c>
      <c r="I82" s="32" t="s">
        <v>261</v>
      </c>
      <c r="J82" s="11">
        <v>2</v>
      </c>
      <c r="K82" s="11">
        <v>0.04</v>
      </c>
      <c r="L82" s="11">
        <f t="shared" si="3"/>
        <v>0.08</v>
      </c>
      <c r="P82" s="32" t="s">
        <v>261</v>
      </c>
      <c r="Q82" s="11">
        <v>2</v>
      </c>
      <c r="R82" s="11">
        <v>0.04</v>
      </c>
      <c r="S82" s="11">
        <f t="shared" si="4"/>
        <v>0.08</v>
      </c>
    </row>
    <row r="83" spans="2:19" x14ac:dyDescent="0.3">
      <c r="B83" s="32" t="s">
        <v>263</v>
      </c>
      <c r="C83" s="11">
        <v>1</v>
      </c>
      <c r="D83" s="11">
        <v>1</v>
      </c>
      <c r="E83" s="11">
        <f t="shared" si="5"/>
        <v>1</v>
      </c>
      <c r="I83" s="32" t="s">
        <v>263</v>
      </c>
      <c r="J83" s="11">
        <v>1</v>
      </c>
      <c r="K83" s="11">
        <v>1</v>
      </c>
      <c r="L83" s="11">
        <f t="shared" si="3"/>
        <v>1</v>
      </c>
      <c r="P83" s="32" t="s">
        <v>263</v>
      </c>
      <c r="Q83" s="11">
        <v>1</v>
      </c>
      <c r="R83" s="11">
        <v>1</v>
      </c>
      <c r="S83" s="11">
        <f t="shared" si="4"/>
        <v>1</v>
      </c>
    </row>
    <row r="84" spans="2:19" x14ac:dyDescent="0.3">
      <c r="B84" s="32" t="s">
        <v>262</v>
      </c>
      <c r="C84" s="11">
        <v>1</v>
      </c>
      <c r="D84" s="11">
        <v>2.6</v>
      </c>
      <c r="E84" s="11">
        <f t="shared" si="5"/>
        <v>2.6</v>
      </c>
      <c r="I84" s="32" t="s">
        <v>262</v>
      </c>
      <c r="J84" s="11">
        <v>1</v>
      </c>
      <c r="K84" s="11">
        <v>2.6</v>
      </c>
      <c r="L84" s="11">
        <f t="shared" si="3"/>
        <v>2.6</v>
      </c>
      <c r="P84" s="32" t="s">
        <v>262</v>
      </c>
      <c r="Q84" s="11">
        <v>1</v>
      </c>
      <c r="R84" s="11">
        <v>2.6</v>
      </c>
      <c r="S84" s="11">
        <f t="shared" si="4"/>
        <v>2.6</v>
      </c>
    </row>
    <row r="85" spans="2:19" x14ac:dyDescent="0.3">
      <c r="B85" s="151" t="s">
        <v>250</v>
      </c>
      <c r="C85" s="151"/>
      <c r="D85" s="151"/>
      <c r="E85" s="11">
        <f>SUM(E79:E84)</f>
        <v>9.379999999999999</v>
      </c>
      <c r="I85" s="151" t="s">
        <v>250</v>
      </c>
      <c r="J85" s="151"/>
      <c r="K85" s="151"/>
      <c r="L85" s="11">
        <f>SUM(L79:L84)</f>
        <v>9.379999999999999</v>
      </c>
      <c r="P85" s="151" t="s">
        <v>250</v>
      </c>
      <c r="Q85" s="151"/>
      <c r="R85" s="151"/>
      <c r="S85" s="11">
        <f>SUM(S79:S84)</f>
        <v>9.379999999999999</v>
      </c>
    </row>
    <row r="86" spans="2:19" x14ac:dyDescent="0.3">
      <c r="B86" s="151"/>
      <c r="C86" s="151"/>
      <c r="D86" s="151"/>
      <c r="E86" s="151"/>
      <c r="I86" s="151"/>
      <c r="J86" s="151"/>
      <c r="K86" s="151"/>
      <c r="L86" s="151"/>
      <c r="P86" s="151"/>
      <c r="Q86" s="151"/>
      <c r="R86" s="151"/>
      <c r="S86" s="151"/>
    </row>
    <row r="87" spans="2:19" x14ac:dyDescent="0.3">
      <c r="B87" s="11" t="s">
        <v>199</v>
      </c>
      <c r="C87" s="176">
        <f>C64</f>
        <v>2</v>
      </c>
      <c r="D87" s="176"/>
      <c r="E87" s="11" t="s">
        <v>198</v>
      </c>
      <c r="I87" s="11" t="s">
        <v>199</v>
      </c>
      <c r="J87" s="176">
        <f>J64</f>
        <v>2</v>
      </c>
      <c r="K87" s="176"/>
      <c r="L87" s="11" t="s">
        <v>198</v>
      </c>
      <c r="P87" s="11" t="s">
        <v>199</v>
      </c>
      <c r="Q87" s="176">
        <f>Q64</f>
        <v>2</v>
      </c>
      <c r="R87" s="176"/>
      <c r="S87" s="11" t="s">
        <v>198</v>
      </c>
    </row>
    <row r="88" spans="2:19" x14ac:dyDescent="0.3">
      <c r="B88" s="11" t="s">
        <v>251</v>
      </c>
      <c r="C88" s="176">
        <f>C87^2</f>
        <v>4</v>
      </c>
      <c r="D88" s="176"/>
      <c r="E88" s="11" t="s">
        <v>252</v>
      </c>
      <c r="I88" s="11" t="s">
        <v>251</v>
      </c>
      <c r="J88" s="176">
        <f>J87^2</f>
        <v>4</v>
      </c>
      <c r="K88" s="176"/>
      <c r="L88" s="11" t="s">
        <v>252</v>
      </c>
      <c r="P88" s="11" t="s">
        <v>251</v>
      </c>
      <c r="Q88" s="176">
        <f>Q87^2</f>
        <v>4</v>
      </c>
      <c r="R88" s="176"/>
      <c r="S88" s="11" t="s">
        <v>252</v>
      </c>
    </row>
    <row r="89" spans="2:19" x14ac:dyDescent="0.3">
      <c r="B89" s="11" t="s">
        <v>253</v>
      </c>
      <c r="C89" s="176">
        <v>9.81</v>
      </c>
      <c r="D89" s="176"/>
      <c r="E89" s="11" t="s">
        <v>254</v>
      </c>
      <c r="I89" s="11" t="s">
        <v>253</v>
      </c>
      <c r="J89" s="176">
        <v>9.81</v>
      </c>
      <c r="K89" s="176"/>
      <c r="L89" s="11" t="s">
        <v>254</v>
      </c>
      <c r="P89" s="11" t="s">
        <v>253</v>
      </c>
      <c r="Q89" s="176">
        <v>9.81</v>
      </c>
      <c r="R89" s="176"/>
      <c r="S89" s="11" t="s">
        <v>254</v>
      </c>
    </row>
    <row r="90" spans="2:19" x14ac:dyDescent="0.3">
      <c r="B90" s="11" t="s">
        <v>255</v>
      </c>
      <c r="C90" s="151">
        <f>2*C89</f>
        <v>19.62</v>
      </c>
      <c r="D90" s="151"/>
      <c r="E90" s="11" t="s">
        <v>254</v>
      </c>
      <c r="I90" s="11" t="s">
        <v>255</v>
      </c>
      <c r="J90" s="151">
        <f>2*J89</f>
        <v>19.62</v>
      </c>
      <c r="K90" s="151"/>
      <c r="L90" s="11" t="s">
        <v>254</v>
      </c>
      <c r="P90" s="11" t="s">
        <v>255</v>
      </c>
      <c r="Q90" s="151">
        <f>2*Q89</f>
        <v>19.62</v>
      </c>
      <c r="R90" s="151"/>
      <c r="S90" s="11" t="s">
        <v>254</v>
      </c>
    </row>
    <row r="91" spans="2:19" x14ac:dyDescent="0.3">
      <c r="B91" s="11" t="s">
        <v>240</v>
      </c>
      <c r="C91" s="198">
        <f>(E85)*(C88/C90)</f>
        <v>1.9123343527013248</v>
      </c>
      <c r="D91" s="198"/>
      <c r="E91" s="11" t="s">
        <v>196</v>
      </c>
      <c r="I91" s="11" t="s">
        <v>240</v>
      </c>
      <c r="J91" s="198">
        <f>(L85)*(J88/J90)</f>
        <v>1.9123343527013248</v>
      </c>
      <c r="K91" s="198"/>
      <c r="L91" s="11" t="s">
        <v>196</v>
      </c>
      <c r="P91" s="11" t="s">
        <v>240</v>
      </c>
      <c r="Q91" s="198">
        <f>(S85)*(Q88/Q90)</f>
        <v>1.9123343527013248</v>
      </c>
      <c r="R91" s="198"/>
      <c r="S91" s="11" t="s">
        <v>196</v>
      </c>
    </row>
    <row r="92" spans="2:19" x14ac:dyDescent="0.3">
      <c r="B92" s="199" t="s">
        <v>256</v>
      </c>
      <c r="C92" s="199"/>
      <c r="D92" s="199"/>
      <c r="E92" s="199"/>
      <c r="I92" s="199" t="s">
        <v>256</v>
      </c>
      <c r="J92" s="199"/>
      <c r="K92" s="199"/>
      <c r="L92" s="199"/>
      <c r="P92" s="199" t="s">
        <v>256</v>
      </c>
      <c r="Q92" s="199"/>
      <c r="R92" s="199"/>
      <c r="S92" s="199"/>
    </row>
    <row r="93" spans="2:19" x14ac:dyDescent="0.3">
      <c r="B93" s="151" t="s">
        <v>257</v>
      </c>
      <c r="C93" s="151"/>
      <c r="D93" s="11">
        <f>((4137+46986+4681)/1000)-((891*2)/1000)</f>
        <v>54.022000000000006</v>
      </c>
      <c r="E93" s="11" t="s">
        <v>196</v>
      </c>
      <c r="I93" s="151" t="s">
        <v>257</v>
      </c>
      <c r="J93" s="151"/>
      <c r="K93" s="11">
        <f>((3303+47108+4715)-(891*2))/1000</f>
        <v>53.344000000000001</v>
      </c>
      <c r="L93" s="11" t="s">
        <v>196</v>
      </c>
      <c r="P93" s="151" t="s">
        <v>257</v>
      </c>
      <c r="Q93" s="151"/>
      <c r="R93" s="11">
        <f>((2178+47600+4714)-(2*891))/1000</f>
        <v>52.71</v>
      </c>
      <c r="S93" s="11" t="s">
        <v>196</v>
      </c>
    </row>
    <row r="94" spans="2:19" x14ac:dyDescent="0.3">
      <c r="B94" s="201" t="s">
        <v>258</v>
      </c>
      <c r="C94" s="201"/>
      <c r="D94" s="201"/>
      <c r="E94" s="201"/>
      <c r="I94" s="201" t="s">
        <v>258</v>
      </c>
      <c r="J94" s="201"/>
      <c r="K94" s="201"/>
      <c r="L94" s="201"/>
      <c r="P94" s="201" t="s">
        <v>258</v>
      </c>
      <c r="Q94" s="201"/>
      <c r="R94" s="201"/>
      <c r="S94" s="201"/>
    </row>
    <row r="95" spans="2:19" x14ac:dyDescent="0.3">
      <c r="B95" s="11" t="s">
        <v>199</v>
      </c>
      <c r="C95" s="11">
        <f>C87</f>
        <v>2</v>
      </c>
      <c r="D95" s="151" t="s">
        <v>198</v>
      </c>
      <c r="E95" s="151"/>
      <c r="I95" s="11" t="s">
        <v>199</v>
      </c>
      <c r="J95" s="11">
        <f>J87</f>
        <v>2</v>
      </c>
      <c r="K95" s="151" t="s">
        <v>198</v>
      </c>
      <c r="L95" s="151"/>
      <c r="P95" s="11" t="s">
        <v>199</v>
      </c>
      <c r="Q95" s="11">
        <f>Q87</f>
        <v>2</v>
      </c>
      <c r="R95" s="151" t="s">
        <v>198</v>
      </c>
      <c r="S95" s="151"/>
    </row>
    <row r="96" spans="2:19" x14ac:dyDescent="0.3">
      <c r="B96" s="11" t="s">
        <v>251</v>
      </c>
      <c r="C96" s="11">
        <f>C95^2</f>
        <v>4</v>
      </c>
      <c r="D96" s="151" t="s">
        <v>252</v>
      </c>
      <c r="E96" s="151"/>
      <c r="I96" s="11" t="s">
        <v>251</v>
      </c>
      <c r="J96" s="11">
        <f>J95^2</f>
        <v>4</v>
      </c>
      <c r="K96" s="151" t="s">
        <v>252</v>
      </c>
      <c r="L96" s="151"/>
      <c r="P96" s="11" t="s">
        <v>251</v>
      </c>
      <c r="Q96" s="11">
        <f>Q95^2</f>
        <v>4</v>
      </c>
      <c r="R96" s="151" t="s">
        <v>252</v>
      </c>
      <c r="S96" s="151"/>
    </row>
    <row r="97" spans="2:19" x14ac:dyDescent="0.3">
      <c r="B97" s="11" t="s">
        <v>253</v>
      </c>
      <c r="C97" s="11">
        <v>9.81</v>
      </c>
      <c r="D97" s="151" t="s">
        <v>254</v>
      </c>
      <c r="E97" s="151"/>
      <c r="I97" s="11" t="s">
        <v>253</v>
      </c>
      <c r="J97" s="11">
        <v>9.81</v>
      </c>
      <c r="K97" s="151" t="s">
        <v>254</v>
      </c>
      <c r="L97" s="151"/>
      <c r="P97" s="11" t="s">
        <v>253</v>
      </c>
      <c r="Q97" s="11">
        <v>9.81</v>
      </c>
      <c r="R97" s="151" t="s">
        <v>254</v>
      </c>
      <c r="S97" s="151"/>
    </row>
    <row r="98" spans="2:19" x14ac:dyDescent="0.3">
      <c r="B98" s="200" t="s">
        <v>258</v>
      </c>
      <c r="C98" s="176">
        <f>C96/(2*C97)</f>
        <v>0.2038735983690112</v>
      </c>
      <c r="D98" s="176" t="s">
        <v>196</v>
      </c>
      <c r="E98" s="176"/>
      <c r="I98" s="200" t="s">
        <v>258</v>
      </c>
      <c r="J98" s="176">
        <f>J96/(2*J97)</f>
        <v>0.2038735983690112</v>
      </c>
      <c r="K98" s="176" t="s">
        <v>196</v>
      </c>
      <c r="L98" s="176"/>
      <c r="P98" s="200" t="s">
        <v>258</v>
      </c>
      <c r="Q98" s="176">
        <f>Q96/(2*Q97)</f>
        <v>0.2038735983690112</v>
      </c>
      <c r="R98" s="176" t="s">
        <v>196</v>
      </c>
      <c r="S98" s="176"/>
    </row>
    <row r="99" spans="2:19" x14ac:dyDescent="0.3">
      <c r="B99" s="200"/>
      <c r="C99" s="176"/>
      <c r="D99" s="176"/>
      <c r="E99" s="176"/>
      <c r="I99" s="200"/>
      <c r="J99" s="176"/>
      <c r="K99" s="176"/>
      <c r="L99" s="176"/>
      <c r="P99" s="200"/>
      <c r="Q99" s="176"/>
      <c r="R99" s="176"/>
      <c r="S99" s="176"/>
    </row>
    <row r="101" spans="2:19" x14ac:dyDescent="0.3">
      <c r="B101" s="11" t="s">
        <v>264</v>
      </c>
      <c r="C101" s="57">
        <f>C98+D93+C91+C76</f>
        <v>59.897560564912347</v>
      </c>
      <c r="D101" s="57" t="s">
        <v>196</v>
      </c>
      <c r="E101" s="50"/>
      <c r="F101" s="50"/>
      <c r="G101" s="50"/>
      <c r="H101" s="50"/>
      <c r="I101" s="57" t="s">
        <v>264</v>
      </c>
      <c r="J101" s="57">
        <f>J98+K93+J91+J76</f>
        <v>59.040833329771694</v>
      </c>
      <c r="K101" s="57" t="s">
        <v>196</v>
      </c>
      <c r="L101" s="50"/>
      <c r="M101" s="50"/>
      <c r="N101" s="50"/>
      <c r="O101" s="50"/>
      <c r="P101" s="57" t="s">
        <v>264</v>
      </c>
      <c r="Q101" s="57">
        <f>Q98+R93+Q91+Q76</f>
        <v>58.415814164981811</v>
      </c>
      <c r="R101" s="11" t="s">
        <v>196</v>
      </c>
    </row>
    <row r="102" spans="2:19" x14ac:dyDescent="0.3"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</row>
  </sheetData>
  <mergeCells count="147">
    <mergeCell ref="K98:L99"/>
    <mergeCell ref="P98:P99"/>
    <mergeCell ref="Q98:Q99"/>
    <mergeCell ref="R98:S99"/>
    <mergeCell ref="B98:B99"/>
    <mergeCell ref="C98:C99"/>
    <mergeCell ref="D98:E99"/>
    <mergeCell ref="I98:I99"/>
    <mergeCell ref="J98:J99"/>
    <mergeCell ref="D96:E96"/>
    <mergeCell ref="K96:L96"/>
    <mergeCell ref="R96:S96"/>
    <mergeCell ref="D97:E97"/>
    <mergeCell ref="K97:L97"/>
    <mergeCell ref="R97:S97"/>
    <mergeCell ref="B94:E94"/>
    <mergeCell ref="I94:L94"/>
    <mergeCell ref="P94:S94"/>
    <mergeCell ref="D95:E95"/>
    <mergeCell ref="K95:L95"/>
    <mergeCell ref="R95:S95"/>
    <mergeCell ref="B92:E92"/>
    <mergeCell ref="I92:L92"/>
    <mergeCell ref="P92:S92"/>
    <mergeCell ref="B93:C93"/>
    <mergeCell ref="I93:J93"/>
    <mergeCell ref="P93:Q93"/>
    <mergeCell ref="C90:D90"/>
    <mergeCell ref="J90:K90"/>
    <mergeCell ref="Q90:R90"/>
    <mergeCell ref="C91:D91"/>
    <mergeCell ref="J91:K91"/>
    <mergeCell ref="Q91:R91"/>
    <mergeCell ref="C88:D88"/>
    <mergeCell ref="J88:K88"/>
    <mergeCell ref="Q88:R88"/>
    <mergeCell ref="C89:D89"/>
    <mergeCell ref="J89:K89"/>
    <mergeCell ref="Q89:R89"/>
    <mergeCell ref="B86:E86"/>
    <mergeCell ref="I86:L86"/>
    <mergeCell ref="P86:S86"/>
    <mergeCell ref="C87:D87"/>
    <mergeCell ref="J87:K87"/>
    <mergeCell ref="Q87:R87"/>
    <mergeCell ref="B77:E77"/>
    <mergeCell ref="I77:L77"/>
    <mergeCell ref="P77:S77"/>
    <mergeCell ref="B85:D85"/>
    <mergeCell ref="I85:K85"/>
    <mergeCell ref="P85:R85"/>
    <mergeCell ref="C75:D75"/>
    <mergeCell ref="J75:K75"/>
    <mergeCell ref="Q75:R75"/>
    <mergeCell ref="C76:D76"/>
    <mergeCell ref="J76:K76"/>
    <mergeCell ref="Q76:R76"/>
    <mergeCell ref="C73:D73"/>
    <mergeCell ref="J73:K73"/>
    <mergeCell ref="Q73:R73"/>
    <mergeCell ref="C74:D74"/>
    <mergeCell ref="J74:K74"/>
    <mergeCell ref="Q74:R74"/>
    <mergeCell ref="B71:E71"/>
    <mergeCell ref="I71:L71"/>
    <mergeCell ref="P71:S71"/>
    <mergeCell ref="C72:D72"/>
    <mergeCell ref="J72:K72"/>
    <mergeCell ref="Q72:R72"/>
    <mergeCell ref="L4:N4"/>
    <mergeCell ref="L5:N5"/>
    <mergeCell ref="B70:E70"/>
    <mergeCell ref="I70:L70"/>
    <mergeCell ref="P70:S70"/>
    <mergeCell ref="P48:S48"/>
    <mergeCell ref="R49:S49"/>
    <mergeCell ref="R50:S50"/>
    <mergeCell ref="R51:S51"/>
    <mergeCell ref="P52:P53"/>
    <mergeCell ref="Q52:Q53"/>
    <mergeCell ref="R52:S53"/>
    <mergeCell ref="Q43:R43"/>
    <mergeCell ref="Q44:R44"/>
    <mergeCell ref="Q45:R45"/>
    <mergeCell ref="P46:S46"/>
    <mergeCell ref="P47:Q47"/>
    <mergeCell ref="K51:L51"/>
    <mergeCell ref="I52:I53"/>
    <mergeCell ref="J52:J53"/>
    <mergeCell ref="K52:L53"/>
    <mergeCell ref="P24:S24"/>
    <mergeCell ref="P25:S25"/>
    <mergeCell ref="Q26:R26"/>
    <mergeCell ref="Q27:R27"/>
    <mergeCell ref="Q28:R28"/>
    <mergeCell ref="Q29:R29"/>
    <mergeCell ref="Q30:R30"/>
    <mergeCell ref="P31:S31"/>
    <mergeCell ref="P39:R39"/>
    <mergeCell ref="P40:S40"/>
    <mergeCell ref="Q41:R41"/>
    <mergeCell ref="Q42:R42"/>
    <mergeCell ref="I46:L46"/>
    <mergeCell ref="I47:J47"/>
    <mergeCell ref="I48:L48"/>
    <mergeCell ref="K49:L49"/>
    <mergeCell ref="K50:L50"/>
    <mergeCell ref="J41:K41"/>
    <mergeCell ref="J42:K42"/>
    <mergeCell ref="J43:K43"/>
    <mergeCell ref="J44:K44"/>
    <mergeCell ref="J45:K45"/>
    <mergeCell ref="J29:K29"/>
    <mergeCell ref="J30:K30"/>
    <mergeCell ref="I31:L31"/>
    <mergeCell ref="I39:K39"/>
    <mergeCell ref="I40:L40"/>
    <mergeCell ref="I24:L24"/>
    <mergeCell ref="I25:L25"/>
    <mergeCell ref="J26:K26"/>
    <mergeCell ref="J27:K27"/>
    <mergeCell ref="J28:K28"/>
    <mergeCell ref="B2:D2"/>
    <mergeCell ref="B24:E24"/>
    <mergeCell ref="B25:E25"/>
    <mergeCell ref="C26:D26"/>
    <mergeCell ref="C27:D27"/>
    <mergeCell ref="C28:D28"/>
    <mergeCell ref="C29:D29"/>
    <mergeCell ref="C30:D30"/>
    <mergeCell ref="B31:E31"/>
    <mergeCell ref="B39:D39"/>
    <mergeCell ref="B40:E40"/>
    <mergeCell ref="C41:D41"/>
    <mergeCell ref="C42:D42"/>
    <mergeCell ref="C43:D43"/>
    <mergeCell ref="C44:D44"/>
    <mergeCell ref="C45:D45"/>
    <mergeCell ref="B46:E46"/>
    <mergeCell ref="B52:B53"/>
    <mergeCell ref="C52:C53"/>
    <mergeCell ref="D52:E53"/>
    <mergeCell ref="B47:C47"/>
    <mergeCell ref="B48:E48"/>
    <mergeCell ref="D49:E49"/>
    <mergeCell ref="D50:E50"/>
    <mergeCell ref="D51:E51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92807-E6A1-4A7C-BA96-8F6B4B56084D}">
  <dimension ref="B2:AI58"/>
  <sheetViews>
    <sheetView topLeftCell="A28" zoomScale="80" zoomScaleNormal="80" workbookViewId="0">
      <selection activeCell="AF43" sqref="AF43"/>
    </sheetView>
  </sheetViews>
  <sheetFormatPr defaultRowHeight="14.4" x14ac:dyDescent="0.3"/>
  <cols>
    <col min="2" max="2" width="23.44140625" customWidth="1"/>
    <col min="8" max="8" width="17.44140625" customWidth="1"/>
    <col min="14" max="14" width="15.33203125" customWidth="1"/>
  </cols>
  <sheetData>
    <row r="2" spans="2:16" x14ac:dyDescent="0.3">
      <c r="B2" s="151" t="s">
        <v>266</v>
      </c>
      <c r="C2" s="151"/>
      <c r="D2" s="151" t="s">
        <v>267</v>
      </c>
      <c r="E2" s="151"/>
      <c r="I2" s="51" t="s">
        <v>150</v>
      </c>
      <c r="J2" s="27"/>
      <c r="K2" s="27"/>
    </row>
    <row r="3" spans="2:16" x14ac:dyDescent="0.3">
      <c r="B3" s="151" t="s">
        <v>268</v>
      </c>
      <c r="C3" s="151"/>
      <c r="D3" s="151" t="s">
        <v>269</v>
      </c>
      <c r="E3" s="151"/>
      <c r="I3" s="181" t="s">
        <v>149</v>
      </c>
      <c r="J3" s="181"/>
      <c r="K3" s="181"/>
    </row>
    <row r="4" spans="2:16" x14ac:dyDescent="0.3">
      <c r="I4" s="181" t="s">
        <v>169</v>
      </c>
      <c r="J4" s="181"/>
      <c r="K4" s="181"/>
    </row>
    <row r="5" spans="2:16" x14ac:dyDescent="0.3">
      <c r="B5" s="33" t="s">
        <v>347</v>
      </c>
    </row>
    <row r="7" spans="2:16" x14ac:dyDescent="0.3">
      <c r="B7" s="180" t="s">
        <v>265</v>
      </c>
      <c r="C7" s="180"/>
      <c r="H7" s="180" t="s">
        <v>270</v>
      </c>
      <c r="I7" s="180"/>
      <c r="N7" s="180" t="s">
        <v>273</v>
      </c>
      <c r="O7" s="180"/>
    </row>
    <row r="9" spans="2:16" x14ac:dyDescent="0.3">
      <c r="B9" s="197" t="s">
        <v>272</v>
      </c>
      <c r="C9" s="152"/>
      <c r="D9" s="153"/>
      <c r="H9" s="197" t="s">
        <v>272</v>
      </c>
      <c r="I9" s="152"/>
      <c r="J9" s="153"/>
      <c r="N9" s="197" t="s">
        <v>272</v>
      </c>
      <c r="O9" s="152"/>
      <c r="P9" s="153"/>
    </row>
    <row r="10" spans="2:16" x14ac:dyDescent="0.3">
      <c r="B10" s="11" t="s">
        <v>193</v>
      </c>
      <c r="C10" s="11">
        <f>'Kebutuhan Air Bersih'!G27</f>
        <v>985</v>
      </c>
      <c r="D10" s="11"/>
      <c r="H10" s="11" t="s">
        <v>193</v>
      </c>
      <c r="I10" s="11">
        <f>'Kebutuhan Air Bersih'!G49</f>
        <v>993</v>
      </c>
      <c r="J10" s="11"/>
      <c r="N10" s="11" t="s">
        <v>193</v>
      </c>
      <c r="O10" s="11">
        <f>'Kebutuhan Air Bersih'!G70</f>
        <v>1162</v>
      </c>
      <c r="P10" s="11"/>
    </row>
    <row r="11" spans="2:16" x14ac:dyDescent="0.3">
      <c r="B11" s="11" t="s">
        <v>239</v>
      </c>
      <c r="C11" s="11">
        <f>'Kebutuhan Air Bersih'!G28</f>
        <v>760</v>
      </c>
      <c r="D11" s="11" t="s">
        <v>236</v>
      </c>
      <c r="H11" s="11" t="s">
        <v>239</v>
      </c>
      <c r="I11" s="11">
        <f>'Kebutuhan Air Bersih'!G50</f>
        <v>827</v>
      </c>
      <c r="J11" s="11" t="s">
        <v>236</v>
      </c>
      <c r="N11" s="11" t="s">
        <v>239</v>
      </c>
      <c r="O11" s="11">
        <f>'Kebutuhan Air Bersih'!G71</f>
        <v>860</v>
      </c>
      <c r="P11" s="11" t="s">
        <v>236</v>
      </c>
    </row>
    <row r="12" spans="2:16" x14ac:dyDescent="0.3">
      <c r="B12" s="11"/>
      <c r="C12" s="11">
        <f>(C11/1000)/60</f>
        <v>1.2666666666666666E-2</v>
      </c>
      <c r="D12" s="11" t="s">
        <v>194</v>
      </c>
      <c r="H12" s="11"/>
      <c r="I12" s="11">
        <f>(I11/1000)/60</f>
        <v>1.3783333333333333E-2</v>
      </c>
      <c r="J12" s="11" t="s">
        <v>194</v>
      </c>
      <c r="N12" s="11"/>
      <c r="O12" s="11">
        <f>(O11/1000)/60</f>
        <v>1.4333333333333333E-2</v>
      </c>
      <c r="P12" s="11" t="s">
        <v>194</v>
      </c>
    </row>
    <row r="13" spans="2:16" x14ac:dyDescent="0.3">
      <c r="B13" s="11" t="s">
        <v>199</v>
      </c>
      <c r="C13" s="11">
        <v>2</v>
      </c>
      <c r="D13" s="11" t="s">
        <v>198</v>
      </c>
      <c r="H13" s="11" t="s">
        <v>199</v>
      </c>
      <c r="I13" s="11">
        <v>2</v>
      </c>
      <c r="J13" s="11" t="s">
        <v>198</v>
      </c>
      <c r="N13" s="11" t="s">
        <v>199</v>
      </c>
      <c r="O13" s="11">
        <v>2</v>
      </c>
      <c r="P13" s="11" t="s">
        <v>198</v>
      </c>
    </row>
    <row r="14" spans="2:16" x14ac:dyDescent="0.3">
      <c r="B14" s="11" t="s">
        <v>126</v>
      </c>
      <c r="C14" s="11">
        <f>SQRT((C12*4)/(C13*3.14))</f>
        <v>8.9821715370042812E-2</v>
      </c>
      <c r="D14" s="11" t="s">
        <v>196</v>
      </c>
      <c r="H14" s="11" t="s">
        <v>126</v>
      </c>
      <c r="I14" s="11">
        <f>SQRT((I12*4)/(I13*3.14))</f>
        <v>9.3697348980346276E-2</v>
      </c>
      <c r="J14" s="11" t="s">
        <v>196</v>
      </c>
      <c r="N14" s="11" t="s">
        <v>126</v>
      </c>
      <c r="O14" s="11">
        <f>SQRT((O12*4)/(O13*3.14))</f>
        <v>9.5548478152623545E-2</v>
      </c>
      <c r="P14" s="11" t="s">
        <v>196</v>
      </c>
    </row>
    <row r="15" spans="2:16" x14ac:dyDescent="0.3">
      <c r="B15" s="11"/>
      <c r="C15" s="11">
        <f>C14*1000</f>
        <v>89.82171537004281</v>
      </c>
      <c r="D15" s="11" t="s">
        <v>197</v>
      </c>
      <c r="H15" s="11"/>
      <c r="I15" s="11">
        <f>I14*1000</f>
        <v>93.697348980346277</v>
      </c>
      <c r="J15" s="11" t="s">
        <v>197</v>
      </c>
      <c r="N15" s="11"/>
      <c r="O15" s="11">
        <f>O14*1000</f>
        <v>95.548478152623545</v>
      </c>
      <c r="P15" s="11" t="s">
        <v>197</v>
      </c>
    </row>
    <row r="16" spans="2:16" x14ac:dyDescent="0.3">
      <c r="B16" s="11" t="s">
        <v>235</v>
      </c>
      <c r="C16" s="11">
        <v>100</v>
      </c>
      <c r="D16" s="11" t="s">
        <v>197</v>
      </c>
      <c r="H16" s="11" t="s">
        <v>235</v>
      </c>
      <c r="I16" s="11">
        <v>100</v>
      </c>
      <c r="J16" s="11" t="s">
        <v>197</v>
      </c>
      <c r="N16" s="11" t="s">
        <v>235</v>
      </c>
      <c r="O16" s="11">
        <v>100</v>
      </c>
      <c r="P16" s="11" t="s">
        <v>197</v>
      </c>
    </row>
    <row r="17" spans="2:35" x14ac:dyDescent="0.3">
      <c r="B17" s="11" t="s">
        <v>234</v>
      </c>
      <c r="C17" s="11">
        <v>110</v>
      </c>
      <c r="D17" s="11" t="s">
        <v>197</v>
      </c>
      <c r="H17" s="11" t="s">
        <v>234</v>
      </c>
      <c r="I17" s="11">
        <v>110</v>
      </c>
      <c r="J17" s="11" t="s">
        <v>197</v>
      </c>
      <c r="N17" s="11" t="s">
        <v>234</v>
      </c>
      <c r="O17" s="11">
        <v>110</v>
      </c>
      <c r="P17" s="11" t="s">
        <v>197</v>
      </c>
    </row>
    <row r="19" spans="2:35" x14ac:dyDescent="0.3">
      <c r="B19" s="180" t="s">
        <v>543</v>
      </c>
      <c r="C19" s="180"/>
      <c r="D19" s="180"/>
    </row>
    <row r="21" spans="2:35" x14ac:dyDescent="0.3">
      <c r="B21" s="189" t="s">
        <v>299</v>
      </c>
      <c r="C21" s="189"/>
      <c r="D21" s="189"/>
      <c r="H21" s="189" t="s">
        <v>300</v>
      </c>
      <c r="I21" s="189"/>
      <c r="J21" s="189"/>
      <c r="N21" s="189" t="s">
        <v>301</v>
      </c>
      <c r="O21" s="189"/>
      <c r="P21" s="189"/>
    </row>
    <row r="22" spans="2:35" x14ac:dyDescent="0.3">
      <c r="B22" s="32" t="s">
        <v>274</v>
      </c>
      <c r="C22" s="32">
        <f>32+11.9+9.4</f>
        <v>53.3</v>
      </c>
      <c r="D22" s="32" t="s">
        <v>196</v>
      </c>
      <c r="H22" s="32" t="s">
        <v>274</v>
      </c>
      <c r="I22" s="32">
        <f>32+11.9+9.4</f>
        <v>53.3</v>
      </c>
      <c r="J22" s="32" t="s">
        <v>196</v>
      </c>
      <c r="N22" s="32" t="s">
        <v>274</v>
      </c>
      <c r="O22" s="32">
        <f>32+11.9+9.4</f>
        <v>53.3</v>
      </c>
      <c r="P22" s="32" t="s">
        <v>196</v>
      </c>
      <c r="AA22" s="56"/>
      <c r="AB22" s="56"/>
      <c r="AC22" s="56"/>
      <c r="AD22" s="56"/>
      <c r="AE22" s="56"/>
      <c r="AF22" s="56"/>
      <c r="AG22" s="56"/>
      <c r="AH22" s="56"/>
      <c r="AI22" s="56"/>
    </row>
    <row r="23" spans="2:35" x14ac:dyDescent="0.3">
      <c r="B23" s="32" t="s">
        <v>352</v>
      </c>
      <c r="C23" s="32">
        <v>9.1999999999999998E-2</v>
      </c>
      <c r="D23" s="32" t="s">
        <v>278</v>
      </c>
      <c r="H23" s="32" t="s">
        <v>352</v>
      </c>
      <c r="I23" s="32">
        <v>9.1999999999999998E-2</v>
      </c>
      <c r="J23" s="32" t="s">
        <v>278</v>
      </c>
      <c r="N23" s="32" t="s">
        <v>352</v>
      </c>
      <c r="O23" s="32">
        <v>9.1999999999999998E-2</v>
      </c>
      <c r="P23" s="32" t="s">
        <v>278</v>
      </c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</row>
    <row r="24" spans="2:35" x14ac:dyDescent="0.3">
      <c r="B24" s="204" t="s">
        <v>353</v>
      </c>
      <c r="C24" s="206">
        <f>AB24</f>
        <v>17</v>
      </c>
      <c r="D24" s="176" t="s">
        <v>196</v>
      </c>
      <c r="H24" s="204" t="s">
        <v>353</v>
      </c>
      <c r="I24" s="206">
        <f>AB24</f>
        <v>17</v>
      </c>
      <c r="J24" s="176" t="s">
        <v>196</v>
      </c>
      <c r="N24" s="204" t="s">
        <v>353</v>
      </c>
      <c r="O24" s="206">
        <f>AB24</f>
        <v>17</v>
      </c>
      <c r="P24" s="176" t="s">
        <v>196</v>
      </c>
      <c r="S24" s="56">
        <v>2</v>
      </c>
      <c r="T24" s="105">
        <f>S24/10</f>
        <v>0.2</v>
      </c>
      <c r="U24" s="105"/>
      <c r="V24" s="56" t="s">
        <v>349</v>
      </c>
      <c r="W24" s="56"/>
      <c r="X24" s="56"/>
      <c r="Y24" s="56"/>
      <c r="Z24" s="56"/>
      <c r="AA24" s="56"/>
      <c r="AB24" s="56">
        <v>17</v>
      </c>
      <c r="AC24" s="105">
        <f>AB24/10</f>
        <v>1.7</v>
      </c>
      <c r="AD24" s="105"/>
      <c r="AE24" s="56" t="s">
        <v>349</v>
      </c>
      <c r="AF24" s="56"/>
      <c r="AG24" s="56"/>
      <c r="AH24" s="56"/>
      <c r="AI24" s="56"/>
    </row>
    <row r="25" spans="2:35" x14ac:dyDescent="0.3">
      <c r="B25" s="205"/>
      <c r="C25" s="206"/>
      <c r="D25" s="176"/>
      <c r="H25" s="205"/>
      <c r="I25" s="206"/>
      <c r="J25" s="176"/>
      <c r="N25" s="205"/>
      <c r="O25" s="206"/>
      <c r="P25" s="176"/>
      <c r="S25" s="106"/>
      <c r="T25" s="56"/>
      <c r="U25" s="107"/>
      <c r="V25" s="56"/>
      <c r="W25" s="56"/>
      <c r="X25" s="56"/>
      <c r="Y25" s="56"/>
      <c r="Z25" s="56"/>
      <c r="AA25" s="56"/>
      <c r="AB25" s="106"/>
      <c r="AC25" s="56"/>
      <c r="AD25" s="107"/>
      <c r="AE25" s="56"/>
      <c r="AF25" s="56"/>
      <c r="AG25" s="56"/>
      <c r="AH25" s="56"/>
      <c r="AI25" s="56"/>
    </row>
    <row r="26" spans="2:35" x14ac:dyDescent="0.3">
      <c r="S26" s="106"/>
      <c r="T26" s="56"/>
      <c r="U26" s="56"/>
      <c r="V26" s="56"/>
      <c r="W26" s="56"/>
      <c r="X26" s="56"/>
      <c r="Y26" s="56"/>
      <c r="Z26" s="56"/>
      <c r="AA26" s="56"/>
      <c r="AB26" s="106"/>
      <c r="AC26" s="56"/>
      <c r="AD26" s="56"/>
      <c r="AE26" s="56"/>
      <c r="AF26" s="56"/>
      <c r="AG26" s="56"/>
      <c r="AH26" s="56"/>
      <c r="AI26" s="56"/>
    </row>
    <row r="27" spans="2:35" x14ac:dyDescent="0.3">
      <c r="B27" s="33" t="s">
        <v>348</v>
      </c>
      <c r="S27" s="106"/>
      <c r="T27" s="56" t="s">
        <v>351</v>
      </c>
      <c r="U27" s="56"/>
      <c r="V27" s="56"/>
      <c r="W27" s="56"/>
      <c r="X27" s="56" t="s">
        <v>350</v>
      </c>
      <c r="Y27" s="56"/>
      <c r="Z27" s="56"/>
      <c r="AA27" s="56"/>
      <c r="AB27" s="106"/>
      <c r="AC27" s="56" t="s">
        <v>351</v>
      </c>
      <c r="AD27" s="56"/>
      <c r="AE27" s="56"/>
      <c r="AF27" s="56"/>
      <c r="AG27" s="56" t="s">
        <v>350</v>
      </c>
      <c r="AH27" s="56"/>
      <c r="AI27" s="56"/>
    </row>
    <row r="28" spans="2:35" x14ac:dyDescent="0.3">
      <c r="S28" s="106">
        <v>4.25</v>
      </c>
      <c r="T28" s="108">
        <f>T24+(S28/10)</f>
        <v>0.625</v>
      </c>
      <c r="U28" s="105"/>
      <c r="V28" s="105"/>
      <c r="W28" s="105"/>
      <c r="X28" s="105">
        <f>T28-($C$22/100)</f>
        <v>9.2000000000000082E-2</v>
      </c>
      <c r="Y28" s="56">
        <v>10</v>
      </c>
      <c r="Z28" s="56"/>
      <c r="AA28" s="56"/>
      <c r="AB28" s="106">
        <v>4.25</v>
      </c>
      <c r="AC28" s="108">
        <f>AC24+(AB28/10)</f>
        <v>2.125</v>
      </c>
      <c r="AD28" s="105"/>
      <c r="AE28" s="105"/>
      <c r="AF28" s="105"/>
      <c r="AG28" s="105">
        <f>AC28-($C$22/100)</f>
        <v>1.5920000000000001</v>
      </c>
      <c r="AH28" s="56">
        <v>10</v>
      </c>
      <c r="AI28" s="56"/>
    </row>
    <row r="29" spans="2:35" x14ac:dyDescent="0.3">
      <c r="B29" s="180" t="s">
        <v>265</v>
      </c>
      <c r="C29" s="180"/>
      <c r="H29" s="180" t="s">
        <v>270</v>
      </c>
      <c r="I29" s="180"/>
      <c r="N29" s="180" t="s">
        <v>273</v>
      </c>
      <c r="O29" s="180"/>
      <c r="S29" s="106"/>
      <c r="T29" s="56"/>
      <c r="U29" s="56"/>
      <c r="V29" s="56"/>
      <c r="W29" s="56"/>
      <c r="X29" s="56"/>
      <c r="Y29" s="56"/>
      <c r="Z29" s="56"/>
      <c r="AA29" s="56"/>
      <c r="AB29" s="106"/>
      <c r="AC29" s="56"/>
      <c r="AD29" s="56"/>
      <c r="AE29" s="56"/>
      <c r="AF29" s="56"/>
      <c r="AG29" s="56"/>
      <c r="AH29" s="56"/>
      <c r="AI29" s="56"/>
    </row>
    <row r="30" spans="2:35" x14ac:dyDescent="0.3">
      <c r="S30" s="106"/>
      <c r="T30" s="56"/>
      <c r="U30" s="56"/>
      <c r="V30" s="56"/>
      <c r="W30" s="56"/>
      <c r="X30" s="56"/>
      <c r="Y30" s="56"/>
      <c r="Z30" s="56"/>
      <c r="AA30" s="56"/>
      <c r="AB30" s="106"/>
      <c r="AC30" s="56"/>
      <c r="AD30" s="56"/>
      <c r="AE30" s="56"/>
      <c r="AF30" s="56"/>
      <c r="AG30" s="56"/>
      <c r="AH30" s="56"/>
      <c r="AI30" s="56"/>
    </row>
    <row r="31" spans="2:35" x14ac:dyDescent="0.3">
      <c r="B31" s="197" t="s">
        <v>272</v>
      </c>
      <c r="C31" s="152"/>
      <c r="D31" s="153"/>
      <c r="H31" s="197" t="s">
        <v>272</v>
      </c>
      <c r="I31" s="152"/>
      <c r="J31" s="153"/>
      <c r="N31" s="197" t="s">
        <v>272</v>
      </c>
      <c r="O31" s="152"/>
      <c r="P31" s="153"/>
      <c r="S31" s="106"/>
      <c r="T31" s="56" t="s">
        <v>351</v>
      </c>
      <c r="U31" s="56"/>
      <c r="V31" s="56"/>
      <c r="W31" s="56"/>
      <c r="X31" s="56" t="s">
        <v>350</v>
      </c>
      <c r="Y31" s="56"/>
      <c r="Z31" s="56"/>
      <c r="AA31" s="56"/>
      <c r="AB31" s="106"/>
      <c r="AC31" s="56" t="s">
        <v>351</v>
      </c>
      <c r="AD31" s="56"/>
      <c r="AE31" s="56"/>
      <c r="AF31" s="56"/>
      <c r="AG31" s="56" t="s">
        <v>350</v>
      </c>
      <c r="AH31" s="56"/>
      <c r="AI31" s="56"/>
    </row>
    <row r="32" spans="2:35" x14ac:dyDescent="0.3">
      <c r="B32" s="11" t="s">
        <v>193</v>
      </c>
      <c r="C32" s="11">
        <f>'Kebutuhan Air Bersih'!G35</f>
        <v>485</v>
      </c>
      <c r="D32" s="11"/>
      <c r="H32" s="11" t="s">
        <v>193</v>
      </c>
      <c r="I32" s="11">
        <f>'Kebutuhan Air Bersih'!G57</f>
        <v>575</v>
      </c>
      <c r="J32" s="11"/>
      <c r="N32" s="11" t="s">
        <v>193</v>
      </c>
      <c r="O32" s="11">
        <f>'Kebutuhan Air Bersih'!G78</f>
        <v>575</v>
      </c>
      <c r="P32" s="11"/>
      <c r="S32" s="106">
        <v>4.25</v>
      </c>
      <c r="T32" s="108">
        <f>T28+(S32/10)</f>
        <v>1.05</v>
      </c>
      <c r="U32" s="105"/>
      <c r="V32" s="105"/>
      <c r="W32" s="105"/>
      <c r="X32" s="105">
        <f>T32-($C$22/100)</f>
        <v>0.51700000000000013</v>
      </c>
      <c r="Y32" s="56">
        <v>9</v>
      </c>
      <c r="Z32" s="56"/>
      <c r="AA32" s="56"/>
      <c r="AB32" s="106">
        <v>4.25</v>
      </c>
      <c r="AC32" s="108">
        <f>AC28+(AB32/10)</f>
        <v>2.5499999999999998</v>
      </c>
      <c r="AD32" s="105"/>
      <c r="AE32" s="105"/>
      <c r="AF32" s="105"/>
      <c r="AG32" s="105">
        <f>AC32-($C$22/100)</f>
        <v>2.0169999999999999</v>
      </c>
      <c r="AH32" s="56">
        <v>9</v>
      </c>
      <c r="AI32" s="56"/>
    </row>
    <row r="33" spans="2:35" x14ac:dyDescent="0.3">
      <c r="B33" s="11" t="s">
        <v>239</v>
      </c>
      <c r="C33" s="11">
        <f>'Kebutuhan Air Bersih'!G36</f>
        <v>450</v>
      </c>
      <c r="D33" s="11" t="s">
        <v>236</v>
      </c>
      <c r="H33" s="11" t="s">
        <v>239</v>
      </c>
      <c r="I33" s="11">
        <f>'Kebutuhan Air Bersih'!G58</f>
        <v>530</v>
      </c>
      <c r="J33" s="11" t="s">
        <v>236</v>
      </c>
      <c r="N33" s="11" t="s">
        <v>239</v>
      </c>
      <c r="O33" s="11">
        <f>'Kebutuhan Air Bersih'!G79</f>
        <v>530</v>
      </c>
      <c r="P33" s="11" t="s">
        <v>236</v>
      </c>
      <c r="S33" s="106"/>
      <c r="T33" s="56"/>
      <c r="U33" s="56"/>
      <c r="V33" s="56"/>
      <c r="W33" s="56"/>
      <c r="X33" s="56"/>
      <c r="Y33" s="56"/>
      <c r="Z33" s="56"/>
      <c r="AA33" s="56"/>
      <c r="AB33" s="106"/>
      <c r="AC33" s="56"/>
      <c r="AD33" s="56"/>
      <c r="AE33" s="56"/>
      <c r="AF33" s="56"/>
      <c r="AG33" s="56"/>
      <c r="AH33" s="56"/>
      <c r="AI33" s="56"/>
    </row>
    <row r="34" spans="2:35" x14ac:dyDescent="0.3">
      <c r="B34" s="11"/>
      <c r="C34" s="11">
        <f>(C33/1000)/60</f>
        <v>7.5000000000000006E-3</v>
      </c>
      <c r="D34" s="11" t="s">
        <v>194</v>
      </c>
      <c r="H34" s="11"/>
      <c r="I34" s="11">
        <f>(I33/1000)/60</f>
        <v>8.8333333333333337E-3</v>
      </c>
      <c r="J34" s="11" t="s">
        <v>194</v>
      </c>
      <c r="N34" s="11"/>
      <c r="O34" s="11">
        <f>(O33/1000)/60</f>
        <v>8.8333333333333337E-3</v>
      </c>
      <c r="P34" s="11" t="s">
        <v>194</v>
      </c>
      <c r="S34" s="106"/>
      <c r="T34" s="56"/>
      <c r="U34" s="56"/>
      <c r="V34" s="56"/>
      <c r="W34" s="56"/>
      <c r="X34" s="56"/>
      <c r="Y34" s="56"/>
      <c r="Z34" s="56"/>
      <c r="AA34" s="56"/>
      <c r="AB34" s="106"/>
      <c r="AC34" s="56"/>
      <c r="AD34" s="56"/>
      <c r="AE34" s="56"/>
      <c r="AF34" s="56"/>
      <c r="AG34" s="56"/>
      <c r="AH34" s="56"/>
      <c r="AI34" s="56"/>
    </row>
    <row r="35" spans="2:35" x14ac:dyDescent="0.3">
      <c r="B35" s="11" t="s">
        <v>199</v>
      </c>
      <c r="C35" s="11">
        <v>2</v>
      </c>
      <c r="D35" s="11" t="s">
        <v>198</v>
      </c>
      <c r="H35" s="11" t="s">
        <v>199</v>
      </c>
      <c r="I35" s="11">
        <v>2</v>
      </c>
      <c r="J35" s="11" t="s">
        <v>198</v>
      </c>
      <c r="N35" s="11" t="s">
        <v>199</v>
      </c>
      <c r="O35" s="11">
        <v>2</v>
      </c>
      <c r="P35" s="11" t="s">
        <v>198</v>
      </c>
      <c r="S35" s="106"/>
      <c r="T35" s="56" t="s">
        <v>351</v>
      </c>
      <c r="U35" s="56"/>
      <c r="V35" s="56"/>
      <c r="W35" s="56"/>
      <c r="X35" s="56" t="s">
        <v>350</v>
      </c>
      <c r="Y35" s="56"/>
      <c r="Z35" s="56"/>
      <c r="AA35" s="56"/>
      <c r="AB35" s="106"/>
      <c r="AC35" s="56" t="s">
        <v>351</v>
      </c>
      <c r="AD35" s="56"/>
      <c r="AE35" s="56"/>
      <c r="AF35" s="56"/>
      <c r="AG35" s="56" t="s">
        <v>350</v>
      </c>
      <c r="AH35" s="56"/>
      <c r="AI35" s="56"/>
    </row>
    <row r="36" spans="2:35" x14ac:dyDescent="0.3">
      <c r="B36" s="11" t="s">
        <v>126</v>
      </c>
      <c r="C36" s="11">
        <f>SQRT((C34*4)/(C35*3.14))</f>
        <v>6.9116351637613704E-2</v>
      </c>
      <c r="D36" s="11" t="s">
        <v>196</v>
      </c>
      <c r="H36" s="11" t="s">
        <v>126</v>
      </c>
      <c r="I36" s="11">
        <f>SQRT((I34*4)/(I35*3.14))</f>
        <v>7.500884590437705E-2</v>
      </c>
      <c r="J36" s="11" t="s">
        <v>196</v>
      </c>
      <c r="N36" s="11" t="s">
        <v>126</v>
      </c>
      <c r="O36" s="11">
        <f>SQRT((O34*4)/(O35*3.14))</f>
        <v>7.500884590437705E-2</v>
      </c>
      <c r="P36" s="11" t="s">
        <v>196</v>
      </c>
      <c r="S36" s="106">
        <v>4.25</v>
      </c>
      <c r="T36" s="108">
        <f>T32+(S36/10)</f>
        <v>1.4750000000000001</v>
      </c>
      <c r="U36" s="105"/>
      <c r="V36" s="105"/>
      <c r="W36" s="105"/>
      <c r="X36" s="105">
        <f>T36-($C$22/100)</f>
        <v>0.94200000000000017</v>
      </c>
      <c r="Y36" s="56">
        <v>8</v>
      </c>
      <c r="Z36" s="56"/>
      <c r="AA36" s="56"/>
      <c r="AB36" s="106">
        <v>4.25</v>
      </c>
      <c r="AC36" s="108">
        <f>AC32+(AB36/10)</f>
        <v>2.9749999999999996</v>
      </c>
      <c r="AD36" s="105"/>
      <c r="AE36" s="105"/>
      <c r="AF36" s="105"/>
      <c r="AG36" s="105">
        <f>AC36-($C$22/100)</f>
        <v>2.4419999999999997</v>
      </c>
      <c r="AH36" s="56">
        <v>8</v>
      </c>
      <c r="AI36" s="56"/>
    </row>
    <row r="37" spans="2:35" x14ac:dyDescent="0.3">
      <c r="B37" s="11"/>
      <c r="C37" s="11">
        <f>C36*1000</f>
        <v>69.116351637613704</v>
      </c>
      <c r="D37" s="11" t="s">
        <v>197</v>
      </c>
      <c r="H37" s="11"/>
      <c r="I37" s="11">
        <f>I36*1000</f>
        <v>75.008845904377054</v>
      </c>
      <c r="J37" s="11" t="s">
        <v>197</v>
      </c>
      <c r="N37" s="11"/>
      <c r="O37" s="11">
        <f>O36*1000</f>
        <v>75.008845904377054</v>
      </c>
      <c r="P37" s="11" t="s">
        <v>197</v>
      </c>
      <c r="S37" s="106"/>
      <c r="T37" s="56"/>
      <c r="U37" s="56"/>
      <c r="V37" s="56"/>
      <c r="W37" s="56"/>
      <c r="X37" s="56"/>
      <c r="Y37" s="56"/>
      <c r="Z37" s="56"/>
      <c r="AA37" s="56"/>
      <c r="AB37" s="106"/>
      <c r="AC37" s="56"/>
      <c r="AD37" s="56"/>
      <c r="AE37" s="56"/>
      <c r="AF37" s="56"/>
      <c r="AG37" s="56"/>
      <c r="AH37" s="56"/>
      <c r="AI37" s="56"/>
    </row>
    <row r="38" spans="2:35" x14ac:dyDescent="0.3">
      <c r="B38" s="11" t="s">
        <v>235</v>
      </c>
      <c r="C38" s="11">
        <v>75</v>
      </c>
      <c r="D38" s="11" t="s">
        <v>197</v>
      </c>
      <c r="H38" s="11" t="s">
        <v>235</v>
      </c>
      <c r="I38" s="11">
        <v>75</v>
      </c>
      <c r="J38" s="11" t="s">
        <v>197</v>
      </c>
      <c r="N38" s="11" t="s">
        <v>235</v>
      </c>
      <c r="O38" s="11">
        <v>75</v>
      </c>
      <c r="P38" s="11" t="s">
        <v>197</v>
      </c>
      <c r="S38" s="106"/>
      <c r="T38" s="56"/>
      <c r="U38" s="56"/>
      <c r="V38" s="56"/>
      <c r="W38" s="56"/>
      <c r="X38" s="56"/>
      <c r="Y38" s="56"/>
      <c r="Z38" s="56"/>
      <c r="AA38" s="56"/>
      <c r="AB38" s="106"/>
      <c r="AC38" s="56"/>
      <c r="AD38" s="56"/>
      <c r="AE38" s="56"/>
      <c r="AF38" s="56"/>
      <c r="AG38" s="56"/>
      <c r="AH38" s="56"/>
      <c r="AI38" s="56"/>
    </row>
    <row r="39" spans="2:35" x14ac:dyDescent="0.3">
      <c r="B39" s="11" t="s">
        <v>234</v>
      </c>
      <c r="C39" s="11">
        <v>90</v>
      </c>
      <c r="D39" s="11" t="s">
        <v>197</v>
      </c>
      <c r="H39" s="11" t="s">
        <v>234</v>
      </c>
      <c r="I39" s="11">
        <v>90</v>
      </c>
      <c r="J39" s="11" t="s">
        <v>197</v>
      </c>
      <c r="N39" s="11" t="s">
        <v>234</v>
      </c>
      <c r="O39" s="11">
        <v>90</v>
      </c>
      <c r="P39" s="11" t="s">
        <v>197</v>
      </c>
      <c r="S39" s="106"/>
      <c r="T39" s="56" t="s">
        <v>351</v>
      </c>
      <c r="U39" s="56"/>
      <c r="V39" s="56"/>
      <c r="W39" s="56"/>
      <c r="X39" s="56" t="s">
        <v>350</v>
      </c>
      <c r="Y39" s="56"/>
      <c r="Z39" s="56"/>
      <c r="AA39" s="56"/>
      <c r="AB39" s="106"/>
      <c r="AC39" s="56" t="s">
        <v>351</v>
      </c>
      <c r="AD39" s="56"/>
      <c r="AE39" s="56"/>
      <c r="AF39" s="56"/>
      <c r="AG39" s="56" t="s">
        <v>350</v>
      </c>
      <c r="AH39" s="56"/>
      <c r="AI39" s="56"/>
    </row>
    <row r="40" spans="2:35" x14ac:dyDescent="0.3">
      <c r="S40" s="106">
        <v>4.25</v>
      </c>
      <c r="T40" s="108">
        <f>T36+(S40/10)</f>
        <v>1.9000000000000001</v>
      </c>
      <c r="U40" s="105"/>
      <c r="V40" s="105"/>
      <c r="W40" s="105"/>
      <c r="X40" s="105">
        <f>T40-($C$22/100)</f>
        <v>1.3670000000000002</v>
      </c>
      <c r="Y40" s="56">
        <v>7</v>
      </c>
      <c r="Z40" s="56"/>
      <c r="AA40" s="56"/>
      <c r="AB40" s="106">
        <v>4.25</v>
      </c>
      <c r="AC40" s="108">
        <f>AC36+(AB40/10)</f>
        <v>3.3999999999999995</v>
      </c>
      <c r="AD40" s="105"/>
      <c r="AE40" s="105"/>
      <c r="AF40" s="105"/>
      <c r="AG40" s="105">
        <f>AC40-($C$22/100)</f>
        <v>2.8669999999999995</v>
      </c>
      <c r="AH40" s="56">
        <v>7</v>
      </c>
      <c r="AI40" s="56"/>
    </row>
    <row r="41" spans="2:35" x14ac:dyDescent="0.3">
      <c r="B41" s="180" t="s">
        <v>543</v>
      </c>
      <c r="C41" s="180"/>
      <c r="D41" s="180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</row>
    <row r="42" spans="2:35" x14ac:dyDescent="0.3">
      <c r="AA42" s="56"/>
      <c r="AB42" s="56"/>
      <c r="AC42" s="56"/>
      <c r="AD42" s="56"/>
      <c r="AE42" s="56"/>
      <c r="AF42" s="56"/>
      <c r="AG42" s="56"/>
      <c r="AH42" s="56"/>
      <c r="AI42" s="56"/>
    </row>
    <row r="44" spans="2:35" x14ac:dyDescent="0.3">
      <c r="B44" s="189" t="s">
        <v>299</v>
      </c>
      <c r="C44" s="189"/>
      <c r="D44" s="189"/>
      <c r="H44" s="189" t="s">
        <v>300</v>
      </c>
      <c r="I44" s="189"/>
      <c r="J44" s="189"/>
      <c r="N44" s="189" t="s">
        <v>301</v>
      </c>
      <c r="O44" s="189"/>
      <c r="P44" s="189"/>
    </row>
    <row r="45" spans="2:35" x14ac:dyDescent="0.3">
      <c r="B45" s="32" t="s">
        <v>274</v>
      </c>
      <c r="C45" s="32">
        <f>32+11.9+9.4</f>
        <v>53.3</v>
      </c>
      <c r="D45" s="32" t="s">
        <v>196</v>
      </c>
      <c r="H45" s="32" t="s">
        <v>274</v>
      </c>
      <c r="I45" s="32">
        <f>32+11.9+9.4</f>
        <v>53.3</v>
      </c>
      <c r="J45" s="32" t="s">
        <v>196</v>
      </c>
      <c r="N45" s="32" t="s">
        <v>274</v>
      </c>
      <c r="O45" s="32">
        <f>32+11.9+9.4</f>
        <v>53.3</v>
      </c>
      <c r="P45" s="32" t="s">
        <v>196</v>
      </c>
    </row>
    <row r="46" spans="2:35" x14ac:dyDescent="0.3">
      <c r="B46" s="32" t="s">
        <v>352</v>
      </c>
      <c r="C46" s="32">
        <v>9.1999999999999998E-2</v>
      </c>
      <c r="D46" s="32" t="s">
        <v>278</v>
      </c>
      <c r="H46" s="32" t="s">
        <v>352</v>
      </c>
      <c r="I46" s="32">
        <v>9.1999999999999998E-2</v>
      </c>
      <c r="J46" s="32" t="s">
        <v>278</v>
      </c>
      <c r="N46" s="32" t="s">
        <v>352</v>
      </c>
      <c r="O46" s="32">
        <v>9.1999999999999998E-2</v>
      </c>
      <c r="P46" s="32" t="s">
        <v>278</v>
      </c>
    </row>
    <row r="47" spans="2:35" x14ac:dyDescent="0.3">
      <c r="B47" s="204" t="s">
        <v>353</v>
      </c>
      <c r="C47" s="206">
        <f>AB24</f>
        <v>17</v>
      </c>
      <c r="D47" s="176" t="s">
        <v>196</v>
      </c>
      <c r="H47" s="204" t="s">
        <v>353</v>
      </c>
      <c r="I47" s="206">
        <f>AB24</f>
        <v>17</v>
      </c>
      <c r="J47" s="176" t="s">
        <v>196</v>
      </c>
      <c r="N47" s="204" t="s">
        <v>353</v>
      </c>
      <c r="O47" s="206">
        <f>AB24</f>
        <v>17</v>
      </c>
      <c r="P47" s="176" t="s">
        <v>196</v>
      </c>
    </row>
    <row r="48" spans="2:35" x14ac:dyDescent="0.3">
      <c r="B48" s="205"/>
      <c r="C48" s="206"/>
      <c r="D48" s="176"/>
      <c r="H48" s="205"/>
      <c r="I48" s="206"/>
      <c r="J48" s="176"/>
      <c r="N48" s="205"/>
      <c r="O48" s="206"/>
      <c r="P48" s="176"/>
    </row>
    <row r="58" ht="14.4" customHeight="1" x14ac:dyDescent="0.3"/>
  </sheetData>
  <mergeCells count="44">
    <mergeCell ref="B9:D9"/>
    <mergeCell ref="O24:O25"/>
    <mergeCell ref="P24:P25"/>
    <mergeCell ref="B41:D41"/>
    <mergeCell ref="I3:K3"/>
    <mergeCell ref="I4:K4"/>
    <mergeCell ref="B24:B25"/>
    <mergeCell ref="H24:H25"/>
    <mergeCell ref="N24:N25"/>
    <mergeCell ref="C24:C25"/>
    <mergeCell ref="D24:D25"/>
    <mergeCell ref="I24:I25"/>
    <mergeCell ref="J24:J25"/>
    <mergeCell ref="B29:C29"/>
    <mergeCell ref="H29:I29"/>
    <mergeCell ref="N29:O29"/>
    <mergeCell ref="B31:D31"/>
    <mergeCell ref="H31:J31"/>
    <mergeCell ref="N31:P31"/>
    <mergeCell ref="B2:C2"/>
    <mergeCell ref="D2:E2"/>
    <mergeCell ref="B3:C3"/>
    <mergeCell ref="D3:E3"/>
    <mergeCell ref="B7:C7"/>
    <mergeCell ref="H7:I7"/>
    <mergeCell ref="H9:J9"/>
    <mergeCell ref="N7:O7"/>
    <mergeCell ref="N9:P9"/>
    <mergeCell ref="B19:D19"/>
    <mergeCell ref="B21:D21"/>
    <mergeCell ref="H21:J21"/>
    <mergeCell ref="N21:P21"/>
    <mergeCell ref="B44:D44"/>
    <mergeCell ref="H44:J44"/>
    <mergeCell ref="N44:P44"/>
    <mergeCell ref="B47:B48"/>
    <mergeCell ref="C47:C48"/>
    <mergeCell ref="D47:D48"/>
    <mergeCell ref="H47:H48"/>
    <mergeCell ref="I47:I48"/>
    <mergeCell ref="J47:J48"/>
    <mergeCell ref="N47:N48"/>
    <mergeCell ref="O47:O48"/>
    <mergeCell ref="P47:P4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ACA02-92C4-4E98-AF42-35227B83938E}">
  <sheetPr>
    <tabColor rgb="FFFF0000"/>
  </sheetPr>
  <dimension ref="A2:I53"/>
  <sheetViews>
    <sheetView topLeftCell="C16" workbookViewId="0">
      <selection activeCell="D17" sqref="D17"/>
    </sheetView>
  </sheetViews>
  <sheetFormatPr defaultRowHeight="14.4" x14ac:dyDescent="0.3"/>
  <cols>
    <col min="3" max="3" width="37.77734375" customWidth="1"/>
    <col min="4" max="4" width="31.44140625" style="5" customWidth="1"/>
    <col min="5" max="5" width="30.88671875" style="5" customWidth="1"/>
    <col min="6" max="6" width="13.33203125" style="5" customWidth="1"/>
  </cols>
  <sheetData>
    <row r="2" spans="2:9" x14ac:dyDescent="0.3">
      <c r="B2" s="69" t="s">
        <v>2</v>
      </c>
      <c r="C2" s="69" t="s">
        <v>305</v>
      </c>
      <c r="D2" s="70" t="s">
        <v>83</v>
      </c>
      <c r="E2" s="70" t="s">
        <v>84</v>
      </c>
      <c r="F2" s="70" t="s">
        <v>342</v>
      </c>
    </row>
    <row r="3" spans="2:9" x14ac:dyDescent="0.3">
      <c r="B3" s="71" t="s">
        <v>123</v>
      </c>
      <c r="C3" s="207" t="s">
        <v>306</v>
      </c>
      <c r="D3" s="208"/>
      <c r="E3" s="208"/>
      <c r="F3" s="209"/>
    </row>
    <row r="4" spans="2:9" x14ac:dyDescent="0.3">
      <c r="B4" s="35">
        <v>1</v>
      </c>
      <c r="C4" s="32" t="s">
        <v>307</v>
      </c>
      <c r="D4" s="1">
        <v>700</v>
      </c>
      <c r="E4" s="1">
        <f>'Kebutuhan Air Bersih'!C4</f>
        <v>625</v>
      </c>
      <c r="F4" s="1" t="s">
        <v>289</v>
      </c>
    </row>
    <row r="5" spans="2:9" x14ac:dyDescent="0.3">
      <c r="B5" s="35">
        <v>2</v>
      </c>
      <c r="C5" s="32" t="s">
        <v>308</v>
      </c>
      <c r="D5" s="1">
        <v>950</v>
      </c>
      <c r="E5" s="1">
        <f>'Kebutuhan Air Bersih'!C24</f>
        <v>970</v>
      </c>
      <c r="F5" s="1" t="s">
        <v>96</v>
      </c>
    </row>
    <row r="6" spans="2:9" x14ac:dyDescent="0.3">
      <c r="B6" s="35">
        <v>3</v>
      </c>
      <c r="C6" s="32" t="s">
        <v>309</v>
      </c>
      <c r="D6" s="1">
        <v>1240</v>
      </c>
      <c r="E6" s="1">
        <f>'Kebutuhan Air Bersih'!C46</f>
        <v>1230</v>
      </c>
      <c r="F6" s="1" t="s">
        <v>96</v>
      </c>
    </row>
    <row r="7" spans="2:9" x14ac:dyDescent="0.3">
      <c r="B7" s="35">
        <v>4</v>
      </c>
      <c r="C7" s="32" t="s">
        <v>310</v>
      </c>
      <c r="D7" s="1">
        <v>1250</v>
      </c>
      <c r="E7" s="1">
        <f>'Kebutuhan Air Bersih'!C67</f>
        <v>1250</v>
      </c>
      <c r="F7" s="1" t="s">
        <v>96</v>
      </c>
    </row>
    <row r="8" spans="2:9" x14ac:dyDescent="0.3">
      <c r="B8" s="35">
        <v>5</v>
      </c>
      <c r="C8" s="32" t="s">
        <v>311</v>
      </c>
      <c r="D8" s="1">
        <v>125</v>
      </c>
      <c r="E8" s="1">
        <f>'Kebutuhan Air Bersih'!C89</f>
        <v>115</v>
      </c>
      <c r="F8" s="1" t="s">
        <v>96</v>
      </c>
    </row>
    <row r="9" spans="2:9" x14ac:dyDescent="0.3">
      <c r="B9" s="35">
        <v>6</v>
      </c>
      <c r="C9" s="32" t="s">
        <v>312</v>
      </c>
      <c r="D9" s="1">
        <v>70</v>
      </c>
      <c r="E9" s="1">
        <f>'Kebutuhan Air Bersih'!C109</f>
        <v>65</v>
      </c>
      <c r="F9" s="1" t="s">
        <v>96</v>
      </c>
    </row>
    <row r="10" spans="2:9" x14ac:dyDescent="0.3">
      <c r="B10" s="35">
        <v>7</v>
      </c>
      <c r="C10" s="32" t="s">
        <v>313</v>
      </c>
      <c r="D10" s="1">
        <f>SUM(D4:D9)</f>
        <v>4335</v>
      </c>
      <c r="E10" s="1">
        <f>'Volume GWT'!E23</f>
        <v>4255</v>
      </c>
      <c r="F10" s="1" t="s">
        <v>96</v>
      </c>
    </row>
    <row r="11" spans="2:9" x14ac:dyDescent="0.3">
      <c r="B11" s="35">
        <v>8</v>
      </c>
      <c r="C11" s="32" t="s">
        <v>314</v>
      </c>
      <c r="D11" s="1">
        <v>600</v>
      </c>
      <c r="E11" s="46">
        <f>'Volume GWT'!B45</f>
        <v>567.33333333333348</v>
      </c>
      <c r="F11" s="46" t="s">
        <v>134</v>
      </c>
    </row>
    <row r="12" spans="2:9" x14ac:dyDescent="0.3">
      <c r="B12" s="35">
        <v>9</v>
      </c>
      <c r="C12" s="32" t="s">
        <v>315</v>
      </c>
      <c r="D12" s="1">
        <v>30</v>
      </c>
      <c r="E12" s="1">
        <f>'Volume RT'!C38</f>
        <v>20</v>
      </c>
      <c r="F12" s="46" t="s">
        <v>134</v>
      </c>
    </row>
    <row r="13" spans="2:9" x14ac:dyDescent="0.3">
      <c r="B13" s="35">
        <v>10</v>
      </c>
      <c r="C13" s="32" t="s">
        <v>316</v>
      </c>
      <c r="D13" s="1">
        <v>30</v>
      </c>
      <c r="E13" s="1">
        <f>'Volume RT'!G38</f>
        <v>23</v>
      </c>
      <c r="F13" s="46" t="s">
        <v>134</v>
      </c>
    </row>
    <row r="14" spans="2:9" x14ac:dyDescent="0.3">
      <c r="B14" s="35">
        <v>11</v>
      </c>
      <c r="C14" s="32" t="s">
        <v>317</v>
      </c>
      <c r="D14" s="1">
        <v>30</v>
      </c>
      <c r="E14" s="1">
        <f>'Volume RT'!K38</f>
        <v>37</v>
      </c>
      <c r="F14" s="46" t="s">
        <v>134</v>
      </c>
    </row>
    <row r="15" spans="2:9" x14ac:dyDescent="0.3">
      <c r="B15" s="35">
        <v>12</v>
      </c>
      <c r="C15" s="32" t="s">
        <v>318</v>
      </c>
      <c r="D15" s="1" t="s">
        <v>354</v>
      </c>
      <c r="E15" s="68" t="str">
        <f>"Kap : "&amp;$H$15&amp;" lpm, Head : "&amp;$I$15&amp;" m"</f>
        <v>Kap : 1035 lpm, Head : 59 m</v>
      </c>
      <c r="F15" s="1" t="s">
        <v>577</v>
      </c>
      <c r="H15">
        <f>'Pompa Transfer'!C16</f>
        <v>1035</v>
      </c>
      <c r="I15" s="50">
        <f>ROUND('Pompa Transfer'!C55,0)</f>
        <v>59</v>
      </c>
    </row>
    <row r="16" spans="2:9" x14ac:dyDescent="0.3">
      <c r="B16" s="35">
        <v>13</v>
      </c>
      <c r="C16" s="32" t="s">
        <v>319</v>
      </c>
      <c r="D16" s="1" t="s">
        <v>356</v>
      </c>
      <c r="E16" s="68" t="str">
        <f>"Kap : "&amp;$H$16&amp;" lpm, Head : "&amp;$I$16&amp;" m"</f>
        <v>Kap : 1230 lpm, Head : 59 m</v>
      </c>
      <c r="F16" s="1"/>
      <c r="H16">
        <f>'Pompa Transfer'!J16</f>
        <v>1230</v>
      </c>
      <c r="I16" s="50">
        <f>ROUND('Pompa Transfer'!J55,0)</f>
        <v>59</v>
      </c>
    </row>
    <row r="17" spans="2:9" x14ac:dyDescent="0.3">
      <c r="B17" s="35">
        <v>14</v>
      </c>
      <c r="C17" s="32" t="s">
        <v>320</v>
      </c>
      <c r="D17" s="1" t="s">
        <v>578</v>
      </c>
      <c r="E17" s="68" t="str">
        <f>"Kap : "&amp;$H$17&amp;" lpm, Head : "&amp;$I$17&amp;" m"</f>
        <v>Kap : 1990 lpm, Head : 60 m</v>
      </c>
      <c r="F17" s="1"/>
      <c r="H17">
        <f>'Pompa Transfer'!Q16</f>
        <v>1990</v>
      </c>
      <c r="I17" s="50">
        <f>ROUND('Pompa Transfer'!Q55,0)</f>
        <v>60</v>
      </c>
    </row>
    <row r="18" spans="2:9" x14ac:dyDescent="0.3">
      <c r="B18" s="35">
        <v>15</v>
      </c>
      <c r="C18" s="32" t="s">
        <v>321</v>
      </c>
      <c r="D18" s="1" t="s">
        <v>357</v>
      </c>
      <c r="E18" s="68" t="str">
        <f>"Kap : "&amp;$H$18&amp;" lpm, Head : "&amp;$I$18&amp;" m"</f>
        <v>Kap : 760 lpm, Head : 17 m</v>
      </c>
      <c r="F18" s="68"/>
      <c r="H18">
        <f>'Pompa Booster'!C11</f>
        <v>760</v>
      </c>
      <c r="I18" s="50">
        <f>ROUND('Pompa Booster'!C24,0)</f>
        <v>17</v>
      </c>
    </row>
    <row r="19" spans="2:9" x14ac:dyDescent="0.3">
      <c r="B19" s="35">
        <v>16</v>
      </c>
      <c r="C19" s="32" t="s">
        <v>322</v>
      </c>
      <c r="D19" s="1" t="s">
        <v>358</v>
      </c>
      <c r="E19" s="68" t="str">
        <f>"Kap : "&amp;$H$19&amp;" lpm, Head : "&amp;$I$19&amp;" m"</f>
        <v>Kap : 827 lpm, Head : 17 m</v>
      </c>
      <c r="F19" s="68"/>
      <c r="H19">
        <f>'Pompa Booster'!I11</f>
        <v>827</v>
      </c>
      <c r="I19" s="50">
        <f>ROUND('Pompa Booster'!I24,0)</f>
        <v>17</v>
      </c>
    </row>
    <row r="20" spans="2:9" x14ac:dyDescent="0.3">
      <c r="B20" s="35">
        <v>17</v>
      </c>
      <c r="C20" s="32" t="s">
        <v>323</v>
      </c>
      <c r="D20" s="1" t="s">
        <v>362</v>
      </c>
      <c r="E20" s="68" t="str">
        <f>"Kap : "&amp;$H$20&amp;" lpm, Head : "&amp;$I$20&amp;" m"</f>
        <v>Kap : 860 lpm, Head : 17 m</v>
      </c>
      <c r="F20" s="68"/>
      <c r="H20">
        <f>'Pompa Booster'!O11</f>
        <v>860</v>
      </c>
      <c r="I20" s="50">
        <f>ROUND('Pompa Booster'!O24,0)</f>
        <v>17</v>
      </c>
    </row>
    <row r="21" spans="2:9" x14ac:dyDescent="0.3">
      <c r="B21" s="71" t="s">
        <v>124</v>
      </c>
      <c r="C21" s="207" t="s">
        <v>341</v>
      </c>
      <c r="D21" s="208"/>
      <c r="E21" s="208"/>
      <c r="F21" s="209"/>
    </row>
    <row r="22" spans="2:9" x14ac:dyDescent="0.3">
      <c r="B22" s="35">
        <v>1</v>
      </c>
      <c r="C22" s="32" t="s">
        <v>324</v>
      </c>
      <c r="D22" s="1">
        <v>300</v>
      </c>
      <c r="E22" s="1">
        <f>'Volume GWT'!D49</f>
        <v>400</v>
      </c>
      <c r="F22" s="1" t="s">
        <v>96</v>
      </c>
    </row>
    <row r="23" spans="2:9" x14ac:dyDescent="0.3">
      <c r="B23" s="35">
        <v>2</v>
      </c>
      <c r="C23" s="32" t="s">
        <v>325</v>
      </c>
      <c r="D23" s="1">
        <v>700</v>
      </c>
      <c r="E23" s="1">
        <f>'Volume GWT'!D50</f>
        <v>690</v>
      </c>
      <c r="F23" s="1" t="s">
        <v>96</v>
      </c>
    </row>
    <row r="24" spans="2:9" x14ac:dyDescent="0.3">
      <c r="B24" s="35">
        <v>3</v>
      </c>
      <c r="C24" s="32" t="s">
        <v>326</v>
      </c>
      <c r="D24" s="1">
        <v>850</v>
      </c>
      <c r="E24" s="1">
        <f>'Volume GWT'!D51</f>
        <v>850</v>
      </c>
      <c r="F24" s="1" t="s">
        <v>96</v>
      </c>
    </row>
    <row r="25" spans="2:9" x14ac:dyDescent="0.3">
      <c r="B25" s="35">
        <v>4</v>
      </c>
      <c r="C25" s="32" t="s">
        <v>327</v>
      </c>
      <c r="D25" s="1">
        <v>850</v>
      </c>
      <c r="E25" s="1">
        <f>'Volume GWT'!D52</f>
        <v>825</v>
      </c>
      <c r="F25" s="1" t="s">
        <v>96</v>
      </c>
    </row>
    <row r="26" spans="2:9" x14ac:dyDescent="0.3">
      <c r="B26" s="35">
        <v>5</v>
      </c>
      <c r="C26" s="32" t="s">
        <v>328</v>
      </c>
      <c r="D26" s="1">
        <v>130</v>
      </c>
      <c r="E26" s="1">
        <f>'Volume GWT'!D53</f>
        <v>125</v>
      </c>
      <c r="F26" s="1" t="s">
        <v>96</v>
      </c>
    </row>
    <row r="27" spans="2:9" x14ac:dyDescent="0.3">
      <c r="B27" s="35">
        <v>6</v>
      </c>
      <c r="C27" s="32" t="s">
        <v>329</v>
      </c>
      <c r="D27" s="1">
        <v>110</v>
      </c>
      <c r="E27" s="1">
        <f>'Volume GWT'!D54</f>
        <v>110</v>
      </c>
      <c r="F27" s="1" t="s">
        <v>96</v>
      </c>
    </row>
    <row r="28" spans="2:9" x14ac:dyDescent="0.3">
      <c r="B28" s="35">
        <v>7</v>
      </c>
      <c r="C28" s="32" t="s">
        <v>330</v>
      </c>
      <c r="D28" s="1">
        <f>SUM(D22:D27)</f>
        <v>2940</v>
      </c>
      <c r="E28" s="1">
        <f>SUM(E22:E27)</f>
        <v>3000</v>
      </c>
      <c r="F28" s="1" t="s">
        <v>96</v>
      </c>
    </row>
    <row r="29" spans="2:9" x14ac:dyDescent="0.3">
      <c r="B29" s="35">
        <v>8</v>
      </c>
      <c r="C29" s="32" t="s">
        <v>331</v>
      </c>
      <c r="D29" s="1">
        <v>400</v>
      </c>
      <c r="E29" s="1">
        <f>'Volume GWT'!B68</f>
        <v>400</v>
      </c>
      <c r="F29" s="1" t="s">
        <v>134</v>
      </c>
    </row>
    <row r="30" spans="2:9" x14ac:dyDescent="0.3">
      <c r="B30" s="35">
        <v>9</v>
      </c>
      <c r="C30" s="32" t="s">
        <v>332</v>
      </c>
      <c r="D30" s="1">
        <v>30</v>
      </c>
      <c r="E30" s="1">
        <f>'Volume RT'!C73</f>
        <v>15</v>
      </c>
      <c r="F30" s="46" t="s">
        <v>134</v>
      </c>
    </row>
    <row r="31" spans="2:9" x14ac:dyDescent="0.3">
      <c r="B31" s="35">
        <v>10</v>
      </c>
      <c r="C31" s="32" t="s">
        <v>333</v>
      </c>
      <c r="D31" s="1">
        <v>30</v>
      </c>
      <c r="E31" s="1">
        <f>'Volume RT'!G73</f>
        <v>16</v>
      </c>
      <c r="F31" s="46" t="s">
        <v>134</v>
      </c>
    </row>
    <row r="32" spans="2:9" x14ac:dyDescent="0.3">
      <c r="B32" s="35">
        <v>11</v>
      </c>
      <c r="C32" s="32" t="s">
        <v>334</v>
      </c>
      <c r="D32" s="1">
        <v>30</v>
      </c>
      <c r="E32" s="1">
        <f>'Volume RT'!K73</f>
        <v>26</v>
      </c>
      <c r="F32" s="46" t="s">
        <v>134</v>
      </c>
    </row>
    <row r="33" spans="1:9" x14ac:dyDescent="0.3">
      <c r="B33" s="35">
        <v>12</v>
      </c>
      <c r="C33" s="32" t="s">
        <v>335</v>
      </c>
      <c r="D33" s="1"/>
      <c r="E33" s="68" t="str">
        <f>"Kap : "&amp;$H$33&amp;" lpm, Head : "&amp;$I$33&amp;" m"</f>
        <v>Kap : 800 lpm, Head : 60 m</v>
      </c>
      <c r="F33" s="1"/>
      <c r="H33">
        <f>'Pompa Transfer'!C62</f>
        <v>800</v>
      </c>
      <c r="I33" s="50">
        <f>ROUND('Pompa Transfer'!C101,0)</f>
        <v>60</v>
      </c>
    </row>
    <row r="34" spans="1:9" x14ac:dyDescent="0.3">
      <c r="B34" s="35">
        <v>13</v>
      </c>
      <c r="C34" s="32" t="s">
        <v>336</v>
      </c>
      <c r="D34" s="1" t="s">
        <v>361</v>
      </c>
      <c r="E34" s="68" t="str">
        <f>"Kap : "&amp;$H$34&amp;" lpm, Head : "&amp;$I$34&amp;" m"</f>
        <v>Kap : 850 lpm, Head : 59 m</v>
      </c>
      <c r="F34" s="1"/>
      <c r="H34">
        <f>'Pompa Transfer'!J62</f>
        <v>850</v>
      </c>
      <c r="I34" s="50">
        <f>ROUND('Pompa Transfer'!J101,0)</f>
        <v>59</v>
      </c>
    </row>
    <row r="35" spans="1:9" x14ac:dyDescent="0.3">
      <c r="B35" s="35">
        <v>14</v>
      </c>
      <c r="C35" s="32" t="s">
        <v>337</v>
      </c>
      <c r="D35" s="1"/>
      <c r="E35" s="68" t="str">
        <f>"Kap : "&amp;$H$35&amp;" lpm, Head : "&amp;$I$35&amp;" m"</f>
        <v>Kap : 1350 lpm, Head : 58 m</v>
      </c>
      <c r="F35" s="1"/>
      <c r="H35">
        <f>'Pompa Transfer'!Q62</f>
        <v>1350</v>
      </c>
      <c r="I35" s="50">
        <f>ROUND('Pompa Transfer'!Q101,0)</f>
        <v>58</v>
      </c>
    </row>
    <row r="36" spans="1:9" x14ac:dyDescent="0.3">
      <c r="B36" s="35">
        <v>15</v>
      </c>
      <c r="C36" s="32" t="s">
        <v>338</v>
      </c>
      <c r="D36" s="1" t="s">
        <v>355</v>
      </c>
      <c r="E36" s="68" t="str">
        <f>"Kap : "&amp;$H$36&amp;" lpm, Head : "&amp;$I$36&amp;" m"</f>
        <v>Kap : 450 lpm, Head : 17 m</v>
      </c>
      <c r="F36" s="1"/>
      <c r="H36">
        <f>'Pompa Booster'!C33</f>
        <v>450</v>
      </c>
      <c r="I36" s="50">
        <f>ROUND('Pompa Booster'!C47,0)</f>
        <v>17</v>
      </c>
    </row>
    <row r="37" spans="1:9" x14ac:dyDescent="0.3">
      <c r="B37" s="35">
        <v>16</v>
      </c>
      <c r="C37" s="32" t="s">
        <v>339</v>
      </c>
      <c r="D37" s="1" t="s">
        <v>359</v>
      </c>
      <c r="E37" s="68" t="str">
        <f>"Kap : "&amp;$H$37&amp;" lpm, Head : "&amp;$I$37&amp;" m"</f>
        <v>Kap : 530 lpm, Head : 17 m</v>
      </c>
      <c r="F37" s="1"/>
      <c r="H37">
        <f>'Pompa Booster'!I33</f>
        <v>530</v>
      </c>
      <c r="I37" s="50">
        <f>ROUND('Pompa Booster'!I47,0)</f>
        <v>17</v>
      </c>
    </row>
    <row r="38" spans="1:9" x14ac:dyDescent="0.3">
      <c r="B38" s="35">
        <v>17</v>
      </c>
      <c r="C38" s="32" t="s">
        <v>340</v>
      </c>
      <c r="D38" s="1" t="s">
        <v>360</v>
      </c>
      <c r="E38" s="68" t="str">
        <f>"Kap : "&amp;$H$38&amp;" lpm, Head : "&amp;$I$38&amp;" m"</f>
        <v>Kap : 530 lpm, Head : 17 m</v>
      </c>
      <c r="F38" s="1"/>
      <c r="H38">
        <f>'Pompa Booster'!O33</f>
        <v>530</v>
      </c>
      <c r="I38" s="50">
        <f>ROUND('Pompa Booster'!O47,0)</f>
        <v>17</v>
      </c>
    </row>
    <row r="42" spans="1:9" x14ac:dyDescent="0.3">
      <c r="A42" s="56"/>
      <c r="B42" s="56"/>
      <c r="C42" s="56"/>
      <c r="D42" s="124"/>
      <c r="E42" s="124"/>
      <c r="F42" s="124"/>
    </row>
    <row r="43" spans="1:9" x14ac:dyDescent="0.3">
      <c r="A43" s="56"/>
      <c r="B43" s="18" t="s">
        <v>2</v>
      </c>
      <c r="C43" s="18" t="s">
        <v>305</v>
      </c>
      <c r="D43" s="123" t="s">
        <v>83</v>
      </c>
      <c r="E43" s="123" t="s">
        <v>84</v>
      </c>
      <c r="F43" s="56"/>
    </row>
    <row r="44" spans="1:9" x14ac:dyDescent="0.3">
      <c r="A44" s="56"/>
      <c r="B44" s="18" t="s">
        <v>123</v>
      </c>
      <c r="C44" s="210" t="s">
        <v>306</v>
      </c>
      <c r="D44" s="211"/>
      <c r="E44" s="212"/>
      <c r="F44" s="56"/>
    </row>
    <row r="45" spans="1:9" x14ac:dyDescent="0.3">
      <c r="A45" s="56"/>
      <c r="B45" s="35">
        <v>1</v>
      </c>
      <c r="C45" s="32" t="s">
        <v>321</v>
      </c>
      <c r="D45" s="1" t="s">
        <v>357</v>
      </c>
      <c r="E45" s="68" t="str">
        <f>"Kap : "&amp;$H$18&amp;" lpm, Head : "&amp;$I$18&amp;" m"</f>
        <v>Kap : 760 lpm, Head : 17 m</v>
      </c>
      <c r="F45" s="56"/>
    </row>
    <row r="46" spans="1:9" x14ac:dyDescent="0.3">
      <c r="A46" s="56"/>
      <c r="B46" s="35">
        <v>2</v>
      </c>
      <c r="C46" s="32" t="s">
        <v>322</v>
      </c>
      <c r="D46" s="1" t="s">
        <v>358</v>
      </c>
      <c r="E46" s="68" t="str">
        <f>"Kap : "&amp;$H$19&amp;" lpm, Head : "&amp;$I$19&amp;" m"</f>
        <v>Kap : 827 lpm, Head : 17 m</v>
      </c>
      <c r="F46" s="124"/>
    </row>
    <row r="47" spans="1:9" x14ac:dyDescent="0.3">
      <c r="A47" s="56"/>
      <c r="B47" s="35">
        <v>3</v>
      </c>
      <c r="C47" s="32" t="s">
        <v>323</v>
      </c>
      <c r="D47" s="1" t="s">
        <v>362</v>
      </c>
      <c r="E47" s="68" t="str">
        <f>"Kap : "&amp;$H$20&amp;" lpm, Head : "&amp;$I$20&amp;" m"</f>
        <v>Kap : 860 lpm, Head : 17 m</v>
      </c>
      <c r="F47" s="124"/>
    </row>
    <row r="48" spans="1:9" x14ac:dyDescent="0.3">
      <c r="A48" s="56"/>
      <c r="B48" s="18" t="s">
        <v>124</v>
      </c>
      <c r="C48" s="210" t="s">
        <v>341</v>
      </c>
      <c r="D48" s="211"/>
      <c r="E48" s="212"/>
      <c r="F48" s="56"/>
    </row>
    <row r="49" spans="1:6" x14ac:dyDescent="0.3">
      <c r="A49" s="56"/>
      <c r="B49" s="35">
        <v>1</v>
      </c>
      <c r="C49" s="32" t="s">
        <v>338</v>
      </c>
      <c r="D49" s="1" t="s">
        <v>355</v>
      </c>
      <c r="E49" s="68" t="str">
        <f>"Kap : "&amp;$H$36&amp;" lpm, Head : "&amp;$I$36&amp;" m"</f>
        <v>Kap : 450 lpm, Head : 17 m</v>
      </c>
      <c r="F49" s="124"/>
    </row>
    <row r="50" spans="1:6" x14ac:dyDescent="0.3">
      <c r="A50" s="56"/>
      <c r="B50" s="35">
        <v>2</v>
      </c>
      <c r="C50" s="32" t="s">
        <v>339</v>
      </c>
      <c r="D50" s="1" t="s">
        <v>359</v>
      </c>
      <c r="E50" s="68" t="str">
        <f>"Kap : "&amp;$H$37&amp;" lpm, Head : "&amp;$I$37&amp;" m"</f>
        <v>Kap : 530 lpm, Head : 17 m</v>
      </c>
      <c r="F50" s="124"/>
    </row>
    <row r="51" spans="1:6" x14ac:dyDescent="0.3">
      <c r="A51" s="56"/>
      <c r="B51" s="35">
        <v>3</v>
      </c>
      <c r="C51" s="32" t="s">
        <v>340</v>
      </c>
      <c r="D51" s="1" t="s">
        <v>360</v>
      </c>
      <c r="E51" s="68" t="str">
        <f>"Kap : "&amp;$H$38&amp;" lpm, Head : "&amp;$I$38&amp;" m"</f>
        <v>Kap : 530 lpm, Head : 17 m</v>
      </c>
      <c r="F51" s="124"/>
    </row>
    <row r="52" spans="1:6" x14ac:dyDescent="0.3">
      <c r="A52" s="56"/>
      <c r="B52" s="56"/>
      <c r="C52" s="56"/>
      <c r="D52" s="124"/>
      <c r="E52" s="124"/>
      <c r="F52" s="124"/>
    </row>
    <row r="53" spans="1:6" x14ac:dyDescent="0.3">
      <c r="A53" s="56"/>
      <c r="B53" s="56"/>
      <c r="C53" s="56"/>
      <c r="D53" s="124"/>
      <c r="E53" s="124"/>
      <c r="F53" s="124"/>
    </row>
  </sheetData>
  <mergeCells count="4">
    <mergeCell ref="C3:F3"/>
    <mergeCell ref="C21:F21"/>
    <mergeCell ref="C44:E44"/>
    <mergeCell ref="C48:E48"/>
  </mergeCells>
  <phoneticPr fontId="8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9F751-4902-4871-A489-3CDFF9D0D6F5}">
  <sheetPr>
    <tabColor rgb="FF00B0F0"/>
  </sheetPr>
  <dimension ref="A3:M242"/>
  <sheetViews>
    <sheetView zoomScale="69" zoomScaleNormal="69" zoomScaleSheetLayoutView="9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91" sqref="I91"/>
    </sheetView>
  </sheetViews>
  <sheetFormatPr defaultRowHeight="14.4" x14ac:dyDescent="0.3"/>
  <cols>
    <col min="1" max="1" width="4.6640625" style="9" bestFit="1" customWidth="1"/>
    <col min="3" max="3" width="28" customWidth="1"/>
    <col min="4" max="4" width="16" customWidth="1"/>
    <col min="5" max="5" width="16.109375" customWidth="1"/>
    <col min="6" max="6" width="15.109375" customWidth="1"/>
    <col min="7" max="7" width="14.33203125" customWidth="1"/>
    <col min="8" max="8" width="13.88671875" customWidth="1"/>
    <col min="9" max="9" width="14" style="5" bestFit="1" customWidth="1"/>
    <col min="10" max="10" width="32.44140625" customWidth="1"/>
    <col min="11" max="11" width="14.33203125" customWidth="1"/>
    <col min="12" max="12" width="13.88671875" customWidth="1"/>
    <col min="13" max="13" width="14" style="5" customWidth="1"/>
    <col min="14" max="14" width="11.33203125" customWidth="1"/>
  </cols>
  <sheetData>
    <row r="3" spans="1:13" x14ac:dyDescent="0.3">
      <c r="A3" s="10" t="s">
        <v>0</v>
      </c>
      <c r="B3" s="8" t="s">
        <v>47</v>
      </c>
      <c r="C3" s="6"/>
      <c r="D3" s="6"/>
      <c r="E3" s="6"/>
      <c r="F3" s="150"/>
      <c r="G3" s="150"/>
      <c r="H3" s="150"/>
      <c r="I3" s="150"/>
      <c r="M3"/>
    </row>
    <row r="4" spans="1:13" ht="28.8" x14ac:dyDescent="0.3">
      <c r="B4" s="13" t="s">
        <v>2</v>
      </c>
      <c r="C4" s="13" t="s">
        <v>8</v>
      </c>
      <c r="D4" s="13" t="s">
        <v>7</v>
      </c>
      <c r="E4" s="19" t="s">
        <v>79</v>
      </c>
      <c r="F4" s="13" t="s">
        <v>87</v>
      </c>
      <c r="G4" s="13" t="s">
        <v>91</v>
      </c>
      <c r="H4" s="13" t="s">
        <v>78</v>
      </c>
      <c r="I4" s="19" t="s">
        <v>81</v>
      </c>
      <c r="M4"/>
    </row>
    <row r="5" spans="1:13" x14ac:dyDescent="0.3">
      <c r="B5" s="155" t="s">
        <v>11</v>
      </c>
      <c r="C5" s="156"/>
      <c r="D5" s="12"/>
      <c r="E5" s="12"/>
      <c r="F5" s="15"/>
      <c r="G5" s="16"/>
      <c r="H5" s="16"/>
      <c r="I5" s="1"/>
      <c r="M5"/>
    </row>
    <row r="6" spans="1:13" x14ac:dyDescent="0.3">
      <c r="B6" s="2">
        <v>1</v>
      </c>
      <c r="C6" s="3" t="s">
        <v>5</v>
      </c>
      <c r="D6" s="2">
        <f>1+1+1*3+1+1+1</f>
        <v>8</v>
      </c>
      <c r="E6" s="20"/>
      <c r="F6" s="2">
        <v>4</v>
      </c>
      <c r="G6" s="14">
        <f>D6*F6</f>
        <v>32</v>
      </c>
      <c r="H6" s="14"/>
      <c r="I6" s="21"/>
      <c r="M6"/>
    </row>
    <row r="7" spans="1:13" x14ac:dyDescent="0.3">
      <c r="B7" s="1">
        <v>2</v>
      </c>
      <c r="C7" s="7" t="s">
        <v>9</v>
      </c>
      <c r="D7" s="1">
        <f>1+1+1*3+1+1+1</f>
        <v>8</v>
      </c>
      <c r="E7" s="21"/>
      <c r="F7" s="1">
        <v>2</v>
      </c>
      <c r="G7" s="11">
        <f t="shared" ref="G7:G14" si="0">D7*F7</f>
        <v>16</v>
      </c>
      <c r="H7" s="11"/>
      <c r="I7" s="21"/>
      <c r="M7"/>
    </row>
    <row r="8" spans="1:13" x14ac:dyDescent="0.3">
      <c r="B8" s="1">
        <v>3</v>
      </c>
      <c r="C8" s="7" t="s">
        <v>4</v>
      </c>
      <c r="D8" s="1">
        <f>6+1+1+1*3+1+1+2+1+1+1+2+1</f>
        <v>21</v>
      </c>
      <c r="E8" s="21">
        <v>20</v>
      </c>
      <c r="F8" s="1">
        <v>1</v>
      </c>
      <c r="G8" s="11">
        <f t="shared" si="0"/>
        <v>21</v>
      </c>
      <c r="H8" s="11"/>
      <c r="I8" s="21"/>
      <c r="M8"/>
    </row>
    <row r="9" spans="1:13" x14ac:dyDescent="0.3">
      <c r="B9" s="1">
        <v>4</v>
      </c>
      <c r="C9" s="7" t="s">
        <v>3</v>
      </c>
      <c r="D9" s="1">
        <f>1+1</f>
        <v>2</v>
      </c>
      <c r="E9" s="21">
        <v>2</v>
      </c>
      <c r="F9" s="1">
        <v>2</v>
      </c>
      <c r="G9" s="11">
        <f t="shared" si="0"/>
        <v>4</v>
      </c>
      <c r="H9" s="11"/>
      <c r="I9" s="21"/>
      <c r="M9"/>
    </row>
    <row r="10" spans="1:13" x14ac:dyDescent="0.3">
      <c r="B10" s="1">
        <v>5</v>
      </c>
      <c r="C10" s="7" t="s">
        <v>10</v>
      </c>
      <c r="D10" s="1">
        <f>1+1</f>
        <v>2</v>
      </c>
      <c r="E10" s="21">
        <v>2</v>
      </c>
      <c r="F10" s="1">
        <v>2</v>
      </c>
      <c r="G10" s="11">
        <f t="shared" si="0"/>
        <v>4</v>
      </c>
      <c r="H10" s="11"/>
      <c r="I10" s="21"/>
      <c r="M10"/>
    </row>
    <row r="11" spans="1:13" x14ac:dyDescent="0.3">
      <c r="B11" s="1">
        <v>6</v>
      </c>
      <c r="C11" s="65" t="s">
        <v>19</v>
      </c>
      <c r="D11" s="1">
        <f>1+2+1</f>
        <v>4</v>
      </c>
      <c r="E11" s="21">
        <v>4</v>
      </c>
      <c r="F11" s="1">
        <v>6</v>
      </c>
      <c r="G11" s="11">
        <f t="shared" si="0"/>
        <v>24</v>
      </c>
      <c r="H11" s="11"/>
      <c r="I11" s="21"/>
      <c r="M11"/>
    </row>
    <row r="12" spans="1:13" x14ac:dyDescent="0.3">
      <c r="B12" s="1">
        <v>7</v>
      </c>
      <c r="C12" s="65" t="s">
        <v>20</v>
      </c>
      <c r="D12" s="1">
        <v>6</v>
      </c>
      <c r="E12" s="21">
        <v>6</v>
      </c>
      <c r="F12" s="1">
        <v>3</v>
      </c>
      <c r="G12" s="11">
        <f t="shared" si="0"/>
        <v>18</v>
      </c>
      <c r="H12" s="11"/>
      <c r="I12" s="21"/>
      <c r="M12"/>
    </row>
    <row r="13" spans="1:13" x14ac:dyDescent="0.3">
      <c r="B13" s="1">
        <v>8</v>
      </c>
      <c r="C13" s="7" t="s">
        <v>21</v>
      </c>
      <c r="D13" s="1">
        <f>1</f>
        <v>1</v>
      </c>
      <c r="E13" s="21"/>
      <c r="F13" s="1">
        <f>3</f>
        <v>3</v>
      </c>
      <c r="G13" s="11">
        <f t="shared" si="0"/>
        <v>3</v>
      </c>
      <c r="H13" s="11"/>
      <c r="I13" s="21"/>
      <c r="M13"/>
    </row>
    <row r="14" spans="1:13" x14ac:dyDescent="0.3">
      <c r="B14" s="1">
        <v>9</v>
      </c>
      <c r="C14" s="65" t="s">
        <v>22</v>
      </c>
      <c r="D14" s="1">
        <f>2</f>
        <v>2</v>
      </c>
      <c r="E14" s="21">
        <v>2</v>
      </c>
      <c r="F14" s="1">
        <v>3</v>
      </c>
      <c r="G14" s="11">
        <f t="shared" si="0"/>
        <v>6</v>
      </c>
      <c r="H14" s="11"/>
      <c r="I14" s="21"/>
      <c r="M14"/>
    </row>
    <row r="15" spans="1:13" x14ac:dyDescent="0.3">
      <c r="B15" s="161" t="s">
        <v>12</v>
      </c>
      <c r="C15" s="162"/>
      <c r="D15" s="162"/>
      <c r="E15" s="162"/>
      <c r="F15" s="163"/>
      <c r="G15" s="17">
        <f>SUM(G6:G14)</f>
        <v>128</v>
      </c>
      <c r="H15" s="17">
        <f>SUM(H6:H14)</f>
        <v>0</v>
      </c>
      <c r="I15" s="23"/>
      <c r="M15"/>
    </row>
    <row r="16" spans="1:13" x14ac:dyDescent="0.3">
      <c r="B16" s="155" t="s">
        <v>17</v>
      </c>
      <c r="C16" s="156"/>
      <c r="D16" s="12"/>
      <c r="E16" s="12"/>
      <c r="F16" s="15"/>
      <c r="G16" s="16"/>
      <c r="H16" s="16"/>
      <c r="I16" s="1"/>
      <c r="M16"/>
    </row>
    <row r="17" spans="2:13" x14ac:dyDescent="0.3">
      <c r="B17" s="2">
        <v>1</v>
      </c>
      <c r="C17" s="3" t="s">
        <v>5</v>
      </c>
      <c r="D17" s="2">
        <f>1*2+1+4+2+3+1</f>
        <v>13</v>
      </c>
      <c r="E17" s="20"/>
      <c r="F17" s="2">
        <v>4</v>
      </c>
      <c r="G17" s="14">
        <f>D17*F17</f>
        <v>52</v>
      </c>
      <c r="H17" s="14"/>
      <c r="I17" s="21"/>
      <c r="M17"/>
    </row>
    <row r="18" spans="2:13" x14ac:dyDescent="0.3">
      <c r="B18" s="1">
        <v>2</v>
      </c>
      <c r="C18" s="3" t="s">
        <v>24</v>
      </c>
      <c r="D18" s="2">
        <f>2</f>
        <v>2</v>
      </c>
      <c r="E18" s="20"/>
      <c r="F18" s="2">
        <v>8</v>
      </c>
      <c r="G18" s="14">
        <f>D18*F18</f>
        <v>16</v>
      </c>
      <c r="H18" s="14"/>
      <c r="I18" s="21"/>
      <c r="M18"/>
    </row>
    <row r="19" spans="2:13" x14ac:dyDescent="0.3">
      <c r="B19" s="2">
        <v>3</v>
      </c>
      <c r="C19" s="7" t="s">
        <v>9</v>
      </c>
      <c r="D19" s="1">
        <f>1*2+1+2+4+2+3+1</f>
        <v>15</v>
      </c>
      <c r="E19" s="21"/>
      <c r="F19" s="1">
        <v>2</v>
      </c>
      <c r="G19" s="11">
        <f t="shared" ref="G19:G27" si="1">D19*F19</f>
        <v>30</v>
      </c>
      <c r="H19" s="11"/>
      <c r="I19" s="21"/>
      <c r="M19"/>
    </row>
    <row r="20" spans="2:13" x14ac:dyDescent="0.3">
      <c r="B20" s="1">
        <v>4</v>
      </c>
      <c r="C20" s="7" t="s">
        <v>4</v>
      </c>
      <c r="D20" s="1">
        <f>1+1+5+2+1+1+3</f>
        <v>14</v>
      </c>
      <c r="E20" s="21">
        <v>14</v>
      </c>
      <c r="F20" s="1">
        <v>1</v>
      </c>
      <c r="G20" s="11">
        <f t="shared" si="1"/>
        <v>14</v>
      </c>
      <c r="H20" s="11"/>
      <c r="I20" s="21"/>
      <c r="M20"/>
    </row>
    <row r="21" spans="2:13" x14ac:dyDescent="0.3">
      <c r="B21" s="2">
        <v>5</v>
      </c>
      <c r="C21" s="7" t="s">
        <v>16</v>
      </c>
      <c r="D21" s="1">
        <f>3</f>
        <v>3</v>
      </c>
      <c r="E21" s="21"/>
      <c r="F21" s="1">
        <v>4</v>
      </c>
      <c r="G21" s="11">
        <f t="shared" si="1"/>
        <v>12</v>
      </c>
      <c r="H21" s="11"/>
      <c r="I21" s="21"/>
      <c r="M21"/>
    </row>
    <row r="22" spans="2:13" x14ac:dyDescent="0.3">
      <c r="B22" s="1">
        <v>6</v>
      </c>
      <c r="C22" s="7" t="s">
        <v>3</v>
      </c>
      <c r="D22" s="1">
        <f>1+1</f>
        <v>2</v>
      </c>
      <c r="E22" s="21">
        <v>2</v>
      </c>
      <c r="F22" s="1">
        <v>2</v>
      </c>
      <c r="G22" s="11">
        <f t="shared" si="1"/>
        <v>4</v>
      </c>
      <c r="H22" s="11"/>
      <c r="I22" s="21"/>
      <c r="M22"/>
    </row>
    <row r="23" spans="2:13" x14ac:dyDescent="0.3">
      <c r="B23" s="2">
        <v>7</v>
      </c>
      <c r="C23" s="7" t="s">
        <v>10</v>
      </c>
      <c r="D23" s="1">
        <f>1+1+1</f>
        <v>3</v>
      </c>
      <c r="E23" s="21">
        <v>3</v>
      </c>
      <c r="F23" s="1">
        <v>2</v>
      </c>
      <c r="G23" s="11">
        <f t="shared" si="1"/>
        <v>6</v>
      </c>
      <c r="H23" s="11"/>
      <c r="I23" s="21"/>
      <c r="M23"/>
    </row>
    <row r="24" spans="2:13" x14ac:dyDescent="0.3">
      <c r="B24" s="1">
        <v>8</v>
      </c>
      <c r="C24" s="65" t="s">
        <v>19</v>
      </c>
      <c r="D24" s="1">
        <f>1</f>
        <v>1</v>
      </c>
      <c r="E24" s="21">
        <v>1</v>
      </c>
      <c r="F24" s="1">
        <v>6</v>
      </c>
      <c r="G24" s="11">
        <f t="shared" si="1"/>
        <v>6</v>
      </c>
      <c r="H24" s="11"/>
      <c r="I24" s="21"/>
      <c r="M24"/>
    </row>
    <row r="25" spans="2:13" x14ac:dyDescent="0.3">
      <c r="B25" s="2">
        <v>9</v>
      </c>
      <c r="C25" s="65" t="s">
        <v>20</v>
      </c>
      <c r="D25" s="1">
        <f>1</f>
        <v>1</v>
      </c>
      <c r="E25" s="21">
        <v>1</v>
      </c>
      <c r="F25" s="1">
        <v>3</v>
      </c>
      <c r="G25" s="11">
        <f t="shared" si="1"/>
        <v>3</v>
      </c>
      <c r="H25" s="11"/>
      <c r="I25" s="21"/>
      <c r="M25"/>
    </row>
    <row r="26" spans="2:13" x14ac:dyDescent="0.3">
      <c r="B26" s="1">
        <v>10</v>
      </c>
      <c r="C26" s="65" t="s">
        <v>22</v>
      </c>
      <c r="D26" s="1">
        <f>1*3+2+5+5</f>
        <v>15</v>
      </c>
      <c r="E26" s="21">
        <v>15</v>
      </c>
      <c r="F26" s="1">
        <v>3</v>
      </c>
      <c r="G26" s="11">
        <f t="shared" si="1"/>
        <v>45</v>
      </c>
      <c r="H26" s="11"/>
      <c r="I26" s="21"/>
      <c r="M26"/>
    </row>
    <row r="27" spans="2:13" x14ac:dyDescent="0.3">
      <c r="B27" s="2">
        <v>11</v>
      </c>
      <c r="C27" s="7" t="s">
        <v>23</v>
      </c>
      <c r="D27" s="1">
        <f>1</f>
        <v>1</v>
      </c>
      <c r="E27" s="21">
        <v>1</v>
      </c>
      <c r="F27" s="1">
        <v>1</v>
      </c>
      <c r="G27" s="11">
        <f t="shared" si="1"/>
        <v>1</v>
      </c>
      <c r="H27" s="11"/>
      <c r="I27" s="21"/>
      <c r="M27"/>
    </row>
    <row r="28" spans="2:13" x14ac:dyDescent="0.3">
      <c r="B28" s="161" t="s">
        <v>18</v>
      </c>
      <c r="C28" s="162"/>
      <c r="D28" s="162"/>
      <c r="E28" s="162"/>
      <c r="F28" s="163"/>
      <c r="G28" s="17">
        <f>SUM(G17:G27)</f>
        <v>189</v>
      </c>
      <c r="H28" s="17">
        <f>SUM(H17:H27)</f>
        <v>0</v>
      </c>
      <c r="I28" s="23"/>
      <c r="M28"/>
    </row>
    <row r="29" spans="2:13" x14ac:dyDescent="0.3">
      <c r="B29" s="155" t="s">
        <v>25</v>
      </c>
      <c r="C29" s="156"/>
      <c r="D29" s="12"/>
      <c r="E29" s="12"/>
      <c r="F29" s="15"/>
      <c r="G29" s="16"/>
      <c r="H29" s="16"/>
      <c r="I29" s="1"/>
      <c r="M29"/>
    </row>
    <row r="30" spans="2:13" x14ac:dyDescent="0.3">
      <c r="B30" s="2">
        <v>1</v>
      </c>
      <c r="C30" s="3" t="s">
        <v>5</v>
      </c>
      <c r="D30" s="2">
        <f>1+6+2+1+6+2+1+2</f>
        <v>21</v>
      </c>
      <c r="E30" s="20"/>
      <c r="F30" s="2">
        <v>4</v>
      </c>
      <c r="G30" s="14">
        <f>D30*F30</f>
        <v>84</v>
      </c>
      <c r="H30" s="14"/>
      <c r="I30" s="21"/>
      <c r="M30"/>
    </row>
    <row r="31" spans="2:13" x14ac:dyDescent="0.3">
      <c r="B31" s="2">
        <v>2</v>
      </c>
      <c r="C31" s="7" t="s">
        <v>9</v>
      </c>
      <c r="D31" s="1">
        <f>1+6+2+1+6+2+1+2</f>
        <v>21</v>
      </c>
      <c r="E31" s="21"/>
      <c r="F31" s="1">
        <v>2</v>
      </c>
      <c r="G31" s="11">
        <f t="shared" ref="G31:G35" si="2">D31*F31</f>
        <v>42</v>
      </c>
      <c r="H31" s="11"/>
      <c r="I31" s="21"/>
      <c r="M31"/>
    </row>
    <row r="32" spans="2:13" x14ac:dyDescent="0.3">
      <c r="B32" s="2">
        <v>3</v>
      </c>
      <c r="C32" s="7" t="s">
        <v>4</v>
      </c>
      <c r="D32" s="1">
        <f>6+7+4+1+1+7+1+5+2+1+8+1+1+2+2+1+2</f>
        <v>52</v>
      </c>
      <c r="E32" s="21">
        <v>35</v>
      </c>
      <c r="F32" s="1">
        <v>1</v>
      </c>
      <c r="G32" s="11">
        <f t="shared" si="2"/>
        <v>52</v>
      </c>
      <c r="H32" s="11"/>
      <c r="I32" s="21"/>
      <c r="M32"/>
    </row>
    <row r="33" spans="2:13" x14ac:dyDescent="0.3">
      <c r="B33" s="2">
        <v>4</v>
      </c>
      <c r="C33" s="7" t="s">
        <v>16</v>
      </c>
      <c r="D33" s="1">
        <f>2+2</f>
        <v>4</v>
      </c>
      <c r="E33" s="21"/>
      <c r="F33" s="1">
        <v>4</v>
      </c>
      <c r="G33" s="11">
        <f t="shared" si="2"/>
        <v>16</v>
      </c>
      <c r="H33" s="11"/>
      <c r="I33" s="21"/>
      <c r="M33"/>
    </row>
    <row r="34" spans="2:13" x14ac:dyDescent="0.3">
      <c r="B34" s="2">
        <v>5</v>
      </c>
      <c r="C34" s="7" t="s">
        <v>10</v>
      </c>
      <c r="D34" s="1">
        <f>2+2</f>
        <v>4</v>
      </c>
      <c r="E34" s="21">
        <v>2</v>
      </c>
      <c r="F34" s="1">
        <v>2</v>
      </c>
      <c r="G34" s="11">
        <f t="shared" si="2"/>
        <v>8</v>
      </c>
      <c r="H34" s="11"/>
      <c r="I34" s="21"/>
      <c r="M34"/>
    </row>
    <row r="35" spans="2:13" x14ac:dyDescent="0.3">
      <c r="B35" s="2">
        <v>6</v>
      </c>
      <c r="C35" s="65" t="s">
        <v>19</v>
      </c>
      <c r="D35" s="1">
        <f>1+1</f>
        <v>2</v>
      </c>
      <c r="E35" s="21">
        <v>2</v>
      </c>
      <c r="F35" s="1">
        <v>6</v>
      </c>
      <c r="G35" s="11">
        <f t="shared" si="2"/>
        <v>12</v>
      </c>
      <c r="H35" s="11"/>
      <c r="I35" s="21"/>
      <c r="M35"/>
    </row>
    <row r="36" spans="2:13" x14ac:dyDescent="0.3">
      <c r="B36" s="161" t="s">
        <v>26</v>
      </c>
      <c r="C36" s="162"/>
      <c r="D36" s="162"/>
      <c r="E36" s="162"/>
      <c r="F36" s="163"/>
      <c r="G36" s="17">
        <f>SUM(G30:G35)</f>
        <v>214</v>
      </c>
      <c r="H36" s="17">
        <f>SUM(H30:H35)</f>
        <v>0</v>
      </c>
      <c r="I36" s="23"/>
      <c r="M36"/>
    </row>
    <row r="37" spans="2:13" x14ac:dyDescent="0.3">
      <c r="B37" s="155" t="s">
        <v>27</v>
      </c>
      <c r="C37" s="156"/>
      <c r="D37" s="12"/>
      <c r="E37" s="12"/>
      <c r="F37" s="15"/>
      <c r="G37" s="16"/>
      <c r="H37" s="16"/>
      <c r="I37" s="1"/>
      <c r="M37"/>
    </row>
    <row r="38" spans="2:13" x14ac:dyDescent="0.3">
      <c r="B38" s="2">
        <v>1</v>
      </c>
      <c r="C38" s="3" t="s">
        <v>5</v>
      </c>
      <c r="D38" s="2">
        <f>1+6+1+6</f>
        <v>14</v>
      </c>
      <c r="E38" s="20"/>
      <c r="F38" s="2">
        <v>4</v>
      </c>
      <c r="G38" s="14">
        <f>D38*F38</f>
        <v>56</v>
      </c>
      <c r="H38" s="14"/>
      <c r="I38" s="21"/>
      <c r="M38"/>
    </row>
    <row r="39" spans="2:13" x14ac:dyDescent="0.3">
      <c r="B39" s="2">
        <v>2</v>
      </c>
      <c r="C39" s="7" t="s">
        <v>9</v>
      </c>
      <c r="D39" s="1">
        <f>1+6+1+6</f>
        <v>14</v>
      </c>
      <c r="E39" s="21"/>
      <c r="F39" s="1">
        <v>2</v>
      </c>
      <c r="G39" s="11">
        <f t="shared" ref="G39:G42" si="3">D39*F39</f>
        <v>28</v>
      </c>
      <c r="H39" s="11"/>
      <c r="I39" s="21"/>
      <c r="M39"/>
    </row>
    <row r="40" spans="2:13" x14ac:dyDescent="0.3">
      <c r="B40" s="2">
        <v>3</v>
      </c>
      <c r="C40" s="7" t="s">
        <v>4</v>
      </c>
      <c r="D40" s="1">
        <f>18+4+1+1+7+8+1+8+13</f>
        <v>61</v>
      </c>
      <c r="E40" s="21">
        <v>38</v>
      </c>
      <c r="F40" s="1">
        <v>1</v>
      </c>
      <c r="G40" s="11">
        <f t="shared" si="3"/>
        <v>61</v>
      </c>
      <c r="H40" s="11"/>
      <c r="I40" s="21"/>
      <c r="M40"/>
    </row>
    <row r="41" spans="2:13" x14ac:dyDescent="0.3">
      <c r="B41" s="2">
        <v>4</v>
      </c>
      <c r="C41" s="7" t="s">
        <v>16</v>
      </c>
      <c r="D41" s="1">
        <f>2+2</f>
        <v>4</v>
      </c>
      <c r="E41" s="21"/>
      <c r="F41" s="1">
        <v>4</v>
      </c>
      <c r="G41" s="11">
        <f t="shared" si="3"/>
        <v>16</v>
      </c>
      <c r="H41" s="11"/>
      <c r="I41" s="21"/>
      <c r="M41"/>
    </row>
    <row r="42" spans="2:13" x14ac:dyDescent="0.3">
      <c r="B42" s="2">
        <v>5</v>
      </c>
      <c r="C42" s="65" t="s">
        <v>19</v>
      </c>
      <c r="D42" s="1">
        <f>1+1</f>
        <v>2</v>
      </c>
      <c r="E42" s="21">
        <v>2</v>
      </c>
      <c r="F42" s="1">
        <v>6</v>
      </c>
      <c r="G42" s="11">
        <f t="shared" si="3"/>
        <v>12</v>
      </c>
      <c r="H42" s="11"/>
      <c r="I42" s="21"/>
      <c r="M42"/>
    </row>
    <row r="43" spans="2:13" x14ac:dyDescent="0.3">
      <c r="B43" s="161" t="s">
        <v>28</v>
      </c>
      <c r="C43" s="162"/>
      <c r="D43" s="162"/>
      <c r="E43" s="162"/>
      <c r="F43" s="163"/>
      <c r="G43" s="17">
        <f>SUM(G38:G42)</f>
        <v>173</v>
      </c>
      <c r="H43" s="17">
        <f>SUM(H38:H42)</f>
        <v>0</v>
      </c>
      <c r="I43" s="23"/>
      <c r="M43"/>
    </row>
    <row r="44" spans="2:13" x14ac:dyDescent="0.3">
      <c r="B44" s="155" t="s">
        <v>29</v>
      </c>
      <c r="C44" s="156"/>
      <c r="D44" s="12"/>
      <c r="E44" s="12"/>
      <c r="F44" s="15"/>
      <c r="G44" s="16"/>
      <c r="H44" s="16"/>
      <c r="I44" s="1"/>
      <c r="M44"/>
    </row>
    <row r="45" spans="2:13" x14ac:dyDescent="0.3">
      <c r="B45" s="2">
        <v>1</v>
      </c>
      <c r="C45" s="3" t="s">
        <v>5</v>
      </c>
      <c r="D45" s="2">
        <f>1+6+1+6</f>
        <v>14</v>
      </c>
      <c r="E45" s="20"/>
      <c r="F45" s="2">
        <v>4</v>
      </c>
      <c r="G45" s="14">
        <f>D45*F45</f>
        <v>56</v>
      </c>
      <c r="H45" s="14"/>
      <c r="I45" s="21"/>
      <c r="M45"/>
    </row>
    <row r="46" spans="2:13" x14ac:dyDescent="0.3">
      <c r="B46" s="2">
        <v>2</v>
      </c>
      <c r="C46" s="7" t="s">
        <v>9</v>
      </c>
      <c r="D46" s="1">
        <f>1+6+1+6</f>
        <v>14</v>
      </c>
      <c r="E46" s="21"/>
      <c r="F46" s="1">
        <v>2</v>
      </c>
      <c r="G46" s="11">
        <f t="shared" ref="G46:G49" si="4">D46*F46</f>
        <v>28</v>
      </c>
      <c r="H46" s="11"/>
      <c r="I46" s="21"/>
      <c r="M46"/>
    </row>
    <row r="47" spans="2:13" x14ac:dyDescent="0.3">
      <c r="B47" s="2">
        <v>3</v>
      </c>
      <c r="C47" s="7" t="s">
        <v>4</v>
      </c>
      <c r="D47" s="1">
        <f>1+3+1+3</f>
        <v>8</v>
      </c>
      <c r="E47" s="21">
        <v>2</v>
      </c>
      <c r="F47" s="1">
        <v>1</v>
      </c>
      <c r="G47" s="11">
        <f t="shared" si="4"/>
        <v>8</v>
      </c>
      <c r="H47" s="11"/>
      <c r="I47" s="21"/>
      <c r="M47"/>
    </row>
    <row r="48" spans="2:13" x14ac:dyDescent="0.3">
      <c r="B48" s="2">
        <v>4</v>
      </c>
      <c r="C48" s="7" t="s">
        <v>16</v>
      </c>
      <c r="D48" s="1">
        <f>2+2</f>
        <v>4</v>
      </c>
      <c r="E48" s="21"/>
      <c r="F48" s="1">
        <v>4</v>
      </c>
      <c r="G48" s="11">
        <f t="shared" si="4"/>
        <v>16</v>
      </c>
      <c r="H48" s="11"/>
      <c r="I48" s="21"/>
      <c r="M48"/>
    </row>
    <row r="49" spans="2:13" x14ac:dyDescent="0.3">
      <c r="B49" s="2">
        <v>5</v>
      </c>
      <c r="C49" s="7" t="s">
        <v>3</v>
      </c>
      <c r="D49" s="1">
        <f>1+1</f>
        <v>2</v>
      </c>
      <c r="E49" s="21">
        <v>2</v>
      </c>
      <c r="F49" s="1">
        <v>2</v>
      </c>
      <c r="G49" s="11">
        <f t="shared" si="4"/>
        <v>4</v>
      </c>
      <c r="H49" s="11"/>
      <c r="I49" s="21"/>
      <c r="M49"/>
    </row>
    <row r="50" spans="2:13" x14ac:dyDescent="0.3">
      <c r="B50" s="161" t="s">
        <v>30</v>
      </c>
      <c r="C50" s="162"/>
      <c r="D50" s="162"/>
      <c r="E50" s="162"/>
      <c r="F50" s="163"/>
      <c r="G50" s="17">
        <f>SUM(G45:G49)</f>
        <v>112</v>
      </c>
      <c r="H50" s="17">
        <f>SUM(H45:H49)</f>
        <v>0</v>
      </c>
      <c r="I50" s="23"/>
      <c r="M50"/>
    </row>
    <row r="51" spans="2:13" x14ac:dyDescent="0.3">
      <c r="B51" s="155" t="s">
        <v>31</v>
      </c>
      <c r="C51" s="156"/>
      <c r="D51" s="12"/>
      <c r="E51" s="12"/>
      <c r="F51" s="15"/>
      <c r="G51" s="16"/>
      <c r="H51" s="16"/>
      <c r="I51" s="1"/>
      <c r="M51"/>
    </row>
    <row r="52" spans="2:13" x14ac:dyDescent="0.3">
      <c r="B52" s="2">
        <v>1</v>
      </c>
      <c r="C52" s="3" t="s">
        <v>5</v>
      </c>
      <c r="D52" s="2">
        <f>1+6+1+6</f>
        <v>14</v>
      </c>
      <c r="E52" s="20"/>
      <c r="F52" s="2">
        <v>4</v>
      </c>
      <c r="G52" s="31">
        <f>D52*F52</f>
        <v>56</v>
      </c>
      <c r="H52" s="14"/>
      <c r="I52" s="21"/>
      <c r="M52"/>
    </row>
    <row r="53" spans="2:13" x14ac:dyDescent="0.3">
      <c r="B53" s="2">
        <v>2</v>
      </c>
      <c r="C53" s="7" t="s">
        <v>9</v>
      </c>
      <c r="D53" s="1">
        <f>1+6+1+6</f>
        <v>14</v>
      </c>
      <c r="E53" s="21"/>
      <c r="F53" s="1">
        <v>2</v>
      </c>
      <c r="G53" s="11">
        <f t="shared" ref="G53:G56" si="5">D53*F53</f>
        <v>28</v>
      </c>
      <c r="H53" s="11"/>
      <c r="I53" s="21"/>
      <c r="M53"/>
    </row>
    <row r="54" spans="2:13" x14ac:dyDescent="0.3">
      <c r="B54" s="2">
        <v>3</v>
      </c>
      <c r="C54" s="7" t="s">
        <v>4</v>
      </c>
      <c r="D54" s="1">
        <f>1+3+1+3</f>
        <v>8</v>
      </c>
      <c r="E54" s="21">
        <v>2</v>
      </c>
      <c r="F54" s="1">
        <v>1</v>
      </c>
      <c r="G54" s="11">
        <f t="shared" si="5"/>
        <v>8</v>
      </c>
      <c r="H54" s="11"/>
      <c r="I54" s="21"/>
      <c r="M54"/>
    </row>
    <row r="55" spans="2:13" x14ac:dyDescent="0.3">
      <c r="B55" s="2">
        <v>4</v>
      </c>
      <c r="C55" s="7" t="s">
        <v>16</v>
      </c>
      <c r="D55" s="1">
        <f>2+2</f>
        <v>4</v>
      </c>
      <c r="E55" s="21"/>
      <c r="F55" s="1">
        <v>4</v>
      </c>
      <c r="G55" s="11">
        <f t="shared" si="5"/>
        <v>16</v>
      </c>
      <c r="H55" s="11"/>
      <c r="I55" s="21"/>
      <c r="M55"/>
    </row>
    <row r="56" spans="2:13" x14ac:dyDescent="0.3">
      <c r="B56" s="2">
        <v>5</v>
      </c>
      <c r="C56" s="65" t="s">
        <v>19</v>
      </c>
      <c r="D56" s="1">
        <f>1+1</f>
        <v>2</v>
      </c>
      <c r="E56" s="21">
        <v>2</v>
      </c>
      <c r="F56" s="1">
        <v>6</v>
      </c>
      <c r="G56" s="11">
        <f t="shared" si="5"/>
        <v>12</v>
      </c>
      <c r="H56" s="11"/>
      <c r="I56" s="21"/>
      <c r="M56"/>
    </row>
    <row r="57" spans="2:13" x14ac:dyDescent="0.3">
      <c r="B57" s="161" t="s">
        <v>32</v>
      </c>
      <c r="C57" s="162"/>
      <c r="D57" s="162"/>
      <c r="E57" s="162"/>
      <c r="F57" s="163"/>
      <c r="G57" s="17">
        <f>SUM(G52:G56)</f>
        <v>120</v>
      </c>
      <c r="H57" s="17">
        <f>SUM(H52:H56)</f>
        <v>0</v>
      </c>
      <c r="I57" s="23"/>
      <c r="M57"/>
    </row>
    <row r="58" spans="2:13" x14ac:dyDescent="0.3">
      <c r="B58" s="161" t="s">
        <v>50</v>
      </c>
      <c r="C58" s="162"/>
      <c r="D58" s="162"/>
      <c r="E58" s="162"/>
      <c r="F58" s="163"/>
      <c r="G58" s="17">
        <f>SUM(G15,G28,G36)</f>
        <v>531</v>
      </c>
      <c r="H58" s="17">
        <f>SUM(H15,H28,H36)</f>
        <v>0</v>
      </c>
      <c r="I58" s="1"/>
      <c r="M58"/>
    </row>
    <row r="59" spans="2:13" x14ac:dyDescent="0.3">
      <c r="B59" s="161" t="s">
        <v>51</v>
      </c>
      <c r="C59" s="162"/>
      <c r="D59" s="162"/>
      <c r="E59" s="162"/>
      <c r="F59" s="163"/>
      <c r="G59" s="17">
        <f>SUM(G43,G50,G57)</f>
        <v>405</v>
      </c>
      <c r="H59" s="17">
        <f>SUM(H43,H50,H57)</f>
        <v>0</v>
      </c>
      <c r="I59" s="1"/>
      <c r="M59"/>
    </row>
    <row r="60" spans="2:13" x14ac:dyDescent="0.3">
      <c r="B60" s="161" t="s">
        <v>1</v>
      </c>
      <c r="C60" s="162"/>
      <c r="D60" s="162"/>
      <c r="E60" s="162"/>
      <c r="F60" s="163"/>
      <c r="G60" s="17">
        <f>SUM(G15,G28,G36,G43,G50,G57)</f>
        <v>936</v>
      </c>
      <c r="H60" s="17">
        <f>SUM(H15,H28,H36,H43,H50,H57)</f>
        <v>0</v>
      </c>
      <c r="I60" s="17"/>
      <c r="M60"/>
    </row>
    <row r="61" spans="2:13" x14ac:dyDescent="0.3">
      <c r="M61"/>
    </row>
    <row r="62" spans="2:13" x14ac:dyDescent="0.3">
      <c r="I62"/>
      <c r="M62"/>
    </row>
    <row r="63" spans="2:13" x14ac:dyDescent="0.3">
      <c r="B63" t="s">
        <v>85</v>
      </c>
      <c r="I63"/>
      <c r="M63"/>
    </row>
    <row r="64" spans="2:13" x14ac:dyDescent="0.3">
      <c r="B64" t="s">
        <v>92</v>
      </c>
      <c r="G64" s="154" t="s">
        <v>93</v>
      </c>
      <c r="H64" s="154"/>
      <c r="I64" s="154"/>
      <c r="J64" s="154"/>
      <c r="M64"/>
    </row>
    <row r="65" spans="9:13" x14ac:dyDescent="0.3">
      <c r="I65"/>
      <c r="M65"/>
    </row>
    <row r="66" spans="9:13" x14ac:dyDescent="0.3">
      <c r="I66"/>
      <c r="M66"/>
    </row>
    <row r="67" spans="9:13" x14ac:dyDescent="0.3">
      <c r="I67"/>
      <c r="M67"/>
    </row>
    <row r="68" spans="9:13" x14ac:dyDescent="0.3">
      <c r="I68"/>
      <c r="M68"/>
    </row>
    <row r="69" spans="9:13" x14ac:dyDescent="0.3">
      <c r="I69"/>
      <c r="M69"/>
    </row>
    <row r="70" spans="9:13" x14ac:dyDescent="0.3">
      <c r="I70"/>
      <c r="M70"/>
    </row>
    <row r="71" spans="9:13" x14ac:dyDescent="0.3">
      <c r="I71"/>
      <c r="M71"/>
    </row>
    <row r="72" spans="9:13" x14ac:dyDescent="0.3">
      <c r="I72"/>
      <c r="M72"/>
    </row>
    <row r="73" spans="9:13" x14ac:dyDescent="0.3">
      <c r="I73"/>
      <c r="M73"/>
    </row>
    <row r="74" spans="9:13" x14ac:dyDescent="0.3">
      <c r="I74"/>
      <c r="M74"/>
    </row>
    <row r="75" spans="9:13" x14ac:dyDescent="0.3">
      <c r="I75"/>
      <c r="M75"/>
    </row>
    <row r="76" spans="9:13" x14ac:dyDescent="0.3">
      <c r="I76"/>
      <c r="M76"/>
    </row>
    <row r="77" spans="9:13" x14ac:dyDescent="0.3">
      <c r="I77"/>
      <c r="M77"/>
    </row>
    <row r="78" spans="9:13" x14ac:dyDescent="0.3">
      <c r="I78"/>
      <c r="M78"/>
    </row>
    <row r="79" spans="9:13" x14ac:dyDescent="0.3">
      <c r="I79"/>
      <c r="M79"/>
    </row>
    <row r="80" spans="9:13" x14ac:dyDescent="0.3">
      <c r="I80"/>
      <c r="M80"/>
    </row>
    <row r="81" spans="9:13" x14ac:dyDescent="0.3">
      <c r="I81"/>
      <c r="M81"/>
    </row>
    <row r="82" spans="9:13" x14ac:dyDescent="0.3">
      <c r="I82"/>
      <c r="M82"/>
    </row>
    <row r="83" spans="9:13" x14ac:dyDescent="0.3">
      <c r="I83"/>
      <c r="M83"/>
    </row>
    <row r="84" spans="9:13" x14ac:dyDescent="0.3">
      <c r="I84"/>
      <c r="M84"/>
    </row>
    <row r="85" spans="9:13" x14ac:dyDescent="0.3">
      <c r="I85"/>
      <c r="M85"/>
    </row>
    <row r="86" spans="9:13" x14ac:dyDescent="0.3">
      <c r="I86"/>
      <c r="M86"/>
    </row>
    <row r="87" spans="9:13" x14ac:dyDescent="0.3">
      <c r="I87"/>
      <c r="M87"/>
    </row>
    <row r="88" spans="9:13" x14ac:dyDescent="0.3">
      <c r="I88"/>
      <c r="M88"/>
    </row>
    <row r="89" spans="9:13" x14ac:dyDescent="0.3">
      <c r="I89"/>
      <c r="M89"/>
    </row>
    <row r="90" spans="9:13" x14ac:dyDescent="0.3">
      <c r="I90"/>
      <c r="M90"/>
    </row>
    <row r="91" spans="9:13" x14ac:dyDescent="0.3">
      <c r="I91"/>
      <c r="M91"/>
    </row>
    <row r="92" spans="9:13" x14ac:dyDescent="0.3">
      <c r="I92"/>
      <c r="M92"/>
    </row>
    <row r="93" spans="9:13" x14ac:dyDescent="0.3">
      <c r="I93"/>
      <c r="M93"/>
    </row>
    <row r="94" spans="9:13" x14ac:dyDescent="0.3">
      <c r="I94"/>
      <c r="M94"/>
    </row>
    <row r="95" spans="9:13" x14ac:dyDescent="0.3">
      <c r="I95"/>
      <c r="M95"/>
    </row>
    <row r="96" spans="9:13" x14ac:dyDescent="0.3">
      <c r="I96"/>
      <c r="M96"/>
    </row>
    <row r="97" spans="9:13" x14ac:dyDescent="0.3">
      <c r="I97"/>
      <c r="M97"/>
    </row>
    <row r="98" spans="9:13" x14ac:dyDescent="0.3">
      <c r="I98"/>
      <c r="M98"/>
    </row>
    <row r="99" spans="9:13" x14ac:dyDescent="0.3">
      <c r="I99"/>
      <c r="M99"/>
    </row>
    <row r="100" spans="9:13" x14ac:dyDescent="0.3">
      <c r="I100"/>
      <c r="M100"/>
    </row>
    <row r="101" spans="9:13" x14ac:dyDescent="0.3">
      <c r="I101"/>
      <c r="M101"/>
    </row>
    <row r="102" spans="9:13" x14ac:dyDescent="0.3">
      <c r="I102"/>
      <c r="M102"/>
    </row>
    <row r="103" spans="9:13" x14ac:dyDescent="0.3">
      <c r="I103"/>
      <c r="M103"/>
    </row>
    <row r="104" spans="9:13" x14ac:dyDescent="0.3">
      <c r="I104"/>
      <c r="M104"/>
    </row>
    <row r="105" spans="9:13" x14ac:dyDescent="0.3">
      <c r="I105"/>
      <c r="M105"/>
    </row>
    <row r="106" spans="9:13" x14ac:dyDescent="0.3">
      <c r="I106"/>
      <c r="M106"/>
    </row>
    <row r="107" spans="9:13" x14ac:dyDescent="0.3">
      <c r="I107"/>
      <c r="M107"/>
    </row>
    <row r="108" spans="9:13" x14ac:dyDescent="0.3">
      <c r="I108"/>
      <c r="M108"/>
    </row>
    <row r="109" spans="9:13" x14ac:dyDescent="0.3">
      <c r="I109"/>
      <c r="M109"/>
    </row>
    <row r="110" spans="9:13" x14ac:dyDescent="0.3">
      <c r="I110"/>
      <c r="M110"/>
    </row>
    <row r="111" spans="9:13" x14ac:dyDescent="0.3">
      <c r="I111"/>
      <c r="M111"/>
    </row>
    <row r="112" spans="9:13" x14ac:dyDescent="0.3">
      <c r="I112"/>
      <c r="M112"/>
    </row>
    <row r="113" spans="9:13" x14ac:dyDescent="0.3">
      <c r="I113"/>
      <c r="M113"/>
    </row>
    <row r="114" spans="9:13" x14ac:dyDescent="0.3">
      <c r="I114"/>
      <c r="M114"/>
    </row>
    <row r="115" spans="9:13" x14ac:dyDescent="0.3">
      <c r="I115"/>
      <c r="M115"/>
    </row>
    <row r="116" spans="9:13" x14ac:dyDescent="0.3">
      <c r="I116"/>
      <c r="M116"/>
    </row>
    <row r="117" spans="9:13" x14ac:dyDescent="0.3">
      <c r="I117"/>
      <c r="M117"/>
    </row>
    <row r="118" spans="9:13" x14ac:dyDescent="0.3">
      <c r="I118"/>
      <c r="M118"/>
    </row>
    <row r="119" spans="9:13" x14ac:dyDescent="0.3">
      <c r="I119"/>
      <c r="M119"/>
    </row>
    <row r="120" spans="9:13" x14ac:dyDescent="0.3">
      <c r="I120"/>
      <c r="M120"/>
    </row>
    <row r="121" spans="9:13" x14ac:dyDescent="0.3">
      <c r="I121"/>
      <c r="M121"/>
    </row>
    <row r="122" spans="9:13" x14ac:dyDescent="0.3">
      <c r="I122"/>
      <c r="M122"/>
    </row>
    <row r="123" spans="9:13" x14ac:dyDescent="0.3">
      <c r="I123"/>
      <c r="M123"/>
    </row>
    <row r="124" spans="9:13" x14ac:dyDescent="0.3">
      <c r="I124"/>
      <c r="M124"/>
    </row>
    <row r="125" spans="9:13" x14ac:dyDescent="0.3">
      <c r="I125"/>
      <c r="M125"/>
    </row>
    <row r="126" spans="9:13" x14ac:dyDescent="0.3">
      <c r="I126"/>
      <c r="M126"/>
    </row>
    <row r="127" spans="9:13" x14ac:dyDescent="0.3">
      <c r="I127"/>
      <c r="M127"/>
    </row>
    <row r="128" spans="9:13" x14ac:dyDescent="0.3">
      <c r="I128"/>
      <c r="M128"/>
    </row>
    <row r="129" spans="9:13" x14ac:dyDescent="0.3">
      <c r="I129"/>
      <c r="M129"/>
    </row>
    <row r="130" spans="9:13" x14ac:dyDescent="0.3">
      <c r="I130"/>
      <c r="M130"/>
    </row>
    <row r="131" spans="9:13" x14ac:dyDescent="0.3">
      <c r="I131"/>
      <c r="M131"/>
    </row>
    <row r="132" spans="9:13" x14ac:dyDescent="0.3">
      <c r="I132"/>
      <c r="M132"/>
    </row>
    <row r="133" spans="9:13" x14ac:dyDescent="0.3">
      <c r="I133"/>
      <c r="M133"/>
    </row>
    <row r="134" spans="9:13" x14ac:dyDescent="0.3">
      <c r="I134"/>
      <c r="M134"/>
    </row>
    <row r="135" spans="9:13" x14ac:dyDescent="0.3">
      <c r="I135"/>
      <c r="M135"/>
    </row>
    <row r="136" spans="9:13" x14ac:dyDescent="0.3">
      <c r="I136"/>
      <c r="M136"/>
    </row>
    <row r="137" spans="9:13" x14ac:dyDescent="0.3">
      <c r="I137"/>
      <c r="M137"/>
    </row>
    <row r="138" spans="9:13" x14ac:dyDescent="0.3">
      <c r="I138"/>
      <c r="M138"/>
    </row>
    <row r="139" spans="9:13" x14ac:dyDescent="0.3">
      <c r="I139"/>
      <c r="M139"/>
    </row>
    <row r="140" spans="9:13" x14ac:dyDescent="0.3">
      <c r="I140"/>
      <c r="M140"/>
    </row>
    <row r="141" spans="9:13" x14ac:dyDescent="0.3">
      <c r="I141"/>
      <c r="M141"/>
    </row>
    <row r="142" spans="9:13" x14ac:dyDescent="0.3">
      <c r="I142"/>
      <c r="M142"/>
    </row>
    <row r="143" spans="9:13" x14ac:dyDescent="0.3">
      <c r="I143"/>
      <c r="M143"/>
    </row>
    <row r="144" spans="9:13" x14ac:dyDescent="0.3">
      <c r="I144"/>
      <c r="M144"/>
    </row>
    <row r="145" spans="9:13" x14ac:dyDescent="0.3">
      <c r="I145"/>
      <c r="M145"/>
    </row>
    <row r="146" spans="9:13" x14ac:dyDescent="0.3">
      <c r="I146"/>
      <c r="M146"/>
    </row>
    <row r="147" spans="9:13" x14ac:dyDescent="0.3">
      <c r="I147"/>
      <c r="M147"/>
    </row>
    <row r="148" spans="9:13" x14ac:dyDescent="0.3">
      <c r="I148"/>
      <c r="M148"/>
    </row>
    <row r="149" spans="9:13" x14ac:dyDescent="0.3">
      <c r="I149"/>
      <c r="M149"/>
    </row>
    <row r="150" spans="9:13" x14ac:dyDescent="0.3">
      <c r="I150"/>
      <c r="M150"/>
    </row>
    <row r="151" spans="9:13" x14ac:dyDescent="0.3">
      <c r="I151"/>
      <c r="M151"/>
    </row>
    <row r="152" spans="9:13" x14ac:dyDescent="0.3">
      <c r="I152"/>
      <c r="M152"/>
    </row>
    <row r="153" spans="9:13" x14ac:dyDescent="0.3">
      <c r="I153"/>
      <c r="M153"/>
    </row>
    <row r="154" spans="9:13" x14ac:dyDescent="0.3">
      <c r="I154"/>
      <c r="M154"/>
    </row>
    <row r="155" spans="9:13" x14ac:dyDescent="0.3">
      <c r="I155"/>
      <c r="M155"/>
    </row>
    <row r="156" spans="9:13" x14ac:dyDescent="0.3">
      <c r="I156"/>
      <c r="M156"/>
    </row>
    <row r="157" spans="9:13" x14ac:dyDescent="0.3">
      <c r="I157"/>
      <c r="M157"/>
    </row>
    <row r="158" spans="9:13" x14ac:dyDescent="0.3">
      <c r="I158"/>
      <c r="M158"/>
    </row>
    <row r="159" spans="9:13" x14ac:dyDescent="0.3">
      <c r="I159"/>
      <c r="M159"/>
    </row>
    <row r="160" spans="9:13" x14ac:dyDescent="0.3">
      <c r="I160"/>
      <c r="M160"/>
    </row>
    <row r="161" spans="9:13" x14ac:dyDescent="0.3">
      <c r="I161"/>
      <c r="M161"/>
    </row>
    <row r="162" spans="9:13" x14ac:dyDescent="0.3">
      <c r="I162"/>
      <c r="M162"/>
    </row>
    <row r="163" spans="9:13" x14ac:dyDescent="0.3">
      <c r="I163"/>
      <c r="M163"/>
    </row>
    <row r="164" spans="9:13" x14ac:dyDescent="0.3">
      <c r="I164"/>
      <c r="M164"/>
    </row>
    <row r="165" spans="9:13" x14ac:dyDescent="0.3">
      <c r="I165"/>
      <c r="M165"/>
    </row>
    <row r="166" spans="9:13" x14ac:dyDescent="0.3">
      <c r="I166"/>
      <c r="M166"/>
    </row>
    <row r="167" spans="9:13" x14ac:dyDescent="0.3">
      <c r="I167"/>
      <c r="M167"/>
    </row>
    <row r="168" spans="9:13" x14ac:dyDescent="0.3">
      <c r="I168"/>
      <c r="M168"/>
    </row>
    <row r="169" spans="9:13" x14ac:dyDescent="0.3">
      <c r="I169"/>
      <c r="M169"/>
    </row>
    <row r="170" spans="9:13" x14ac:dyDescent="0.3">
      <c r="I170"/>
      <c r="M170"/>
    </row>
    <row r="171" spans="9:13" x14ac:dyDescent="0.3">
      <c r="I171"/>
      <c r="M171"/>
    </row>
    <row r="172" spans="9:13" x14ac:dyDescent="0.3">
      <c r="I172"/>
      <c r="M172"/>
    </row>
    <row r="173" spans="9:13" x14ac:dyDescent="0.3">
      <c r="I173"/>
      <c r="M173"/>
    </row>
    <row r="174" spans="9:13" x14ac:dyDescent="0.3">
      <c r="I174"/>
      <c r="M174"/>
    </row>
    <row r="175" spans="9:13" x14ac:dyDescent="0.3">
      <c r="I175"/>
      <c r="M175"/>
    </row>
    <row r="176" spans="9:13" x14ac:dyDescent="0.3">
      <c r="I176"/>
      <c r="M176"/>
    </row>
    <row r="177" spans="9:13" x14ac:dyDescent="0.3">
      <c r="I177"/>
      <c r="M177"/>
    </row>
    <row r="178" spans="9:13" x14ac:dyDescent="0.3">
      <c r="I178"/>
      <c r="M178"/>
    </row>
    <row r="179" spans="9:13" x14ac:dyDescent="0.3">
      <c r="I179"/>
      <c r="M179"/>
    </row>
    <row r="180" spans="9:13" x14ac:dyDescent="0.3">
      <c r="I180"/>
      <c r="M180"/>
    </row>
    <row r="181" spans="9:13" x14ac:dyDescent="0.3">
      <c r="I181"/>
      <c r="M181"/>
    </row>
    <row r="182" spans="9:13" x14ac:dyDescent="0.3">
      <c r="I182"/>
      <c r="M182"/>
    </row>
    <row r="183" spans="9:13" x14ac:dyDescent="0.3">
      <c r="I183"/>
      <c r="M183"/>
    </row>
    <row r="184" spans="9:13" x14ac:dyDescent="0.3">
      <c r="I184"/>
      <c r="M184"/>
    </row>
    <row r="185" spans="9:13" x14ac:dyDescent="0.3">
      <c r="I185"/>
      <c r="M185"/>
    </row>
    <row r="186" spans="9:13" x14ac:dyDescent="0.3">
      <c r="I186"/>
      <c r="M186"/>
    </row>
    <row r="187" spans="9:13" x14ac:dyDescent="0.3">
      <c r="I187"/>
      <c r="M187"/>
    </row>
    <row r="188" spans="9:13" x14ac:dyDescent="0.3">
      <c r="I188"/>
      <c r="M188"/>
    </row>
    <row r="189" spans="9:13" x14ac:dyDescent="0.3">
      <c r="I189"/>
      <c r="M189"/>
    </row>
    <row r="190" spans="9:13" x14ac:dyDescent="0.3">
      <c r="I190"/>
      <c r="M190"/>
    </row>
    <row r="191" spans="9:13" x14ac:dyDescent="0.3">
      <c r="I191"/>
      <c r="M191"/>
    </row>
    <row r="192" spans="9:13" x14ac:dyDescent="0.3">
      <c r="I192"/>
      <c r="M192"/>
    </row>
    <row r="193" spans="9:13" x14ac:dyDescent="0.3">
      <c r="I193"/>
      <c r="M193"/>
    </row>
    <row r="194" spans="9:13" x14ac:dyDescent="0.3">
      <c r="I194"/>
      <c r="M194"/>
    </row>
    <row r="195" spans="9:13" x14ac:dyDescent="0.3">
      <c r="I195"/>
      <c r="M195"/>
    </row>
    <row r="196" spans="9:13" x14ac:dyDescent="0.3">
      <c r="I196"/>
      <c r="M196"/>
    </row>
    <row r="197" spans="9:13" x14ac:dyDescent="0.3">
      <c r="I197"/>
      <c r="M197"/>
    </row>
    <row r="198" spans="9:13" x14ac:dyDescent="0.3">
      <c r="I198"/>
      <c r="M198"/>
    </row>
    <row r="199" spans="9:13" x14ac:dyDescent="0.3">
      <c r="I199"/>
      <c r="M199"/>
    </row>
    <row r="200" spans="9:13" x14ac:dyDescent="0.3">
      <c r="I200"/>
      <c r="M200"/>
    </row>
    <row r="201" spans="9:13" x14ac:dyDescent="0.3">
      <c r="I201"/>
      <c r="M201"/>
    </row>
    <row r="202" spans="9:13" x14ac:dyDescent="0.3">
      <c r="I202"/>
      <c r="M202"/>
    </row>
    <row r="203" spans="9:13" x14ac:dyDescent="0.3">
      <c r="I203"/>
      <c r="M203"/>
    </row>
    <row r="204" spans="9:13" x14ac:dyDescent="0.3">
      <c r="I204"/>
      <c r="M204"/>
    </row>
    <row r="205" spans="9:13" x14ac:dyDescent="0.3">
      <c r="I205"/>
      <c r="M205"/>
    </row>
    <row r="206" spans="9:13" x14ac:dyDescent="0.3">
      <c r="I206"/>
      <c r="M206"/>
    </row>
    <row r="207" spans="9:13" x14ac:dyDescent="0.3">
      <c r="I207"/>
      <c r="M207"/>
    </row>
    <row r="208" spans="9:13" x14ac:dyDescent="0.3">
      <c r="I208"/>
      <c r="M208"/>
    </row>
    <row r="209" spans="9:13" x14ac:dyDescent="0.3">
      <c r="I209"/>
      <c r="M209"/>
    </row>
    <row r="210" spans="9:13" x14ac:dyDescent="0.3">
      <c r="I210"/>
      <c r="M210"/>
    </row>
    <row r="211" spans="9:13" x14ac:dyDescent="0.3">
      <c r="I211"/>
      <c r="M211"/>
    </row>
    <row r="212" spans="9:13" x14ac:dyDescent="0.3">
      <c r="I212"/>
      <c r="M212"/>
    </row>
    <row r="213" spans="9:13" x14ac:dyDescent="0.3">
      <c r="I213"/>
      <c r="M213"/>
    </row>
    <row r="214" spans="9:13" x14ac:dyDescent="0.3">
      <c r="I214"/>
      <c r="M214"/>
    </row>
    <row r="215" spans="9:13" x14ac:dyDescent="0.3">
      <c r="I215"/>
      <c r="M215"/>
    </row>
    <row r="216" spans="9:13" x14ac:dyDescent="0.3">
      <c r="I216"/>
      <c r="M216"/>
    </row>
    <row r="217" spans="9:13" x14ac:dyDescent="0.3">
      <c r="I217"/>
      <c r="M217"/>
    </row>
    <row r="218" spans="9:13" x14ac:dyDescent="0.3">
      <c r="I218"/>
      <c r="M218"/>
    </row>
    <row r="219" spans="9:13" x14ac:dyDescent="0.3">
      <c r="I219"/>
      <c r="M219"/>
    </row>
    <row r="220" spans="9:13" x14ac:dyDescent="0.3">
      <c r="I220"/>
      <c r="M220"/>
    </row>
    <row r="221" spans="9:13" x14ac:dyDescent="0.3">
      <c r="I221"/>
      <c r="M221"/>
    </row>
    <row r="222" spans="9:13" x14ac:dyDescent="0.3">
      <c r="I222"/>
      <c r="M222"/>
    </row>
    <row r="223" spans="9:13" x14ac:dyDescent="0.3">
      <c r="I223"/>
      <c r="M223"/>
    </row>
    <row r="224" spans="9:13" x14ac:dyDescent="0.3">
      <c r="I224"/>
      <c r="M224"/>
    </row>
    <row r="225" spans="9:13" x14ac:dyDescent="0.3">
      <c r="I225"/>
      <c r="M225"/>
    </row>
    <row r="226" spans="9:13" x14ac:dyDescent="0.3">
      <c r="I226"/>
      <c r="M226"/>
    </row>
    <row r="227" spans="9:13" x14ac:dyDescent="0.3">
      <c r="I227"/>
      <c r="M227"/>
    </row>
    <row r="228" spans="9:13" x14ac:dyDescent="0.3">
      <c r="I228"/>
      <c r="M228"/>
    </row>
    <row r="229" spans="9:13" x14ac:dyDescent="0.3">
      <c r="I229"/>
      <c r="M229"/>
    </row>
    <row r="230" spans="9:13" x14ac:dyDescent="0.3">
      <c r="I230"/>
      <c r="M230"/>
    </row>
    <row r="231" spans="9:13" x14ac:dyDescent="0.3">
      <c r="I231"/>
      <c r="M231"/>
    </row>
    <row r="232" spans="9:13" x14ac:dyDescent="0.3">
      <c r="I232"/>
      <c r="M232"/>
    </row>
    <row r="233" spans="9:13" x14ac:dyDescent="0.3">
      <c r="I233"/>
      <c r="M233"/>
    </row>
    <row r="234" spans="9:13" x14ac:dyDescent="0.3">
      <c r="I234"/>
      <c r="M234"/>
    </row>
    <row r="235" spans="9:13" x14ac:dyDescent="0.3">
      <c r="I235"/>
      <c r="M235"/>
    </row>
    <row r="236" spans="9:13" x14ac:dyDescent="0.3">
      <c r="I236"/>
      <c r="M236"/>
    </row>
    <row r="237" spans="9:13" x14ac:dyDescent="0.3">
      <c r="I237"/>
      <c r="M237"/>
    </row>
    <row r="238" spans="9:13" x14ac:dyDescent="0.3">
      <c r="I238"/>
      <c r="M238"/>
    </row>
    <row r="239" spans="9:13" x14ac:dyDescent="0.3">
      <c r="I239"/>
      <c r="M239"/>
    </row>
    <row r="240" spans="9:13" x14ac:dyDescent="0.3">
      <c r="I240"/>
      <c r="M240"/>
    </row>
    <row r="241" spans="9:13" x14ac:dyDescent="0.3">
      <c r="I241"/>
      <c r="M241"/>
    </row>
    <row r="242" spans="9:13" x14ac:dyDescent="0.3">
      <c r="I242"/>
      <c r="M242"/>
    </row>
  </sheetData>
  <mergeCells count="17">
    <mergeCell ref="G64:J64"/>
    <mergeCell ref="B51:C51"/>
    <mergeCell ref="B57:F57"/>
    <mergeCell ref="B58:F58"/>
    <mergeCell ref="B59:F59"/>
    <mergeCell ref="B60:F60"/>
    <mergeCell ref="B50:F50"/>
    <mergeCell ref="F3:I3"/>
    <mergeCell ref="B5:C5"/>
    <mergeCell ref="B15:F15"/>
    <mergeCell ref="B16:C16"/>
    <mergeCell ref="B28:F28"/>
    <mergeCell ref="B29:C29"/>
    <mergeCell ref="B36:F36"/>
    <mergeCell ref="B37:C37"/>
    <mergeCell ref="B43:F43"/>
    <mergeCell ref="B44:C4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2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F98EF-6124-498E-8B67-BE8F524C3BEC}">
  <sheetPr>
    <tabColor rgb="FF00B0F0"/>
  </sheetPr>
  <dimension ref="A3:M176"/>
  <sheetViews>
    <sheetView zoomScale="80" zoomScaleNormal="80" zoomScaleSheetLayoutView="83" workbookViewId="0">
      <pane ySplit="4" topLeftCell="A5" activePane="bottomLeft" state="frozen"/>
      <selection activeCell="B1" sqref="B1"/>
      <selection pane="bottomLeft" activeCell="J45" sqref="J45"/>
    </sheetView>
  </sheetViews>
  <sheetFormatPr defaultRowHeight="14.4" x14ac:dyDescent="0.3"/>
  <cols>
    <col min="1" max="1" width="4.6640625" style="9" bestFit="1" customWidth="1"/>
    <col min="3" max="3" width="26.33203125" customWidth="1"/>
    <col min="4" max="4" width="20.44140625" customWidth="1"/>
    <col min="5" max="5" width="15.21875" customWidth="1"/>
    <col min="6" max="6" width="14.109375" bestFit="1" customWidth="1"/>
    <col min="7" max="8" width="14.6640625" customWidth="1"/>
    <col min="9" max="9" width="22.5546875" style="5" customWidth="1"/>
    <col min="10" max="10" width="31.21875" customWidth="1"/>
    <col min="11" max="12" width="14.6640625" customWidth="1"/>
    <col min="13" max="13" width="13.88671875" style="5" customWidth="1"/>
    <col min="14" max="14" width="11.33203125" customWidth="1"/>
  </cols>
  <sheetData>
    <row r="3" spans="1:13" x14ac:dyDescent="0.3">
      <c r="A3" s="10" t="s">
        <v>0</v>
      </c>
      <c r="B3" s="8" t="s">
        <v>74</v>
      </c>
      <c r="C3" s="6"/>
      <c r="D3" s="6"/>
      <c r="E3" s="6"/>
      <c r="F3" s="150"/>
      <c r="G3" s="150"/>
      <c r="H3" s="150"/>
      <c r="I3" s="150"/>
      <c r="M3"/>
    </row>
    <row r="4" spans="1:13" ht="42.6" x14ac:dyDescent="0.3">
      <c r="B4" s="13" t="s">
        <v>2</v>
      </c>
      <c r="C4" s="13" t="s">
        <v>8</v>
      </c>
      <c r="D4" s="13" t="s">
        <v>7</v>
      </c>
      <c r="E4" s="19" t="s">
        <v>79</v>
      </c>
      <c r="F4" s="13" t="s">
        <v>87</v>
      </c>
      <c r="G4" s="13" t="s">
        <v>91</v>
      </c>
      <c r="H4" s="13" t="s">
        <v>78</v>
      </c>
      <c r="I4" s="19" t="s">
        <v>81</v>
      </c>
      <c r="M4"/>
    </row>
    <row r="5" spans="1:13" x14ac:dyDescent="0.3">
      <c r="B5" s="155" t="s">
        <v>13</v>
      </c>
      <c r="C5" s="156"/>
      <c r="D5" s="12"/>
      <c r="E5" s="12"/>
      <c r="F5" s="15"/>
      <c r="G5" s="16"/>
      <c r="H5" s="16"/>
      <c r="I5" s="1"/>
      <c r="M5"/>
    </row>
    <row r="6" spans="1:13" x14ac:dyDescent="0.3">
      <c r="B6" s="2">
        <v>1</v>
      </c>
      <c r="C6" s="3" t="s">
        <v>5</v>
      </c>
      <c r="D6" s="2">
        <v>8</v>
      </c>
      <c r="E6" s="20"/>
      <c r="F6" s="2">
        <v>4</v>
      </c>
      <c r="G6" s="14">
        <f>D6*F6</f>
        <v>32</v>
      </c>
      <c r="H6" s="11"/>
      <c r="I6" s="21"/>
      <c r="M6"/>
    </row>
    <row r="7" spans="1:13" x14ac:dyDescent="0.3">
      <c r="B7" s="1">
        <v>2</v>
      </c>
      <c r="C7" s="7" t="s">
        <v>9</v>
      </c>
      <c r="D7" s="1">
        <v>8</v>
      </c>
      <c r="E7" s="21"/>
      <c r="F7" s="1">
        <v>2</v>
      </c>
      <c r="G7" s="11">
        <f t="shared" ref="G7:G9" si="0">D7*F7</f>
        <v>16</v>
      </c>
      <c r="H7" s="11"/>
      <c r="I7" s="21"/>
      <c r="M7"/>
    </row>
    <row r="8" spans="1:13" x14ac:dyDescent="0.3">
      <c r="B8" s="1">
        <v>3</v>
      </c>
      <c r="C8" s="7" t="s">
        <v>4</v>
      </c>
      <c r="D8" s="1">
        <v>5</v>
      </c>
      <c r="E8" s="21">
        <v>2</v>
      </c>
      <c r="F8" s="1">
        <v>1</v>
      </c>
      <c r="G8" s="11">
        <f t="shared" si="0"/>
        <v>5</v>
      </c>
      <c r="H8" s="11"/>
      <c r="I8" s="21"/>
      <c r="M8"/>
    </row>
    <row r="9" spans="1:13" x14ac:dyDescent="0.3">
      <c r="B9" s="1">
        <v>4</v>
      </c>
      <c r="C9" s="7" t="s">
        <v>10</v>
      </c>
      <c r="D9" s="1">
        <v>8</v>
      </c>
      <c r="E9" s="21">
        <v>8</v>
      </c>
      <c r="F9" s="1">
        <v>2</v>
      </c>
      <c r="G9" s="11">
        <f t="shared" si="0"/>
        <v>16</v>
      </c>
      <c r="H9" s="11"/>
      <c r="I9" s="21"/>
      <c r="M9"/>
    </row>
    <row r="10" spans="1:13" x14ac:dyDescent="0.3">
      <c r="B10" s="161" t="s">
        <v>14</v>
      </c>
      <c r="C10" s="162"/>
      <c r="D10" s="162"/>
      <c r="E10" s="162"/>
      <c r="F10" s="163"/>
      <c r="G10" s="17">
        <f>SUM(G6:G9)</f>
        <v>69</v>
      </c>
      <c r="H10" s="17">
        <f>SUM(H6:H9)</f>
        <v>0</v>
      </c>
      <c r="I10" s="21"/>
      <c r="M10"/>
    </row>
    <row r="11" spans="1:13" x14ac:dyDescent="0.3">
      <c r="B11" s="155" t="s">
        <v>11</v>
      </c>
      <c r="C11" s="156"/>
      <c r="D11" s="12"/>
      <c r="E11" s="12"/>
      <c r="F11" s="15"/>
      <c r="G11" s="16"/>
      <c r="H11" s="16"/>
      <c r="I11" s="1"/>
      <c r="M11"/>
    </row>
    <row r="12" spans="1:13" x14ac:dyDescent="0.3">
      <c r="B12" s="2">
        <v>1</v>
      </c>
      <c r="C12" s="3" t="s">
        <v>5</v>
      </c>
      <c r="D12" s="2">
        <v>6</v>
      </c>
      <c r="E12" s="20"/>
      <c r="F12" s="2">
        <v>4</v>
      </c>
      <c r="G12" s="14">
        <f>D12*F12</f>
        <v>24</v>
      </c>
      <c r="H12" s="14"/>
      <c r="I12" s="21"/>
      <c r="M12"/>
    </row>
    <row r="13" spans="1:13" x14ac:dyDescent="0.3">
      <c r="B13" s="1">
        <v>2</v>
      </c>
      <c r="C13" s="7" t="s">
        <v>9</v>
      </c>
      <c r="D13" s="1">
        <v>12</v>
      </c>
      <c r="E13" s="21"/>
      <c r="F13" s="1">
        <v>2</v>
      </c>
      <c r="G13" s="11">
        <f t="shared" ref="G13:G17" si="1">D13*F13</f>
        <v>24</v>
      </c>
      <c r="H13" s="11"/>
      <c r="I13" s="21"/>
      <c r="M13"/>
    </row>
    <row r="14" spans="1:13" x14ac:dyDescent="0.3">
      <c r="B14" s="1">
        <v>3</v>
      </c>
      <c r="C14" s="7" t="s">
        <v>4</v>
      </c>
      <c r="D14" s="1">
        <v>9</v>
      </c>
      <c r="E14" s="21">
        <v>5</v>
      </c>
      <c r="F14" s="1">
        <v>1</v>
      </c>
      <c r="G14" s="11">
        <f t="shared" si="1"/>
        <v>9</v>
      </c>
      <c r="H14" s="11"/>
      <c r="I14" s="21"/>
      <c r="M14"/>
    </row>
    <row r="15" spans="1:13" x14ac:dyDescent="0.3">
      <c r="B15" s="1">
        <v>4</v>
      </c>
      <c r="C15" s="7" t="s">
        <v>56</v>
      </c>
      <c r="D15" s="1">
        <v>1</v>
      </c>
      <c r="E15" s="21"/>
      <c r="F15" s="1">
        <v>4</v>
      </c>
      <c r="G15" s="11">
        <f t="shared" si="1"/>
        <v>4</v>
      </c>
      <c r="H15" s="11"/>
      <c r="I15" s="21"/>
      <c r="M15"/>
    </row>
    <row r="16" spans="1:13" x14ac:dyDescent="0.3">
      <c r="B16" s="1">
        <v>5</v>
      </c>
      <c r="C16" s="7" t="s">
        <v>3</v>
      </c>
      <c r="D16" s="1">
        <v>2</v>
      </c>
      <c r="E16" s="21">
        <v>2</v>
      </c>
      <c r="F16" s="1">
        <v>2</v>
      </c>
      <c r="G16" s="11">
        <f t="shared" si="1"/>
        <v>4</v>
      </c>
      <c r="H16" s="11"/>
      <c r="I16" s="21"/>
      <c r="M16"/>
    </row>
    <row r="17" spans="2:13" x14ac:dyDescent="0.3">
      <c r="B17" s="1">
        <v>6</v>
      </c>
      <c r="C17" s="7" t="s">
        <v>54</v>
      </c>
      <c r="D17" s="1">
        <v>2</v>
      </c>
      <c r="E17" s="21"/>
      <c r="F17" s="1">
        <v>8</v>
      </c>
      <c r="G17" s="11">
        <f t="shared" si="1"/>
        <v>16</v>
      </c>
      <c r="H17" s="11"/>
      <c r="I17" s="21"/>
      <c r="M17"/>
    </row>
    <row r="18" spans="2:13" x14ac:dyDescent="0.3">
      <c r="B18" s="161" t="s">
        <v>12</v>
      </c>
      <c r="C18" s="162"/>
      <c r="D18" s="162"/>
      <c r="E18" s="162"/>
      <c r="F18" s="163"/>
      <c r="G18" s="17">
        <f>SUM(G12:G17)</f>
        <v>81</v>
      </c>
      <c r="H18" s="17">
        <f>SUM(H12:H17)</f>
        <v>0</v>
      </c>
      <c r="I18" s="21"/>
      <c r="M18"/>
    </row>
    <row r="19" spans="2:13" x14ac:dyDescent="0.3">
      <c r="B19" s="155" t="s">
        <v>17</v>
      </c>
      <c r="C19" s="156"/>
      <c r="D19" s="12"/>
      <c r="E19" s="12"/>
      <c r="F19" s="15"/>
      <c r="G19" s="16"/>
      <c r="H19" s="16"/>
      <c r="I19" s="1"/>
      <c r="M19"/>
    </row>
    <row r="20" spans="2:13" x14ac:dyDescent="0.3">
      <c r="B20" s="2">
        <v>1</v>
      </c>
      <c r="C20" s="3" t="s">
        <v>5</v>
      </c>
      <c r="D20" s="2">
        <v>5</v>
      </c>
      <c r="E20" s="20"/>
      <c r="F20" s="2">
        <v>4</v>
      </c>
      <c r="G20" s="14">
        <f>D20*F20</f>
        <v>20</v>
      </c>
      <c r="H20" s="14"/>
      <c r="I20" s="21"/>
      <c r="M20"/>
    </row>
    <row r="21" spans="2:13" x14ac:dyDescent="0.3">
      <c r="B21" s="2">
        <v>2</v>
      </c>
      <c r="C21" s="3" t="s">
        <v>24</v>
      </c>
      <c r="D21" s="2">
        <v>2</v>
      </c>
      <c r="E21" s="20"/>
      <c r="F21" s="2">
        <v>8</v>
      </c>
      <c r="G21" s="14">
        <f>D21*F21</f>
        <v>16</v>
      </c>
      <c r="H21" s="14"/>
      <c r="I21" s="21"/>
      <c r="M21"/>
    </row>
    <row r="22" spans="2:13" x14ac:dyDescent="0.3">
      <c r="B22" s="1">
        <v>3</v>
      </c>
      <c r="C22" s="7" t="s">
        <v>9</v>
      </c>
      <c r="D22" s="1">
        <v>11</v>
      </c>
      <c r="E22" s="21"/>
      <c r="F22" s="1">
        <v>2</v>
      </c>
      <c r="G22" s="11">
        <f t="shared" ref="G22:G24" si="2">D22*F22</f>
        <v>22</v>
      </c>
      <c r="H22" s="11"/>
      <c r="I22" s="21"/>
      <c r="M22"/>
    </row>
    <row r="23" spans="2:13" x14ac:dyDescent="0.3">
      <c r="B23" s="1">
        <v>4</v>
      </c>
      <c r="C23" s="7" t="s">
        <v>4</v>
      </c>
      <c r="D23" s="25">
        <v>30</v>
      </c>
      <c r="E23" s="21">
        <v>30</v>
      </c>
      <c r="F23" s="1">
        <v>1</v>
      </c>
      <c r="G23" s="11">
        <f t="shared" si="2"/>
        <v>30</v>
      </c>
      <c r="H23" s="11"/>
      <c r="I23" s="21"/>
      <c r="M23"/>
    </row>
    <row r="24" spans="2:13" x14ac:dyDescent="0.3">
      <c r="B24" s="1">
        <v>5</v>
      </c>
      <c r="C24" s="7" t="s">
        <v>56</v>
      </c>
      <c r="D24" s="1">
        <v>2</v>
      </c>
      <c r="E24" s="21">
        <v>2</v>
      </c>
      <c r="F24" s="1">
        <v>4</v>
      </c>
      <c r="G24" s="11">
        <f t="shared" si="2"/>
        <v>8</v>
      </c>
      <c r="H24" s="11"/>
      <c r="I24" s="21"/>
      <c r="M24"/>
    </row>
    <row r="25" spans="2:13" x14ac:dyDescent="0.3">
      <c r="B25" s="1">
        <v>6</v>
      </c>
      <c r="C25" s="65" t="s">
        <v>57</v>
      </c>
      <c r="D25" s="1">
        <v>2</v>
      </c>
      <c r="E25" s="21">
        <v>2</v>
      </c>
      <c r="F25" s="1">
        <v>6</v>
      </c>
      <c r="G25" s="11">
        <f>D25*F25</f>
        <v>12</v>
      </c>
      <c r="H25" s="11"/>
      <c r="I25" s="21"/>
      <c r="M25"/>
    </row>
    <row r="26" spans="2:13" x14ac:dyDescent="0.3">
      <c r="B26" s="161" t="s">
        <v>18</v>
      </c>
      <c r="C26" s="162"/>
      <c r="D26" s="162"/>
      <c r="E26" s="162"/>
      <c r="F26" s="163"/>
      <c r="G26" s="17">
        <f>SUM(G20:G25)</f>
        <v>108</v>
      </c>
      <c r="H26" s="17">
        <f>SUM(H20:H25)</f>
        <v>0</v>
      </c>
      <c r="I26" s="21"/>
      <c r="M26"/>
    </row>
    <row r="27" spans="2:13" x14ac:dyDescent="0.3">
      <c r="B27" s="155" t="s">
        <v>58</v>
      </c>
      <c r="C27" s="156"/>
      <c r="D27" s="12"/>
      <c r="E27" s="12"/>
      <c r="F27" s="15"/>
      <c r="G27" s="16"/>
      <c r="H27" s="16"/>
      <c r="I27" s="1"/>
      <c r="M27"/>
    </row>
    <row r="28" spans="2:13" x14ac:dyDescent="0.3">
      <c r="B28" s="2">
        <v>1</v>
      </c>
      <c r="C28" s="3" t="s">
        <v>5</v>
      </c>
      <c r="D28" s="2">
        <v>1</v>
      </c>
      <c r="E28" s="2"/>
      <c r="F28" s="2">
        <v>4</v>
      </c>
      <c r="G28" s="14">
        <f>D28*F28</f>
        <v>4</v>
      </c>
      <c r="H28" s="14"/>
      <c r="I28" s="1"/>
      <c r="M28"/>
    </row>
    <row r="29" spans="2:13" x14ac:dyDescent="0.3">
      <c r="B29" s="1">
        <v>2</v>
      </c>
      <c r="C29" s="7" t="s">
        <v>9</v>
      </c>
      <c r="D29" s="1">
        <v>3</v>
      </c>
      <c r="E29" s="1"/>
      <c r="F29" s="1">
        <v>2</v>
      </c>
      <c r="G29" s="11">
        <f t="shared" ref="G29" si="3">D29*F29</f>
        <v>6</v>
      </c>
      <c r="H29" s="11"/>
      <c r="I29" s="1"/>
      <c r="M29"/>
    </row>
    <row r="30" spans="2:13" x14ac:dyDescent="0.3">
      <c r="B30" s="161" t="s">
        <v>59</v>
      </c>
      <c r="C30" s="162"/>
      <c r="D30" s="162"/>
      <c r="E30" s="162"/>
      <c r="F30" s="163"/>
      <c r="G30" s="17">
        <f>SUM(G28:G29)</f>
        <v>10</v>
      </c>
      <c r="H30" s="17">
        <f>SUM(H28:H29)</f>
        <v>0</v>
      </c>
      <c r="I30" s="1"/>
      <c r="M30"/>
    </row>
    <row r="31" spans="2:13" x14ac:dyDescent="0.3">
      <c r="B31" s="155" t="s">
        <v>25</v>
      </c>
      <c r="C31" s="156"/>
      <c r="D31" s="12"/>
      <c r="E31" s="12"/>
      <c r="F31" s="15"/>
      <c r="G31" s="16"/>
      <c r="H31" s="16"/>
      <c r="I31" s="1"/>
      <c r="M31"/>
    </row>
    <row r="32" spans="2:13" x14ac:dyDescent="0.3">
      <c r="B32" s="2">
        <v>1</v>
      </c>
      <c r="C32" s="3" t="s">
        <v>5</v>
      </c>
      <c r="D32" s="2">
        <v>5</v>
      </c>
      <c r="E32" s="20"/>
      <c r="F32" s="2">
        <v>4</v>
      </c>
      <c r="G32" s="14">
        <f>D32*F32</f>
        <v>20</v>
      </c>
      <c r="H32" s="14"/>
      <c r="I32" s="21"/>
      <c r="M32"/>
    </row>
    <row r="33" spans="2:13" x14ac:dyDescent="0.3">
      <c r="B33" s="1">
        <v>2</v>
      </c>
      <c r="C33" s="7" t="s">
        <v>9</v>
      </c>
      <c r="D33" s="1">
        <v>5</v>
      </c>
      <c r="E33" s="21"/>
      <c r="F33" s="1">
        <v>2</v>
      </c>
      <c r="G33" s="11">
        <f t="shared" ref="G33:G37" si="4">D33*F33</f>
        <v>10</v>
      </c>
      <c r="H33" s="11"/>
      <c r="I33" s="21"/>
      <c r="M33"/>
    </row>
    <row r="34" spans="2:13" x14ac:dyDescent="0.3">
      <c r="B34" s="1">
        <v>3</v>
      </c>
      <c r="C34" s="7" t="s">
        <v>4</v>
      </c>
      <c r="D34" s="1">
        <v>2</v>
      </c>
      <c r="E34" s="21">
        <v>1</v>
      </c>
      <c r="F34" s="1">
        <v>1</v>
      </c>
      <c r="G34" s="11">
        <f t="shared" si="4"/>
        <v>2</v>
      </c>
      <c r="H34" s="11"/>
      <c r="I34" s="21"/>
      <c r="M34"/>
    </row>
    <row r="35" spans="2:13" x14ac:dyDescent="0.3">
      <c r="B35" s="1">
        <v>4</v>
      </c>
      <c r="C35" s="65" t="s">
        <v>20</v>
      </c>
      <c r="D35" s="1">
        <v>6</v>
      </c>
      <c r="E35" s="21">
        <v>6</v>
      </c>
      <c r="F35" s="1">
        <v>3</v>
      </c>
      <c r="G35" s="11">
        <f t="shared" si="4"/>
        <v>18</v>
      </c>
      <c r="H35" s="11"/>
      <c r="I35" s="21"/>
      <c r="M35"/>
    </row>
    <row r="36" spans="2:13" x14ac:dyDescent="0.3">
      <c r="B36" s="1">
        <v>5</v>
      </c>
      <c r="C36" s="65" t="s">
        <v>60</v>
      </c>
      <c r="D36" s="1">
        <v>1</v>
      </c>
      <c r="E36" s="21"/>
      <c r="F36" s="1">
        <v>6</v>
      </c>
      <c r="G36" s="11">
        <f t="shared" si="4"/>
        <v>6</v>
      </c>
      <c r="H36" s="11"/>
      <c r="I36" s="21"/>
      <c r="M36"/>
    </row>
    <row r="37" spans="2:13" x14ac:dyDescent="0.3">
      <c r="B37" s="1">
        <v>6</v>
      </c>
      <c r="C37" s="7" t="s">
        <v>10</v>
      </c>
      <c r="D37" s="1">
        <v>4</v>
      </c>
      <c r="E37" s="21">
        <v>4</v>
      </c>
      <c r="F37" s="1">
        <v>2</v>
      </c>
      <c r="G37" s="11">
        <f t="shared" si="4"/>
        <v>8</v>
      </c>
      <c r="H37" s="11"/>
      <c r="I37" s="21"/>
      <c r="M37"/>
    </row>
    <row r="38" spans="2:13" x14ac:dyDescent="0.3">
      <c r="B38" s="161" t="s">
        <v>26</v>
      </c>
      <c r="C38" s="162"/>
      <c r="D38" s="162"/>
      <c r="E38" s="162"/>
      <c r="F38" s="163"/>
      <c r="G38" s="17">
        <f>SUM(G32:G37)</f>
        <v>64</v>
      </c>
      <c r="H38" s="17">
        <f>SUM(H32:H37)</f>
        <v>0</v>
      </c>
      <c r="I38" s="21"/>
      <c r="M38"/>
    </row>
    <row r="39" spans="2:13" x14ac:dyDescent="0.3">
      <c r="B39" s="155" t="s">
        <v>61</v>
      </c>
      <c r="C39" s="156"/>
      <c r="D39" s="12"/>
      <c r="E39" s="12"/>
      <c r="F39" s="15"/>
      <c r="G39" s="16"/>
      <c r="H39" s="16"/>
      <c r="I39" s="1"/>
      <c r="M39"/>
    </row>
    <row r="40" spans="2:13" x14ac:dyDescent="0.3">
      <c r="B40" s="2">
        <v>1</v>
      </c>
      <c r="C40" s="3" t="s">
        <v>5</v>
      </c>
      <c r="D40" s="2">
        <v>1</v>
      </c>
      <c r="E40" s="2"/>
      <c r="F40" s="2">
        <v>4</v>
      </c>
      <c r="G40" s="14">
        <f>D40*F40</f>
        <v>4</v>
      </c>
      <c r="H40" s="14"/>
      <c r="I40" s="1"/>
      <c r="M40"/>
    </row>
    <row r="41" spans="2:13" x14ac:dyDescent="0.3">
      <c r="B41" s="1">
        <v>2</v>
      </c>
      <c r="C41" s="7" t="s">
        <v>9</v>
      </c>
      <c r="D41" s="1">
        <v>3</v>
      </c>
      <c r="E41" s="1"/>
      <c r="F41" s="1">
        <v>2</v>
      </c>
      <c r="G41" s="11">
        <f t="shared" ref="G41" si="5">D41*F41</f>
        <v>6</v>
      </c>
      <c r="H41" s="11"/>
      <c r="I41" s="1"/>
      <c r="M41"/>
    </row>
    <row r="42" spans="2:13" x14ac:dyDescent="0.3">
      <c r="B42" s="161" t="s">
        <v>62</v>
      </c>
      <c r="C42" s="162"/>
      <c r="D42" s="162"/>
      <c r="E42" s="162"/>
      <c r="F42" s="163"/>
      <c r="G42" s="17">
        <f>SUM(G40:G41)</f>
        <v>10</v>
      </c>
      <c r="H42" s="17">
        <f>SUM(H40:H41)</f>
        <v>0</v>
      </c>
      <c r="I42" s="1"/>
      <c r="M42"/>
    </row>
    <row r="43" spans="2:13" x14ac:dyDescent="0.3">
      <c r="B43" s="155" t="s">
        <v>27</v>
      </c>
      <c r="C43" s="156"/>
      <c r="D43" s="12"/>
      <c r="E43" s="12"/>
      <c r="F43" s="15"/>
      <c r="G43" s="16"/>
      <c r="H43" s="16"/>
      <c r="I43" s="1"/>
      <c r="M43"/>
    </row>
    <row r="44" spans="2:13" x14ac:dyDescent="0.3">
      <c r="B44" s="2">
        <v>1</v>
      </c>
      <c r="C44" s="3" t="s">
        <v>5</v>
      </c>
      <c r="D44" s="2">
        <v>5</v>
      </c>
      <c r="E44" s="20"/>
      <c r="F44" s="2">
        <v>4</v>
      </c>
      <c r="G44" s="14">
        <f>D44*F44</f>
        <v>20</v>
      </c>
      <c r="H44" s="14"/>
      <c r="I44" s="21"/>
      <c r="M44"/>
    </row>
    <row r="45" spans="2:13" x14ac:dyDescent="0.3">
      <c r="B45" s="1">
        <v>2</v>
      </c>
      <c r="C45" s="7" t="s">
        <v>9</v>
      </c>
      <c r="D45" s="1">
        <v>5</v>
      </c>
      <c r="E45" s="21"/>
      <c r="F45" s="1">
        <v>2</v>
      </c>
      <c r="G45" s="11">
        <f t="shared" ref="G45:G48" si="6">D45*F45</f>
        <v>10</v>
      </c>
      <c r="H45" s="11"/>
      <c r="I45" s="21"/>
      <c r="M45"/>
    </row>
    <row r="46" spans="2:13" x14ac:dyDescent="0.3">
      <c r="B46" s="1">
        <v>3</v>
      </c>
      <c r="C46" s="7" t="s">
        <v>4</v>
      </c>
      <c r="D46" s="1">
        <v>2</v>
      </c>
      <c r="E46" s="21">
        <v>1</v>
      </c>
      <c r="F46" s="1">
        <v>1</v>
      </c>
      <c r="G46" s="11">
        <f t="shared" si="6"/>
        <v>2</v>
      </c>
      <c r="H46" s="11"/>
      <c r="I46" s="21"/>
      <c r="M46"/>
    </row>
    <row r="47" spans="2:13" x14ac:dyDescent="0.3">
      <c r="B47" s="1">
        <v>4</v>
      </c>
      <c r="C47" s="65" t="s">
        <v>60</v>
      </c>
      <c r="D47" s="1">
        <v>2</v>
      </c>
      <c r="E47" s="21">
        <v>2</v>
      </c>
      <c r="F47" s="1">
        <v>6</v>
      </c>
      <c r="G47" s="11">
        <f t="shared" si="6"/>
        <v>12</v>
      </c>
      <c r="H47" s="11"/>
      <c r="I47" s="21"/>
      <c r="M47"/>
    </row>
    <row r="48" spans="2:13" x14ac:dyDescent="0.3">
      <c r="B48" s="1">
        <v>5</v>
      </c>
      <c r="C48" s="7" t="s">
        <v>10</v>
      </c>
      <c r="D48" s="1">
        <v>4</v>
      </c>
      <c r="E48" s="21">
        <v>4</v>
      </c>
      <c r="F48" s="1">
        <v>2</v>
      </c>
      <c r="G48" s="11">
        <f t="shared" si="6"/>
        <v>8</v>
      </c>
      <c r="H48" s="11"/>
      <c r="I48" s="21"/>
      <c r="M48"/>
    </row>
    <row r="49" spans="2:13" x14ac:dyDescent="0.3">
      <c r="B49" s="161" t="s">
        <v>28</v>
      </c>
      <c r="C49" s="162"/>
      <c r="D49" s="162"/>
      <c r="E49" s="162"/>
      <c r="F49" s="163"/>
      <c r="G49" s="17">
        <f>SUM(G44:G48)</f>
        <v>52</v>
      </c>
      <c r="H49" s="17">
        <f>SUM(H44:H48)</f>
        <v>0</v>
      </c>
      <c r="I49" s="21"/>
      <c r="M49"/>
    </row>
    <row r="50" spans="2:13" x14ac:dyDescent="0.3">
      <c r="B50" s="155" t="s">
        <v>63</v>
      </c>
      <c r="C50" s="156"/>
      <c r="D50" s="12"/>
      <c r="E50" s="12"/>
      <c r="F50" s="15"/>
      <c r="G50" s="16"/>
      <c r="H50" s="16"/>
      <c r="I50" s="1"/>
      <c r="M50"/>
    </row>
    <row r="51" spans="2:13" x14ac:dyDescent="0.3">
      <c r="B51" s="2">
        <v>1</v>
      </c>
      <c r="C51" s="3" t="s">
        <v>5</v>
      </c>
      <c r="D51" s="2">
        <v>1</v>
      </c>
      <c r="E51" s="2"/>
      <c r="F51" s="2">
        <v>4</v>
      </c>
      <c r="G51" s="14">
        <f>D51*F51</f>
        <v>4</v>
      </c>
      <c r="H51" s="14"/>
      <c r="I51" s="1"/>
      <c r="M51"/>
    </row>
    <row r="52" spans="2:13" x14ac:dyDescent="0.3">
      <c r="B52" s="1">
        <v>2</v>
      </c>
      <c r="C52" s="7" t="s">
        <v>9</v>
      </c>
      <c r="D52" s="1">
        <v>3</v>
      </c>
      <c r="E52" s="1"/>
      <c r="F52" s="1">
        <v>2</v>
      </c>
      <c r="G52" s="11">
        <f t="shared" ref="G52" si="7">D52*F52</f>
        <v>6</v>
      </c>
      <c r="H52" s="11"/>
      <c r="I52" s="1"/>
      <c r="M52"/>
    </row>
    <row r="53" spans="2:13" x14ac:dyDescent="0.3">
      <c r="B53" s="161" t="s">
        <v>64</v>
      </c>
      <c r="C53" s="162"/>
      <c r="D53" s="162"/>
      <c r="E53" s="162"/>
      <c r="F53" s="163"/>
      <c r="G53" s="17">
        <f>SUM(G51:G52)</f>
        <v>10</v>
      </c>
      <c r="H53" s="17">
        <f>SUM(H51:H52)</f>
        <v>0</v>
      </c>
      <c r="I53" s="1"/>
      <c r="M53"/>
    </row>
    <row r="54" spans="2:13" x14ac:dyDescent="0.3">
      <c r="B54" s="155" t="s">
        <v>29</v>
      </c>
      <c r="C54" s="156"/>
      <c r="D54" s="12"/>
      <c r="E54" s="12"/>
      <c r="F54" s="15"/>
      <c r="G54" s="16"/>
      <c r="H54" s="16"/>
      <c r="I54" s="1"/>
      <c r="M54"/>
    </row>
    <row r="55" spans="2:13" x14ac:dyDescent="0.3">
      <c r="B55" s="2">
        <v>1</v>
      </c>
      <c r="C55" s="3" t="s">
        <v>5</v>
      </c>
      <c r="D55" s="2">
        <v>5</v>
      </c>
      <c r="E55" s="20"/>
      <c r="F55" s="2">
        <v>4</v>
      </c>
      <c r="G55" s="14">
        <f>D55*F55</f>
        <v>20</v>
      </c>
      <c r="H55" s="14"/>
      <c r="I55" s="21"/>
      <c r="M55"/>
    </row>
    <row r="56" spans="2:13" x14ac:dyDescent="0.3">
      <c r="B56" s="1">
        <v>2</v>
      </c>
      <c r="C56" s="7" t="s">
        <v>9</v>
      </c>
      <c r="D56" s="1">
        <v>5</v>
      </c>
      <c r="E56" s="21"/>
      <c r="F56" s="1">
        <v>2</v>
      </c>
      <c r="G56" s="11">
        <f t="shared" ref="G56:G58" si="8">D56*F56</f>
        <v>10</v>
      </c>
      <c r="H56" s="11"/>
      <c r="I56" s="21"/>
      <c r="M56"/>
    </row>
    <row r="57" spans="2:13" x14ac:dyDescent="0.3">
      <c r="B57" s="1">
        <v>3</v>
      </c>
      <c r="C57" s="7" t="s">
        <v>4</v>
      </c>
      <c r="D57" s="1">
        <v>5</v>
      </c>
      <c r="E57" s="21">
        <v>4</v>
      </c>
      <c r="F57" s="1">
        <v>1</v>
      </c>
      <c r="G57" s="11">
        <f t="shared" si="8"/>
        <v>5</v>
      </c>
      <c r="H57" s="11"/>
      <c r="I57" s="21"/>
      <c r="M57"/>
    </row>
    <row r="58" spans="2:13" x14ac:dyDescent="0.3">
      <c r="B58" s="1">
        <v>4</v>
      </c>
      <c r="C58" s="65" t="s">
        <v>60</v>
      </c>
      <c r="D58" s="1">
        <v>7</v>
      </c>
      <c r="E58" s="21">
        <v>3</v>
      </c>
      <c r="F58" s="1">
        <v>6</v>
      </c>
      <c r="G58" s="11">
        <f t="shared" si="8"/>
        <v>42</v>
      </c>
      <c r="H58" s="11"/>
      <c r="I58" s="21"/>
      <c r="M58"/>
    </row>
    <row r="59" spans="2:13" x14ac:dyDescent="0.3">
      <c r="B59" s="161" t="s">
        <v>30</v>
      </c>
      <c r="C59" s="162"/>
      <c r="D59" s="162"/>
      <c r="E59" s="162"/>
      <c r="F59" s="163"/>
      <c r="G59" s="17">
        <f>SUM(G55:G58)</f>
        <v>77</v>
      </c>
      <c r="H59" s="17">
        <f>SUM(H55:H58)</f>
        <v>0</v>
      </c>
      <c r="I59" s="21"/>
      <c r="M59"/>
    </row>
    <row r="60" spans="2:13" x14ac:dyDescent="0.3">
      <c r="B60" s="155" t="s">
        <v>65</v>
      </c>
      <c r="C60" s="156"/>
      <c r="D60" s="12"/>
      <c r="E60" s="12"/>
      <c r="F60" s="15"/>
      <c r="G60" s="16"/>
      <c r="H60" s="16"/>
      <c r="I60" s="1"/>
      <c r="M60"/>
    </row>
    <row r="61" spans="2:13" x14ac:dyDescent="0.3">
      <c r="B61" s="2">
        <v>1</v>
      </c>
      <c r="C61" s="3" t="s">
        <v>5</v>
      </c>
      <c r="D61" s="2">
        <v>1</v>
      </c>
      <c r="E61" s="2"/>
      <c r="F61" s="2">
        <v>4</v>
      </c>
      <c r="G61" s="14">
        <f>D61*F61</f>
        <v>4</v>
      </c>
      <c r="H61" s="14"/>
      <c r="I61" s="1"/>
      <c r="M61"/>
    </row>
    <row r="62" spans="2:13" x14ac:dyDescent="0.3">
      <c r="B62" s="1">
        <v>2</v>
      </c>
      <c r="C62" s="7" t="s">
        <v>9</v>
      </c>
      <c r="D62" s="1">
        <v>3</v>
      </c>
      <c r="E62" s="1"/>
      <c r="F62" s="1">
        <v>2</v>
      </c>
      <c r="G62" s="11">
        <f t="shared" ref="G62" si="9">D62*F62</f>
        <v>6</v>
      </c>
      <c r="H62" s="11"/>
      <c r="I62" s="1"/>
      <c r="M62"/>
    </row>
    <row r="63" spans="2:13" x14ac:dyDescent="0.3">
      <c r="B63" s="161" t="s">
        <v>66</v>
      </c>
      <c r="C63" s="162"/>
      <c r="D63" s="162"/>
      <c r="E63" s="162"/>
      <c r="F63" s="163"/>
      <c r="G63" s="17">
        <f>SUM(G61:G62)</f>
        <v>10</v>
      </c>
      <c r="H63" s="17">
        <f>SUM(H61:H62)</f>
        <v>0</v>
      </c>
      <c r="I63" s="1"/>
      <c r="M63"/>
    </row>
    <row r="64" spans="2:13" x14ac:dyDescent="0.3">
      <c r="B64" s="155" t="s">
        <v>31</v>
      </c>
      <c r="C64" s="156"/>
      <c r="D64" s="12"/>
      <c r="E64" s="12"/>
      <c r="F64" s="15"/>
      <c r="G64" s="16"/>
      <c r="H64" s="16"/>
      <c r="I64" s="1"/>
      <c r="M64"/>
    </row>
    <row r="65" spans="2:13" x14ac:dyDescent="0.3">
      <c r="B65" s="2">
        <v>1</v>
      </c>
      <c r="C65" s="3" t="s">
        <v>5</v>
      </c>
      <c r="D65" s="2">
        <v>9</v>
      </c>
      <c r="E65" s="20"/>
      <c r="F65" s="2">
        <v>4</v>
      </c>
      <c r="G65" s="14">
        <f>D65*F65</f>
        <v>36</v>
      </c>
      <c r="H65" s="14"/>
      <c r="I65" s="21"/>
      <c r="M65"/>
    </row>
    <row r="66" spans="2:13" x14ac:dyDescent="0.3">
      <c r="B66" s="2">
        <v>2</v>
      </c>
      <c r="C66" s="3" t="s">
        <v>24</v>
      </c>
      <c r="D66" s="2">
        <v>2</v>
      </c>
      <c r="E66" s="20"/>
      <c r="F66" s="2">
        <v>8</v>
      </c>
      <c r="G66" s="14">
        <f>D66*F66</f>
        <v>16</v>
      </c>
      <c r="H66" s="14"/>
      <c r="I66" s="21"/>
      <c r="M66"/>
    </row>
    <row r="67" spans="2:13" x14ac:dyDescent="0.3">
      <c r="B67" s="1">
        <v>3</v>
      </c>
      <c r="C67" s="7" t="s">
        <v>9</v>
      </c>
      <c r="D67" s="1">
        <v>15</v>
      </c>
      <c r="E67" s="21"/>
      <c r="F67" s="1">
        <v>2</v>
      </c>
      <c r="G67" s="11">
        <f t="shared" ref="G67:G72" si="10">D67*F67</f>
        <v>30</v>
      </c>
      <c r="H67" s="11"/>
      <c r="I67" s="21"/>
      <c r="M67"/>
    </row>
    <row r="68" spans="2:13" x14ac:dyDescent="0.3">
      <c r="B68" s="1">
        <v>4</v>
      </c>
      <c r="C68" s="7" t="s">
        <v>16</v>
      </c>
      <c r="D68" s="1">
        <v>1</v>
      </c>
      <c r="E68" s="21"/>
      <c r="F68" s="1">
        <v>4</v>
      </c>
      <c r="G68" s="11">
        <f t="shared" si="10"/>
        <v>4</v>
      </c>
      <c r="H68" s="11"/>
      <c r="I68" s="21"/>
      <c r="M68"/>
    </row>
    <row r="69" spans="2:13" x14ac:dyDescent="0.3">
      <c r="B69" s="1">
        <v>5</v>
      </c>
      <c r="C69" s="7" t="s">
        <v>4</v>
      </c>
      <c r="D69" s="1">
        <v>12</v>
      </c>
      <c r="E69" s="21">
        <v>10</v>
      </c>
      <c r="F69" s="1">
        <v>1</v>
      </c>
      <c r="G69" s="11">
        <f t="shared" si="10"/>
        <v>12</v>
      </c>
      <c r="H69" s="11"/>
      <c r="I69" s="21"/>
      <c r="M69"/>
    </row>
    <row r="70" spans="2:13" x14ac:dyDescent="0.3">
      <c r="B70" s="1">
        <v>6</v>
      </c>
      <c r="C70" s="7" t="s">
        <v>21</v>
      </c>
      <c r="D70" s="1">
        <v>1</v>
      </c>
      <c r="E70" s="21"/>
      <c r="F70" s="1">
        <v>3</v>
      </c>
      <c r="G70" s="11">
        <f t="shared" si="10"/>
        <v>3</v>
      </c>
      <c r="H70" s="11"/>
      <c r="I70" s="21"/>
      <c r="M70"/>
    </row>
    <row r="71" spans="2:13" x14ac:dyDescent="0.3">
      <c r="B71" s="1">
        <v>7</v>
      </c>
      <c r="C71" s="7" t="s">
        <v>67</v>
      </c>
      <c r="D71" s="1">
        <v>1</v>
      </c>
      <c r="E71" s="21">
        <v>1</v>
      </c>
      <c r="F71" s="1">
        <v>2</v>
      </c>
      <c r="G71" s="11">
        <f t="shared" si="10"/>
        <v>2</v>
      </c>
      <c r="H71" s="11"/>
      <c r="I71" s="21"/>
      <c r="M71"/>
    </row>
    <row r="72" spans="2:13" x14ac:dyDescent="0.3">
      <c r="B72" s="1">
        <v>8</v>
      </c>
      <c r="C72" s="7" t="s">
        <v>10</v>
      </c>
      <c r="D72" s="1">
        <v>2</v>
      </c>
      <c r="E72" s="21">
        <v>10</v>
      </c>
      <c r="F72" s="1">
        <v>2</v>
      </c>
      <c r="G72" s="11">
        <f t="shared" si="10"/>
        <v>4</v>
      </c>
      <c r="H72" s="11"/>
      <c r="I72" s="21"/>
      <c r="M72"/>
    </row>
    <row r="73" spans="2:13" x14ac:dyDescent="0.3">
      <c r="B73" s="161" t="s">
        <v>32</v>
      </c>
      <c r="C73" s="162"/>
      <c r="D73" s="162"/>
      <c r="E73" s="162"/>
      <c r="F73" s="163"/>
      <c r="G73" s="17">
        <f>SUM(G65:G72)</f>
        <v>107</v>
      </c>
      <c r="H73" s="17">
        <f>SUM(H65:H72)</f>
        <v>0</v>
      </c>
      <c r="I73" s="21"/>
      <c r="M73"/>
    </row>
    <row r="74" spans="2:13" x14ac:dyDescent="0.3">
      <c r="B74" s="155" t="s">
        <v>39</v>
      </c>
      <c r="C74" s="156"/>
      <c r="D74" s="12"/>
      <c r="E74" s="12"/>
      <c r="F74" s="15"/>
      <c r="G74" s="16"/>
      <c r="H74" s="16"/>
      <c r="I74" s="1"/>
      <c r="M74"/>
    </row>
    <row r="75" spans="2:13" x14ac:dyDescent="0.3">
      <c r="B75" s="2">
        <v>1</v>
      </c>
      <c r="C75" s="3" t="s">
        <v>5</v>
      </c>
      <c r="D75" s="2">
        <v>22</v>
      </c>
      <c r="E75" s="20"/>
      <c r="F75" s="2">
        <v>4</v>
      </c>
      <c r="G75" s="14">
        <f>D75*F75</f>
        <v>88</v>
      </c>
      <c r="H75" s="14"/>
      <c r="I75" s="21"/>
      <c r="M75"/>
    </row>
    <row r="76" spans="2:13" x14ac:dyDescent="0.3">
      <c r="B76" s="1">
        <v>2</v>
      </c>
      <c r="C76" s="7" t="s">
        <v>9</v>
      </c>
      <c r="D76" s="1">
        <v>25</v>
      </c>
      <c r="E76" s="21"/>
      <c r="F76" s="1">
        <v>2</v>
      </c>
      <c r="G76" s="11">
        <f t="shared" ref="G76:G81" si="11">D76*F76</f>
        <v>50</v>
      </c>
      <c r="H76" s="11"/>
      <c r="I76" s="21"/>
      <c r="M76"/>
    </row>
    <row r="77" spans="2:13" x14ac:dyDescent="0.3">
      <c r="B77" s="1">
        <v>3</v>
      </c>
      <c r="C77" s="7" t="s">
        <v>4</v>
      </c>
      <c r="D77" s="1">
        <v>29</v>
      </c>
      <c r="E77" s="21">
        <v>25</v>
      </c>
      <c r="F77" s="1">
        <v>1</v>
      </c>
      <c r="G77" s="11">
        <f t="shared" si="11"/>
        <v>29</v>
      </c>
      <c r="H77" s="11"/>
      <c r="I77" s="21"/>
      <c r="M77"/>
    </row>
    <row r="78" spans="2:13" x14ac:dyDescent="0.3">
      <c r="B78" s="1">
        <v>4</v>
      </c>
      <c r="C78" s="7" t="s">
        <v>21</v>
      </c>
      <c r="D78" s="1">
        <v>1</v>
      </c>
      <c r="E78" s="21"/>
      <c r="F78" s="1">
        <v>3</v>
      </c>
      <c r="G78" s="11">
        <f t="shared" si="11"/>
        <v>3</v>
      </c>
      <c r="H78" s="11"/>
      <c r="I78" s="21"/>
      <c r="M78"/>
    </row>
    <row r="79" spans="2:13" x14ac:dyDescent="0.3">
      <c r="B79" s="1">
        <v>5</v>
      </c>
      <c r="C79" s="65" t="s">
        <v>60</v>
      </c>
      <c r="D79" s="1">
        <v>2</v>
      </c>
      <c r="E79" s="21">
        <v>2</v>
      </c>
      <c r="F79" s="1">
        <v>6</v>
      </c>
      <c r="G79" s="11">
        <f t="shared" si="11"/>
        <v>12</v>
      </c>
      <c r="H79" s="11"/>
      <c r="I79" s="21"/>
      <c r="M79"/>
    </row>
    <row r="80" spans="2:13" x14ac:dyDescent="0.3">
      <c r="B80" s="1">
        <v>6</v>
      </c>
      <c r="C80" s="7" t="s">
        <v>67</v>
      </c>
      <c r="D80" s="1">
        <v>2</v>
      </c>
      <c r="E80" s="21">
        <v>2</v>
      </c>
      <c r="F80" s="1">
        <v>2</v>
      </c>
      <c r="G80" s="11">
        <f t="shared" si="11"/>
        <v>4</v>
      </c>
      <c r="H80" s="11"/>
      <c r="I80" s="21"/>
      <c r="M80"/>
    </row>
    <row r="81" spans="2:13" x14ac:dyDescent="0.3">
      <c r="B81" s="1">
        <v>7</v>
      </c>
      <c r="C81" s="7" t="s">
        <v>10</v>
      </c>
      <c r="D81" s="1">
        <v>20</v>
      </c>
      <c r="E81" s="21">
        <v>20</v>
      </c>
      <c r="F81" s="1">
        <v>2</v>
      </c>
      <c r="G81" s="11">
        <f t="shared" si="11"/>
        <v>40</v>
      </c>
      <c r="H81" s="11"/>
      <c r="I81" s="21"/>
      <c r="M81"/>
    </row>
    <row r="82" spans="2:13" x14ac:dyDescent="0.3">
      <c r="B82" s="161" t="s">
        <v>40</v>
      </c>
      <c r="C82" s="162"/>
      <c r="D82" s="162"/>
      <c r="E82" s="162"/>
      <c r="F82" s="163"/>
      <c r="G82" s="17">
        <f>SUM(G75:G81)</f>
        <v>226</v>
      </c>
      <c r="H82" s="17">
        <f>SUM(H75:H81)</f>
        <v>0</v>
      </c>
      <c r="I82" s="23"/>
      <c r="M82"/>
    </row>
    <row r="83" spans="2:13" x14ac:dyDescent="0.3">
      <c r="B83" s="155" t="s">
        <v>68</v>
      </c>
      <c r="C83" s="156"/>
      <c r="D83" s="12"/>
      <c r="E83" s="12"/>
      <c r="F83" s="15"/>
      <c r="G83" s="16"/>
      <c r="H83" s="16"/>
      <c r="I83" s="1"/>
      <c r="M83"/>
    </row>
    <row r="84" spans="2:13" x14ac:dyDescent="0.3">
      <c r="B84" s="2">
        <v>1</v>
      </c>
      <c r="C84" s="3" t="s">
        <v>5</v>
      </c>
      <c r="D84" s="2">
        <v>20</v>
      </c>
      <c r="E84" s="20"/>
      <c r="F84" s="2">
        <v>4</v>
      </c>
      <c r="G84" s="14">
        <f>D84*F84</f>
        <v>80</v>
      </c>
      <c r="H84" s="14"/>
      <c r="I84" s="21"/>
      <c r="M84"/>
    </row>
    <row r="85" spans="2:13" x14ac:dyDescent="0.3">
      <c r="B85" s="2">
        <v>2</v>
      </c>
      <c r="C85" s="3" t="s">
        <v>24</v>
      </c>
      <c r="D85" s="2">
        <v>3</v>
      </c>
      <c r="E85" s="20"/>
      <c r="F85" s="2">
        <v>8</v>
      </c>
      <c r="G85" s="14">
        <f>D85*F85</f>
        <v>24</v>
      </c>
      <c r="H85" s="14"/>
      <c r="I85" s="21"/>
      <c r="M85"/>
    </row>
    <row r="86" spans="2:13" x14ac:dyDescent="0.3">
      <c r="B86" s="1">
        <v>3</v>
      </c>
      <c r="C86" s="7" t="s">
        <v>9</v>
      </c>
      <c r="D86" s="1">
        <v>23</v>
      </c>
      <c r="E86" s="21"/>
      <c r="F86" s="1">
        <v>2</v>
      </c>
      <c r="G86" s="11">
        <f t="shared" ref="G86:G90" si="12">D86*F86</f>
        <v>46</v>
      </c>
      <c r="H86" s="11"/>
      <c r="I86" s="21"/>
      <c r="M86"/>
    </row>
    <row r="87" spans="2:13" x14ac:dyDescent="0.3">
      <c r="B87" s="1">
        <v>4</v>
      </c>
      <c r="C87" s="7" t="s">
        <v>4</v>
      </c>
      <c r="D87" s="1">
        <v>19</v>
      </c>
      <c r="E87" s="21">
        <v>18</v>
      </c>
      <c r="F87" s="1">
        <v>1</v>
      </c>
      <c r="G87" s="11">
        <f t="shared" si="12"/>
        <v>19</v>
      </c>
      <c r="H87" s="11"/>
      <c r="I87" s="21"/>
      <c r="M87"/>
    </row>
    <row r="88" spans="2:13" x14ac:dyDescent="0.3">
      <c r="B88" s="1">
        <v>5</v>
      </c>
      <c r="C88" s="7" t="s">
        <v>21</v>
      </c>
      <c r="D88" s="1">
        <v>1</v>
      </c>
      <c r="E88" s="21"/>
      <c r="F88" s="1">
        <v>3</v>
      </c>
      <c r="G88" s="11">
        <f t="shared" si="12"/>
        <v>3</v>
      </c>
      <c r="H88" s="11"/>
      <c r="I88" s="21"/>
      <c r="M88"/>
    </row>
    <row r="89" spans="2:13" ht="15.6" customHeight="1" x14ac:dyDescent="0.3">
      <c r="B89" s="1">
        <v>6</v>
      </c>
      <c r="C89" s="7" t="s">
        <v>67</v>
      </c>
      <c r="D89" s="1">
        <v>1</v>
      </c>
      <c r="E89" s="21">
        <v>1</v>
      </c>
      <c r="F89" s="1">
        <v>2</v>
      </c>
      <c r="G89" s="11">
        <f t="shared" si="12"/>
        <v>2</v>
      </c>
      <c r="H89" s="11"/>
      <c r="I89" s="21"/>
      <c r="M89"/>
    </row>
    <row r="90" spans="2:13" x14ac:dyDescent="0.3">
      <c r="B90" s="1">
        <v>7</v>
      </c>
      <c r="C90" s="7" t="s">
        <v>10</v>
      </c>
      <c r="D90" s="1">
        <v>15</v>
      </c>
      <c r="E90" s="21">
        <v>15</v>
      </c>
      <c r="F90" s="1">
        <v>2</v>
      </c>
      <c r="G90" s="11">
        <f t="shared" si="12"/>
        <v>30</v>
      </c>
      <c r="H90" s="11"/>
      <c r="I90" s="21"/>
      <c r="M90"/>
    </row>
    <row r="91" spans="2:13" x14ac:dyDescent="0.3">
      <c r="B91" s="161" t="s">
        <v>69</v>
      </c>
      <c r="C91" s="162"/>
      <c r="D91" s="162"/>
      <c r="E91" s="162"/>
      <c r="F91" s="163"/>
      <c r="G91" s="17">
        <f>SUM(G84:G90)</f>
        <v>204</v>
      </c>
      <c r="H91" s="17">
        <f>SUM(H84:H90)</f>
        <v>0</v>
      </c>
      <c r="I91" s="23"/>
      <c r="M91"/>
    </row>
    <row r="92" spans="2:13" x14ac:dyDescent="0.3">
      <c r="B92" s="155" t="s">
        <v>41</v>
      </c>
      <c r="C92" s="156"/>
      <c r="D92" s="12"/>
      <c r="E92" s="12"/>
      <c r="F92" s="15"/>
      <c r="G92" s="16"/>
      <c r="H92" s="16"/>
      <c r="I92" s="1"/>
      <c r="M92"/>
    </row>
    <row r="93" spans="2:13" x14ac:dyDescent="0.3">
      <c r="B93" s="2">
        <v>1</v>
      </c>
      <c r="C93" s="3" t="s">
        <v>5</v>
      </c>
      <c r="D93" s="2">
        <v>18</v>
      </c>
      <c r="E93" s="20"/>
      <c r="F93" s="2">
        <v>4</v>
      </c>
      <c r="G93" s="14">
        <f>D93*F93</f>
        <v>72</v>
      </c>
      <c r="H93" s="14"/>
      <c r="I93" s="21"/>
      <c r="M93"/>
    </row>
    <row r="94" spans="2:13" x14ac:dyDescent="0.3">
      <c r="B94" s="1">
        <v>2</v>
      </c>
      <c r="C94" s="7" t="s">
        <v>9</v>
      </c>
      <c r="D94" s="1">
        <v>21</v>
      </c>
      <c r="E94" s="21"/>
      <c r="F94" s="1">
        <v>2</v>
      </c>
      <c r="G94" s="11">
        <f t="shared" ref="G94:G99" si="13">D94*F94</f>
        <v>42</v>
      </c>
      <c r="H94" s="11"/>
      <c r="I94" s="21"/>
      <c r="M94"/>
    </row>
    <row r="95" spans="2:13" x14ac:dyDescent="0.3">
      <c r="B95" s="1">
        <v>3</v>
      </c>
      <c r="C95" s="7" t="s">
        <v>4</v>
      </c>
      <c r="D95" s="1">
        <v>22</v>
      </c>
      <c r="E95" s="21">
        <v>21</v>
      </c>
      <c r="F95" s="1">
        <v>1</v>
      </c>
      <c r="G95" s="11">
        <f t="shared" si="13"/>
        <v>22</v>
      </c>
      <c r="H95" s="11"/>
      <c r="I95" s="21"/>
      <c r="M95"/>
    </row>
    <row r="96" spans="2:13" x14ac:dyDescent="0.3">
      <c r="B96" s="1">
        <v>4</v>
      </c>
      <c r="C96" s="7" t="s">
        <v>21</v>
      </c>
      <c r="D96" s="1">
        <v>1</v>
      </c>
      <c r="E96" s="21"/>
      <c r="F96" s="1">
        <v>3</v>
      </c>
      <c r="G96" s="11">
        <f t="shared" si="13"/>
        <v>3</v>
      </c>
      <c r="H96" s="11"/>
      <c r="I96" s="21"/>
      <c r="M96"/>
    </row>
    <row r="97" spans="2:13" x14ac:dyDescent="0.3">
      <c r="B97" s="1">
        <v>5</v>
      </c>
      <c r="C97" s="65" t="s">
        <v>60</v>
      </c>
      <c r="D97" s="1">
        <v>2</v>
      </c>
      <c r="E97" s="21">
        <v>2</v>
      </c>
      <c r="F97" s="1">
        <v>6</v>
      </c>
      <c r="G97" s="11">
        <f t="shared" si="13"/>
        <v>12</v>
      </c>
      <c r="H97" s="11"/>
      <c r="I97" s="21"/>
      <c r="M97"/>
    </row>
    <row r="98" spans="2:13" x14ac:dyDescent="0.3">
      <c r="B98" s="1">
        <v>6</v>
      </c>
      <c r="C98" s="7" t="s">
        <v>67</v>
      </c>
      <c r="D98" s="1">
        <v>2</v>
      </c>
      <c r="E98" s="21">
        <v>2</v>
      </c>
      <c r="F98" s="1">
        <v>2</v>
      </c>
      <c r="G98" s="11">
        <f t="shared" si="13"/>
        <v>4</v>
      </c>
      <c r="H98" s="11"/>
      <c r="I98" s="21"/>
      <c r="M98"/>
    </row>
    <row r="99" spans="2:13" x14ac:dyDescent="0.3">
      <c r="B99" s="1">
        <v>7</v>
      </c>
      <c r="C99" s="7" t="s">
        <v>10</v>
      </c>
      <c r="D99" s="1">
        <v>16</v>
      </c>
      <c r="E99" s="21">
        <v>16</v>
      </c>
      <c r="F99" s="1">
        <v>2</v>
      </c>
      <c r="G99" s="11">
        <f t="shared" si="13"/>
        <v>32</v>
      </c>
      <c r="H99" s="11"/>
      <c r="I99" s="21"/>
      <c r="M99"/>
    </row>
    <row r="100" spans="2:13" x14ac:dyDescent="0.3">
      <c r="B100" s="161" t="s">
        <v>42</v>
      </c>
      <c r="C100" s="162"/>
      <c r="D100" s="162"/>
      <c r="E100" s="162"/>
      <c r="F100" s="163"/>
      <c r="G100" s="17">
        <f>SUM(G93:G99)</f>
        <v>187</v>
      </c>
      <c r="H100" s="17">
        <f>SUM(H93:H99)</f>
        <v>0</v>
      </c>
      <c r="I100" s="23"/>
      <c r="M100"/>
    </row>
    <row r="101" spans="2:13" x14ac:dyDescent="0.3">
      <c r="B101" s="155" t="s">
        <v>70</v>
      </c>
      <c r="C101" s="156"/>
      <c r="D101" s="12"/>
      <c r="E101" s="12"/>
      <c r="F101" s="15"/>
      <c r="G101" s="16"/>
      <c r="H101" s="16"/>
      <c r="I101" s="1"/>
      <c r="M101"/>
    </row>
    <row r="102" spans="2:13" x14ac:dyDescent="0.3">
      <c r="B102" s="2">
        <v>1</v>
      </c>
      <c r="C102" s="3" t="s">
        <v>5</v>
      </c>
      <c r="D102" s="2">
        <v>13</v>
      </c>
      <c r="E102" s="20"/>
      <c r="F102" s="2">
        <v>4</v>
      </c>
      <c r="G102" s="14">
        <f>D102*F102</f>
        <v>52</v>
      </c>
      <c r="H102" s="14"/>
      <c r="I102" s="21"/>
      <c r="M102"/>
    </row>
    <row r="103" spans="2:13" x14ac:dyDescent="0.3">
      <c r="B103" s="2">
        <v>2</v>
      </c>
      <c r="C103" s="3" t="s">
        <v>24</v>
      </c>
      <c r="D103" s="2">
        <v>3</v>
      </c>
      <c r="E103" s="20"/>
      <c r="F103" s="2">
        <v>8</v>
      </c>
      <c r="G103" s="14">
        <f>D103*F103</f>
        <v>24</v>
      </c>
      <c r="H103" s="14"/>
      <c r="I103" s="21"/>
      <c r="M103"/>
    </row>
    <row r="104" spans="2:13" x14ac:dyDescent="0.3">
      <c r="B104" s="1">
        <v>3</v>
      </c>
      <c r="C104" s="7" t="s">
        <v>9</v>
      </c>
      <c r="D104" s="1">
        <v>27</v>
      </c>
      <c r="E104" s="21"/>
      <c r="F104" s="1">
        <v>2</v>
      </c>
      <c r="G104" s="11">
        <f t="shared" ref="G104:G108" si="14">D104*F104</f>
        <v>54</v>
      </c>
      <c r="H104" s="11"/>
      <c r="I104" s="21"/>
      <c r="M104"/>
    </row>
    <row r="105" spans="2:13" x14ac:dyDescent="0.3">
      <c r="B105" s="1">
        <v>4</v>
      </c>
      <c r="C105" s="7" t="s">
        <v>4</v>
      </c>
      <c r="D105" s="25">
        <v>15</v>
      </c>
      <c r="E105" s="21">
        <v>15</v>
      </c>
      <c r="F105" s="1">
        <v>1</v>
      </c>
      <c r="G105" s="11">
        <f t="shared" si="14"/>
        <v>15</v>
      </c>
      <c r="H105" s="11"/>
      <c r="I105" s="21"/>
      <c r="M105"/>
    </row>
    <row r="106" spans="2:13" x14ac:dyDescent="0.3">
      <c r="B106" s="1">
        <v>5</v>
      </c>
      <c r="C106" s="7" t="s">
        <v>21</v>
      </c>
      <c r="D106" s="1">
        <v>1</v>
      </c>
      <c r="E106" s="21"/>
      <c r="F106" s="1">
        <v>3</v>
      </c>
      <c r="G106" s="11">
        <f t="shared" si="14"/>
        <v>3</v>
      </c>
      <c r="H106" s="11"/>
      <c r="I106" s="21"/>
      <c r="M106"/>
    </row>
    <row r="107" spans="2:13" x14ac:dyDescent="0.3">
      <c r="B107" s="1">
        <v>6</v>
      </c>
      <c r="C107" s="7" t="s">
        <v>67</v>
      </c>
      <c r="D107" s="1">
        <v>5</v>
      </c>
      <c r="E107" s="21">
        <v>5</v>
      </c>
      <c r="F107" s="1">
        <v>2</v>
      </c>
      <c r="G107" s="11">
        <f t="shared" si="14"/>
        <v>10</v>
      </c>
      <c r="H107" s="11"/>
      <c r="I107" s="21"/>
      <c r="M107"/>
    </row>
    <row r="108" spans="2:13" x14ac:dyDescent="0.3">
      <c r="B108" s="1">
        <v>7</v>
      </c>
      <c r="C108" s="7" t="s">
        <v>10</v>
      </c>
      <c r="D108" s="1">
        <v>2</v>
      </c>
      <c r="E108" s="21">
        <v>8</v>
      </c>
      <c r="F108" s="1">
        <v>2</v>
      </c>
      <c r="G108" s="11">
        <f t="shared" si="14"/>
        <v>4</v>
      </c>
      <c r="H108" s="11"/>
      <c r="I108" s="21"/>
      <c r="M108"/>
    </row>
    <row r="109" spans="2:13" x14ac:dyDescent="0.3">
      <c r="B109" s="161" t="s">
        <v>71</v>
      </c>
      <c r="C109" s="162"/>
      <c r="D109" s="162"/>
      <c r="E109" s="162"/>
      <c r="F109" s="163"/>
      <c r="G109" s="17">
        <f>SUM(G102:G108)</f>
        <v>162</v>
      </c>
      <c r="H109" s="17">
        <f>SUM(H102:H108)</f>
        <v>0</v>
      </c>
      <c r="I109" s="23"/>
      <c r="M109"/>
    </row>
    <row r="110" spans="2:13" x14ac:dyDescent="0.3">
      <c r="B110" s="155" t="s">
        <v>43</v>
      </c>
      <c r="C110" s="156"/>
      <c r="D110" s="12"/>
      <c r="E110" s="12"/>
      <c r="F110" s="15"/>
      <c r="G110" s="16"/>
      <c r="H110" s="16"/>
      <c r="I110" s="1"/>
      <c r="M110"/>
    </row>
    <row r="111" spans="2:13" x14ac:dyDescent="0.3">
      <c r="B111" s="2">
        <v>1</v>
      </c>
      <c r="C111" s="3" t="s">
        <v>5</v>
      </c>
      <c r="D111" s="2">
        <v>18</v>
      </c>
      <c r="E111" s="20"/>
      <c r="F111" s="2">
        <v>4</v>
      </c>
      <c r="G111" s="14">
        <f>D111*F111</f>
        <v>72</v>
      </c>
      <c r="H111" s="14"/>
      <c r="I111" s="21"/>
      <c r="M111"/>
    </row>
    <row r="112" spans="2:13" x14ac:dyDescent="0.3">
      <c r="B112" s="1">
        <v>2</v>
      </c>
      <c r="C112" s="7" t="s">
        <v>9</v>
      </c>
      <c r="D112" s="1">
        <v>21</v>
      </c>
      <c r="E112" s="21"/>
      <c r="F112" s="1">
        <v>2</v>
      </c>
      <c r="G112" s="11">
        <f t="shared" ref="G112:G117" si="15">D112*F112</f>
        <v>42</v>
      </c>
      <c r="H112" s="11"/>
      <c r="I112" s="21"/>
      <c r="M112"/>
    </row>
    <row r="113" spans="2:13" x14ac:dyDescent="0.3">
      <c r="B113" s="1">
        <v>3</v>
      </c>
      <c r="C113" s="7" t="s">
        <v>4</v>
      </c>
      <c r="D113" s="1">
        <v>22</v>
      </c>
      <c r="E113" s="21">
        <v>21</v>
      </c>
      <c r="F113" s="1">
        <v>1</v>
      </c>
      <c r="G113" s="11">
        <f t="shared" si="15"/>
        <v>22</v>
      </c>
      <c r="H113" s="11"/>
      <c r="I113" s="21"/>
      <c r="M113"/>
    </row>
    <row r="114" spans="2:13" x14ac:dyDescent="0.3">
      <c r="B114" s="1">
        <v>4</v>
      </c>
      <c r="C114" s="7" t="s">
        <v>21</v>
      </c>
      <c r="D114" s="1">
        <v>1</v>
      </c>
      <c r="E114" s="21"/>
      <c r="F114" s="1">
        <v>3</v>
      </c>
      <c r="G114" s="11">
        <f t="shared" si="15"/>
        <v>3</v>
      </c>
      <c r="H114" s="11"/>
      <c r="I114" s="21"/>
      <c r="M114"/>
    </row>
    <row r="115" spans="2:13" x14ac:dyDescent="0.3">
      <c r="B115" s="1">
        <v>5</v>
      </c>
      <c r="C115" s="65" t="s">
        <v>60</v>
      </c>
      <c r="D115" s="1">
        <v>2</v>
      </c>
      <c r="E115" s="21">
        <v>2</v>
      </c>
      <c r="F115" s="1">
        <v>6</v>
      </c>
      <c r="G115" s="11">
        <f t="shared" si="15"/>
        <v>12</v>
      </c>
      <c r="H115" s="11"/>
      <c r="I115" s="21"/>
      <c r="M115"/>
    </row>
    <row r="116" spans="2:13" x14ac:dyDescent="0.3">
      <c r="B116" s="1">
        <v>6</v>
      </c>
      <c r="C116" s="7" t="s">
        <v>67</v>
      </c>
      <c r="D116" s="1">
        <v>2</v>
      </c>
      <c r="E116" s="21">
        <v>2</v>
      </c>
      <c r="F116" s="1">
        <v>2</v>
      </c>
      <c r="G116" s="11">
        <f t="shared" si="15"/>
        <v>4</v>
      </c>
      <c r="H116" s="11"/>
      <c r="I116" s="21"/>
      <c r="M116"/>
    </row>
    <row r="117" spans="2:13" x14ac:dyDescent="0.3">
      <c r="B117" s="1">
        <v>7</v>
      </c>
      <c r="C117" s="7" t="s">
        <v>10</v>
      </c>
      <c r="D117" s="1">
        <v>16</v>
      </c>
      <c r="E117" s="21">
        <v>16</v>
      </c>
      <c r="F117" s="1">
        <v>2</v>
      </c>
      <c r="G117" s="11">
        <f t="shared" si="15"/>
        <v>32</v>
      </c>
      <c r="H117" s="11"/>
      <c r="I117" s="21"/>
      <c r="M117"/>
    </row>
    <row r="118" spans="2:13" x14ac:dyDescent="0.3">
      <c r="B118" s="161" t="s">
        <v>44</v>
      </c>
      <c r="C118" s="162"/>
      <c r="D118" s="162"/>
      <c r="E118" s="162"/>
      <c r="F118" s="163"/>
      <c r="G118" s="17">
        <f>SUM(G111:G117)</f>
        <v>187</v>
      </c>
      <c r="H118" s="17">
        <f>SUM(H111:H117)</f>
        <v>0</v>
      </c>
      <c r="I118" s="23"/>
      <c r="M118"/>
    </row>
    <row r="119" spans="2:13" x14ac:dyDescent="0.3">
      <c r="B119" s="155" t="s">
        <v>72</v>
      </c>
      <c r="C119" s="156"/>
      <c r="D119" s="12"/>
      <c r="E119" s="12"/>
      <c r="F119" s="15"/>
      <c r="G119" s="16"/>
      <c r="H119" s="16"/>
      <c r="I119" s="1"/>
      <c r="M119"/>
    </row>
    <row r="120" spans="2:13" x14ac:dyDescent="0.3">
      <c r="B120" s="2">
        <v>1</v>
      </c>
      <c r="C120" s="3" t="s">
        <v>5</v>
      </c>
      <c r="D120" s="2">
        <v>7</v>
      </c>
      <c r="E120" s="20"/>
      <c r="F120" s="2">
        <v>4</v>
      </c>
      <c r="G120" s="14">
        <f>D120*F120</f>
        <v>28</v>
      </c>
      <c r="H120" s="14"/>
      <c r="I120" s="21"/>
      <c r="M120"/>
    </row>
    <row r="121" spans="2:13" x14ac:dyDescent="0.3">
      <c r="B121" s="2">
        <v>2</v>
      </c>
      <c r="C121" s="3" t="s">
        <v>24</v>
      </c>
      <c r="D121" s="2">
        <v>2</v>
      </c>
      <c r="E121" s="20"/>
      <c r="F121" s="2">
        <v>8</v>
      </c>
      <c r="G121" s="14">
        <f>D121*F121</f>
        <v>16</v>
      </c>
      <c r="H121" s="14"/>
      <c r="I121" s="21"/>
      <c r="M121"/>
    </row>
    <row r="122" spans="2:13" x14ac:dyDescent="0.3">
      <c r="B122" s="1">
        <v>3</v>
      </c>
      <c r="C122" s="7" t="s">
        <v>9</v>
      </c>
      <c r="D122" s="1">
        <v>9</v>
      </c>
      <c r="E122" s="21"/>
      <c r="F122" s="1">
        <v>2</v>
      </c>
      <c r="G122" s="11">
        <f t="shared" ref="G122:G125" si="16">D122*F122</f>
        <v>18</v>
      </c>
      <c r="H122" s="11"/>
      <c r="I122" s="21"/>
      <c r="M122"/>
    </row>
    <row r="123" spans="2:13" x14ac:dyDescent="0.3">
      <c r="B123" s="1">
        <v>4</v>
      </c>
      <c r="C123" s="7" t="s">
        <v>4</v>
      </c>
      <c r="D123" s="1">
        <v>5</v>
      </c>
      <c r="E123" s="21">
        <v>1</v>
      </c>
      <c r="F123" s="1">
        <v>1</v>
      </c>
      <c r="G123" s="11">
        <f t="shared" si="16"/>
        <v>5</v>
      </c>
      <c r="H123" s="11"/>
      <c r="I123" s="21"/>
      <c r="M123"/>
    </row>
    <row r="124" spans="2:13" x14ac:dyDescent="0.3">
      <c r="B124" s="1">
        <v>5</v>
      </c>
      <c r="C124" s="7" t="s">
        <v>56</v>
      </c>
      <c r="D124" s="1">
        <v>3</v>
      </c>
      <c r="E124" s="21"/>
      <c r="F124" s="1">
        <v>4</v>
      </c>
      <c r="G124" s="11">
        <f t="shared" si="16"/>
        <v>12</v>
      </c>
      <c r="H124" s="11"/>
      <c r="I124" s="21"/>
      <c r="M124"/>
    </row>
    <row r="125" spans="2:13" x14ac:dyDescent="0.3">
      <c r="B125" s="1">
        <v>6</v>
      </c>
      <c r="C125" s="7" t="s">
        <v>67</v>
      </c>
      <c r="D125" s="1">
        <v>2</v>
      </c>
      <c r="E125" s="21">
        <v>2</v>
      </c>
      <c r="F125" s="1">
        <v>2</v>
      </c>
      <c r="G125" s="11">
        <f t="shared" si="16"/>
        <v>4</v>
      </c>
      <c r="H125" s="11"/>
      <c r="I125" s="21"/>
      <c r="M125"/>
    </row>
    <row r="126" spans="2:13" x14ac:dyDescent="0.3">
      <c r="B126" s="161" t="s">
        <v>73</v>
      </c>
      <c r="C126" s="162"/>
      <c r="D126" s="162"/>
      <c r="E126" s="162"/>
      <c r="F126" s="163"/>
      <c r="G126" s="17">
        <f>SUM(G120:G125)</f>
        <v>83</v>
      </c>
      <c r="H126" s="17">
        <f>SUM(H120:H125)</f>
        <v>0</v>
      </c>
      <c r="I126" s="23"/>
      <c r="M126"/>
    </row>
    <row r="127" spans="2:13" x14ac:dyDescent="0.3">
      <c r="B127" s="155" t="s">
        <v>45</v>
      </c>
      <c r="C127" s="156"/>
      <c r="D127" s="12"/>
      <c r="E127" s="12"/>
      <c r="F127" s="15"/>
      <c r="G127" s="16"/>
      <c r="H127" s="16"/>
      <c r="I127" s="1"/>
      <c r="M127"/>
    </row>
    <row r="128" spans="2:13" x14ac:dyDescent="0.3">
      <c r="B128" s="2">
        <v>1</v>
      </c>
      <c r="C128" s="3" t="s">
        <v>5</v>
      </c>
      <c r="D128" s="2">
        <v>21</v>
      </c>
      <c r="E128" s="20"/>
      <c r="F128" s="2">
        <v>4</v>
      </c>
      <c r="G128" s="14">
        <f>D128*F128</f>
        <v>84</v>
      </c>
      <c r="H128" s="14"/>
      <c r="I128" s="21"/>
      <c r="M128"/>
    </row>
    <row r="129" spans="2:13" x14ac:dyDescent="0.3">
      <c r="B129" s="1">
        <v>2</v>
      </c>
      <c r="C129" s="7" t="s">
        <v>9</v>
      </c>
      <c r="D129" s="1">
        <v>24</v>
      </c>
      <c r="E129" s="21"/>
      <c r="F129" s="1">
        <v>2</v>
      </c>
      <c r="G129" s="11">
        <f t="shared" ref="G129:G134" si="17">D129*F129</f>
        <v>48</v>
      </c>
      <c r="H129" s="11"/>
      <c r="I129" s="21"/>
      <c r="M129"/>
    </row>
    <row r="130" spans="2:13" x14ac:dyDescent="0.3">
      <c r="B130" s="1">
        <v>3</v>
      </c>
      <c r="C130" s="7" t="s">
        <v>4</v>
      </c>
      <c r="D130" s="1">
        <v>34</v>
      </c>
      <c r="E130" s="21">
        <v>23</v>
      </c>
      <c r="F130" s="1">
        <v>1</v>
      </c>
      <c r="G130" s="11">
        <f t="shared" si="17"/>
        <v>34</v>
      </c>
      <c r="H130" s="11"/>
      <c r="I130" s="21"/>
      <c r="M130"/>
    </row>
    <row r="131" spans="2:13" x14ac:dyDescent="0.3">
      <c r="B131" s="1">
        <v>4</v>
      </c>
      <c r="C131" s="7" t="s">
        <v>21</v>
      </c>
      <c r="D131" s="1">
        <v>1</v>
      </c>
      <c r="E131" s="21"/>
      <c r="F131" s="1">
        <v>3</v>
      </c>
      <c r="G131" s="11">
        <f t="shared" si="17"/>
        <v>3</v>
      </c>
      <c r="H131" s="11"/>
      <c r="I131" s="21"/>
      <c r="M131"/>
    </row>
    <row r="132" spans="2:13" x14ac:dyDescent="0.3">
      <c r="B132" s="1">
        <v>5</v>
      </c>
      <c r="C132" s="65" t="s">
        <v>60</v>
      </c>
      <c r="D132" s="25">
        <v>18</v>
      </c>
      <c r="E132" s="21">
        <v>18</v>
      </c>
      <c r="F132" s="1">
        <v>6</v>
      </c>
      <c r="G132" s="11">
        <f t="shared" si="17"/>
        <v>108</v>
      </c>
      <c r="H132" s="11"/>
      <c r="I132" s="21"/>
      <c r="M132"/>
    </row>
    <row r="133" spans="2:13" x14ac:dyDescent="0.3">
      <c r="B133" s="1">
        <v>6</v>
      </c>
      <c r="C133" s="7" t="s">
        <v>67</v>
      </c>
      <c r="D133" s="25">
        <v>2</v>
      </c>
      <c r="E133" s="21">
        <v>2</v>
      </c>
      <c r="F133" s="1">
        <v>2</v>
      </c>
      <c r="G133" s="11">
        <f t="shared" si="17"/>
        <v>4</v>
      </c>
      <c r="H133" s="11"/>
      <c r="I133" s="21"/>
      <c r="M133"/>
    </row>
    <row r="134" spans="2:13" x14ac:dyDescent="0.3">
      <c r="B134" s="1">
        <v>7</v>
      </c>
      <c r="C134" s="7" t="s">
        <v>10</v>
      </c>
      <c r="D134" s="1">
        <v>19</v>
      </c>
      <c r="E134" s="21">
        <v>19</v>
      </c>
      <c r="F134" s="1">
        <v>2</v>
      </c>
      <c r="G134" s="11">
        <f t="shared" si="17"/>
        <v>38</v>
      </c>
      <c r="H134" s="11"/>
      <c r="I134" s="21"/>
      <c r="M134"/>
    </row>
    <row r="135" spans="2:13" x14ac:dyDescent="0.3">
      <c r="B135" s="161" t="s">
        <v>46</v>
      </c>
      <c r="C135" s="162"/>
      <c r="D135" s="162"/>
      <c r="E135" s="162"/>
      <c r="F135" s="163"/>
      <c r="G135" s="17">
        <f>SUM(G128:G134)</f>
        <v>319</v>
      </c>
      <c r="H135" s="17">
        <f>SUM(H128:H134)</f>
        <v>0</v>
      </c>
      <c r="I135" s="21"/>
      <c r="M135"/>
    </row>
    <row r="136" spans="2:13" x14ac:dyDescent="0.3">
      <c r="B136" s="161" t="s">
        <v>53</v>
      </c>
      <c r="C136" s="162"/>
      <c r="D136" s="162"/>
      <c r="E136" s="162"/>
      <c r="F136" s="163"/>
      <c r="G136" s="58">
        <f>SUM(G10,G18,G26,G30,G38,G42,G49,G53,G59,G63,G73)</f>
        <v>598</v>
      </c>
      <c r="H136" s="11">
        <f>SUM(H10,H18,H26,H30,H38,H42,H49,H53,H59,H63,H73)</f>
        <v>0</v>
      </c>
      <c r="I136" s="1"/>
      <c r="M136"/>
    </row>
    <row r="137" spans="2:13" x14ac:dyDescent="0.3">
      <c r="B137" s="161" t="s">
        <v>52</v>
      </c>
      <c r="C137" s="162"/>
      <c r="D137" s="162"/>
      <c r="E137" s="162"/>
      <c r="F137" s="163"/>
      <c r="G137" s="17">
        <f>SUM(G91,G100,G109,G118,G126,G135)</f>
        <v>1142</v>
      </c>
      <c r="H137" s="17">
        <f>SUM(H82,H91,H100,H109,H118,H126,H135)</f>
        <v>0</v>
      </c>
      <c r="I137" s="1"/>
      <c r="M137"/>
    </row>
    <row r="138" spans="2:13" x14ac:dyDescent="0.3">
      <c r="B138" s="161" t="s">
        <v>1</v>
      </c>
      <c r="C138" s="162"/>
      <c r="D138" s="162"/>
      <c r="E138" s="162"/>
      <c r="F138" s="163"/>
      <c r="G138" s="17">
        <f>SUM(G10,G18,G26,G30,G38,G42,G49,G53,G59,G63,G73,G82,G91,G100,G109,G118,G126,G135)</f>
        <v>1966</v>
      </c>
      <c r="H138" s="17">
        <f>SUM(H10,H18,H26,H30,H38,H42,H49,H53,H59,H63,H73,H82,H91,H100,H109,H118,H126,H135)</f>
        <v>0</v>
      </c>
      <c r="I138" s="23"/>
      <c r="M138"/>
    </row>
    <row r="139" spans="2:13" x14ac:dyDescent="0.3">
      <c r="E139" s="164"/>
      <c r="F139" s="164"/>
      <c r="G139" s="26"/>
      <c r="H139" s="26"/>
      <c r="I139"/>
      <c r="M139"/>
    </row>
    <row r="140" spans="2:13" x14ac:dyDescent="0.3">
      <c r="I140"/>
      <c r="M140"/>
    </row>
    <row r="141" spans="2:13" x14ac:dyDescent="0.3">
      <c r="I141"/>
      <c r="M141"/>
    </row>
    <row r="142" spans="2:13" x14ac:dyDescent="0.3">
      <c r="B142" t="s">
        <v>85</v>
      </c>
      <c r="I142"/>
      <c r="M142"/>
    </row>
    <row r="143" spans="2:13" x14ac:dyDescent="0.3">
      <c r="B143" t="s">
        <v>92</v>
      </c>
      <c r="G143" s="154" t="s">
        <v>93</v>
      </c>
      <c r="H143" s="154"/>
      <c r="I143" s="154"/>
      <c r="J143" s="154"/>
      <c r="M143"/>
    </row>
    <row r="144" spans="2:13" x14ac:dyDescent="0.3">
      <c r="I144"/>
      <c r="M144"/>
    </row>
    <row r="145" spans="9:13" x14ac:dyDescent="0.3">
      <c r="I145"/>
      <c r="M145"/>
    </row>
    <row r="146" spans="9:13" x14ac:dyDescent="0.3">
      <c r="I146"/>
      <c r="M146"/>
    </row>
    <row r="147" spans="9:13" x14ac:dyDescent="0.3">
      <c r="I147"/>
      <c r="M147"/>
    </row>
    <row r="148" spans="9:13" x14ac:dyDescent="0.3">
      <c r="I148"/>
      <c r="M148"/>
    </row>
    <row r="149" spans="9:13" x14ac:dyDescent="0.3">
      <c r="I149"/>
      <c r="M149"/>
    </row>
    <row r="150" spans="9:13" x14ac:dyDescent="0.3">
      <c r="I150"/>
      <c r="M150"/>
    </row>
    <row r="151" spans="9:13" x14ac:dyDescent="0.3">
      <c r="I151"/>
      <c r="M151"/>
    </row>
    <row r="152" spans="9:13" x14ac:dyDescent="0.3">
      <c r="I152"/>
      <c r="M152"/>
    </row>
    <row r="153" spans="9:13" x14ac:dyDescent="0.3">
      <c r="I153"/>
      <c r="M153"/>
    </row>
    <row r="154" spans="9:13" x14ac:dyDescent="0.3">
      <c r="I154"/>
      <c r="M154"/>
    </row>
    <row r="155" spans="9:13" x14ac:dyDescent="0.3">
      <c r="I155"/>
      <c r="M155"/>
    </row>
    <row r="156" spans="9:13" x14ac:dyDescent="0.3">
      <c r="I156"/>
      <c r="M156"/>
    </row>
    <row r="157" spans="9:13" x14ac:dyDescent="0.3">
      <c r="I157"/>
      <c r="M157"/>
    </row>
    <row r="158" spans="9:13" x14ac:dyDescent="0.3">
      <c r="I158"/>
      <c r="M158"/>
    </row>
    <row r="159" spans="9:13" x14ac:dyDescent="0.3">
      <c r="I159"/>
      <c r="M159"/>
    </row>
    <row r="160" spans="9:13" x14ac:dyDescent="0.3">
      <c r="I160"/>
      <c r="M160"/>
    </row>
    <row r="161" spans="9:13" x14ac:dyDescent="0.3">
      <c r="I161"/>
      <c r="M161"/>
    </row>
    <row r="162" spans="9:13" x14ac:dyDescent="0.3">
      <c r="I162"/>
      <c r="M162"/>
    </row>
    <row r="163" spans="9:13" x14ac:dyDescent="0.3">
      <c r="I163"/>
      <c r="M163"/>
    </row>
    <row r="164" spans="9:13" x14ac:dyDescent="0.3">
      <c r="I164"/>
      <c r="M164"/>
    </row>
    <row r="165" spans="9:13" x14ac:dyDescent="0.3">
      <c r="I165"/>
      <c r="M165"/>
    </row>
    <row r="166" spans="9:13" x14ac:dyDescent="0.3">
      <c r="I166"/>
      <c r="M166"/>
    </row>
    <row r="167" spans="9:13" x14ac:dyDescent="0.3">
      <c r="I167"/>
      <c r="M167"/>
    </row>
    <row r="168" spans="9:13" x14ac:dyDescent="0.3">
      <c r="I168"/>
      <c r="M168"/>
    </row>
    <row r="169" spans="9:13" x14ac:dyDescent="0.3">
      <c r="I169"/>
      <c r="M169"/>
    </row>
    <row r="170" spans="9:13" x14ac:dyDescent="0.3">
      <c r="I170"/>
      <c r="M170"/>
    </row>
    <row r="171" spans="9:13" x14ac:dyDescent="0.3">
      <c r="I171"/>
      <c r="M171"/>
    </row>
    <row r="172" spans="9:13" x14ac:dyDescent="0.3">
      <c r="I172"/>
      <c r="M172"/>
    </row>
    <row r="173" spans="9:13" x14ac:dyDescent="0.3">
      <c r="I173"/>
      <c r="M173"/>
    </row>
    <row r="174" spans="9:13" x14ac:dyDescent="0.3">
      <c r="I174"/>
      <c r="M174"/>
    </row>
    <row r="175" spans="9:13" x14ac:dyDescent="0.3">
      <c r="I175"/>
      <c r="M175"/>
    </row>
    <row r="176" spans="9:13" x14ac:dyDescent="0.3">
      <c r="I176"/>
      <c r="M176"/>
    </row>
  </sheetData>
  <mergeCells count="42">
    <mergeCell ref="G143:J143"/>
    <mergeCell ref="B127:C127"/>
    <mergeCell ref="B135:F135"/>
    <mergeCell ref="B136:F136"/>
    <mergeCell ref="B137:F137"/>
    <mergeCell ref="B138:F138"/>
    <mergeCell ref="E139:F139"/>
    <mergeCell ref="B126:F126"/>
    <mergeCell ref="B74:C74"/>
    <mergeCell ref="B82:F82"/>
    <mergeCell ref="B83:C83"/>
    <mergeCell ref="B91:F91"/>
    <mergeCell ref="B92:C92"/>
    <mergeCell ref="B100:F100"/>
    <mergeCell ref="B101:C101"/>
    <mergeCell ref="B109:F109"/>
    <mergeCell ref="B110:C110"/>
    <mergeCell ref="B118:F118"/>
    <mergeCell ref="B119:C119"/>
    <mergeCell ref="B73:F73"/>
    <mergeCell ref="B39:C39"/>
    <mergeCell ref="B42:F42"/>
    <mergeCell ref="B43:C43"/>
    <mergeCell ref="B49:F49"/>
    <mergeCell ref="B50:C50"/>
    <mergeCell ref="B53:F53"/>
    <mergeCell ref="B54:C54"/>
    <mergeCell ref="B59:F59"/>
    <mergeCell ref="B60:C60"/>
    <mergeCell ref="B63:F63"/>
    <mergeCell ref="B64:C64"/>
    <mergeCell ref="B38:F38"/>
    <mergeCell ref="F3:I3"/>
    <mergeCell ref="B5:C5"/>
    <mergeCell ref="B10:F10"/>
    <mergeCell ref="B11:C11"/>
    <mergeCell ref="B18:F18"/>
    <mergeCell ref="B19:C19"/>
    <mergeCell ref="B26:F26"/>
    <mergeCell ref="B27:C27"/>
    <mergeCell ref="B30:F30"/>
    <mergeCell ref="B31:C31"/>
  </mergeCells>
  <printOptions gridLines="1"/>
  <pageMargins left="0.70866141732283472" right="0.70866141732283472" top="0.74803149606299213" bottom="0.74803149606299213" header="0.31496062992125984" footer="0.31496062992125984"/>
  <pageSetup paperSize="9" scale="32" orientation="portrait" r:id="rId1"/>
  <rowBreaks count="1" manualBreakCount="1">
    <brk id="63" max="16383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9B71-9337-40AC-8901-41CCB69CC2D2}">
  <sheetPr>
    <tabColor rgb="FF00B0F0"/>
  </sheetPr>
  <dimension ref="A3:N187"/>
  <sheetViews>
    <sheetView zoomScale="70" zoomScaleNormal="70" workbookViewId="0">
      <pane xSplit="1" ySplit="4" topLeftCell="B17" activePane="bottomRight" state="frozen"/>
      <selection pane="topRight" activeCell="B1" sqref="B1"/>
      <selection pane="bottomLeft" activeCell="A5" sqref="A5"/>
      <selection pane="bottomRight" activeCell="H130" sqref="H130"/>
    </sheetView>
  </sheetViews>
  <sheetFormatPr defaultRowHeight="14.4" x14ac:dyDescent="0.3"/>
  <cols>
    <col min="3" max="3" width="22.77734375" customWidth="1"/>
    <col min="4" max="4" width="13" customWidth="1"/>
    <col min="5" max="5" width="12.44140625" customWidth="1"/>
    <col min="6" max="6" width="12.109375" customWidth="1"/>
    <col min="7" max="7" width="11.109375" customWidth="1"/>
    <col min="8" max="8" width="14" customWidth="1"/>
    <col min="9" max="9" width="10.44140625" customWidth="1"/>
    <col min="10" max="10" width="25.21875" customWidth="1"/>
    <col min="11" max="11" width="13.5546875" customWidth="1"/>
    <col min="12" max="12" width="13.77734375" style="26" customWidth="1"/>
    <col min="13" max="13" width="13.6640625" style="5" customWidth="1"/>
    <col min="14" max="14" width="14.44140625" customWidth="1"/>
  </cols>
  <sheetData>
    <row r="3" spans="1:13" x14ac:dyDescent="0.3">
      <c r="A3" s="10" t="s">
        <v>0</v>
      </c>
      <c r="B3" s="8" t="s">
        <v>48</v>
      </c>
      <c r="C3" s="6"/>
      <c r="D3" s="6"/>
      <c r="E3" s="6"/>
      <c r="F3" s="150"/>
      <c r="G3" s="150"/>
      <c r="H3" s="150"/>
      <c r="I3" s="150"/>
      <c r="L3"/>
      <c r="M3"/>
    </row>
    <row r="4" spans="1:13" ht="43.2" customHeight="1" x14ac:dyDescent="0.3">
      <c r="B4" s="13" t="s">
        <v>2</v>
      </c>
      <c r="C4" s="13" t="s">
        <v>8</v>
      </c>
      <c r="D4" s="13" t="s">
        <v>7</v>
      </c>
      <c r="E4" s="19" t="s">
        <v>79</v>
      </c>
      <c r="F4" s="13" t="s">
        <v>87</v>
      </c>
      <c r="G4" s="13" t="s">
        <v>91</v>
      </c>
      <c r="H4" s="13" t="s">
        <v>78</v>
      </c>
      <c r="I4" s="19" t="s">
        <v>81</v>
      </c>
      <c r="L4"/>
      <c r="M4"/>
    </row>
    <row r="5" spans="1:13" x14ac:dyDescent="0.3">
      <c r="B5" s="155" t="s">
        <v>13</v>
      </c>
      <c r="C5" s="156"/>
      <c r="D5" s="12"/>
      <c r="E5" s="12"/>
      <c r="F5" s="15"/>
      <c r="G5" s="16"/>
      <c r="H5" s="16"/>
      <c r="I5" s="1"/>
      <c r="L5"/>
      <c r="M5"/>
    </row>
    <row r="6" spans="1:13" x14ac:dyDescent="0.3">
      <c r="B6" s="2">
        <v>1</v>
      </c>
      <c r="C6" s="3" t="s">
        <v>5</v>
      </c>
      <c r="D6" s="2">
        <v>13</v>
      </c>
      <c r="E6" s="20"/>
      <c r="F6" s="2">
        <v>4</v>
      </c>
      <c r="G6" s="14">
        <f>D6*F6</f>
        <v>52</v>
      </c>
      <c r="H6" s="14"/>
      <c r="I6" s="21"/>
      <c r="L6"/>
      <c r="M6"/>
    </row>
    <row r="7" spans="1:13" x14ac:dyDescent="0.3">
      <c r="B7" s="1">
        <v>2</v>
      </c>
      <c r="C7" s="3" t="s">
        <v>24</v>
      </c>
      <c r="D7" s="2">
        <v>2</v>
      </c>
      <c r="E7" s="20"/>
      <c r="F7" s="2">
        <v>8</v>
      </c>
      <c r="G7" s="14">
        <v>20</v>
      </c>
      <c r="H7" s="14"/>
      <c r="I7" s="21"/>
      <c r="L7"/>
      <c r="M7"/>
    </row>
    <row r="8" spans="1:13" x14ac:dyDescent="0.3">
      <c r="B8" s="2">
        <v>3</v>
      </c>
      <c r="C8" s="7" t="s">
        <v>9</v>
      </c>
      <c r="D8" s="1">
        <v>19</v>
      </c>
      <c r="E8" s="21"/>
      <c r="F8" s="1">
        <v>2</v>
      </c>
      <c r="G8" s="11">
        <v>38</v>
      </c>
      <c r="H8" s="11"/>
      <c r="I8" s="21"/>
      <c r="L8"/>
      <c r="M8"/>
    </row>
    <row r="9" spans="1:13" x14ac:dyDescent="0.3">
      <c r="B9" s="1">
        <v>4</v>
      </c>
      <c r="C9" s="7" t="s">
        <v>4</v>
      </c>
      <c r="D9" s="1">
        <v>12</v>
      </c>
      <c r="E9" s="21">
        <v>11</v>
      </c>
      <c r="F9" s="1">
        <v>1</v>
      </c>
      <c r="G9" s="11">
        <v>24</v>
      </c>
      <c r="H9" s="11"/>
      <c r="I9" s="21"/>
      <c r="L9"/>
      <c r="M9"/>
    </row>
    <row r="10" spans="1:13" x14ac:dyDescent="0.3">
      <c r="B10" s="2">
        <v>5</v>
      </c>
      <c r="C10" s="7" t="s">
        <v>16</v>
      </c>
      <c r="D10" s="1">
        <v>2</v>
      </c>
      <c r="E10" s="21"/>
      <c r="F10" s="1">
        <v>4</v>
      </c>
      <c r="G10" s="11">
        <v>10</v>
      </c>
      <c r="H10" s="11"/>
      <c r="I10" s="21"/>
      <c r="L10"/>
      <c r="M10"/>
    </row>
    <row r="11" spans="1:13" x14ac:dyDescent="0.3">
      <c r="B11" s="1">
        <v>6</v>
      </c>
      <c r="C11" s="65" t="s">
        <v>19</v>
      </c>
      <c r="D11" s="1">
        <v>6</v>
      </c>
      <c r="E11" s="21">
        <v>5</v>
      </c>
      <c r="F11" s="1">
        <v>6</v>
      </c>
      <c r="G11" s="11">
        <v>18</v>
      </c>
      <c r="H11" s="11"/>
      <c r="I11" s="21"/>
      <c r="L11"/>
      <c r="M11"/>
    </row>
    <row r="12" spans="1:13" x14ac:dyDescent="0.3">
      <c r="B12" s="2">
        <v>7</v>
      </c>
      <c r="C12" s="7" t="s">
        <v>21</v>
      </c>
      <c r="D12" s="1">
        <v>1</v>
      </c>
      <c r="E12" s="21"/>
      <c r="F12" s="1">
        <v>3</v>
      </c>
      <c r="G12" s="11">
        <v>3</v>
      </c>
      <c r="H12" s="11"/>
      <c r="I12" s="21"/>
      <c r="L12"/>
      <c r="M12"/>
    </row>
    <row r="13" spans="1:13" x14ac:dyDescent="0.3">
      <c r="B13" s="2">
        <v>8</v>
      </c>
      <c r="C13" s="65" t="s">
        <v>10</v>
      </c>
      <c r="D13" s="30">
        <v>6</v>
      </c>
      <c r="E13" s="21">
        <v>6</v>
      </c>
      <c r="F13" s="1">
        <v>2</v>
      </c>
      <c r="G13" s="11">
        <f>D13*F13</f>
        <v>12</v>
      </c>
      <c r="H13" s="11"/>
      <c r="I13" s="21"/>
      <c r="L13"/>
      <c r="M13"/>
    </row>
    <row r="14" spans="1:13" x14ac:dyDescent="0.3">
      <c r="B14" s="161" t="s">
        <v>14</v>
      </c>
      <c r="C14" s="162"/>
      <c r="D14" s="162"/>
      <c r="E14" s="162"/>
      <c r="F14" s="163"/>
      <c r="G14" s="17">
        <f>SUM(G6:G13)</f>
        <v>177</v>
      </c>
      <c r="H14" s="17">
        <f>SUM(H6:H13)</f>
        <v>0</v>
      </c>
      <c r="I14" s="21"/>
      <c r="L14"/>
      <c r="M14"/>
    </row>
    <row r="15" spans="1:13" x14ac:dyDescent="0.3">
      <c r="B15" s="155" t="s">
        <v>11</v>
      </c>
      <c r="C15" s="156"/>
      <c r="D15" s="12"/>
      <c r="E15" s="12"/>
      <c r="F15" s="15"/>
      <c r="G15" s="16"/>
      <c r="H15" s="16"/>
      <c r="I15" s="1"/>
      <c r="L15"/>
      <c r="M15"/>
    </row>
    <row r="16" spans="1:13" x14ac:dyDescent="0.3">
      <c r="B16" s="2">
        <v>1</v>
      </c>
      <c r="C16" s="3" t="s">
        <v>5</v>
      </c>
      <c r="D16" s="2">
        <v>5</v>
      </c>
      <c r="E16" s="20"/>
      <c r="F16" s="2">
        <v>4</v>
      </c>
      <c r="G16" s="14">
        <f>D16*F16</f>
        <v>20</v>
      </c>
      <c r="H16" s="14"/>
      <c r="I16" s="21"/>
      <c r="L16"/>
      <c r="M16"/>
    </row>
    <row r="17" spans="2:14" x14ac:dyDescent="0.3">
      <c r="B17" s="1">
        <v>2</v>
      </c>
      <c r="C17" s="3" t="s">
        <v>24</v>
      </c>
      <c r="D17" s="2">
        <v>2</v>
      </c>
      <c r="E17" s="20"/>
      <c r="F17" s="2">
        <v>8</v>
      </c>
      <c r="G17" s="14">
        <v>20</v>
      </c>
      <c r="H17" s="14"/>
      <c r="I17" s="21"/>
      <c r="L17"/>
      <c r="M17"/>
    </row>
    <row r="18" spans="2:14" x14ac:dyDescent="0.3">
      <c r="B18" s="2">
        <v>3</v>
      </c>
      <c r="C18" s="7" t="s">
        <v>9</v>
      </c>
      <c r="D18" s="1">
        <v>11</v>
      </c>
      <c r="E18" s="21"/>
      <c r="F18" s="1">
        <v>2</v>
      </c>
      <c r="G18" s="11">
        <v>22</v>
      </c>
      <c r="H18" s="11"/>
      <c r="I18" s="21"/>
      <c r="L18"/>
      <c r="M18"/>
    </row>
    <row r="19" spans="2:14" x14ac:dyDescent="0.3">
      <c r="B19" s="1">
        <v>4</v>
      </c>
      <c r="C19" s="7" t="s">
        <v>4</v>
      </c>
      <c r="D19" s="1">
        <v>6</v>
      </c>
      <c r="E19" s="21">
        <v>2</v>
      </c>
      <c r="F19" s="1">
        <v>1</v>
      </c>
      <c r="G19" s="11">
        <v>12</v>
      </c>
      <c r="H19" s="11"/>
      <c r="I19" s="21"/>
      <c r="L19"/>
      <c r="M19"/>
    </row>
    <row r="20" spans="2:14" x14ac:dyDescent="0.3">
      <c r="B20" s="2">
        <v>5</v>
      </c>
      <c r="C20" s="7" t="s">
        <v>16</v>
      </c>
      <c r="D20" s="1">
        <v>1</v>
      </c>
      <c r="E20" s="21"/>
      <c r="F20" s="1">
        <v>4</v>
      </c>
      <c r="G20" s="11">
        <v>5</v>
      </c>
      <c r="H20" s="11"/>
      <c r="I20" s="21"/>
      <c r="L20"/>
      <c r="M20"/>
    </row>
    <row r="21" spans="2:14" x14ac:dyDescent="0.3">
      <c r="B21" s="1">
        <v>6</v>
      </c>
      <c r="C21" s="7" t="s">
        <v>3</v>
      </c>
      <c r="D21" s="1">
        <v>1</v>
      </c>
      <c r="E21" s="21">
        <v>1</v>
      </c>
      <c r="F21" s="1">
        <v>2</v>
      </c>
      <c r="G21" s="11">
        <v>2</v>
      </c>
      <c r="H21" s="11"/>
      <c r="I21" s="21"/>
      <c r="L21"/>
      <c r="M21"/>
    </row>
    <row r="22" spans="2:14" x14ac:dyDescent="0.3">
      <c r="B22" s="2">
        <v>7</v>
      </c>
      <c r="C22" s="7" t="s">
        <v>21</v>
      </c>
      <c r="D22" s="1">
        <v>1</v>
      </c>
      <c r="E22" s="21"/>
      <c r="F22" s="1">
        <v>3</v>
      </c>
      <c r="G22" s="11">
        <v>3</v>
      </c>
      <c r="H22" s="11"/>
      <c r="I22" s="21"/>
      <c r="L22"/>
      <c r="M22"/>
    </row>
    <row r="23" spans="2:14" x14ac:dyDescent="0.3">
      <c r="B23" s="161" t="s">
        <v>12</v>
      </c>
      <c r="C23" s="162"/>
      <c r="D23" s="162"/>
      <c r="E23" s="162"/>
      <c r="F23" s="163"/>
      <c r="G23" s="17">
        <f>SUM(G16:G22)</f>
        <v>84</v>
      </c>
      <c r="H23" s="17">
        <f>SUM(H16:H22)</f>
        <v>0</v>
      </c>
      <c r="I23" s="21"/>
      <c r="L23"/>
      <c r="M23"/>
      <c r="N23" s="64"/>
    </row>
    <row r="24" spans="2:14" x14ac:dyDescent="0.3">
      <c r="B24" s="155" t="s">
        <v>33</v>
      </c>
      <c r="C24" s="156"/>
      <c r="D24" s="12"/>
      <c r="E24" s="12"/>
      <c r="F24" s="15"/>
      <c r="G24" s="16"/>
      <c r="H24" s="16"/>
      <c r="I24" s="1"/>
      <c r="L24"/>
      <c r="M24"/>
    </row>
    <row r="25" spans="2:14" x14ac:dyDescent="0.3">
      <c r="B25" s="2">
        <v>1</v>
      </c>
      <c r="C25" s="3" t="s">
        <v>5</v>
      </c>
      <c r="D25" s="2">
        <v>1</v>
      </c>
      <c r="E25" s="20"/>
      <c r="F25" s="2">
        <v>4</v>
      </c>
      <c r="G25" s="14">
        <f>D25*F25</f>
        <v>4</v>
      </c>
      <c r="H25" s="14"/>
      <c r="I25" s="21"/>
      <c r="L25"/>
      <c r="M25"/>
    </row>
    <row r="26" spans="2:14" x14ac:dyDescent="0.3">
      <c r="B26" s="2">
        <v>2</v>
      </c>
      <c r="C26" s="7" t="s">
        <v>9</v>
      </c>
      <c r="D26" s="1">
        <v>3</v>
      </c>
      <c r="E26" s="21"/>
      <c r="F26" s="1">
        <v>2</v>
      </c>
      <c r="G26" s="11">
        <v>6</v>
      </c>
      <c r="H26" s="11"/>
      <c r="I26" s="21"/>
      <c r="L26"/>
      <c r="M26"/>
    </row>
    <row r="27" spans="2:14" x14ac:dyDescent="0.3">
      <c r="B27" s="161" t="s">
        <v>34</v>
      </c>
      <c r="C27" s="162"/>
      <c r="D27" s="162"/>
      <c r="E27" s="162"/>
      <c r="F27" s="163"/>
      <c r="G27" s="17">
        <f>SUM(G25:G26)</f>
        <v>10</v>
      </c>
      <c r="H27" s="17">
        <f>SUM(H25:H26)</f>
        <v>0</v>
      </c>
      <c r="I27" s="21"/>
      <c r="L27"/>
      <c r="M27"/>
    </row>
    <row r="28" spans="2:14" x14ac:dyDescent="0.3">
      <c r="B28" s="155" t="s">
        <v>17</v>
      </c>
      <c r="C28" s="156"/>
      <c r="D28" s="12"/>
      <c r="E28" s="12"/>
      <c r="F28" s="15"/>
      <c r="G28" s="16"/>
      <c r="H28" s="16"/>
      <c r="I28" s="1"/>
      <c r="L28"/>
      <c r="M28"/>
    </row>
    <row r="29" spans="2:14" x14ac:dyDescent="0.3">
      <c r="B29" s="2">
        <v>1</v>
      </c>
      <c r="C29" s="3" t="s">
        <v>5</v>
      </c>
      <c r="D29" s="2">
        <v>13</v>
      </c>
      <c r="E29" s="20"/>
      <c r="F29" s="2">
        <v>4</v>
      </c>
      <c r="G29" s="14">
        <f>D29*F29</f>
        <v>52</v>
      </c>
      <c r="H29" s="14"/>
      <c r="I29" s="21"/>
      <c r="L29"/>
      <c r="M29"/>
    </row>
    <row r="30" spans="2:14" x14ac:dyDescent="0.3">
      <c r="B30" s="1">
        <v>2</v>
      </c>
      <c r="C30" s="3" t="s">
        <v>24</v>
      </c>
      <c r="D30" s="2">
        <v>2</v>
      </c>
      <c r="E30" s="20"/>
      <c r="F30" s="2">
        <v>8</v>
      </c>
      <c r="G30" s="14">
        <v>20</v>
      </c>
      <c r="H30" s="14"/>
      <c r="I30" s="21"/>
      <c r="L30"/>
      <c r="M30"/>
    </row>
    <row r="31" spans="2:14" x14ac:dyDescent="0.3">
      <c r="B31" s="2">
        <v>3</v>
      </c>
      <c r="C31" s="7" t="s">
        <v>9</v>
      </c>
      <c r="D31" s="1">
        <v>15</v>
      </c>
      <c r="E31" s="21"/>
      <c r="F31" s="1">
        <v>2</v>
      </c>
      <c r="G31" s="11">
        <v>30</v>
      </c>
      <c r="H31" s="11"/>
      <c r="I31" s="21"/>
      <c r="L31"/>
      <c r="M31"/>
    </row>
    <row r="32" spans="2:14" x14ac:dyDescent="0.3">
      <c r="B32" s="1">
        <v>4</v>
      </c>
      <c r="C32" s="7" t="s">
        <v>4</v>
      </c>
      <c r="D32" s="1">
        <v>32</v>
      </c>
      <c r="E32" s="21">
        <v>29</v>
      </c>
      <c r="F32" s="1">
        <v>1</v>
      </c>
      <c r="G32" s="11">
        <v>64</v>
      </c>
      <c r="H32" s="11"/>
      <c r="I32" s="21"/>
      <c r="L32"/>
      <c r="M32"/>
    </row>
    <row r="33" spans="2:13" x14ac:dyDescent="0.3">
      <c r="B33" s="2">
        <v>5</v>
      </c>
      <c r="C33" s="7" t="s">
        <v>16</v>
      </c>
      <c r="D33" s="1">
        <v>2</v>
      </c>
      <c r="E33" s="21">
        <v>2</v>
      </c>
      <c r="F33" s="1">
        <v>4</v>
      </c>
      <c r="G33" s="11">
        <v>10</v>
      </c>
      <c r="H33" s="11"/>
      <c r="I33" s="21"/>
      <c r="L33"/>
      <c r="M33"/>
    </row>
    <row r="34" spans="2:13" x14ac:dyDescent="0.3">
      <c r="B34" s="1">
        <v>6</v>
      </c>
      <c r="C34" s="7" t="s">
        <v>3</v>
      </c>
      <c r="D34" s="1">
        <v>1</v>
      </c>
      <c r="E34" s="21">
        <v>1</v>
      </c>
      <c r="F34" s="1">
        <v>2</v>
      </c>
      <c r="G34" s="11">
        <v>2</v>
      </c>
      <c r="H34" s="11"/>
      <c r="I34" s="21"/>
      <c r="L34"/>
      <c r="M34"/>
    </row>
    <row r="35" spans="2:13" x14ac:dyDescent="0.3">
      <c r="B35" s="2">
        <v>7</v>
      </c>
      <c r="C35" s="7" t="s">
        <v>21</v>
      </c>
      <c r="D35" s="1">
        <v>1</v>
      </c>
      <c r="E35" s="21"/>
      <c r="F35" s="1">
        <v>3</v>
      </c>
      <c r="G35" s="11">
        <v>3</v>
      </c>
      <c r="H35" s="11"/>
      <c r="I35" s="21"/>
      <c r="L35"/>
      <c r="M35"/>
    </row>
    <row r="36" spans="2:13" x14ac:dyDescent="0.3">
      <c r="B36" s="161" t="s">
        <v>18</v>
      </c>
      <c r="C36" s="162"/>
      <c r="D36" s="162"/>
      <c r="E36" s="162"/>
      <c r="F36" s="163"/>
      <c r="G36" s="17">
        <f>SUM(G29:G35)</f>
        <v>181</v>
      </c>
      <c r="H36" s="17">
        <f>SUM(H29:H35)</f>
        <v>0</v>
      </c>
      <c r="I36" s="21"/>
      <c r="L36"/>
      <c r="M36"/>
    </row>
    <row r="37" spans="2:13" x14ac:dyDescent="0.3">
      <c r="B37" s="155" t="s">
        <v>25</v>
      </c>
      <c r="C37" s="156"/>
      <c r="D37" s="12"/>
      <c r="E37" s="12"/>
      <c r="F37" s="15"/>
      <c r="G37" s="16"/>
      <c r="H37" s="16"/>
      <c r="I37" s="1"/>
      <c r="L37"/>
      <c r="M37"/>
    </row>
    <row r="38" spans="2:13" x14ac:dyDescent="0.3">
      <c r="B38" s="2">
        <v>1</v>
      </c>
      <c r="C38" s="3" t="s">
        <v>5</v>
      </c>
      <c r="D38" s="2">
        <v>7</v>
      </c>
      <c r="E38" s="20"/>
      <c r="F38" s="2">
        <v>4</v>
      </c>
      <c r="G38" s="14">
        <f>D38*F38</f>
        <v>28</v>
      </c>
      <c r="H38" s="14"/>
      <c r="I38" s="21"/>
      <c r="L38"/>
      <c r="M38"/>
    </row>
    <row r="39" spans="2:13" x14ac:dyDescent="0.3">
      <c r="B39" s="2">
        <v>2</v>
      </c>
      <c r="C39" s="7" t="s">
        <v>9</v>
      </c>
      <c r="D39" s="1">
        <v>9</v>
      </c>
      <c r="E39" s="21"/>
      <c r="F39" s="1">
        <v>2</v>
      </c>
      <c r="G39" s="11">
        <v>18</v>
      </c>
      <c r="H39" s="11"/>
      <c r="I39" s="21"/>
      <c r="L39"/>
      <c r="M39"/>
    </row>
    <row r="40" spans="2:13" x14ac:dyDescent="0.3">
      <c r="B40" s="2">
        <v>3</v>
      </c>
      <c r="C40" s="7" t="s">
        <v>4</v>
      </c>
      <c r="D40" s="1">
        <v>1</v>
      </c>
      <c r="E40" s="21">
        <v>1</v>
      </c>
      <c r="F40" s="1">
        <v>1</v>
      </c>
      <c r="G40" s="11">
        <v>2</v>
      </c>
      <c r="H40" s="11"/>
      <c r="I40" s="21"/>
      <c r="L40"/>
      <c r="M40"/>
    </row>
    <row r="41" spans="2:13" x14ac:dyDescent="0.3">
      <c r="B41" s="2">
        <v>4</v>
      </c>
      <c r="C41" s="7" t="s">
        <v>10</v>
      </c>
      <c r="D41" s="1">
        <v>3</v>
      </c>
      <c r="E41" s="21">
        <v>3</v>
      </c>
      <c r="F41" s="1">
        <v>2</v>
      </c>
      <c r="G41" s="11">
        <v>6</v>
      </c>
      <c r="H41" s="11"/>
      <c r="I41" s="21"/>
      <c r="L41"/>
      <c r="M41"/>
    </row>
    <row r="42" spans="2:13" x14ac:dyDescent="0.3">
      <c r="B42" s="2">
        <v>5</v>
      </c>
      <c r="C42" s="65" t="s">
        <v>19</v>
      </c>
      <c r="D42" s="1">
        <v>2</v>
      </c>
      <c r="E42" s="21">
        <v>2</v>
      </c>
      <c r="F42" s="1">
        <v>6</v>
      </c>
      <c r="G42" s="11">
        <v>6</v>
      </c>
      <c r="H42" s="11"/>
      <c r="I42" s="21"/>
      <c r="L42"/>
      <c r="M42"/>
    </row>
    <row r="43" spans="2:13" x14ac:dyDescent="0.3">
      <c r="B43" s="2">
        <v>6</v>
      </c>
      <c r="C43" s="65" t="s">
        <v>20</v>
      </c>
      <c r="D43" s="1">
        <v>10</v>
      </c>
      <c r="E43" s="21">
        <v>10</v>
      </c>
      <c r="F43" s="1">
        <v>3</v>
      </c>
      <c r="G43" s="11">
        <v>40</v>
      </c>
      <c r="H43" s="11"/>
      <c r="I43" s="21"/>
      <c r="L43"/>
      <c r="M43"/>
    </row>
    <row r="44" spans="2:13" x14ac:dyDescent="0.3">
      <c r="B44" s="161" t="s">
        <v>26</v>
      </c>
      <c r="C44" s="162"/>
      <c r="D44" s="162"/>
      <c r="E44" s="162"/>
      <c r="F44" s="163"/>
      <c r="G44" s="17">
        <f>SUM(G38:G43)</f>
        <v>100</v>
      </c>
      <c r="H44" s="17">
        <f>SUM(H38:H43)</f>
        <v>0</v>
      </c>
      <c r="I44" s="21"/>
      <c r="L44"/>
      <c r="M44"/>
    </row>
    <row r="45" spans="2:13" x14ac:dyDescent="0.3">
      <c r="B45" s="155" t="s">
        <v>35</v>
      </c>
      <c r="C45" s="156"/>
      <c r="D45" s="12"/>
      <c r="E45" s="12"/>
      <c r="F45" s="15"/>
      <c r="G45" s="16"/>
      <c r="H45" s="16"/>
      <c r="I45" s="1"/>
      <c r="L45"/>
      <c r="M45"/>
    </row>
    <row r="46" spans="2:13" x14ac:dyDescent="0.3">
      <c r="B46" s="2">
        <v>1</v>
      </c>
      <c r="C46" s="3" t="s">
        <v>5</v>
      </c>
      <c r="D46" s="2">
        <v>2</v>
      </c>
      <c r="E46" s="20"/>
      <c r="F46" s="2">
        <v>4</v>
      </c>
      <c r="G46" s="14">
        <f>D46*F46</f>
        <v>8</v>
      </c>
      <c r="H46" s="14"/>
      <c r="I46" s="21"/>
      <c r="L46"/>
      <c r="M46"/>
    </row>
    <row r="47" spans="2:13" x14ac:dyDescent="0.3">
      <c r="B47" s="2">
        <v>2</v>
      </c>
      <c r="C47" s="7" t="s">
        <v>9</v>
      </c>
      <c r="D47" s="1">
        <v>2</v>
      </c>
      <c r="E47" s="21"/>
      <c r="F47" s="1">
        <v>2</v>
      </c>
      <c r="G47" s="11">
        <v>4</v>
      </c>
      <c r="H47" s="11"/>
      <c r="I47" s="21"/>
      <c r="L47"/>
      <c r="M47"/>
    </row>
    <row r="48" spans="2:13" x14ac:dyDescent="0.3">
      <c r="B48" s="2">
        <v>3</v>
      </c>
      <c r="C48" s="7" t="s">
        <v>4</v>
      </c>
      <c r="D48" s="1">
        <v>3</v>
      </c>
      <c r="E48" s="21">
        <v>3</v>
      </c>
      <c r="F48" s="1">
        <v>1</v>
      </c>
      <c r="G48" s="11">
        <v>6</v>
      </c>
      <c r="H48" s="11"/>
      <c r="I48" s="21"/>
      <c r="L48"/>
      <c r="M48"/>
    </row>
    <row r="49" spans="2:13" x14ac:dyDescent="0.3">
      <c r="B49" s="2">
        <v>4</v>
      </c>
      <c r="C49" s="7" t="s">
        <v>3</v>
      </c>
      <c r="D49" s="1">
        <v>1</v>
      </c>
      <c r="E49" s="21">
        <v>1</v>
      </c>
      <c r="F49" s="1">
        <v>2</v>
      </c>
      <c r="G49" s="11">
        <v>2</v>
      </c>
      <c r="H49" s="11"/>
      <c r="I49" s="21"/>
      <c r="L49"/>
      <c r="M49"/>
    </row>
    <row r="50" spans="2:13" x14ac:dyDescent="0.3">
      <c r="B50" s="2">
        <v>5</v>
      </c>
      <c r="C50" s="7" t="s">
        <v>10</v>
      </c>
      <c r="D50" s="25">
        <v>2</v>
      </c>
      <c r="E50" s="21">
        <v>2</v>
      </c>
      <c r="F50" s="1">
        <v>2</v>
      </c>
      <c r="G50" s="11">
        <v>2</v>
      </c>
      <c r="H50" s="11"/>
      <c r="I50" s="21"/>
      <c r="L50"/>
      <c r="M50"/>
    </row>
    <row r="51" spans="2:13" x14ac:dyDescent="0.3">
      <c r="B51" s="2">
        <v>6</v>
      </c>
      <c r="C51" s="65" t="s">
        <v>19</v>
      </c>
      <c r="D51" s="1">
        <v>8</v>
      </c>
      <c r="E51" s="21">
        <v>8</v>
      </c>
      <c r="F51" s="1">
        <v>6</v>
      </c>
      <c r="G51" s="11">
        <v>24</v>
      </c>
      <c r="H51" s="11"/>
      <c r="I51" s="21"/>
      <c r="L51"/>
      <c r="M51"/>
    </row>
    <row r="52" spans="2:13" x14ac:dyDescent="0.3">
      <c r="B52" s="2">
        <v>7</v>
      </c>
      <c r="C52" s="7" t="s">
        <v>21</v>
      </c>
      <c r="D52" s="1">
        <v>1</v>
      </c>
      <c r="E52" s="21"/>
      <c r="F52" s="1">
        <v>3</v>
      </c>
      <c r="G52" s="11">
        <v>3</v>
      </c>
      <c r="H52" s="11"/>
      <c r="I52" s="21"/>
      <c r="L52"/>
      <c r="M52"/>
    </row>
    <row r="53" spans="2:13" x14ac:dyDescent="0.3">
      <c r="B53" s="161" t="s">
        <v>36</v>
      </c>
      <c r="C53" s="162"/>
      <c r="D53" s="162"/>
      <c r="E53" s="162"/>
      <c r="F53" s="163"/>
      <c r="G53" s="17">
        <f>SUM(G46:G52)</f>
        <v>49</v>
      </c>
      <c r="H53" s="17">
        <f>SUM(H46:H52)</f>
        <v>0</v>
      </c>
      <c r="I53" s="21"/>
      <c r="L53"/>
      <c r="M53"/>
    </row>
    <row r="54" spans="2:13" x14ac:dyDescent="0.3">
      <c r="B54" s="155" t="s">
        <v>27</v>
      </c>
      <c r="C54" s="156"/>
      <c r="D54" s="12"/>
      <c r="E54" s="12"/>
      <c r="F54" s="15"/>
      <c r="G54" s="16"/>
      <c r="H54" s="16"/>
      <c r="I54" s="1"/>
      <c r="L54"/>
      <c r="M54"/>
    </row>
    <row r="55" spans="2:13" x14ac:dyDescent="0.3">
      <c r="B55" s="2">
        <v>1</v>
      </c>
      <c r="C55" s="3" t="s">
        <v>5</v>
      </c>
      <c r="D55" s="2">
        <v>11</v>
      </c>
      <c r="E55" s="20"/>
      <c r="F55" s="2">
        <v>4</v>
      </c>
      <c r="G55" s="14">
        <f>D55*F55</f>
        <v>44</v>
      </c>
      <c r="H55" s="14"/>
      <c r="I55" s="21"/>
      <c r="L55"/>
      <c r="M55"/>
    </row>
    <row r="56" spans="2:13" x14ac:dyDescent="0.3">
      <c r="B56" s="2">
        <v>2</v>
      </c>
      <c r="C56" s="7" t="s">
        <v>9</v>
      </c>
      <c r="D56" s="1">
        <v>13</v>
      </c>
      <c r="E56" s="21"/>
      <c r="F56" s="1">
        <v>2</v>
      </c>
      <c r="G56" s="11">
        <v>26</v>
      </c>
      <c r="H56" s="11"/>
      <c r="I56" s="21"/>
      <c r="L56"/>
      <c r="M56"/>
    </row>
    <row r="57" spans="2:13" x14ac:dyDescent="0.3">
      <c r="B57" s="2">
        <v>3</v>
      </c>
      <c r="C57" s="7" t="s">
        <v>4</v>
      </c>
      <c r="D57" s="1">
        <v>9</v>
      </c>
      <c r="E57" s="21">
        <v>3</v>
      </c>
      <c r="F57" s="1">
        <v>1</v>
      </c>
      <c r="G57" s="11">
        <v>18</v>
      </c>
      <c r="H57" s="11"/>
      <c r="I57" s="21"/>
      <c r="L57"/>
      <c r="M57"/>
    </row>
    <row r="58" spans="2:13" x14ac:dyDescent="0.3">
      <c r="B58" s="2">
        <v>4</v>
      </c>
      <c r="C58" s="7" t="s">
        <v>3</v>
      </c>
      <c r="D58" s="1">
        <v>1</v>
      </c>
      <c r="E58" s="21">
        <v>1</v>
      </c>
      <c r="F58" s="1">
        <v>2</v>
      </c>
      <c r="G58" s="11">
        <v>2</v>
      </c>
      <c r="H58" s="11"/>
      <c r="I58" s="21"/>
      <c r="L58"/>
      <c r="M58"/>
    </row>
    <row r="59" spans="2:13" x14ac:dyDescent="0.3">
      <c r="B59" s="2">
        <v>5</v>
      </c>
      <c r="C59" s="65" t="s">
        <v>19</v>
      </c>
      <c r="D59" s="1">
        <v>6</v>
      </c>
      <c r="E59" s="21">
        <v>3</v>
      </c>
      <c r="F59" s="1">
        <v>6</v>
      </c>
      <c r="G59" s="11">
        <v>18</v>
      </c>
      <c r="H59" s="11"/>
      <c r="I59" s="21"/>
      <c r="L59"/>
      <c r="M59"/>
    </row>
    <row r="60" spans="2:13" x14ac:dyDescent="0.3">
      <c r="B60" s="2">
        <v>6</v>
      </c>
      <c r="C60" s="7" t="s">
        <v>21</v>
      </c>
      <c r="D60" s="1">
        <v>3</v>
      </c>
      <c r="E60" s="21"/>
      <c r="F60" s="1">
        <v>3</v>
      </c>
      <c r="G60" s="11">
        <v>9</v>
      </c>
      <c r="H60" s="11"/>
      <c r="I60" s="21"/>
      <c r="L60"/>
      <c r="M60"/>
    </row>
    <row r="61" spans="2:13" x14ac:dyDescent="0.3">
      <c r="B61" s="161" t="s">
        <v>28</v>
      </c>
      <c r="C61" s="162"/>
      <c r="D61" s="162"/>
      <c r="E61" s="162"/>
      <c r="F61" s="163"/>
      <c r="G61" s="17">
        <f>SUM(G55:G60)</f>
        <v>117</v>
      </c>
      <c r="H61" s="17">
        <f>SUM(H55:H60)</f>
        <v>0</v>
      </c>
      <c r="I61" s="21"/>
      <c r="L61"/>
      <c r="M61"/>
    </row>
    <row r="62" spans="2:13" x14ac:dyDescent="0.3">
      <c r="B62" s="155" t="s">
        <v>29</v>
      </c>
      <c r="C62" s="156"/>
      <c r="D62" s="12"/>
      <c r="E62" s="12"/>
      <c r="F62" s="15"/>
      <c r="G62" s="16"/>
      <c r="H62" s="16"/>
      <c r="I62" s="1"/>
      <c r="L62"/>
      <c r="M62"/>
    </row>
    <row r="63" spans="2:13" x14ac:dyDescent="0.3">
      <c r="B63" s="2">
        <v>1</v>
      </c>
      <c r="C63" s="3" t="s">
        <v>5</v>
      </c>
      <c r="D63" s="2">
        <v>11</v>
      </c>
      <c r="E63" s="20"/>
      <c r="F63" s="2">
        <v>4</v>
      </c>
      <c r="G63" s="14">
        <f>D63*F63</f>
        <v>44</v>
      </c>
      <c r="H63" s="14"/>
      <c r="I63" s="21"/>
      <c r="L63"/>
      <c r="M63"/>
    </row>
    <row r="64" spans="2:13" x14ac:dyDescent="0.3">
      <c r="B64" s="1">
        <v>2</v>
      </c>
      <c r="C64" s="3" t="s">
        <v>24</v>
      </c>
      <c r="D64" s="2">
        <v>2</v>
      </c>
      <c r="E64" s="20"/>
      <c r="F64" s="2">
        <v>8</v>
      </c>
      <c r="G64" s="14">
        <v>20</v>
      </c>
      <c r="H64" s="14"/>
      <c r="I64" s="21"/>
      <c r="L64"/>
      <c r="M64"/>
    </row>
    <row r="65" spans="2:13" x14ac:dyDescent="0.3">
      <c r="B65" s="2">
        <v>3</v>
      </c>
      <c r="C65" s="7" t="s">
        <v>9</v>
      </c>
      <c r="D65" s="1">
        <v>19</v>
      </c>
      <c r="E65" s="21"/>
      <c r="F65" s="1">
        <v>2</v>
      </c>
      <c r="G65" s="11">
        <v>38</v>
      </c>
      <c r="H65" s="11"/>
      <c r="I65" s="21"/>
      <c r="L65"/>
      <c r="M65"/>
    </row>
    <row r="66" spans="2:13" x14ac:dyDescent="0.3">
      <c r="B66" s="1">
        <v>4</v>
      </c>
      <c r="C66" s="7" t="s">
        <v>4</v>
      </c>
      <c r="D66" s="1">
        <v>36</v>
      </c>
      <c r="E66" s="21">
        <v>34</v>
      </c>
      <c r="F66" s="1">
        <v>1</v>
      </c>
      <c r="G66" s="11">
        <v>72</v>
      </c>
      <c r="H66" s="11"/>
      <c r="I66" s="21"/>
      <c r="L66"/>
      <c r="M66"/>
    </row>
    <row r="67" spans="2:13" x14ac:dyDescent="0.3">
      <c r="B67" s="2">
        <v>5</v>
      </c>
      <c r="C67" s="7" t="s">
        <v>16</v>
      </c>
      <c r="D67" s="1">
        <v>1</v>
      </c>
      <c r="E67" s="21"/>
      <c r="F67" s="1">
        <v>4</v>
      </c>
      <c r="G67" s="11">
        <v>5</v>
      </c>
      <c r="H67" s="11"/>
      <c r="I67" s="21"/>
      <c r="L67"/>
      <c r="M67"/>
    </row>
    <row r="68" spans="2:13" x14ac:dyDescent="0.3">
      <c r="B68" s="1">
        <v>6</v>
      </c>
      <c r="C68" s="65" t="s">
        <v>19</v>
      </c>
      <c r="D68" s="1">
        <v>1</v>
      </c>
      <c r="E68" s="21">
        <v>1</v>
      </c>
      <c r="F68" s="1">
        <v>6</v>
      </c>
      <c r="G68" s="11">
        <v>3</v>
      </c>
      <c r="H68" s="11"/>
      <c r="I68" s="21"/>
      <c r="L68"/>
      <c r="M68"/>
    </row>
    <row r="69" spans="2:13" x14ac:dyDescent="0.3">
      <c r="B69" s="2">
        <v>7</v>
      </c>
      <c r="C69" s="7" t="s">
        <v>21</v>
      </c>
      <c r="D69" s="1">
        <v>3</v>
      </c>
      <c r="E69" s="21"/>
      <c r="F69" s="1">
        <v>3</v>
      </c>
      <c r="G69" s="11">
        <v>9</v>
      </c>
      <c r="H69" s="11"/>
      <c r="I69" s="21"/>
      <c r="L69"/>
      <c r="M69"/>
    </row>
    <row r="70" spans="2:13" x14ac:dyDescent="0.3">
      <c r="B70" s="161" t="s">
        <v>30</v>
      </c>
      <c r="C70" s="162"/>
      <c r="D70" s="162"/>
      <c r="E70" s="162"/>
      <c r="F70" s="163"/>
      <c r="G70" s="17">
        <f>SUM(G63:G69)</f>
        <v>191</v>
      </c>
      <c r="H70" s="17">
        <f>SUM(H63:H69)</f>
        <v>0</v>
      </c>
      <c r="I70" s="21"/>
      <c r="L70"/>
      <c r="M70"/>
    </row>
    <row r="71" spans="2:13" x14ac:dyDescent="0.3">
      <c r="B71" s="155" t="s">
        <v>37</v>
      </c>
      <c r="C71" s="156"/>
      <c r="D71" s="12"/>
      <c r="E71" s="12"/>
      <c r="F71" s="15"/>
      <c r="G71" s="16"/>
      <c r="H71" s="16"/>
      <c r="I71" s="1"/>
      <c r="L71"/>
      <c r="M71"/>
    </row>
    <row r="72" spans="2:13" x14ac:dyDescent="0.3">
      <c r="B72" s="2">
        <v>1</v>
      </c>
      <c r="C72" s="3" t="s">
        <v>5</v>
      </c>
      <c r="D72" s="2">
        <v>2</v>
      </c>
      <c r="E72" s="20"/>
      <c r="F72" s="2">
        <v>4</v>
      </c>
      <c r="G72" s="14">
        <f>D72*F72</f>
        <v>8</v>
      </c>
      <c r="H72" s="14"/>
      <c r="I72" s="21"/>
      <c r="L72"/>
      <c r="M72"/>
    </row>
    <row r="73" spans="2:13" x14ac:dyDescent="0.3">
      <c r="B73" s="2">
        <v>2</v>
      </c>
      <c r="C73" s="7" t="s">
        <v>9</v>
      </c>
      <c r="D73" s="1">
        <v>3</v>
      </c>
      <c r="E73" s="21"/>
      <c r="F73" s="1">
        <v>2</v>
      </c>
      <c r="G73" s="11">
        <v>6</v>
      </c>
      <c r="H73" s="11"/>
      <c r="I73" s="21"/>
      <c r="L73"/>
      <c r="M73"/>
    </row>
    <row r="74" spans="2:13" x14ac:dyDescent="0.3">
      <c r="B74" s="2">
        <v>3</v>
      </c>
      <c r="C74" s="7" t="s">
        <v>4</v>
      </c>
      <c r="D74" s="1">
        <v>5</v>
      </c>
      <c r="E74" s="21">
        <v>4</v>
      </c>
      <c r="F74" s="1">
        <v>1</v>
      </c>
      <c r="G74" s="11">
        <v>10</v>
      </c>
      <c r="H74" s="11"/>
      <c r="I74" s="21"/>
      <c r="L74"/>
      <c r="M74"/>
    </row>
    <row r="75" spans="2:13" x14ac:dyDescent="0.3">
      <c r="B75" s="2">
        <v>4</v>
      </c>
      <c r="C75" s="7" t="s">
        <v>3</v>
      </c>
      <c r="D75" s="1">
        <v>1</v>
      </c>
      <c r="E75" s="21"/>
      <c r="F75" s="1">
        <v>2</v>
      </c>
      <c r="G75" s="11">
        <v>2</v>
      </c>
      <c r="H75" s="11"/>
      <c r="I75" s="21"/>
      <c r="L75"/>
      <c r="M75"/>
    </row>
    <row r="76" spans="2:13" x14ac:dyDescent="0.3">
      <c r="B76" s="2">
        <v>5</v>
      </c>
      <c r="C76" s="65" t="s">
        <v>19</v>
      </c>
      <c r="D76" s="1">
        <v>3</v>
      </c>
      <c r="E76" s="21"/>
      <c r="F76" s="1">
        <v>6</v>
      </c>
      <c r="G76" s="11">
        <v>9</v>
      </c>
      <c r="H76" s="11"/>
      <c r="I76" s="21"/>
      <c r="L76"/>
      <c r="M76"/>
    </row>
    <row r="77" spans="2:13" x14ac:dyDescent="0.3">
      <c r="B77" s="161" t="s">
        <v>38</v>
      </c>
      <c r="C77" s="162"/>
      <c r="D77" s="162"/>
      <c r="E77" s="162"/>
      <c r="F77" s="163"/>
      <c r="G77" s="17">
        <f>SUM(G72:G76)</f>
        <v>35</v>
      </c>
      <c r="H77" s="17">
        <f>SUM(H72:H76)</f>
        <v>0</v>
      </c>
      <c r="I77" s="21"/>
      <c r="L77"/>
      <c r="M77"/>
    </row>
    <row r="78" spans="2:13" x14ac:dyDescent="0.3">
      <c r="B78" s="155" t="s">
        <v>31</v>
      </c>
      <c r="C78" s="156"/>
      <c r="D78" s="12"/>
      <c r="E78" s="12"/>
      <c r="F78" s="15"/>
      <c r="G78" s="16"/>
      <c r="H78" s="16"/>
      <c r="I78" s="1"/>
      <c r="L78"/>
      <c r="M78"/>
    </row>
    <row r="79" spans="2:13" x14ac:dyDescent="0.3">
      <c r="B79" s="2">
        <v>1</v>
      </c>
      <c r="C79" s="3" t="s">
        <v>5</v>
      </c>
      <c r="D79" s="2">
        <v>40</v>
      </c>
      <c r="E79" s="20"/>
      <c r="F79" s="2">
        <v>4</v>
      </c>
      <c r="G79" s="14">
        <f>D79*F79</f>
        <v>160</v>
      </c>
      <c r="H79" s="14"/>
      <c r="I79" s="21"/>
      <c r="L79"/>
      <c r="M79"/>
    </row>
    <row r="80" spans="2:13" x14ac:dyDescent="0.3">
      <c r="B80" s="2">
        <v>2</v>
      </c>
      <c r="C80" s="7" t="s">
        <v>9</v>
      </c>
      <c r="D80" s="1">
        <v>81</v>
      </c>
      <c r="E80" s="21">
        <v>28</v>
      </c>
      <c r="F80" s="1">
        <v>2</v>
      </c>
      <c r="G80" s="11">
        <v>162</v>
      </c>
      <c r="H80" s="11"/>
      <c r="I80" s="21"/>
      <c r="L80"/>
      <c r="M80"/>
    </row>
    <row r="81" spans="2:13" x14ac:dyDescent="0.3">
      <c r="B81" s="2">
        <v>3</v>
      </c>
      <c r="C81" s="7" t="s">
        <v>4</v>
      </c>
      <c r="D81" s="1">
        <v>44</v>
      </c>
      <c r="E81" s="21">
        <v>37</v>
      </c>
      <c r="F81" s="1">
        <v>1</v>
      </c>
      <c r="G81" s="11">
        <v>88</v>
      </c>
      <c r="H81" s="11"/>
      <c r="I81" s="21"/>
      <c r="L81"/>
      <c r="M81"/>
    </row>
    <row r="82" spans="2:13" x14ac:dyDescent="0.3">
      <c r="B82" s="2">
        <v>4</v>
      </c>
      <c r="C82" s="7" t="s">
        <v>16</v>
      </c>
      <c r="D82" s="1">
        <v>2</v>
      </c>
      <c r="E82" s="21"/>
      <c r="F82" s="1">
        <v>4</v>
      </c>
      <c r="G82" s="11">
        <v>10</v>
      </c>
      <c r="H82" s="11"/>
      <c r="I82" s="21"/>
      <c r="L82"/>
      <c r="M82"/>
    </row>
    <row r="83" spans="2:13" x14ac:dyDescent="0.3">
      <c r="B83" s="2">
        <v>5</v>
      </c>
      <c r="C83" s="7" t="s">
        <v>3</v>
      </c>
      <c r="D83" s="1">
        <v>2</v>
      </c>
      <c r="E83" s="21">
        <v>2</v>
      </c>
      <c r="F83" s="1">
        <v>2</v>
      </c>
      <c r="G83" s="11">
        <v>4</v>
      </c>
      <c r="H83" s="11"/>
      <c r="I83" s="21"/>
      <c r="L83"/>
      <c r="M83"/>
    </row>
    <row r="84" spans="2:13" x14ac:dyDescent="0.3">
      <c r="B84" s="2">
        <v>6</v>
      </c>
      <c r="C84" s="7" t="s">
        <v>10</v>
      </c>
      <c r="D84" s="25">
        <v>35</v>
      </c>
      <c r="E84" s="21">
        <v>35</v>
      </c>
      <c r="F84" s="1">
        <v>2</v>
      </c>
      <c r="G84" s="11">
        <v>68</v>
      </c>
      <c r="H84" s="11"/>
      <c r="I84" s="21"/>
      <c r="L84"/>
      <c r="M84"/>
    </row>
    <row r="85" spans="2:13" x14ac:dyDescent="0.3">
      <c r="B85" s="2">
        <v>7</v>
      </c>
      <c r="C85" s="65" t="s">
        <v>19</v>
      </c>
      <c r="D85" s="1">
        <v>2</v>
      </c>
      <c r="E85" s="21">
        <v>2</v>
      </c>
      <c r="F85" s="1">
        <v>6</v>
      </c>
      <c r="G85" s="11">
        <v>6</v>
      </c>
      <c r="H85" s="11"/>
      <c r="I85" s="21"/>
      <c r="L85"/>
      <c r="M85"/>
    </row>
    <row r="86" spans="2:13" x14ac:dyDescent="0.3">
      <c r="B86" s="2">
        <v>8</v>
      </c>
      <c r="C86" s="7" t="s">
        <v>21</v>
      </c>
      <c r="D86" s="1">
        <v>3</v>
      </c>
      <c r="E86" s="21"/>
      <c r="F86" s="1">
        <v>3</v>
      </c>
      <c r="G86" s="11">
        <v>9</v>
      </c>
      <c r="H86" s="11"/>
      <c r="I86" s="21"/>
      <c r="L86"/>
      <c r="M86"/>
    </row>
    <row r="87" spans="2:13" x14ac:dyDescent="0.3">
      <c r="B87" s="161" t="s">
        <v>32</v>
      </c>
      <c r="C87" s="162"/>
      <c r="D87" s="162"/>
      <c r="E87" s="162"/>
      <c r="F87" s="163"/>
      <c r="G87" s="17">
        <f>SUM(G79:G86)</f>
        <v>507</v>
      </c>
      <c r="H87" s="17">
        <f>SUM(H79:H86)</f>
        <v>0</v>
      </c>
      <c r="I87" s="21"/>
      <c r="L87"/>
      <c r="M87"/>
    </row>
    <row r="88" spans="2:13" x14ac:dyDescent="0.3">
      <c r="B88" s="155" t="s">
        <v>39</v>
      </c>
      <c r="C88" s="156"/>
      <c r="D88" s="12"/>
      <c r="E88" s="12"/>
      <c r="F88" s="15"/>
      <c r="G88" s="16"/>
      <c r="H88" s="16"/>
      <c r="I88" s="1"/>
      <c r="L88"/>
      <c r="M88"/>
    </row>
    <row r="89" spans="2:13" x14ac:dyDescent="0.3">
      <c r="B89" s="2">
        <v>1</v>
      </c>
      <c r="C89" s="3" t="s">
        <v>5</v>
      </c>
      <c r="D89" s="2">
        <v>38</v>
      </c>
      <c r="E89" s="20"/>
      <c r="F89" s="2">
        <v>4</v>
      </c>
      <c r="G89" s="14">
        <f>D89*F89</f>
        <v>152</v>
      </c>
      <c r="H89" s="14"/>
      <c r="I89" s="21"/>
      <c r="L89"/>
      <c r="M89"/>
    </row>
    <row r="90" spans="2:13" x14ac:dyDescent="0.3">
      <c r="B90" s="1">
        <v>2</v>
      </c>
      <c r="C90" s="3" t="s">
        <v>24</v>
      </c>
      <c r="D90" s="2">
        <v>3</v>
      </c>
      <c r="E90" s="20"/>
      <c r="F90" s="2">
        <v>8</v>
      </c>
      <c r="G90" s="14">
        <v>30</v>
      </c>
      <c r="H90" s="14"/>
      <c r="I90" s="21"/>
      <c r="L90"/>
      <c r="M90"/>
    </row>
    <row r="91" spans="2:13" x14ac:dyDescent="0.3">
      <c r="B91" s="2">
        <v>3</v>
      </c>
      <c r="C91" s="7" t="s">
        <v>9</v>
      </c>
      <c r="D91" s="1">
        <v>44</v>
      </c>
      <c r="E91" s="21"/>
      <c r="F91" s="1">
        <v>2</v>
      </c>
      <c r="G91" s="11">
        <v>88</v>
      </c>
      <c r="H91" s="11"/>
      <c r="I91" s="21"/>
      <c r="L91"/>
      <c r="M91"/>
    </row>
    <row r="92" spans="2:13" x14ac:dyDescent="0.3">
      <c r="B92" s="1">
        <v>4</v>
      </c>
      <c r="C92" s="7" t="s">
        <v>4</v>
      </c>
      <c r="D92" s="1">
        <v>44</v>
      </c>
      <c r="E92" s="21">
        <v>39</v>
      </c>
      <c r="F92" s="1">
        <v>1</v>
      </c>
      <c r="G92" s="11">
        <v>88</v>
      </c>
      <c r="H92" s="11"/>
      <c r="I92" s="21"/>
      <c r="L92"/>
      <c r="M92"/>
    </row>
    <row r="93" spans="2:13" x14ac:dyDescent="0.3">
      <c r="B93" s="2">
        <v>5</v>
      </c>
      <c r="C93" s="7" t="s">
        <v>16</v>
      </c>
      <c r="D93" s="1">
        <v>2</v>
      </c>
      <c r="E93" s="21"/>
      <c r="F93" s="1">
        <v>4</v>
      </c>
      <c r="G93" s="11">
        <v>10</v>
      </c>
      <c r="H93" s="11"/>
      <c r="I93" s="21"/>
      <c r="L93"/>
      <c r="M93"/>
    </row>
    <row r="94" spans="2:13" x14ac:dyDescent="0.3">
      <c r="B94" s="1">
        <v>6</v>
      </c>
      <c r="C94" s="7" t="s">
        <v>3</v>
      </c>
      <c r="D94" s="1">
        <v>3</v>
      </c>
      <c r="E94" s="21">
        <v>3</v>
      </c>
      <c r="F94" s="1">
        <v>2</v>
      </c>
      <c r="G94" s="11">
        <v>6</v>
      </c>
      <c r="H94" s="11"/>
      <c r="I94" s="21"/>
      <c r="L94"/>
      <c r="M94"/>
    </row>
    <row r="95" spans="2:13" x14ac:dyDescent="0.3">
      <c r="B95" s="2">
        <v>7</v>
      </c>
      <c r="C95" s="7" t="s">
        <v>10</v>
      </c>
      <c r="D95" s="1">
        <v>31</v>
      </c>
      <c r="E95" s="21">
        <v>31</v>
      </c>
      <c r="F95" s="1">
        <v>2</v>
      </c>
      <c r="G95" s="11">
        <v>62</v>
      </c>
      <c r="H95" s="11"/>
      <c r="I95" s="21"/>
      <c r="L95"/>
      <c r="M95"/>
    </row>
    <row r="96" spans="2:13" x14ac:dyDescent="0.3">
      <c r="B96" s="1">
        <v>8</v>
      </c>
      <c r="C96" s="65" t="s">
        <v>19</v>
      </c>
      <c r="D96" s="1">
        <v>2</v>
      </c>
      <c r="E96" s="21">
        <v>2</v>
      </c>
      <c r="F96" s="1">
        <v>6</v>
      </c>
      <c r="G96" s="11">
        <v>6</v>
      </c>
      <c r="H96" s="11"/>
      <c r="I96" s="21"/>
      <c r="L96"/>
      <c r="M96"/>
    </row>
    <row r="97" spans="2:13" x14ac:dyDescent="0.3">
      <c r="B97" s="2">
        <v>9</v>
      </c>
      <c r="C97" s="7" t="s">
        <v>21</v>
      </c>
      <c r="D97" s="1">
        <v>2</v>
      </c>
      <c r="E97" s="21"/>
      <c r="F97" s="1">
        <v>3</v>
      </c>
      <c r="G97" s="11">
        <v>6</v>
      </c>
      <c r="H97" s="11"/>
      <c r="I97" s="21"/>
      <c r="L97"/>
      <c r="M97"/>
    </row>
    <row r="98" spans="2:13" x14ac:dyDescent="0.3">
      <c r="B98" s="161" t="s">
        <v>40</v>
      </c>
      <c r="C98" s="162"/>
      <c r="D98" s="162"/>
      <c r="E98" s="162"/>
      <c r="F98" s="163"/>
      <c r="G98" s="17">
        <f>SUM(G89:G97)</f>
        <v>448</v>
      </c>
      <c r="H98" s="17">
        <f>SUM(H89:H97)</f>
        <v>0</v>
      </c>
      <c r="I98" s="21"/>
      <c r="L98"/>
      <c r="M98"/>
    </row>
    <row r="99" spans="2:13" x14ac:dyDescent="0.3">
      <c r="B99" s="155" t="s">
        <v>41</v>
      </c>
      <c r="C99" s="156"/>
      <c r="D99" s="12"/>
      <c r="E99" s="12"/>
      <c r="F99" s="15"/>
      <c r="G99" s="16"/>
      <c r="H99" s="16"/>
      <c r="I99" s="1"/>
      <c r="L99"/>
      <c r="M99"/>
    </row>
    <row r="100" spans="2:13" x14ac:dyDescent="0.3">
      <c r="B100" s="2">
        <v>1</v>
      </c>
      <c r="C100" s="3" t="s">
        <v>5</v>
      </c>
      <c r="D100" s="2">
        <v>31</v>
      </c>
      <c r="E100" s="20"/>
      <c r="F100" s="2">
        <v>4</v>
      </c>
      <c r="G100" s="14">
        <f>D100*F100</f>
        <v>124</v>
      </c>
      <c r="H100" s="14"/>
      <c r="I100" s="21"/>
      <c r="L100"/>
      <c r="M100"/>
    </row>
    <row r="101" spans="2:13" x14ac:dyDescent="0.3">
      <c r="B101" s="1">
        <v>2</v>
      </c>
      <c r="C101" s="3" t="s">
        <v>24</v>
      </c>
      <c r="D101" s="2">
        <v>3</v>
      </c>
      <c r="E101" s="20"/>
      <c r="F101" s="2">
        <v>8</v>
      </c>
      <c r="G101" s="14">
        <v>30</v>
      </c>
      <c r="H101" s="14"/>
      <c r="I101" s="21"/>
      <c r="L101"/>
      <c r="M101"/>
    </row>
    <row r="102" spans="2:13" x14ac:dyDescent="0.3">
      <c r="B102" s="2">
        <v>3</v>
      </c>
      <c r="C102" s="7" t="s">
        <v>9</v>
      </c>
      <c r="D102" s="1">
        <v>41</v>
      </c>
      <c r="E102" s="21"/>
      <c r="F102" s="1">
        <v>2</v>
      </c>
      <c r="G102" s="11">
        <v>82</v>
      </c>
      <c r="H102" s="11"/>
      <c r="I102" s="21"/>
      <c r="L102"/>
      <c r="M102"/>
    </row>
    <row r="103" spans="2:13" x14ac:dyDescent="0.3">
      <c r="B103" s="1">
        <v>4</v>
      </c>
      <c r="C103" s="7" t="s">
        <v>4</v>
      </c>
      <c r="D103" s="1">
        <v>39</v>
      </c>
      <c r="E103" s="21">
        <v>32</v>
      </c>
      <c r="F103" s="1">
        <v>1</v>
      </c>
      <c r="G103" s="11">
        <v>78</v>
      </c>
      <c r="H103" s="11"/>
      <c r="I103" s="21"/>
      <c r="L103"/>
      <c r="M103"/>
    </row>
    <row r="104" spans="2:13" x14ac:dyDescent="0.3">
      <c r="B104" s="2">
        <v>5</v>
      </c>
      <c r="C104" s="7" t="s">
        <v>16</v>
      </c>
      <c r="D104" s="1">
        <v>3</v>
      </c>
      <c r="E104" s="21"/>
      <c r="F104" s="1">
        <v>4</v>
      </c>
      <c r="G104" s="11">
        <v>15</v>
      </c>
      <c r="H104" s="11"/>
      <c r="I104" s="21"/>
      <c r="L104"/>
      <c r="M104"/>
    </row>
    <row r="105" spans="2:13" x14ac:dyDescent="0.3">
      <c r="B105" s="1">
        <v>6</v>
      </c>
      <c r="C105" s="7" t="s">
        <v>3</v>
      </c>
      <c r="D105" s="25">
        <v>6</v>
      </c>
      <c r="E105" s="21">
        <v>6</v>
      </c>
      <c r="F105" s="1">
        <v>2</v>
      </c>
      <c r="G105" s="11">
        <v>10</v>
      </c>
      <c r="H105" s="11"/>
      <c r="I105" s="21"/>
      <c r="L105"/>
      <c r="M105"/>
    </row>
    <row r="106" spans="2:13" x14ac:dyDescent="0.3">
      <c r="B106" s="2">
        <v>7</v>
      </c>
      <c r="C106" s="7" t="s">
        <v>10</v>
      </c>
      <c r="D106" s="1">
        <v>25</v>
      </c>
      <c r="E106" s="21">
        <v>25</v>
      </c>
      <c r="F106" s="1">
        <v>2</v>
      </c>
      <c r="G106" s="11">
        <v>50</v>
      </c>
      <c r="H106" s="11"/>
      <c r="I106" s="21"/>
      <c r="L106"/>
      <c r="M106"/>
    </row>
    <row r="107" spans="2:13" x14ac:dyDescent="0.3">
      <c r="B107" s="1">
        <v>8</v>
      </c>
      <c r="C107" s="65" t="s">
        <v>19</v>
      </c>
      <c r="D107" s="1">
        <v>2</v>
      </c>
      <c r="E107" s="21">
        <v>2</v>
      </c>
      <c r="F107" s="1">
        <v>6</v>
      </c>
      <c r="G107" s="11">
        <v>6</v>
      </c>
      <c r="H107" s="11"/>
      <c r="I107" s="21"/>
      <c r="L107"/>
      <c r="M107"/>
    </row>
    <row r="108" spans="2:13" x14ac:dyDescent="0.3">
      <c r="B108" s="2">
        <v>9</v>
      </c>
      <c r="C108" s="7" t="s">
        <v>21</v>
      </c>
      <c r="D108" s="1">
        <v>2</v>
      </c>
      <c r="E108" s="21"/>
      <c r="F108" s="1">
        <v>3</v>
      </c>
      <c r="G108" s="11">
        <v>6</v>
      </c>
      <c r="H108" s="11"/>
      <c r="I108" s="21"/>
      <c r="L108"/>
      <c r="M108"/>
    </row>
    <row r="109" spans="2:13" x14ac:dyDescent="0.3">
      <c r="B109" s="161" t="s">
        <v>42</v>
      </c>
      <c r="C109" s="162"/>
      <c r="D109" s="162"/>
      <c r="E109" s="162"/>
      <c r="F109" s="163"/>
      <c r="G109" s="17">
        <f>SUM(G100:G108)</f>
        <v>401</v>
      </c>
      <c r="H109" s="17">
        <f>SUM(H100:H108)</f>
        <v>0</v>
      </c>
      <c r="I109" s="21"/>
      <c r="L109"/>
      <c r="M109"/>
    </row>
    <row r="110" spans="2:13" x14ac:dyDescent="0.3">
      <c r="B110" s="155" t="s">
        <v>43</v>
      </c>
      <c r="C110" s="156"/>
      <c r="D110" s="12"/>
      <c r="E110" s="12"/>
      <c r="F110" s="15"/>
      <c r="G110" s="16"/>
      <c r="H110" s="16"/>
      <c r="I110" s="1"/>
      <c r="L110"/>
      <c r="M110"/>
    </row>
    <row r="111" spans="2:13" x14ac:dyDescent="0.3">
      <c r="B111" s="2">
        <v>1</v>
      </c>
      <c r="C111" s="3" t="s">
        <v>5</v>
      </c>
      <c r="D111" s="2">
        <v>25</v>
      </c>
      <c r="E111" s="20"/>
      <c r="F111" s="2">
        <v>4</v>
      </c>
      <c r="G111" s="14">
        <f>D111*F111</f>
        <v>100</v>
      </c>
      <c r="H111" s="14"/>
      <c r="I111" s="21"/>
      <c r="L111"/>
      <c r="M111"/>
    </row>
    <row r="112" spans="2:13" x14ac:dyDescent="0.3">
      <c r="B112" s="1">
        <v>2</v>
      </c>
      <c r="C112" s="3" t="s">
        <v>24</v>
      </c>
      <c r="D112" s="2">
        <v>2</v>
      </c>
      <c r="E112" s="20"/>
      <c r="F112" s="2">
        <v>8</v>
      </c>
      <c r="G112" s="14">
        <v>20</v>
      </c>
      <c r="H112" s="14"/>
      <c r="I112" s="21"/>
      <c r="L112"/>
      <c r="M112"/>
    </row>
    <row r="113" spans="2:13" x14ac:dyDescent="0.3">
      <c r="B113" s="2">
        <v>3</v>
      </c>
      <c r="C113" s="7" t="s">
        <v>9</v>
      </c>
      <c r="D113" s="1">
        <v>30</v>
      </c>
      <c r="E113" s="21"/>
      <c r="F113" s="1">
        <v>2</v>
      </c>
      <c r="G113" s="11">
        <v>60</v>
      </c>
      <c r="H113" s="11"/>
      <c r="I113" s="21"/>
      <c r="L113"/>
      <c r="M113"/>
    </row>
    <row r="114" spans="2:13" x14ac:dyDescent="0.3">
      <c r="B114" s="1">
        <v>4</v>
      </c>
      <c r="C114" s="7" t="s">
        <v>4</v>
      </c>
      <c r="D114" s="1">
        <v>30</v>
      </c>
      <c r="E114" s="21">
        <v>22</v>
      </c>
      <c r="F114" s="1">
        <v>1</v>
      </c>
      <c r="G114" s="11">
        <v>60</v>
      </c>
      <c r="H114" s="11"/>
      <c r="I114" s="21"/>
      <c r="L114"/>
      <c r="M114"/>
    </row>
    <row r="115" spans="2:13" x14ac:dyDescent="0.3">
      <c r="B115" s="2">
        <v>5</v>
      </c>
      <c r="C115" s="7" t="s">
        <v>16</v>
      </c>
      <c r="D115" s="1">
        <v>3</v>
      </c>
      <c r="E115" s="21"/>
      <c r="F115" s="1">
        <v>4</v>
      </c>
      <c r="G115" s="11">
        <v>15</v>
      </c>
      <c r="H115" s="11"/>
      <c r="I115" s="21"/>
      <c r="L115"/>
      <c r="M115"/>
    </row>
    <row r="116" spans="2:13" x14ac:dyDescent="0.3">
      <c r="B116" s="1">
        <v>6</v>
      </c>
      <c r="C116" s="7" t="s">
        <v>3</v>
      </c>
      <c r="D116" s="1">
        <v>4</v>
      </c>
      <c r="E116" s="21">
        <v>4</v>
      </c>
      <c r="F116" s="1">
        <v>2</v>
      </c>
      <c r="G116" s="11">
        <v>8</v>
      </c>
      <c r="H116" s="11"/>
      <c r="I116" s="21"/>
      <c r="L116"/>
      <c r="M116"/>
    </row>
    <row r="117" spans="2:13" x14ac:dyDescent="0.3">
      <c r="B117" s="2">
        <v>7</v>
      </c>
      <c r="C117" s="7" t="s">
        <v>10</v>
      </c>
      <c r="D117" s="1">
        <v>16</v>
      </c>
      <c r="E117" s="21">
        <v>16</v>
      </c>
      <c r="F117" s="1">
        <v>2</v>
      </c>
      <c r="G117" s="11">
        <v>32</v>
      </c>
      <c r="H117" s="11"/>
      <c r="I117" s="21"/>
      <c r="L117"/>
      <c r="M117"/>
    </row>
    <row r="118" spans="2:13" x14ac:dyDescent="0.3">
      <c r="B118" s="1">
        <v>8</v>
      </c>
      <c r="C118" s="65" t="s">
        <v>19</v>
      </c>
      <c r="D118" s="1">
        <v>2</v>
      </c>
      <c r="E118" s="21">
        <v>2</v>
      </c>
      <c r="F118" s="1">
        <v>6</v>
      </c>
      <c r="G118" s="11">
        <v>6</v>
      </c>
      <c r="H118" s="11"/>
      <c r="I118" s="21"/>
      <c r="L118"/>
      <c r="M118"/>
    </row>
    <row r="119" spans="2:13" x14ac:dyDescent="0.3">
      <c r="B119" s="2">
        <v>9</v>
      </c>
      <c r="C119" s="7" t="s">
        <v>21</v>
      </c>
      <c r="D119" s="1">
        <v>2</v>
      </c>
      <c r="E119" s="21"/>
      <c r="F119" s="1">
        <v>3</v>
      </c>
      <c r="G119" s="11">
        <v>6</v>
      </c>
      <c r="H119" s="11"/>
      <c r="I119" s="21"/>
      <c r="L119"/>
      <c r="M119"/>
    </row>
    <row r="120" spans="2:13" x14ac:dyDescent="0.3">
      <c r="B120" s="161" t="s">
        <v>44</v>
      </c>
      <c r="C120" s="162"/>
      <c r="D120" s="162"/>
      <c r="E120" s="162"/>
      <c r="F120" s="163"/>
      <c r="G120" s="17">
        <f>SUM(G111:G119)</f>
        <v>307</v>
      </c>
      <c r="H120" s="17">
        <f>SUM(H111:H119)</f>
        <v>0</v>
      </c>
      <c r="I120" s="21"/>
      <c r="L120"/>
      <c r="M120"/>
    </row>
    <row r="121" spans="2:13" x14ac:dyDescent="0.3">
      <c r="B121" s="155" t="s">
        <v>45</v>
      </c>
      <c r="C121" s="156"/>
      <c r="D121" s="12"/>
      <c r="E121" s="12"/>
      <c r="F121" s="15"/>
      <c r="G121" s="16"/>
      <c r="H121" s="16"/>
      <c r="I121" s="1"/>
      <c r="L121"/>
      <c r="M121"/>
    </row>
    <row r="122" spans="2:13" x14ac:dyDescent="0.3">
      <c r="B122" s="2">
        <v>1</v>
      </c>
      <c r="C122" s="3" t="s">
        <v>5</v>
      </c>
      <c r="D122" s="2">
        <v>21</v>
      </c>
      <c r="E122" s="20"/>
      <c r="F122" s="2">
        <v>4</v>
      </c>
      <c r="G122" s="14">
        <f>D122*F122</f>
        <v>84</v>
      </c>
      <c r="H122" s="14"/>
      <c r="I122" s="21"/>
      <c r="L122"/>
      <c r="M122"/>
    </row>
    <row r="123" spans="2:13" x14ac:dyDescent="0.3">
      <c r="B123" s="2">
        <v>2</v>
      </c>
      <c r="C123" s="7" t="s">
        <v>9</v>
      </c>
      <c r="D123" s="1">
        <v>24</v>
      </c>
      <c r="E123" s="21"/>
      <c r="F123" s="1">
        <v>2</v>
      </c>
      <c r="G123" s="11">
        <v>48</v>
      </c>
      <c r="H123" s="11"/>
      <c r="I123" s="21"/>
      <c r="L123"/>
      <c r="M123"/>
    </row>
    <row r="124" spans="2:13" x14ac:dyDescent="0.3">
      <c r="B124" s="2">
        <v>3</v>
      </c>
      <c r="C124" s="7" t="s">
        <v>4</v>
      </c>
      <c r="D124" s="1">
        <v>26</v>
      </c>
      <c r="E124" s="21">
        <v>23</v>
      </c>
      <c r="F124" s="1">
        <v>1</v>
      </c>
      <c r="G124" s="11">
        <v>52</v>
      </c>
      <c r="H124" s="11"/>
      <c r="I124" s="21"/>
      <c r="L124"/>
      <c r="M124"/>
    </row>
    <row r="125" spans="2:13" x14ac:dyDescent="0.3">
      <c r="B125" s="2">
        <v>4</v>
      </c>
      <c r="C125" s="7" t="s">
        <v>3</v>
      </c>
      <c r="D125" s="1">
        <v>8</v>
      </c>
      <c r="E125" s="21">
        <v>2</v>
      </c>
      <c r="F125" s="1">
        <v>2</v>
      </c>
      <c r="G125" s="11">
        <v>16</v>
      </c>
      <c r="H125" s="11"/>
      <c r="I125" s="21"/>
      <c r="L125"/>
      <c r="M125"/>
    </row>
    <row r="126" spans="2:13" x14ac:dyDescent="0.3">
      <c r="B126" s="2">
        <v>5</v>
      </c>
      <c r="C126" s="7" t="s">
        <v>10</v>
      </c>
      <c r="D126" s="1">
        <v>19</v>
      </c>
      <c r="E126" s="21">
        <v>19</v>
      </c>
      <c r="F126" s="1">
        <v>2</v>
      </c>
      <c r="G126" s="11">
        <v>38</v>
      </c>
      <c r="H126" s="11"/>
      <c r="I126" s="21"/>
      <c r="L126"/>
      <c r="M126"/>
    </row>
    <row r="127" spans="2:13" x14ac:dyDescent="0.3">
      <c r="B127" s="2">
        <v>6</v>
      </c>
      <c r="C127" s="65" t="s">
        <v>19</v>
      </c>
      <c r="D127" s="25">
        <v>18</v>
      </c>
      <c r="E127" s="21">
        <v>18</v>
      </c>
      <c r="F127" s="1">
        <v>6</v>
      </c>
      <c r="G127" s="11">
        <v>6</v>
      </c>
      <c r="H127" s="11"/>
      <c r="I127" s="21"/>
      <c r="L127"/>
      <c r="M127"/>
    </row>
    <row r="128" spans="2:13" x14ac:dyDescent="0.3">
      <c r="B128" s="2">
        <v>7</v>
      </c>
      <c r="C128" s="7" t="s">
        <v>21</v>
      </c>
      <c r="D128" s="1">
        <v>1</v>
      </c>
      <c r="E128" s="21"/>
      <c r="F128" s="1">
        <v>3</v>
      </c>
      <c r="G128" s="11">
        <v>3</v>
      </c>
      <c r="H128" s="11"/>
      <c r="I128" s="21"/>
      <c r="L128"/>
      <c r="M128"/>
    </row>
    <row r="129" spans="2:13" x14ac:dyDescent="0.3">
      <c r="B129" s="161" t="s">
        <v>46</v>
      </c>
      <c r="C129" s="162"/>
      <c r="D129" s="162"/>
      <c r="E129" s="162"/>
      <c r="F129" s="163"/>
      <c r="G129" s="17">
        <f>SUM(G122:G128)</f>
        <v>247</v>
      </c>
      <c r="H129" s="17">
        <f>SUM(H122:H128)</f>
        <v>0</v>
      </c>
      <c r="I129" s="21"/>
      <c r="L129"/>
      <c r="M129"/>
    </row>
    <row r="130" spans="2:13" x14ac:dyDescent="0.3">
      <c r="B130" s="161" t="s">
        <v>53</v>
      </c>
      <c r="C130" s="162"/>
      <c r="D130" s="162"/>
      <c r="E130" s="162"/>
      <c r="F130" s="163"/>
      <c r="G130" s="17">
        <f>SUM(G14,G23,G27,G36,G44,G53,G61,G70,G77,G87)</f>
        <v>1451</v>
      </c>
      <c r="H130" s="17"/>
      <c r="I130" s="1"/>
      <c r="L130"/>
      <c r="M130"/>
    </row>
    <row r="131" spans="2:13" x14ac:dyDescent="0.3">
      <c r="B131" s="161" t="s">
        <v>52</v>
      </c>
      <c r="C131" s="162"/>
      <c r="D131" s="162"/>
      <c r="E131" s="162"/>
      <c r="F131" s="163"/>
      <c r="G131" s="17">
        <f>SUM(G98,G109,G120,G129)</f>
        <v>1403</v>
      </c>
      <c r="H131" s="17"/>
      <c r="I131" s="1"/>
      <c r="L131"/>
      <c r="M131"/>
    </row>
    <row r="132" spans="2:13" x14ac:dyDescent="0.3">
      <c r="B132" s="161" t="s">
        <v>1</v>
      </c>
      <c r="C132" s="162"/>
      <c r="D132" s="162"/>
      <c r="E132" s="162"/>
      <c r="F132" s="163"/>
      <c r="G132" s="17">
        <f>SUM(G14,G23,G27,G36,G44,G53,G61,G70,G77,G87,G98,G109,G120,G129)</f>
        <v>2854</v>
      </c>
      <c r="H132" s="17"/>
      <c r="I132" s="17"/>
      <c r="L132"/>
      <c r="M132"/>
    </row>
    <row r="134" spans="2:13" x14ac:dyDescent="0.3">
      <c r="I134" s="5"/>
      <c r="L134"/>
    </row>
    <row r="135" spans="2:13" x14ac:dyDescent="0.3">
      <c r="B135" t="s">
        <v>85</v>
      </c>
      <c r="L135"/>
      <c r="M135"/>
    </row>
    <row r="136" spans="2:13" x14ac:dyDescent="0.3">
      <c r="B136" t="s">
        <v>92</v>
      </c>
      <c r="G136" s="154" t="s">
        <v>93</v>
      </c>
      <c r="H136" s="154"/>
      <c r="I136" s="154"/>
      <c r="J136" s="154"/>
      <c r="L136"/>
      <c r="M136"/>
    </row>
    <row r="137" spans="2:13" x14ac:dyDescent="0.3">
      <c r="L137"/>
      <c r="M137"/>
    </row>
    <row r="138" spans="2:13" x14ac:dyDescent="0.3">
      <c r="L138"/>
      <c r="M138"/>
    </row>
    <row r="139" spans="2:13" x14ac:dyDescent="0.3">
      <c r="L139"/>
      <c r="M139"/>
    </row>
    <row r="140" spans="2:13" x14ac:dyDescent="0.3">
      <c r="L140"/>
      <c r="M140"/>
    </row>
    <row r="141" spans="2:13" x14ac:dyDescent="0.3">
      <c r="L141"/>
      <c r="M141"/>
    </row>
    <row r="142" spans="2:13" x14ac:dyDescent="0.3">
      <c r="L142"/>
      <c r="M142"/>
    </row>
    <row r="143" spans="2:13" x14ac:dyDescent="0.3">
      <c r="L143"/>
      <c r="M143"/>
    </row>
    <row r="144" spans="2:13" x14ac:dyDescent="0.3">
      <c r="L144"/>
      <c r="M144"/>
    </row>
    <row r="145" spans="12:13" x14ac:dyDescent="0.3">
      <c r="L145"/>
      <c r="M145"/>
    </row>
    <row r="146" spans="12:13" x14ac:dyDescent="0.3">
      <c r="L146"/>
      <c r="M146"/>
    </row>
    <row r="147" spans="12:13" x14ac:dyDescent="0.3">
      <c r="L147"/>
      <c r="M147"/>
    </row>
    <row r="148" spans="12:13" x14ac:dyDescent="0.3">
      <c r="L148"/>
      <c r="M148"/>
    </row>
    <row r="149" spans="12:13" x14ac:dyDescent="0.3">
      <c r="L149"/>
      <c r="M149"/>
    </row>
    <row r="150" spans="12:13" x14ac:dyDescent="0.3">
      <c r="L150"/>
      <c r="M150"/>
    </row>
    <row r="151" spans="12:13" x14ac:dyDescent="0.3">
      <c r="L151"/>
      <c r="M151"/>
    </row>
    <row r="152" spans="12:13" x14ac:dyDescent="0.3">
      <c r="L152"/>
      <c r="M152"/>
    </row>
    <row r="153" spans="12:13" x14ac:dyDescent="0.3">
      <c r="L153"/>
      <c r="M153"/>
    </row>
    <row r="154" spans="12:13" x14ac:dyDescent="0.3">
      <c r="L154"/>
      <c r="M154"/>
    </row>
    <row r="155" spans="12:13" x14ac:dyDescent="0.3">
      <c r="L155"/>
      <c r="M155"/>
    </row>
    <row r="156" spans="12:13" x14ac:dyDescent="0.3">
      <c r="L156"/>
      <c r="M156"/>
    </row>
    <row r="157" spans="12:13" x14ac:dyDescent="0.3">
      <c r="L157"/>
      <c r="M157"/>
    </row>
    <row r="158" spans="12:13" x14ac:dyDescent="0.3">
      <c r="L158"/>
      <c r="M158"/>
    </row>
    <row r="159" spans="12:13" x14ac:dyDescent="0.3">
      <c r="L159"/>
      <c r="M159"/>
    </row>
    <row r="160" spans="12:13" x14ac:dyDescent="0.3">
      <c r="L160"/>
      <c r="M160"/>
    </row>
    <row r="161" spans="9:13" x14ac:dyDescent="0.3">
      <c r="L161"/>
      <c r="M161"/>
    </row>
    <row r="162" spans="9:13" x14ac:dyDescent="0.3">
      <c r="L162"/>
      <c r="M162"/>
    </row>
    <row r="163" spans="9:13" x14ac:dyDescent="0.3">
      <c r="L163"/>
      <c r="M163"/>
    </row>
    <row r="164" spans="9:13" x14ac:dyDescent="0.3">
      <c r="L164"/>
      <c r="M164"/>
    </row>
    <row r="165" spans="9:13" x14ac:dyDescent="0.3">
      <c r="L165"/>
      <c r="M165"/>
    </row>
    <row r="166" spans="9:13" x14ac:dyDescent="0.3">
      <c r="L166"/>
      <c r="M166"/>
    </row>
    <row r="167" spans="9:13" x14ac:dyDescent="0.3">
      <c r="L167"/>
      <c r="M167"/>
    </row>
    <row r="168" spans="9:13" x14ac:dyDescent="0.3">
      <c r="L168"/>
      <c r="M168"/>
    </row>
    <row r="169" spans="9:13" x14ac:dyDescent="0.3">
      <c r="L169"/>
      <c r="M169"/>
    </row>
    <row r="170" spans="9:13" x14ac:dyDescent="0.3">
      <c r="I170" s="5"/>
      <c r="L170"/>
    </row>
    <row r="171" spans="9:13" x14ac:dyDescent="0.3">
      <c r="I171" s="5"/>
      <c r="L171"/>
    </row>
    <row r="172" spans="9:13" x14ac:dyDescent="0.3">
      <c r="I172" s="5"/>
      <c r="L172"/>
    </row>
    <row r="173" spans="9:13" x14ac:dyDescent="0.3">
      <c r="I173" s="5"/>
      <c r="L173"/>
    </row>
    <row r="174" spans="9:13" x14ac:dyDescent="0.3">
      <c r="I174" s="5"/>
      <c r="L174"/>
    </row>
    <row r="175" spans="9:13" x14ac:dyDescent="0.3">
      <c r="I175" s="5"/>
      <c r="L175"/>
    </row>
    <row r="176" spans="9:13" x14ac:dyDescent="0.3">
      <c r="I176" s="5"/>
      <c r="L176"/>
    </row>
    <row r="177" spans="9:12" x14ac:dyDescent="0.3">
      <c r="I177" s="5"/>
      <c r="L177"/>
    </row>
    <row r="178" spans="9:12" x14ac:dyDescent="0.3">
      <c r="I178" s="5"/>
      <c r="L178"/>
    </row>
    <row r="179" spans="9:12" x14ac:dyDescent="0.3">
      <c r="I179" s="5"/>
      <c r="L179"/>
    </row>
    <row r="180" spans="9:12" x14ac:dyDescent="0.3">
      <c r="I180" s="5"/>
      <c r="L180"/>
    </row>
    <row r="181" spans="9:12" x14ac:dyDescent="0.3">
      <c r="I181" s="5"/>
      <c r="L181"/>
    </row>
    <row r="182" spans="9:12" x14ac:dyDescent="0.3">
      <c r="I182" s="5"/>
      <c r="L182"/>
    </row>
    <row r="183" spans="9:12" x14ac:dyDescent="0.3">
      <c r="I183" s="5"/>
      <c r="L183"/>
    </row>
    <row r="184" spans="9:12" x14ac:dyDescent="0.3">
      <c r="I184" s="5"/>
      <c r="L184"/>
    </row>
    <row r="185" spans="9:12" x14ac:dyDescent="0.3">
      <c r="I185" s="5"/>
      <c r="L185"/>
    </row>
    <row r="186" spans="9:12" x14ac:dyDescent="0.3">
      <c r="I186" s="5"/>
      <c r="L186"/>
    </row>
    <row r="187" spans="9:12" x14ac:dyDescent="0.3">
      <c r="I187" s="5"/>
      <c r="L187"/>
    </row>
  </sheetData>
  <mergeCells count="33">
    <mergeCell ref="B130:F130"/>
    <mergeCell ref="B131:F131"/>
    <mergeCell ref="B132:F132"/>
    <mergeCell ref="G136:J136"/>
    <mergeCell ref="B99:C99"/>
    <mergeCell ref="B109:F109"/>
    <mergeCell ref="B110:C110"/>
    <mergeCell ref="B120:F120"/>
    <mergeCell ref="B121:C121"/>
    <mergeCell ref="B129:F129"/>
    <mergeCell ref="B98:F98"/>
    <mergeCell ref="B45:C45"/>
    <mergeCell ref="B53:F53"/>
    <mergeCell ref="B54:C54"/>
    <mergeCell ref="B61:F61"/>
    <mergeCell ref="B62:C62"/>
    <mergeCell ref="B70:F70"/>
    <mergeCell ref="B71:C71"/>
    <mergeCell ref="B77:F77"/>
    <mergeCell ref="B78:C78"/>
    <mergeCell ref="B87:F87"/>
    <mergeCell ref="B88:C88"/>
    <mergeCell ref="B44:F44"/>
    <mergeCell ref="F3:I3"/>
    <mergeCell ref="B5:C5"/>
    <mergeCell ref="B14:F14"/>
    <mergeCell ref="B15:C15"/>
    <mergeCell ref="B23:F23"/>
    <mergeCell ref="B24:C24"/>
    <mergeCell ref="B27:F27"/>
    <mergeCell ref="B28:C28"/>
    <mergeCell ref="B36:F36"/>
    <mergeCell ref="B37:C37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A35A7-C020-4A89-9499-079CE2D85688}">
  <sheetPr>
    <tabColor rgb="FF00B0F0"/>
  </sheetPr>
  <dimension ref="A3:M155"/>
  <sheetViews>
    <sheetView zoomScale="70" zoomScaleNormal="70" zoomScaleSheetLayoutView="76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119" sqref="G119"/>
    </sheetView>
  </sheetViews>
  <sheetFormatPr defaultRowHeight="14.4" x14ac:dyDescent="0.3"/>
  <cols>
    <col min="1" max="1" width="4.6640625" style="9" bestFit="1" customWidth="1"/>
    <col min="3" max="3" width="26.33203125" customWidth="1"/>
    <col min="4" max="4" width="11.44140625" customWidth="1"/>
    <col min="5" max="5" width="14.21875" customWidth="1"/>
    <col min="6" max="6" width="14.5546875" customWidth="1"/>
    <col min="7" max="7" width="13.88671875" customWidth="1"/>
    <col min="8" max="8" width="15.109375" customWidth="1"/>
    <col min="9" max="9" width="18.33203125" style="5" bestFit="1" customWidth="1"/>
    <col min="10" max="10" width="32.88671875" customWidth="1"/>
    <col min="11" max="12" width="15.109375" customWidth="1"/>
    <col min="13" max="13" width="18.33203125" style="5" bestFit="1" customWidth="1"/>
    <col min="14" max="14" width="11.33203125" customWidth="1"/>
  </cols>
  <sheetData>
    <row r="3" spans="1:13" x14ac:dyDescent="0.3">
      <c r="A3" s="10" t="s">
        <v>0</v>
      </c>
      <c r="B3" s="8" t="s">
        <v>75</v>
      </c>
      <c r="C3" s="6"/>
      <c r="D3" s="6"/>
      <c r="E3" s="6"/>
      <c r="F3" s="150" t="s">
        <v>83</v>
      </c>
      <c r="G3" s="150"/>
      <c r="H3" s="150"/>
      <c r="I3" s="150"/>
      <c r="M3"/>
    </row>
    <row r="4" spans="1:13" ht="40.5" customHeight="1" x14ac:dyDescent="0.3">
      <c r="B4" s="13" t="s">
        <v>2</v>
      </c>
      <c r="C4" s="13" t="s">
        <v>8</v>
      </c>
      <c r="D4" s="13" t="s">
        <v>7</v>
      </c>
      <c r="E4" s="19" t="s">
        <v>79</v>
      </c>
      <c r="F4" s="13" t="s">
        <v>87</v>
      </c>
      <c r="G4" s="13" t="s">
        <v>91</v>
      </c>
      <c r="H4" s="13" t="s">
        <v>78</v>
      </c>
      <c r="I4" s="19" t="s">
        <v>81</v>
      </c>
      <c r="M4"/>
    </row>
    <row r="5" spans="1:13" x14ac:dyDescent="0.3">
      <c r="B5" s="155" t="s">
        <v>13</v>
      </c>
      <c r="C5" s="156"/>
      <c r="D5" s="12"/>
      <c r="E5" s="12"/>
      <c r="F5" s="15"/>
      <c r="G5" s="16"/>
      <c r="H5" s="16"/>
      <c r="I5" s="1"/>
      <c r="M5"/>
    </row>
    <row r="6" spans="1:13" x14ac:dyDescent="0.3">
      <c r="B6" s="2">
        <v>1</v>
      </c>
      <c r="C6" s="3" t="s">
        <v>5</v>
      </c>
      <c r="D6" s="2">
        <v>27</v>
      </c>
      <c r="E6" s="20"/>
      <c r="F6" s="2">
        <v>4</v>
      </c>
      <c r="G6" s="14">
        <f>D6*F6</f>
        <v>108</v>
      </c>
      <c r="H6" s="14"/>
      <c r="I6" s="21"/>
      <c r="M6"/>
    </row>
    <row r="7" spans="1:13" x14ac:dyDescent="0.3">
      <c r="B7" s="1">
        <v>2</v>
      </c>
      <c r="C7" s="7" t="s">
        <v>9</v>
      </c>
      <c r="D7" s="1">
        <v>27</v>
      </c>
      <c r="E7" s="21"/>
      <c r="F7" s="1">
        <v>2</v>
      </c>
      <c r="G7" s="11">
        <f>D7*F7</f>
        <v>54</v>
      </c>
      <c r="H7" s="11"/>
      <c r="I7" s="21"/>
      <c r="M7"/>
    </row>
    <row r="8" spans="1:13" x14ac:dyDescent="0.3">
      <c r="B8" s="1">
        <v>3</v>
      </c>
      <c r="C8" s="7" t="s">
        <v>4</v>
      </c>
      <c r="D8" s="1">
        <v>33</v>
      </c>
      <c r="E8" s="21">
        <v>20</v>
      </c>
      <c r="F8" s="1">
        <v>1</v>
      </c>
      <c r="G8" s="11">
        <f t="shared" ref="G8" si="0">D8*F8</f>
        <v>33</v>
      </c>
      <c r="H8" s="11"/>
      <c r="I8" s="21"/>
      <c r="M8"/>
    </row>
    <row r="9" spans="1:13" x14ac:dyDescent="0.3">
      <c r="B9" s="1">
        <v>4</v>
      </c>
      <c r="C9" s="65" t="s">
        <v>10</v>
      </c>
      <c r="D9" s="1">
        <v>15</v>
      </c>
      <c r="E9" s="21">
        <v>15</v>
      </c>
      <c r="F9" s="25">
        <v>2</v>
      </c>
      <c r="G9" s="11">
        <f>D9*F9</f>
        <v>30</v>
      </c>
      <c r="H9" s="11"/>
      <c r="I9" s="21"/>
      <c r="M9"/>
    </row>
    <row r="10" spans="1:13" x14ac:dyDescent="0.3">
      <c r="B10" s="1">
        <v>5</v>
      </c>
      <c r="C10" s="7" t="s">
        <v>21</v>
      </c>
      <c r="D10" s="1">
        <v>2</v>
      </c>
      <c r="E10" s="21"/>
      <c r="F10" s="1">
        <v>3</v>
      </c>
      <c r="G10" s="11">
        <f>D10*F10</f>
        <v>6</v>
      </c>
      <c r="H10" s="11"/>
      <c r="I10" s="21"/>
      <c r="M10"/>
    </row>
    <row r="11" spans="1:13" x14ac:dyDescent="0.3">
      <c r="B11" s="161" t="s">
        <v>14</v>
      </c>
      <c r="C11" s="162"/>
      <c r="D11" s="162"/>
      <c r="E11" s="162"/>
      <c r="F11" s="163"/>
      <c r="G11" s="18">
        <f>SUM(G6:G10)</f>
        <v>231</v>
      </c>
      <c r="H11" s="18">
        <f>SUM(H6:H10)</f>
        <v>0</v>
      </c>
      <c r="I11" s="34"/>
      <c r="M11"/>
    </row>
    <row r="12" spans="1:13" x14ac:dyDescent="0.3">
      <c r="B12" s="155" t="s">
        <v>11</v>
      </c>
      <c r="C12" s="156"/>
      <c r="D12" s="12"/>
      <c r="E12" s="12"/>
      <c r="F12" s="15"/>
      <c r="G12" s="16"/>
      <c r="H12" s="16"/>
      <c r="I12" s="1"/>
      <c r="M12"/>
    </row>
    <row r="13" spans="1:13" x14ac:dyDescent="0.3">
      <c r="B13" s="2">
        <v>1</v>
      </c>
      <c r="C13" s="3" t="s">
        <v>5</v>
      </c>
      <c r="D13" s="2">
        <v>6</v>
      </c>
      <c r="E13" s="20"/>
      <c r="F13" s="2">
        <v>4</v>
      </c>
      <c r="G13" s="14">
        <f>D13*F13</f>
        <v>24</v>
      </c>
      <c r="H13" s="14"/>
      <c r="I13" s="21"/>
      <c r="M13"/>
    </row>
    <row r="14" spans="1:13" x14ac:dyDescent="0.3">
      <c r="B14" s="2">
        <v>2</v>
      </c>
      <c r="C14" s="3" t="s">
        <v>54</v>
      </c>
      <c r="D14" s="2">
        <v>2</v>
      </c>
      <c r="E14" s="20"/>
      <c r="F14" s="2">
        <v>8</v>
      </c>
      <c r="G14" s="14">
        <f>D14*F14</f>
        <v>16</v>
      </c>
      <c r="H14" s="14"/>
      <c r="I14" s="21"/>
      <c r="M14"/>
    </row>
    <row r="15" spans="1:13" x14ac:dyDescent="0.3">
      <c r="B15" s="1">
        <v>3</v>
      </c>
      <c r="C15" s="7" t="s">
        <v>9</v>
      </c>
      <c r="D15" s="1">
        <v>12</v>
      </c>
      <c r="E15" s="21"/>
      <c r="F15" s="1">
        <v>2</v>
      </c>
      <c r="G15" s="11">
        <f t="shared" ref="G15:G17" si="1">D15*F15</f>
        <v>24</v>
      </c>
      <c r="H15" s="11"/>
      <c r="I15" s="21"/>
      <c r="M15"/>
    </row>
    <row r="16" spans="1:13" x14ac:dyDescent="0.3">
      <c r="B16" s="1">
        <v>4</v>
      </c>
      <c r="C16" s="7" t="s">
        <v>4</v>
      </c>
      <c r="D16" s="1">
        <v>12</v>
      </c>
      <c r="E16" s="21">
        <v>7</v>
      </c>
      <c r="F16" s="1">
        <v>1</v>
      </c>
      <c r="G16" s="11">
        <f t="shared" si="1"/>
        <v>12</v>
      </c>
      <c r="H16" s="11"/>
      <c r="I16" s="21"/>
      <c r="M16"/>
    </row>
    <row r="17" spans="1:13" x14ac:dyDescent="0.3">
      <c r="B17" s="1">
        <v>5</v>
      </c>
      <c r="C17" s="65" t="s">
        <v>3</v>
      </c>
      <c r="D17" s="1">
        <v>1</v>
      </c>
      <c r="E17" s="21">
        <v>1</v>
      </c>
      <c r="F17" s="25">
        <v>2</v>
      </c>
      <c r="G17" s="11">
        <f t="shared" si="1"/>
        <v>2</v>
      </c>
      <c r="H17" s="11"/>
      <c r="I17" s="21"/>
      <c r="M17"/>
    </row>
    <row r="18" spans="1:13" x14ac:dyDescent="0.3">
      <c r="B18" s="1">
        <v>6</v>
      </c>
      <c r="C18" s="7" t="s">
        <v>16</v>
      </c>
      <c r="D18" s="1">
        <v>1</v>
      </c>
      <c r="E18" s="21"/>
      <c r="F18" s="1">
        <v>4</v>
      </c>
      <c r="G18" s="11">
        <f>D18*F18</f>
        <v>4</v>
      </c>
      <c r="H18" s="11"/>
      <c r="I18" s="21"/>
      <c r="M18"/>
    </row>
    <row r="19" spans="1:13" x14ac:dyDescent="0.3">
      <c r="B19" s="1">
        <v>7</v>
      </c>
      <c r="C19" s="7" t="s">
        <v>21</v>
      </c>
      <c r="D19" s="1">
        <v>1</v>
      </c>
      <c r="E19" s="21"/>
      <c r="F19" s="1">
        <v>3</v>
      </c>
      <c r="G19" s="11">
        <f>D19*F19</f>
        <v>3</v>
      </c>
      <c r="H19" s="11"/>
      <c r="I19" s="21"/>
      <c r="M19"/>
    </row>
    <row r="20" spans="1:13" s="33" customFormat="1" x14ac:dyDescent="0.3">
      <c r="A20" s="10"/>
      <c r="B20" s="161" t="s">
        <v>12</v>
      </c>
      <c r="C20" s="162"/>
      <c r="D20" s="162"/>
      <c r="E20" s="162"/>
      <c r="F20" s="163"/>
      <c r="G20" s="18">
        <f>SUM(G13:G19)</f>
        <v>85</v>
      </c>
      <c r="H20" s="18">
        <f>SUM(H13:H19)</f>
        <v>0</v>
      </c>
      <c r="I20" s="34"/>
      <c r="J20"/>
      <c r="K20"/>
      <c r="L20"/>
      <c r="M20"/>
    </row>
    <row r="21" spans="1:13" x14ac:dyDescent="0.3">
      <c r="B21" s="155" t="s">
        <v>17</v>
      </c>
      <c r="C21" s="156"/>
      <c r="D21" s="12"/>
      <c r="E21" s="12"/>
      <c r="F21" s="15"/>
      <c r="G21" s="16"/>
      <c r="H21" s="16"/>
      <c r="I21" s="1"/>
      <c r="M21"/>
    </row>
    <row r="22" spans="1:13" x14ac:dyDescent="0.3">
      <c r="B22" s="2">
        <v>1</v>
      </c>
      <c r="C22" s="3" t="s">
        <v>5</v>
      </c>
      <c r="D22" s="2">
        <v>6</v>
      </c>
      <c r="E22" s="20"/>
      <c r="F22" s="2">
        <v>4</v>
      </c>
      <c r="G22" s="14">
        <f>D22*F22</f>
        <v>24</v>
      </c>
      <c r="H22" s="14"/>
      <c r="I22" s="21"/>
      <c r="M22"/>
    </row>
    <row r="23" spans="1:13" x14ac:dyDescent="0.3">
      <c r="B23" s="2">
        <v>2</v>
      </c>
      <c r="C23" s="3" t="s">
        <v>54</v>
      </c>
      <c r="D23" s="2">
        <v>2</v>
      </c>
      <c r="E23" s="20"/>
      <c r="F23" s="2">
        <v>8</v>
      </c>
      <c r="G23" s="14">
        <f>D23*F23</f>
        <v>16</v>
      </c>
      <c r="H23" s="14"/>
      <c r="I23" s="21"/>
      <c r="M23"/>
    </row>
    <row r="24" spans="1:13" x14ac:dyDescent="0.3">
      <c r="B24" s="2">
        <v>3</v>
      </c>
      <c r="C24" s="7" t="s">
        <v>9</v>
      </c>
      <c r="D24" s="1">
        <v>12</v>
      </c>
      <c r="E24" s="21"/>
      <c r="F24" s="1">
        <v>2</v>
      </c>
      <c r="G24" s="11">
        <f t="shared" ref="G24:G26" si="2">D24*F24</f>
        <v>24</v>
      </c>
      <c r="H24" s="11"/>
      <c r="I24" s="21"/>
      <c r="M24"/>
    </row>
    <row r="25" spans="1:13" x14ac:dyDescent="0.3">
      <c r="B25" s="2">
        <v>4</v>
      </c>
      <c r="C25" s="7" t="s">
        <v>4</v>
      </c>
      <c r="D25" s="25">
        <v>30</v>
      </c>
      <c r="E25" s="21">
        <v>30</v>
      </c>
      <c r="F25" s="1">
        <v>1</v>
      </c>
      <c r="G25" s="11">
        <f t="shared" si="2"/>
        <v>30</v>
      </c>
      <c r="H25" s="11"/>
      <c r="I25" s="21"/>
      <c r="M25"/>
    </row>
    <row r="26" spans="1:13" x14ac:dyDescent="0.3">
      <c r="B26" s="2">
        <v>5</v>
      </c>
      <c r="C26" s="7" t="s">
        <v>3</v>
      </c>
      <c r="D26" s="1">
        <v>1</v>
      </c>
      <c r="E26" s="21">
        <v>1</v>
      </c>
      <c r="F26" s="25">
        <v>2</v>
      </c>
      <c r="G26" s="11">
        <f t="shared" si="2"/>
        <v>2</v>
      </c>
      <c r="H26" s="11"/>
      <c r="I26" s="21"/>
      <c r="M26"/>
    </row>
    <row r="27" spans="1:13" x14ac:dyDescent="0.3">
      <c r="B27" s="2">
        <v>6</v>
      </c>
      <c r="C27" s="7" t="s">
        <v>16</v>
      </c>
      <c r="D27" s="1">
        <v>2</v>
      </c>
      <c r="E27" s="21">
        <v>2</v>
      </c>
      <c r="F27" s="1">
        <v>4</v>
      </c>
      <c r="G27" s="11">
        <f>D27*F27</f>
        <v>8</v>
      </c>
      <c r="H27" s="11"/>
      <c r="I27" s="21"/>
      <c r="M27"/>
    </row>
    <row r="28" spans="1:13" x14ac:dyDescent="0.3">
      <c r="B28" s="2">
        <v>7</v>
      </c>
      <c r="C28" s="65" t="s">
        <v>55</v>
      </c>
      <c r="D28" s="1">
        <v>2</v>
      </c>
      <c r="E28" s="21">
        <v>2</v>
      </c>
      <c r="F28" s="1">
        <v>3</v>
      </c>
      <c r="G28" s="11">
        <f>D28*F28</f>
        <v>6</v>
      </c>
      <c r="H28" s="11"/>
      <c r="I28" s="21"/>
      <c r="M28"/>
    </row>
    <row r="29" spans="1:13" s="33" customFormat="1" x14ac:dyDescent="0.3">
      <c r="A29" s="10"/>
      <c r="B29" s="161" t="s">
        <v>18</v>
      </c>
      <c r="C29" s="162"/>
      <c r="D29" s="162"/>
      <c r="E29" s="162"/>
      <c r="F29" s="163"/>
      <c r="G29" s="18">
        <f>SUM(G22:G28)</f>
        <v>110</v>
      </c>
      <c r="H29" s="18">
        <f>SUM(H22:H28)</f>
        <v>0</v>
      </c>
      <c r="I29" s="34"/>
      <c r="J29"/>
      <c r="K29"/>
      <c r="L29"/>
      <c r="M29"/>
    </row>
    <row r="30" spans="1:13" x14ac:dyDescent="0.3">
      <c r="B30" s="155" t="s">
        <v>25</v>
      </c>
      <c r="C30" s="156"/>
      <c r="D30" s="12"/>
      <c r="E30" s="12"/>
      <c r="F30" s="15"/>
      <c r="G30" s="16"/>
      <c r="H30" s="16"/>
      <c r="I30" s="1"/>
      <c r="M30"/>
    </row>
    <row r="31" spans="1:13" x14ac:dyDescent="0.3">
      <c r="B31" s="2">
        <v>1</v>
      </c>
      <c r="C31" s="3" t="s">
        <v>5</v>
      </c>
      <c r="D31" s="2">
        <f>1+2+1+2</f>
        <v>6</v>
      </c>
      <c r="E31" s="20"/>
      <c r="F31" s="2">
        <v>4</v>
      </c>
      <c r="G31" s="14">
        <f>D31*F31</f>
        <v>24</v>
      </c>
      <c r="H31" s="14"/>
      <c r="I31" s="21"/>
      <c r="M31"/>
    </row>
    <row r="32" spans="1:13" x14ac:dyDescent="0.3">
      <c r="B32" s="2">
        <v>2</v>
      </c>
      <c r="C32" s="7" t="s">
        <v>9</v>
      </c>
      <c r="D32" s="1">
        <f>3+2+1+2</f>
        <v>8</v>
      </c>
      <c r="E32" s="21"/>
      <c r="F32" s="1">
        <v>2</v>
      </c>
      <c r="G32" s="11">
        <f t="shared" ref="G32:G36" si="3">D32*F32</f>
        <v>16</v>
      </c>
      <c r="H32" s="11"/>
      <c r="I32" s="21"/>
      <c r="M32"/>
    </row>
    <row r="33" spans="1:13" x14ac:dyDescent="0.3">
      <c r="B33" s="2">
        <v>3</v>
      </c>
      <c r="C33" s="7" t="s">
        <v>4</v>
      </c>
      <c r="D33" s="1">
        <f>1+1</f>
        <v>2</v>
      </c>
      <c r="E33" s="21">
        <v>1</v>
      </c>
      <c r="F33" s="1">
        <v>1</v>
      </c>
      <c r="G33" s="11">
        <f t="shared" si="3"/>
        <v>2</v>
      </c>
      <c r="H33" s="11"/>
      <c r="I33" s="21"/>
      <c r="M33"/>
    </row>
    <row r="34" spans="1:13" x14ac:dyDescent="0.3">
      <c r="B34" s="2">
        <v>4</v>
      </c>
      <c r="C34" s="7" t="s">
        <v>10</v>
      </c>
      <c r="D34" s="1">
        <f>4</f>
        <v>4</v>
      </c>
      <c r="E34" s="21">
        <v>4</v>
      </c>
      <c r="F34" s="1">
        <v>2</v>
      </c>
      <c r="G34" s="11">
        <f t="shared" si="3"/>
        <v>8</v>
      </c>
      <c r="H34" s="11"/>
      <c r="I34" s="21"/>
      <c r="M34"/>
    </row>
    <row r="35" spans="1:13" x14ac:dyDescent="0.3">
      <c r="B35" s="2">
        <v>5</v>
      </c>
      <c r="C35" s="65" t="s">
        <v>19</v>
      </c>
      <c r="D35" s="1">
        <f>1</f>
        <v>1</v>
      </c>
      <c r="E35" s="21">
        <v>1</v>
      </c>
      <c r="F35" s="1">
        <v>6</v>
      </c>
      <c r="G35" s="11">
        <f t="shared" si="3"/>
        <v>6</v>
      </c>
      <c r="H35" s="11"/>
      <c r="I35" s="21"/>
      <c r="M35"/>
    </row>
    <row r="36" spans="1:13" x14ac:dyDescent="0.3">
      <c r="B36" s="2">
        <v>6</v>
      </c>
      <c r="C36" s="65" t="s">
        <v>20</v>
      </c>
      <c r="D36" s="30">
        <v>6</v>
      </c>
      <c r="E36" s="21">
        <v>6</v>
      </c>
      <c r="F36" s="1">
        <v>3</v>
      </c>
      <c r="G36" s="11">
        <f t="shared" si="3"/>
        <v>18</v>
      </c>
      <c r="H36" s="11"/>
      <c r="I36" s="21"/>
      <c r="M36"/>
    </row>
    <row r="37" spans="1:13" s="33" customFormat="1" x14ac:dyDescent="0.3">
      <c r="A37" s="10"/>
      <c r="B37" s="161" t="s">
        <v>26</v>
      </c>
      <c r="C37" s="162"/>
      <c r="D37" s="162"/>
      <c r="E37" s="162"/>
      <c r="F37" s="163"/>
      <c r="G37" s="18">
        <f>SUM(G31:G36)</f>
        <v>74</v>
      </c>
      <c r="H37" s="18">
        <f>SUM(H31:H36)</f>
        <v>0</v>
      </c>
      <c r="I37" s="34"/>
      <c r="J37"/>
      <c r="K37"/>
      <c r="L37"/>
      <c r="M37"/>
    </row>
    <row r="38" spans="1:13" x14ac:dyDescent="0.3">
      <c r="B38" s="155" t="s">
        <v>35</v>
      </c>
      <c r="C38" s="156"/>
      <c r="D38" s="12"/>
      <c r="E38" s="12"/>
      <c r="F38" s="15"/>
      <c r="G38" s="16"/>
      <c r="H38" s="16"/>
      <c r="I38" s="1"/>
      <c r="M38"/>
    </row>
    <row r="39" spans="1:13" x14ac:dyDescent="0.3">
      <c r="B39" s="2">
        <v>1</v>
      </c>
      <c r="C39" s="3" t="s">
        <v>5</v>
      </c>
      <c r="D39" s="2">
        <v>1</v>
      </c>
      <c r="E39" s="20"/>
      <c r="F39" s="2">
        <v>4</v>
      </c>
      <c r="G39" s="14">
        <f>D39*F39</f>
        <v>4</v>
      </c>
      <c r="H39" s="14"/>
      <c r="I39" s="1"/>
      <c r="M39"/>
    </row>
    <row r="40" spans="1:13" x14ac:dyDescent="0.3">
      <c r="B40" s="2">
        <v>2</v>
      </c>
      <c r="C40" s="7" t="s">
        <v>9</v>
      </c>
      <c r="D40" s="1">
        <v>3</v>
      </c>
      <c r="E40" s="21"/>
      <c r="F40" s="1">
        <v>2</v>
      </c>
      <c r="G40" s="11">
        <f t="shared" ref="G40" si="4">D40*F40</f>
        <v>6</v>
      </c>
      <c r="H40" s="11"/>
      <c r="I40" s="1"/>
      <c r="M40"/>
    </row>
    <row r="41" spans="1:13" x14ac:dyDescent="0.3">
      <c r="B41" s="161" t="s">
        <v>36</v>
      </c>
      <c r="C41" s="162"/>
      <c r="D41" s="162"/>
      <c r="E41" s="162"/>
      <c r="F41" s="163"/>
      <c r="G41" s="17">
        <f>SUM(G39:G40)</f>
        <v>10</v>
      </c>
      <c r="H41" s="17">
        <f>SUM(H39:H40)</f>
        <v>0</v>
      </c>
      <c r="I41" s="1"/>
      <c r="M41"/>
    </row>
    <row r="42" spans="1:13" x14ac:dyDescent="0.3">
      <c r="B42" s="155" t="s">
        <v>27</v>
      </c>
      <c r="C42" s="156"/>
      <c r="D42" s="12"/>
      <c r="E42" s="12"/>
      <c r="F42" s="15"/>
      <c r="G42" s="16"/>
      <c r="H42" s="16"/>
      <c r="I42" s="1"/>
      <c r="M42"/>
    </row>
    <row r="43" spans="1:13" x14ac:dyDescent="0.3">
      <c r="B43" s="2">
        <v>1</v>
      </c>
      <c r="C43" s="3" t="s">
        <v>5</v>
      </c>
      <c r="D43" s="2">
        <f>1+2+2+1+2</f>
        <v>8</v>
      </c>
      <c r="E43" s="20"/>
      <c r="F43" s="2">
        <v>4</v>
      </c>
      <c r="G43" s="14">
        <f>D43*F43</f>
        <v>32</v>
      </c>
      <c r="H43" s="14"/>
      <c r="I43" s="21"/>
      <c r="M43"/>
    </row>
    <row r="44" spans="1:13" x14ac:dyDescent="0.3">
      <c r="B44" s="2">
        <v>2</v>
      </c>
      <c r="C44" s="7" t="s">
        <v>9</v>
      </c>
      <c r="D44" s="1">
        <f>3+2+2+1+2</f>
        <v>10</v>
      </c>
      <c r="E44" s="21"/>
      <c r="F44" s="1">
        <v>2</v>
      </c>
      <c r="G44" s="11">
        <f t="shared" ref="G44:G48" si="5">D44*F44</f>
        <v>20</v>
      </c>
      <c r="H44" s="11"/>
      <c r="I44" s="21"/>
      <c r="M44"/>
    </row>
    <row r="45" spans="1:13" x14ac:dyDescent="0.3">
      <c r="B45" s="2">
        <v>3</v>
      </c>
      <c r="C45" s="7" t="s">
        <v>4</v>
      </c>
      <c r="D45" s="1">
        <f>1+1+1</f>
        <v>3</v>
      </c>
      <c r="E45" s="21">
        <v>2</v>
      </c>
      <c r="F45" s="1">
        <v>1</v>
      </c>
      <c r="G45" s="11">
        <f t="shared" si="5"/>
        <v>3</v>
      </c>
      <c r="H45" s="11"/>
      <c r="I45" s="21"/>
      <c r="M45"/>
    </row>
    <row r="46" spans="1:13" x14ac:dyDescent="0.3">
      <c r="B46" s="2">
        <v>4</v>
      </c>
      <c r="C46" s="7" t="s">
        <v>3</v>
      </c>
      <c r="D46" s="1">
        <f>1</f>
        <v>1</v>
      </c>
      <c r="E46" s="21">
        <v>1</v>
      </c>
      <c r="F46" s="1">
        <v>2</v>
      </c>
      <c r="G46" s="11">
        <f t="shared" si="5"/>
        <v>2</v>
      </c>
      <c r="H46" s="11"/>
      <c r="I46" s="21"/>
      <c r="M46"/>
    </row>
    <row r="47" spans="1:13" x14ac:dyDescent="0.3">
      <c r="B47" s="2">
        <v>5</v>
      </c>
      <c r="C47" s="65" t="s">
        <v>19</v>
      </c>
      <c r="D47" s="1">
        <f>3+3</f>
        <v>6</v>
      </c>
      <c r="E47" s="21">
        <v>3</v>
      </c>
      <c r="F47" s="1">
        <v>6</v>
      </c>
      <c r="G47" s="11">
        <f t="shared" si="5"/>
        <v>36</v>
      </c>
      <c r="H47" s="11"/>
      <c r="I47" s="21"/>
      <c r="M47"/>
    </row>
    <row r="48" spans="1:13" x14ac:dyDescent="0.3">
      <c r="B48" s="2">
        <v>6</v>
      </c>
      <c r="C48" s="7" t="s">
        <v>21</v>
      </c>
      <c r="D48" s="1">
        <f>1</f>
        <v>1</v>
      </c>
      <c r="E48" s="21"/>
      <c r="F48" s="1">
        <f>3</f>
        <v>3</v>
      </c>
      <c r="G48" s="11">
        <f t="shared" si="5"/>
        <v>3</v>
      </c>
      <c r="H48" s="11"/>
      <c r="I48" s="21"/>
      <c r="M48"/>
    </row>
    <row r="49" spans="1:13" s="33" customFormat="1" x14ac:dyDescent="0.3">
      <c r="A49" s="10"/>
      <c r="B49" s="161" t="s">
        <v>28</v>
      </c>
      <c r="C49" s="162"/>
      <c r="D49" s="162"/>
      <c r="E49" s="162"/>
      <c r="F49" s="163"/>
      <c r="G49" s="18">
        <f>SUM(G43:G48)</f>
        <v>96</v>
      </c>
      <c r="H49" s="18">
        <f>SUM(H43:H48)</f>
        <v>0</v>
      </c>
      <c r="I49" s="34"/>
      <c r="J49"/>
      <c r="K49"/>
      <c r="L49"/>
      <c r="M49"/>
    </row>
    <row r="50" spans="1:13" x14ac:dyDescent="0.3">
      <c r="B50" s="155" t="s">
        <v>29</v>
      </c>
      <c r="C50" s="156"/>
      <c r="D50" s="12"/>
      <c r="E50" s="12"/>
      <c r="F50" s="15"/>
      <c r="G50" s="16"/>
      <c r="H50" s="16"/>
      <c r="I50" s="1"/>
      <c r="M50"/>
    </row>
    <row r="51" spans="1:13" x14ac:dyDescent="0.3">
      <c r="B51" s="2">
        <v>1</v>
      </c>
      <c r="C51" s="3" t="s">
        <v>5</v>
      </c>
      <c r="D51" s="2">
        <f>2+1+10+2</f>
        <v>15</v>
      </c>
      <c r="E51" s="20"/>
      <c r="F51" s="2">
        <v>4</v>
      </c>
      <c r="G51" s="14">
        <f>D51*F51</f>
        <v>60</v>
      </c>
      <c r="H51" s="14"/>
      <c r="I51" s="21"/>
      <c r="M51"/>
    </row>
    <row r="52" spans="1:13" x14ac:dyDescent="0.3">
      <c r="B52" s="2">
        <v>2</v>
      </c>
      <c r="C52" s="7" t="s">
        <v>9</v>
      </c>
      <c r="D52" s="1">
        <f>2+1+10+2</f>
        <v>15</v>
      </c>
      <c r="E52" s="21"/>
      <c r="F52" s="1">
        <v>2</v>
      </c>
      <c r="G52" s="11">
        <f t="shared" ref="G52:G57" si="6">D52*F52</f>
        <v>30</v>
      </c>
      <c r="H52" s="11"/>
      <c r="I52" s="21"/>
      <c r="M52"/>
    </row>
    <row r="53" spans="1:13" x14ac:dyDescent="0.3">
      <c r="B53" s="2">
        <v>3</v>
      </c>
      <c r="C53" s="7" t="s">
        <v>4</v>
      </c>
      <c r="D53" s="25">
        <v>20</v>
      </c>
      <c r="E53" s="21">
        <v>20</v>
      </c>
      <c r="F53" s="1">
        <v>1</v>
      </c>
      <c r="G53" s="11">
        <f t="shared" si="6"/>
        <v>20</v>
      </c>
      <c r="H53" s="11"/>
      <c r="I53" s="21"/>
      <c r="M53"/>
    </row>
    <row r="54" spans="1:13" x14ac:dyDescent="0.3">
      <c r="B54" s="2">
        <v>4</v>
      </c>
      <c r="C54" s="7" t="s">
        <v>3</v>
      </c>
      <c r="D54" s="1">
        <f>1</f>
        <v>1</v>
      </c>
      <c r="E54" s="21">
        <v>1</v>
      </c>
      <c r="F54" s="1">
        <v>2</v>
      </c>
      <c r="G54" s="11">
        <f t="shared" si="6"/>
        <v>2</v>
      </c>
      <c r="H54" s="11"/>
      <c r="I54" s="21"/>
      <c r="M54"/>
    </row>
    <row r="55" spans="1:13" x14ac:dyDescent="0.3">
      <c r="B55" s="2">
        <v>5</v>
      </c>
      <c r="C55" s="7" t="s">
        <v>10</v>
      </c>
      <c r="D55" s="1">
        <f>10</f>
        <v>10</v>
      </c>
      <c r="E55" s="21">
        <v>6</v>
      </c>
      <c r="F55" s="1">
        <v>2</v>
      </c>
      <c r="G55" s="11">
        <f t="shared" si="6"/>
        <v>20</v>
      </c>
      <c r="H55" s="11"/>
      <c r="I55" s="21"/>
      <c r="M55"/>
    </row>
    <row r="56" spans="1:13" x14ac:dyDescent="0.3">
      <c r="B56" s="2">
        <v>6</v>
      </c>
      <c r="C56" s="65" t="s">
        <v>19</v>
      </c>
      <c r="D56" s="1">
        <f>1</f>
        <v>1</v>
      </c>
      <c r="E56" s="21">
        <v>1</v>
      </c>
      <c r="F56" s="1">
        <v>6</v>
      </c>
      <c r="G56" s="11">
        <f t="shared" si="6"/>
        <v>6</v>
      </c>
      <c r="H56" s="11"/>
      <c r="I56" s="21"/>
      <c r="M56"/>
    </row>
    <row r="57" spans="1:13" x14ac:dyDescent="0.3">
      <c r="B57" s="2">
        <v>7</v>
      </c>
      <c r="C57" s="7" t="s">
        <v>21</v>
      </c>
      <c r="D57" s="1">
        <f>1</f>
        <v>1</v>
      </c>
      <c r="E57" s="21"/>
      <c r="F57" s="1">
        <v>3</v>
      </c>
      <c r="G57" s="11">
        <f t="shared" si="6"/>
        <v>3</v>
      </c>
      <c r="H57" s="11"/>
      <c r="I57" s="21"/>
      <c r="M57"/>
    </row>
    <row r="58" spans="1:13" s="33" customFormat="1" x14ac:dyDescent="0.3">
      <c r="A58" s="10"/>
      <c r="B58" s="161" t="s">
        <v>30</v>
      </c>
      <c r="C58" s="162"/>
      <c r="D58" s="162"/>
      <c r="E58" s="162"/>
      <c r="F58" s="163"/>
      <c r="G58" s="18">
        <f>SUM(G51:G57)</f>
        <v>141</v>
      </c>
      <c r="H58" s="18">
        <f>SUM(H51:H57)</f>
        <v>0</v>
      </c>
      <c r="I58" s="34"/>
      <c r="J58"/>
      <c r="K58"/>
      <c r="L58"/>
      <c r="M58"/>
    </row>
    <row r="59" spans="1:13" x14ac:dyDescent="0.3">
      <c r="B59" s="155" t="s">
        <v>37</v>
      </c>
      <c r="C59" s="156"/>
      <c r="D59" s="12"/>
      <c r="E59" s="12"/>
      <c r="F59" s="15"/>
      <c r="G59" s="16"/>
      <c r="H59" s="16"/>
      <c r="I59" s="1"/>
      <c r="M59"/>
    </row>
    <row r="60" spans="1:13" x14ac:dyDescent="0.3">
      <c r="B60" s="2">
        <v>1</v>
      </c>
      <c r="C60" s="3" t="s">
        <v>5</v>
      </c>
      <c r="D60" s="2">
        <f>1</f>
        <v>1</v>
      </c>
      <c r="E60" s="20"/>
      <c r="F60" s="2">
        <v>4</v>
      </c>
      <c r="G60" s="14">
        <f>D60*F60</f>
        <v>4</v>
      </c>
      <c r="H60" s="14"/>
      <c r="I60" s="21"/>
      <c r="M60"/>
    </row>
    <row r="61" spans="1:13" x14ac:dyDescent="0.3">
      <c r="B61" s="2">
        <v>2</v>
      </c>
      <c r="C61" s="7" t="s">
        <v>9</v>
      </c>
      <c r="D61" s="1">
        <f>3</f>
        <v>3</v>
      </c>
      <c r="E61" s="21"/>
      <c r="F61" s="1">
        <v>2</v>
      </c>
      <c r="G61" s="11">
        <f t="shared" ref="G61" si="7">D61*F61</f>
        <v>6</v>
      </c>
      <c r="H61" s="11"/>
      <c r="I61" s="21"/>
      <c r="M61"/>
    </row>
    <row r="62" spans="1:13" s="33" customFormat="1" x14ac:dyDescent="0.3">
      <c r="A62" s="10"/>
      <c r="B62" s="161" t="s">
        <v>38</v>
      </c>
      <c r="C62" s="162"/>
      <c r="D62" s="162"/>
      <c r="E62" s="162"/>
      <c r="F62" s="163"/>
      <c r="G62" s="18">
        <f>SUM(G60:G61)</f>
        <v>10</v>
      </c>
      <c r="H62" s="18">
        <f>SUM(H60:H61)</f>
        <v>0</v>
      </c>
      <c r="I62" s="34"/>
      <c r="J62"/>
      <c r="K62"/>
      <c r="L62"/>
      <c r="M62"/>
    </row>
    <row r="63" spans="1:13" x14ac:dyDescent="0.3">
      <c r="B63" s="155" t="s">
        <v>31</v>
      </c>
      <c r="C63" s="156"/>
      <c r="D63" s="12"/>
      <c r="E63" s="12"/>
      <c r="F63" s="15"/>
      <c r="G63" s="16"/>
      <c r="H63" s="16"/>
      <c r="I63" s="1"/>
      <c r="M63"/>
    </row>
    <row r="64" spans="1:13" x14ac:dyDescent="0.3">
      <c r="B64" s="2">
        <v>1</v>
      </c>
      <c r="C64" s="3" t="s">
        <v>5</v>
      </c>
      <c r="D64" s="2">
        <f>6+25+2</f>
        <v>33</v>
      </c>
      <c r="E64" s="20"/>
      <c r="F64" s="2">
        <v>4</v>
      </c>
      <c r="G64" s="14">
        <f>D64*F64</f>
        <v>132</v>
      </c>
      <c r="H64" s="14"/>
      <c r="I64" s="21"/>
      <c r="M64"/>
    </row>
    <row r="65" spans="1:13" x14ac:dyDescent="0.3">
      <c r="B65" s="1">
        <v>2</v>
      </c>
      <c r="C65" s="3" t="s">
        <v>24</v>
      </c>
      <c r="D65" s="2">
        <f>4</f>
        <v>4</v>
      </c>
      <c r="E65" s="20"/>
      <c r="F65" s="2">
        <v>8</v>
      </c>
      <c r="G65" s="14">
        <f>D65*F65</f>
        <v>32</v>
      </c>
      <c r="H65" s="14"/>
      <c r="I65" s="21"/>
      <c r="M65"/>
    </row>
    <row r="66" spans="1:13" x14ac:dyDescent="0.3">
      <c r="B66" s="2">
        <v>3</v>
      </c>
      <c r="C66" s="7" t="s">
        <v>9</v>
      </c>
      <c r="D66" s="1">
        <f>10+6+25+2+3</f>
        <v>46</v>
      </c>
      <c r="E66" s="21"/>
      <c r="F66" s="1">
        <v>2</v>
      </c>
      <c r="G66" s="11">
        <f t="shared" ref="G66:G72" si="8">D66*F66</f>
        <v>92</v>
      </c>
      <c r="H66" s="11"/>
      <c r="I66" s="21"/>
      <c r="M66"/>
    </row>
    <row r="67" spans="1:13" x14ac:dyDescent="0.3">
      <c r="B67" s="1">
        <v>4</v>
      </c>
      <c r="C67" s="7" t="s">
        <v>4</v>
      </c>
      <c r="D67" s="1">
        <f>6+25+7</f>
        <v>38</v>
      </c>
      <c r="E67" s="21">
        <v>31</v>
      </c>
      <c r="F67" s="1">
        <v>1</v>
      </c>
      <c r="G67" s="11">
        <f t="shared" si="8"/>
        <v>38</v>
      </c>
      <c r="H67" s="11"/>
      <c r="I67" s="21"/>
      <c r="M67"/>
    </row>
    <row r="68" spans="1:13" x14ac:dyDescent="0.3">
      <c r="B68" s="2">
        <v>5</v>
      </c>
      <c r="C68" s="7" t="s">
        <v>16</v>
      </c>
      <c r="D68" s="1">
        <f>3</f>
        <v>3</v>
      </c>
      <c r="E68" s="21"/>
      <c r="F68" s="1">
        <v>4</v>
      </c>
      <c r="G68" s="11">
        <f t="shared" si="8"/>
        <v>12</v>
      </c>
      <c r="H68" s="11"/>
      <c r="I68" s="21"/>
      <c r="M68"/>
    </row>
    <row r="69" spans="1:13" x14ac:dyDescent="0.3">
      <c r="B69" s="1">
        <v>6</v>
      </c>
      <c r="C69" s="7" t="s">
        <v>3</v>
      </c>
      <c r="D69" s="1">
        <f>2</f>
        <v>2</v>
      </c>
      <c r="E69" s="21">
        <v>2</v>
      </c>
      <c r="F69" s="1">
        <v>2</v>
      </c>
      <c r="G69" s="11">
        <f t="shared" si="8"/>
        <v>4</v>
      </c>
      <c r="H69" s="11"/>
      <c r="I69" s="21"/>
      <c r="M69"/>
    </row>
    <row r="70" spans="1:13" x14ac:dyDescent="0.3">
      <c r="B70" s="2">
        <v>7</v>
      </c>
      <c r="C70" s="7" t="s">
        <v>10</v>
      </c>
      <c r="D70" s="25">
        <v>36</v>
      </c>
      <c r="E70" s="21">
        <v>36</v>
      </c>
      <c r="F70" s="1">
        <v>2</v>
      </c>
      <c r="G70" s="11">
        <f t="shared" si="8"/>
        <v>72</v>
      </c>
      <c r="H70" s="11"/>
      <c r="I70" s="21"/>
      <c r="M70"/>
    </row>
    <row r="71" spans="1:13" x14ac:dyDescent="0.3">
      <c r="B71" s="1">
        <v>8</v>
      </c>
      <c r="C71" s="65" t="s">
        <v>19</v>
      </c>
      <c r="D71" s="1">
        <f>2</f>
        <v>2</v>
      </c>
      <c r="E71" s="21">
        <v>2</v>
      </c>
      <c r="F71" s="1">
        <v>6</v>
      </c>
      <c r="G71" s="11">
        <f t="shared" si="8"/>
        <v>12</v>
      </c>
      <c r="H71" s="11"/>
      <c r="I71" s="21"/>
      <c r="M71"/>
    </row>
    <row r="72" spans="1:13" x14ac:dyDescent="0.3">
      <c r="B72" s="2">
        <v>9</v>
      </c>
      <c r="C72" s="7" t="s">
        <v>21</v>
      </c>
      <c r="D72" s="1">
        <f>1</f>
        <v>1</v>
      </c>
      <c r="E72" s="21"/>
      <c r="F72" s="1">
        <f>3</f>
        <v>3</v>
      </c>
      <c r="G72" s="11">
        <f t="shared" si="8"/>
        <v>3</v>
      </c>
      <c r="H72" s="11"/>
      <c r="I72" s="21"/>
      <c r="M72"/>
    </row>
    <row r="73" spans="1:13" s="33" customFormat="1" x14ac:dyDescent="0.3">
      <c r="A73" s="10"/>
      <c r="B73" s="161" t="s">
        <v>32</v>
      </c>
      <c r="C73" s="162"/>
      <c r="D73" s="162"/>
      <c r="E73" s="162"/>
      <c r="F73" s="163"/>
      <c r="G73" s="18">
        <f>SUM(G64:G72)</f>
        <v>397</v>
      </c>
      <c r="H73" s="18">
        <f>SUM(H64:H72)</f>
        <v>0</v>
      </c>
      <c r="I73" s="34"/>
      <c r="J73"/>
      <c r="K73"/>
      <c r="L73"/>
      <c r="M73"/>
    </row>
    <row r="74" spans="1:13" x14ac:dyDescent="0.3">
      <c r="B74" s="155" t="s">
        <v>39</v>
      </c>
      <c r="C74" s="156"/>
      <c r="D74" s="12"/>
      <c r="E74" s="12"/>
      <c r="F74" s="15"/>
      <c r="G74" s="16"/>
      <c r="H74" s="16"/>
      <c r="I74" s="1"/>
      <c r="M74"/>
    </row>
    <row r="75" spans="1:13" x14ac:dyDescent="0.3">
      <c r="B75" s="2">
        <v>1</v>
      </c>
      <c r="C75" s="3" t="s">
        <v>5</v>
      </c>
      <c r="D75" s="2">
        <f>15+2+1+2+16+2</f>
        <v>38</v>
      </c>
      <c r="E75" s="20"/>
      <c r="F75" s="2">
        <v>4</v>
      </c>
      <c r="G75" s="14">
        <f>D75*F75</f>
        <v>152</v>
      </c>
      <c r="H75" s="14"/>
      <c r="I75" s="21"/>
      <c r="M75"/>
    </row>
    <row r="76" spans="1:13" x14ac:dyDescent="0.3">
      <c r="B76" s="1">
        <v>2</v>
      </c>
      <c r="C76" s="3" t="s">
        <v>24</v>
      </c>
      <c r="D76" s="2">
        <f>2+1</f>
        <v>3</v>
      </c>
      <c r="E76" s="20"/>
      <c r="F76" s="2">
        <v>8</v>
      </c>
      <c r="G76" s="14">
        <f>D76*F76</f>
        <v>24</v>
      </c>
      <c r="H76" s="14"/>
      <c r="I76" s="21"/>
      <c r="M76"/>
    </row>
    <row r="77" spans="1:13" x14ac:dyDescent="0.3">
      <c r="B77" s="2">
        <v>3</v>
      </c>
      <c r="C77" s="7" t="s">
        <v>9</v>
      </c>
      <c r="D77" s="1">
        <f>15+4+1+3+16+3+2</f>
        <v>44</v>
      </c>
      <c r="E77" s="21"/>
      <c r="F77" s="1">
        <v>2</v>
      </c>
      <c r="G77" s="11">
        <f t="shared" ref="G77:G83" si="9">D77*F77</f>
        <v>88</v>
      </c>
      <c r="H77" s="11"/>
      <c r="I77" s="21"/>
      <c r="M77"/>
    </row>
    <row r="78" spans="1:13" x14ac:dyDescent="0.3">
      <c r="B78" s="1">
        <v>4</v>
      </c>
      <c r="C78" s="7" t="s">
        <v>4</v>
      </c>
      <c r="D78" s="1">
        <f>15+15+1+1+2+16+7+2</f>
        <v>59</v>
      </c>
      <c r="E78" s="21">
        <v>39</v>
      </c>
      <c r="F78" s="1">
        <v>1</v>
      </c>
      <c r="G78" s="11">
        <f t="shared" si="9"/>
        <v>59</v>
      </c>
      <c r="H78" s="11"/>
      <c r="I78" s="21"/>
      <c r="M78"/>
    </row>
    <row r="79" spans="1:13" x14ac:dyDescent="0.3">
      <c r="B79" s="2">
        <v>5</v>
      </c>
      <c r="C79" s="7" t="s">
        <v>16</v>
      </c>
      <c r="D79" s="1">
        <f>2</f>
        <v>2</v>
      </c>
      <c r="E79" s="21"/>
      <c r="F79" s="1">
        <v>4</v>
      </c>
      <c r="G79" s="11">
        <f t="shared" si="9"/>
        <v>8</v>
      </c>
      <c r="H79" s="11"/>
      <c r="I79" s="21"/>
      <c r="M79"/>
    </row>
    <row r="80" spans="1:13" x14ac:dyDescent="0.3">
      <c r="B80" s="1">
        <v>6</v>
      </c>
      <c r="C80" s="7" t="s">
        <v>3</v>
      </c>
      <c r="D80" s="1">
        <f>1+2</f>
        <v>3</v>
      </c>
      <c r="E80" s="21">
        <v>3</v>
      </c>
      <c r="F80" s="1">
        <v>2</v>
      </c>
      <c r="G80" s="11">
        <f t="shared" si="9"/>
        <v>6</v>
      </c>
      <c r="H80" s="11"/>
      <c r="I80" s="21"/>
      <c r="M80"/>
    </row>
    <row r="81" spans="1:13" x14ac:dyDescent="0.3">
      <c r="B81" s="2">
        <v>7</v>
      </c>
      <c r="C81" s="7" t="s">
        <v>10</v>
      </c>
      <c r="D81" s="1">
        <f>15+16</f>
        <v>31</v>
      </c>
      <c r="E81" s="21">
        <v>31</v>
      </c>
      <c r="F81" s="1">
        <v>2</v>
      </c>
      <c r="G81" s="11">
        <f t="shared" si="9"/>
        <v>62</v>
      </c>
      <c r="H81" s="11"/>
      <c r="I81" s="21"/>
      <c r="M81"/>
    </row>
    <row r="82" spans="1:13" x14ac:dyDescent="0.3">
      <c r="B82" s="1">
        <v>8</v>
      </c>
      <c r="C82" s="65" t="s">
        <v>19</v>
      </c>
      <c r="D82" s="1">
        <f>2</f>
        <v>2</v>
      </c>
      <c r="E82" s="21">
        <v>2</v>
      </c>
      <c r="F82" s="1">
        <v>6</v>
      </c>
      <c r="G82" s="11">
        <f t="shared" si="9"/>
        <v>12</v>
      </c>
      <c r="H82" s="11"/>
      <c r="I82" s="21"/>
      <c r="M82"/>
    </row>
    <row r="83" spans="1:13" x14ac:dyDescent="0.3">
      <c r="B83" s="2">
        <v>9</v>
      </c>
      <c r="C83" s="7" t="s">
        <v>21</v>
      </c>
      <c r="D83" s="1">
        <f>1+1</f>
        <v>2</v>
      </c>
      <c r="E83" s="21"/>
      <c r="F83" s="1">
        <v>3</v>
      </c>
      <c r="G83" s="11">
        <f t="shared" si="9"/>
        <v>6</v>
      </c>
      <c r="H83" s="11"/>
      <c r="I83" s="21"/>
      <c r="M83"/>
    </row>
    <row r="84" spans="1:13" s="33" customFormat="1" x14ac:dyDescent="0.3">
      <c r="A84" s="10"/>
      <c r="B84" s="161" t="s">
        <v>40</v>
      </c>
      <c r="C84" s="162"/>
      <c r="D84" s="162"/>
      <c r="E84" s="162"/>
      <c r="F84" s="163"/>
      <c r="G84" s="18">
        <f>SUM(G75:G83)</f>
        <v>417</v>
      </c>
      <c r="H84" s="18">
        <f>SUM(H75:H83)</f>
        <v>0</v>
      </c>
      <c r="I84" s="34"/>
      <c r="J84"/>
      <c r="K84"/>
      <c r="L84"/>
      <c r="M84"/>
    </row>
    <row r="85" spans="1:13" x14ac:dyDescent="0.3">
      <c r="B85" s="155" t="s">
        <v>41</v>
      </c>
      <c r="C85" s="156"/>
      <c r="D85" s="12"/>
      <c r="E85" s="12"/>
      <c r="F85" s="15"/>
      <c r="G85" s="16"/>
      <c r="H85" s="16"/>
      <c r="I85" s="1"/>
      <c r="M85"/>
    </row>
    <row r="86" spans="1:13" x14ac:dyDescent="0.3">
      <c r="B86" s="2">
        <v>1</v>
      </c>
      <c r="C86" s="3" t="s">
        <v>5</v>
      </c>
      <c r="D86" s="2">
        <f>2+4+2+2+1+2+16+2</f>
        <v>31</v>
      </c>
      <c r="E86" s="20"/>
      <c r="F86" s="2">
        <v>4</v>
      </c>
      <c r="G86" s="14">
        <f>D86*F86</f>
        <v>124</v>
      </c>
      <c r="H86" s="14"/>
      <c r="I86" s="21"/>
      <c r="M86"/>
    </row>
    <row r="87" spans="1:13" x14ac:dyDescent="0.3">
      <c r="B87" s="1">
        <v>2</v>
      </c>
      <c r="C87" s="3" t="s">
        <v>24</v>
      </c>
      <c r="D87" s="2">
        <f>2+1</f>
        <v>3</v>
      </c>
      <c r="E87" s="20"/>
      <c r="F87" s="2">
        <v>8</v>
      </c>
      <c r="G87" s="14">
        <f>D87*F87</f>
        <v>24</v>
      </c>
      <c r="H87" s="14"/>
      <c r="I87" s="21"/>
      <c r="M87"/>
    </row>
    <row r="88" spans="1:13" x14ac:dyDescent="0.3">
      <c r="B88" s="2">
        <v>3</v>
      </c>
      <c r="C88" s="7" t="s">
        <v>9</v>
      </c>
      <c r="D88" s="1">
        <f>2+4+4+2+4+1+3+16+3</f>
        <v>39</v>
      </c>
      <c r="E88" s="21"/>
      <c r="F88" s="1">
        <v>2</v>
      </c>
      <c r="G88" s="11">
        <f t="shared" ref="G88:G94" si="10">D88*F88</f>
        <v>78</v>
      </c>
      <c r="H88" s="11"/>
      <c r="I88" s="21"/>
      <c r="M88"/>
    </row>
    <row r="89" spans="1:13" x14ac:dyDescent="0.3">
      <c r="B89" s="1">
        <v>4</v>
      </c>
      <c r="C89" s="7" t="s">
        <v>4</v>
      </c>
      <c r="D89" s="1">
        <f>6+4+1+1+2+16+7+2</f>
        <v>39</v>
      </c>
      <c r="E89" s="21">
        <v>32</v>
      </c>
      <c r="F89" s="1">
        <v>1</v>
      </c>
      <c r="G89" s="11">
        <f t="shared" si="10"/>
        <v>39</v>
      </c>
      <c r="H89" s="11"/>
      <c r="I89" s="21"/>
      <c r="M89"/>
    </row>
    <row r="90" spans="1:13" x14ac:dyDescent="0.3">
      <c r="B90" s="2">
        <v>5</v>
      </c>
      <c r="C90" s="7" t="s">
        <v>16</v>
      </c>
      <c r="D90" s="1">
        <f>2</f>
        <v>2</v>
      </c>
      <c r="E90" s="21"/>
      <c r="F90" s="1">
        <v>4</v>
      </c>
      <c r="G90" s="11">
        <f t="shared" si="10"/>
        <v>8</v>
      </c>
      <c r="H90" s="11"/>
      <c r="I90" s="21"/>
      <c r="M90"/>
    </row>
    <row r="91" spans="1:13" x14ac:dyDescent="0.3">
      <c r="B91" s="1">
        <v>6</v>
      </c>
      <c r="C91" s="7" t="s">
        <v>3</v>
      </c>
      <c r="D91" s="1">
        <f>1+3+1+2</f>
        <v>7</v>
      </c>
      <c r="E91" s="21">
        <v>7</v>
      </c>
      <c r="F91" s="1">
        <v>2</v>
      </c>
      <c r="G91" s="11">
        <f t="shared" si="10"/>
        <v>14</v>
      </c>
      <c r="H91" s="11"/>
      <c r="I91" s="21"/>
      <c r="M91"/>
    </row>
    <row r="92" spans="1:13" x14ac:dyDescent="0.3">
      <c r="B92" s="2">
        <v>7</v>
      </c>
      <c r="C92" s="7" t="s">
        <v>10</v>
      </c>
      <c r="D92" s="1">
        <f>4+4+16</f>
        <v>24</v>
      </c>
      <c r="E92" s="21">
        <v>24</v>
      </c>
      <c r="F92" s="1">
        <v>2</v>
      </c>
      <c r="G92" s="11">
        <f t="shared" si="10"/>
        <v>48</v>
      </c>
      <c r="H92" s="11"/>
      <c r="I92" s="21"/>
      <c r="M92"/>
    </row>
    <row r="93" spans="1:13" x14ac:dyDescent="0.3">
      <c r="B93" s="1">
        <v>8</v>
      </c>
      <c r="C93" s="65" t="s">
        <v>19</v>
      </c>
      <c r="D93" s="1">
        <f>2</f>
        <v>2</v>
      </c>
      <c r="E93" s="21">
        <v>2</v>
      </c>
      <c r="F93" s="1">
        <v>6</v>
      </c>
      <c r="G93" s="11">
        <f t="shared" si="10"/>
        <v>12</v>
      </c>
      <c r="H93" s="11"/>
      <c r="I93" s="21"/>
      <c r="M93"/>
    </row>
    <row r="94" spans="1:13" x14ac:dyDescent="0.3">
      <c r="B94" s="2">
        <v>9</v>
      </c>
      <c r="C94" s="7" t="s">
        <v>21</v>
      </c>
      <c r="D94" s="1">
        <f>1+1</f>
        <v>2</v>
      </c>
      <c r="E94" s="21"/>
      <c r="F94" s="1">
        <v>3</v>
      </c>
      <c r="G94" s="11">
        <f t="shared" si="10"/>
        <v>6</v>
      </c>
      <c r="H94" s="11"/>
      <c r="I94" s="21"/>
      <c r="M94"/>
    </row>
    <row r="95" spans="1:13" s="33" customFormat="1" x14ac:dyDescent="0.3">
      <c r="A95" s="10"/>
      <c r="B95" s="161" t="s">
        <v>42</v>
      </c>
      <c r="C95" s="162"/>
      <c r="D95" s="162"/>
      <c r="E95" s="162"/>
      <c r="F95" s="163"/>
      <c r="G95" s="18">
        <f>SUM(G86:G94)</f>
        <v>353</v>
      </c>
      <c r="H95" s="18">
        <f>SUM(H86:H94)</f>
        <v>0</v>
      </c>
      <c r="I95" s="34"/>
      <c r="J95"/>
      <c r="K95"/>
      <c r="L95"/>
      <c r="M95"/>
    </row>
    <row r="96" spans="1:13" x14ac:dyDescent="0.3">
      <c r="B96" s="155" t="s">
        <v>43</v>
      </c>
      <c r="C96" s="156"/>
      <c r="D96" s="12"/>
      <c r="E96" s="12"/>
      <c r="F96" s="15"/>
      <c r="G96" s="16"/>
      <c r="H96" s="16"/>
      <c r="I96" s="1"/>
      <c r="M96"/>
    </row>
    <row r="97" spans="1:13" x14ac:dyDescent="0.3">
      <c r="B97" s="2">
        <v>1</v>
      </c>
      <c r="C97" s="3" t="s">
        <v>5</v>
      </c>
      <c r="D97" s="2">
        <f>1+6+16+2</f>
        <v>25</v>
      </c>
      <c r="E97" s="20"/>
      <c r="F97" s="2">
        <v>4</v>
      </c>
      <c r="G97" s="14">
        <f>D97*F97</f>
        <v>100</v>
      </c>
      <c r="H97" s="14"/>
      <c r="I97" s="1"/>
      <c r="M97"/>
    </row>
    <row r="98" spans="1:13" x14ac:dyDescent="0.3">
      <c r="B98" s="1">
        <v>2</v>
      </c>
      <c r="C98" s="3" t="s">
        <v>24</v>
      </c>
      <c r="D98" s="2">
        <f>2+16</f>
        <v>18</v>
      </c>
      <c r="E98" s="20"/>
      <c r="F98" s="2">
        <v>8</v>
      </c>
      <c r="G98" s="14">
        <f>D98*F98</f>
        <v>144</v>
      </c>
      <c r="H98" s="14"/>
      <c r="I98" s="21"/>
      <c r="M98"/>
    </row>
    <row r="99" spans="1:13" x14ac:dyDescent="0.3">
      <c r="B99" s="2">
        <v>3</v>
      </c>
      <c r="C99" s="7" t="s">
        <v>9</v>
      </c>
      <c r="D99" s="1">
        <f>1+8+16+3+2</f>
        <v>30</v>
      </c>
      <c r="E99" s="21"/>
      <c r="F99" s="1">
        <v>2</v>
      </c>
      <c r="G99" s="11">
        <f t="shared" ref="G99:G105" si="11">D99*F99</f>
        <v>60</v>
      </c>
      <c r="H99" s="11"/>
      <c r="I99" s="21"/>
      <c r="M99"/>
    </row>
    <row r="100" spans="1:13" x14ac:dyDescent="0.3">
      <c r="B100" s="1">
        <v>4</v>
      </c>
      <c r="C100" s="7" t="s">
        <v>4</v>
      </c>
      <c r="D100" s="25">
        <v>24</v>
      </c>
      <c r="E100" s="21">
        <v>24</v>
      </c>
      <c r="F100" s="1">
        <v>1</v>
      </c>
      <c r="G100" s="11">
        <f t="shared" si="11"/>
        <v>24</v>
      </c>
      <c r="H100" s="11"/>
      <c r="I100" s="21"/>
      <c r="M100"/>
    </row>
    <row r="101" spans="1:13" x14ac:dyDescent="0.3">
      <c r="B101" s="2">
        <v>5</v>
      </c>
      <c r="C101" s="7" t="s">
        <v>16</v>
      </c>
      <c r="D101" s="1">
        <f>3</f>
        <v>3</v>
      </c>
      <c r="E101" s="21"/>
      <c r="F101" s="1">
        <v>4</v>
      </c>
      <c r="G101" s="11">
        <f t="shared" si="11"/>
        <v>12</v>
      </c>
      <c r="H101" s="11"/>
      <c r="I101" s="21"/>
      <c r="M101"/>
    </row>
    <row r="102" spans="1:13" x14ac:dyDescent="0.3">
      <c r="B102" s="1">
        <v>6</v>
      </c>
      <c r="C102" s="7" t="s">
        <v>3</v>
      </c>
      <c r="D102" s="1">
        <f>1+1+2</f>
        <v>4</v>
      </c>
      <c r="E102" s="21">
        <v>4</v>
      </c>
      <c r="F102" s="1">
        <v>2</v>
      </c>
      <c r="G102" s="11">
        <f t="shared" si="11"/>
        <v>8</v>
      </c>
      <c r="H102" s="11"/>
      <c r="I102" s="21"/>
      <c r="M102"/>
    </row>
    <row r="103" spans="1:13" x14ac:dyDescent="0.3">
      <c r="B103" s="2">
        <v>7</v>
      </c>
      <c r="C103" s="7" t="s">
        <v>10</v>
      </c>
      <c r="D103" s="1">
        <f>16</f>
        <v>16</v>
      </c>
      <c r="E103" s="21">
        <v>16</v>
      </c>
      <c r="F103" s="1">
        <v>2</v>
      </c>
      <c r="G103" s="11">
        <f t="shared" si="11"/>
        <v>32</v>
      </c>
      <c r="H103" s="11"/>
      <c r="I103" s="21"/>
      <c r="M103"/>
    </row>
    <row r="104" spans="1:13" x14ac:dyDescent="0.3">
      <c r="B104" s="1">
        <v>8</v>
      </c>
      <c r="C104" s="65" t="s">
        <v>19</v>
      </c>
      <c r="D104" s="1">
        <f>2</f>
        <v>2</v>
      </c>
      <c r="E104" s="21">
        <v>2</v>
      </c>
      <c r="F104" s="1">
        <v>6</v>
      </c>
      <c r="G104" s="11">
        <f t="shared" si="11"/>
        <v>12</v>
      </c>
      <c r="H104" s="11"/>
      <c r="I104" s="21"/>
      <c r="M104"/>
    </row>
    <row r="105" spans="1:13" x14ac:dyDescent="0.3">
      <c r="B105" s="2">
        <v>9</v>
      </c>
      <c r="C105" s="7" t="s">
        <v>21</v>
      </c>
      <c r="D105" s="1">
        <f>1+1</f>
        <v>2</v>
      </c>
      <c r="E105" s="21"/>
      <c r="F105" s="1">
        <v>3</v>
      </c>
      <c r="G105" s="11">
        <f t="shared" si="11"/>
        <v>6</v>
      </c>
      <c r="H105" s="11"/>
      <c r="I105" s="21"/>
      <c r="M105"/>
    </row>
    <row r="106" spans="1:13" s="33" customFormat="1" x14ac:dyDescent="0.3">
      <c r="A106" s="10"/>
      <c r="B106" s="161" t="s">
        <v>44</v>
      </c>
      <c r="C106" s="162"/>
      <c r="D106" s="162"/>
      <c r="E106" s="162"/>
      <c r="F106" s="163"/>
      <c r="G106" s="18">
        <f>SUM(G97:G105)</f>
        <v>398</v>
      </c>
      <c r="H106" s="18">
        <f>SUM(H97:H105)</f>
        <v>0</v>
      </c>
      <c r="I106" s="34"/>
      <c r="J106"/>
      <c r="K106"/>
      <c r="L106"/>
      <c r="M106"/>
    </row>
    <row r="107" spans="1:13" x14ac:dyDescent="0.3">
      <c r="B107" s="155" t="s">
        <v>45</v>
      </c>
      <c r="C107" s="156"/>
      <c r="D107" s="12"/>
      <c r="E107" s="12"/>
      <c r="F107" s="15"/>
      <c r="G107" s="16"/>
      <c r="H107" s="16"/>
      <c r="I107" s="1"/>
      <c r="M107"/>
    </row>
    <row r="108" spans="1:13" x14ac:dyDescent="0.3">
      <c r="B108" s="2">
        <v>1</v>
      </c>
      <c r="C108" s="3" t="s">
        <v>5</v>
      </c>
      <c r="D108" s="2">
        <f>19+2</f>
        <v>21</v>
      </c>
      <c r="E108" s="20"/>
      <c r="F108" s="2">
        <v>4</v>
      </c>
      <c r="G108" s="14">
        <f>D108*F108</f>
        <v>84</v>
      </c>
      <c r="H108" s="14"/>
      <c r="I108" s="21"/>
      <c r="M108"/>
    </row>
    <row r="109" spans="1:13" x14ac:dyDescent="0.3">
      <c r="B109" s="2">
        <v>2</v>
      </c>
      <c r="C109" s="7" t="s">
        <v>9</v>
      </c>
      <c r="D109" s="1">
        <f>19+2+3</f>
        <v>24</v>
      </c>
      <c r="E109" s="21"/>
      <c r="F109" s="1">
        <v>2</v>
      </c>
      <c r="G109" s="11">
        <f t="shared" ref="G109:G114" si="12">D109*F109</f>
        <v>48</v>
      </c>
      <c r="H109" s="11"/>
      <c r="I109" s="21"/>
      <c r="M109"/>
    </row>
    <row r="110" spans="1:13" x14ac:dyDescent="0.3">
      <c r="B110" s="1">
        <v>3</v>
      </c>
      <c r="C110" s="7" t="s">
        <v>4</v>
      </c>
      <c r="D110" s="1">
        <f>19+5+2</f>
        <v>26</v>
      </c>
      <c r="E110" s="21">
        <v>23</v>
      </c>
      <c r="F110" s="1">
        <v>1</v>
      </c>
      <c r="G110" s="11">
        <f t="shared" si="12"/>
        <v>26</v>
      </c>
      <c r="H110" s="11"/>
      <c r="I110" s="21"/>
      <c r="M110"/>
    </row>
    <row r="111" spans="1:13" x14ac:dyDescent="0.3">
      <c r="B111" s="1">
        <v>4</v>
      </c>
      <c r="C111" s="7" t="s">
        <v>3</v>
      </c>
      <c r="D111" s="1">
        <f>1+7</f>
        <v>8</v>
      </c>
      <c r="E111" s="21">
        <v>2</v>
      </c>
      <c r="F111" s="1">
        <v>2</v>
      </c>
      <c r="G111" s="11">
        <f t="shared" si="12"/>
        <v>16</v>
      </c>
      <c r="H111" s="11"/>
      <c r="I111" s="21"/>
      <c r="M111"/>
    </row>
    <row r="112" spans="1:13" x14ac:dyDescent="0.3">
      <c r="B112" s="1">
        <v>5</v>
      </c>
      <c r="C112" s="7" t="s">
        <v>10</v>
      </c>
      <c r="D112" s="1">
        <f>19</f>
        <v>19</v>
      </c>
      <c r="E112" s="21">
        <v>19</v>
      </c>
      <c r="F112" s="1">
        <v>2</v>
      </c>
      <c r="G112" s="11">
        <f t="shared" si="12"/>
        <v>38</v>
      </c>
      <c r="H112" s="11"/>
      <c r="I112" s="21"/>
      <c r="M112"/>
    </row>
    <row r="113" spans="2:13" x14ac:dyDescent="0.3">
      <c r="B113" s="2">
        <v>6</v>
      </c>
      <c r="C113" s="65" t="s">
        <v>19</v>
      </c>
      <c r="D113" s="25">
        <v>18</v>
      </c>
      <c r="E113" s="21">
        <v>18</v>
      </c>
      <c r="F113" s="1">
        <v>6</v>
      </c>
      <c r="G113" s="11">
        <f t="shared" si="12"/>
        <v>108</v>
      </c>
      <c r="H113" s="11"/>
      <c r="I113" s="21"/>
      <c r="M113"/>
    </row>
    <row r="114" spans="2:13" x14ac:dyDescent="0.3">
      <c r="B114" s="2">
        <v>7</v>
      </c>
      <c r="C114" s="7" t="s">
        <v>21</v>
      </c>
      <c r="D114" s="1">
        <f>1</f>
        <v>1</v>
      </c>
      <c r="E114" s="21"/>
      <c r="F114" s="1">
        <v>3</v>
      </c>
      <c r="G114" s="11">
        <f t="shared" si="12"/>
        <v>3</v>
      </c>
      <c r="H114" s="11"/>
      <c r="I114" s="21"/>
      <c r="M114"/>
    </row>
    <row r="115" spans="2:13" x14ac:dyDescent="0.3">
      <c r="B115" s="161" t="s">
        <v>46</v>
      </c>
      <c r="C115" s="162"/>
      <c r="D115" s="162"/>
      <c r="E115" s="162"/>
      <c r="F115" s="163"/>
      <c r="G115" s="11">
        <f>SUM(G108:G114)</f>
        <v>323</v>
      </c>
      <c r="H115" s="11">
        <f>SUM(H108:H114)</f>
        <v>0</v>
      </c>
      <c r="I115" s="1"/>
      <c r="M115"/>
    </row>
    <row r="116" spans="2:13" x14ac:dyDescent="0.3">
      <c r="B116" s="161" t="s">
        <v>53</v>
      </c>
      <c r="C116" s="162"/>
      <c r="D116" s="162"/>
      <c r="E116" s="162"/>
      <c r="F116" s="163"/>
      <c r="G116" s="17">
        <f>SUM(G11,G20,G29,G37,G41,G49,G58,G62,G73)</f>
        <v>1154</v>
      </c>
      <c r="H116" s="17">
        <f>SUM(H11,H20,H29,H37,H41,H49,H58,H62,H73)</f>
        <v>0</v>
      </c>
      <c r="I116" s="1"/>
      <c r="M116"/>
    </row>
    <row r="117" spans="2:13" x14ac:dyDescent="0.3">
      <c r="B117" s="161" t="s">
        <v>52</v>
      </c>
      <c r="C117" s="162"/>
      <c r="D117" s="162"/>
      <c r="E117" s="162"/>
      <c r="F117" s="163"/>
      <c r="G117" s="17">
        <f>SUM(G84,G95,G106,G115)</f>
        <v>1491</v>
      </c>
      <c r="H117" s="17">
        <f>SUM(H84,H95,H106,H115)</f>
        <v>0</v>
      </c>
      <c r="I117" s="1"/>
      <c r="M117"/>
    </row>
    <row r="118" spans="2:13" x14ac:dyDescent="0.3">
      <c r="B118" s="161" t="s">
        <v>1</v>
      </c>
      <c r="C118" s="162"/>
      <c r="D118" s="162"/>
      <c r="E118" s="162"/>
      <c r="F118" s="163"/>
      <c r="G118" s="17">
        <f>SUM(G11,G20,G29,G37,G41,G49,G58,G62,G73,G84,G95,G106,G115)</f>
        <v>2645</v>
      </c>
      <c r="H118" s="17">
        <f>SUM(H11,H20,H29,H37,H41,H49,H58,H62,H73,H84,H95,H106,H115)</f>
        <v>0</v>
      </c>
      <c r="I118" s="23"/>
      <c r="M118"/>
    </row>
    <row r="119" spans="2:13" x14ac:dyDescent="0.3">
      <c r="M119"/>
    </row>
    <row r="121" spans="2:13" x14ac:dyDescent="0.3">
      <c r="B121" t="s">
        <v>85</v>
      </c>
      <c r="I121"/>
      <c r="M121"/>
    </row>
    <row r="122" spans="2:13" x14ac:dyDescent="0.3">
      <c r="B122" t="s">
        <v>92</v>
      </c>
      <c r="G122" s="154" t="s">
        <v>93</v>
      </c>
      <c r="H122" s="154"/>
      <c r="I122" s="154"/>
      <c r="J122" s="154"/>
      <c r="M122"/>
    </row>
    <row r="123" spans="2:13" x14ac:dyDescent="0.3">
      <c r="I123"/>
      <c r="M123"/>
    </row>
    <row r="124" spans="2:13" x14ac:dyDescent="0.3">
      <c r="I124"/>
      <c r="M124"/>
    </row>
    <row r="125" spans="2:13" x14ac:dyDescent="0.3">
      <c r="I125"/>
      <c r="M125"/>
    </row>
    <row r="126" spans="2:13" x14ac:dyDescent="0.3">
      <c r="I126"/>
      <c r="M126"/>
    </row>
    <row r="127" spans="2:13" x14ac:dyDescent="0.3">
      <c r="I127"/>
      <c r="M127"/>
    </row>
    <row r="128" spans="2:13" x14ac:dyDescent="0.3">
      <c r="I128"/>
      <c r="M128"/>
    </row>
    <row r="129" spans="9:13" x14ac:dyDescent="0.3">
      <c r="I129"/>
      <c r="M129"/>
    </row>
    <row r="130" spans="9:13" x14ac:dyDescent="0.3">
      <c r="I130"/>
      <c r="M130"/>
    </row>
    <row r="131" spans="9:13" x14ac:dyDescent="0.3">
      <c r="I131"/>
      <c r="M131"/>
    </row>
    <row r="132" spans="9:13" x14ac:dyDescent="0.3">
      <c r="I132"/>
      <c r="M132"/>
    </row>
    <row r="133" spans="9:13" x14ac:dyDescent="0.3">
      <c r="I133"/>
      <c r="M133"/>
    </row>
    <row r="134" spans="9:13" x14ac:dyDescent="0.3">
      <c r="I134"/>
      <c r="M134"/>
    </row>
    <row r="135" spans="9:13" x14ac:dyDescent="0.3">
      <c r="I135"/>
      <c r="M135"/>
    </row>
    <row r="136" spans="9:13" x14ac:dyDescent="0.3">
      <c r="I136"/>
      <c r="M136"/>
    </row>
    <row r="137" spans="9:13" x14ac:dyDescent="0.3">
      <c r="I137"/>
      <c r="M137"/>
    </row>
    <row r="138" spans="9:13" x14ac:dyDescent="0.3">
      <c r="I138"/>
      <c r="M138"/>
    </row>
    <row r="139" spans="9:13" x14ac:dyDescent="0.3">
      <c r="I139"/>
      <c r="M139"/>
    </row>
    <row r="140" spans="9:13" x14ac:dyDescent="0.3">
      <c r="I140"/>
      <c r="M140"/>
    </row>
    <row r="141" spans="9:13" x14ac:dyDescent="0.3">
      <c r="I141"/>
      <c r="M141"/>
    </row>
    <row r="142" spans="9:13" x14ac:dyDescent="0.3">
      <c r="I142"/>
      <c r="M142"/>
    </row>
    <row r="143" spans="9:13" x14ac:dyDescent="0.3">
      <c r="I143"/>
      <c r="M143"/>
    </row>
    <row r="144" spans="9:13" x14ac:dyDescent="0.3">
      <c r="I144"/>
      <c r="M144"/>
    </row>
    <row r="145" spans="9:13" x14ac:dyDescent="0.3">
      <c r="I145"/>
      <c r="M145"/>
    </row>
    <row r="146" spans="9:13" x14ac:dyDescent="0.3">
      <c r="I146"/>
      <c r="M146"/>
    </row>
    <row r="147" spans="9:13" x14ac:dyDescent="0.3">
      <c r="I147"/>
      <c r="M147"/>
    </row>
    <row r="148" spans="9:13" x14ac:dyDescent="0.3">
      <c r="I148"/>
      <c r="M148"/>
    </row>
    <row r="149" spans="9:13" x14ac:dyDescent="0.3">
      <c r="I149"/>
      <c r="M149"/>
    </row>
    <row r="150" spans="9:13" x14ac:dyDescent="0.3">
      <c r="I150"/>
      <c r="M150"/>
    </row>
    <row r="151" spans="9:13" x14ac:dyDescent="0.3">
      <c r="I151"/>
      <c r="M151"/>
    </row>
    <row r="152" spans="9:13" x14ac:dyDescent="0.3">
      <c r="I152"/>
      <c r="M152"/>
    </row>
    <row r="153" spans="9:13" x14ac:dyDescent="0.3">
      <c r="I153"/>
      <c r="M153"/>
    </row>
    <row r="154" spans="9:13" x14ac:dyDescent="0.3">
      <c r="I154"/>
      <c r="M154"/>
    </row>
    <row r="155" spans="9:13" x14ac:dyDescent="0.3">
      <c r="I155"/>
      <c r="M155"/>
    </row>
  </sheetData>
  <mergeCells count="31">
    <mergeCell ref="B118:F118"/>
    <mergeCell ref="G122:J122"/>
    <mergeCell ref="B96:C96"/>
    <mergeCell ref="B106:F106"/>
    <mergeCell ref="B107:C107"/>
    <mergeCell ref="B115:F115"/>
    <mergeCell ref="B116:F116"/>
    <mergeCell ref="B117:F117"/>
    <mergeCell ref="B95:F95"/>
    <mergeCell ref="B42:C42"/>
    <mergeCell ref="B49:F49"/>
    <mergeCell ref="B50:C50"/>
    <mergeCell ref="B58:F58"/>
    <mergeCell ref="B59:C59"/>
    <mergeCell ref="B62:F62"/>
    <mergeCell ref="B63:C63"/>
    <mergeCell ref="B73:F73"/>
    <mergeCell ref="B74:C74"/>
    <mergeCell ref="B84:F84"/>
    <mergeCell ref="B85:C85"/>
    <mergeCell ref="B41:F41"/>
    <mergeCell ref="F3:I3"/>
    <mergeCell ref="B5:C5"/>
    <mergeCell ref="B11:F11"/>
    <mergeCell ref="B12:C12"/>
    <mergeCell ref="B20:F20"/>
    <mergeCell ref="B21:C21"/>
    <mergeCell ref="B29:F29"/>
    <mergeCell ref="B30:C30"/>
    <mergeCell ref="B37:F37"/>
    <mergeCell ref="B38:C38"/>
  </mergeCells>
  <pageMargins left="0.7" right="0.7" top="0.75" bottom="0.75" header="0.3" footer="0.3"/>
  <pageSetup paperSize="9" scale="3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19B0F-5ECB-4EE3-B3AE-E5E842F344A9}">
  <sheetPr>
    <tabColor rgb="FF00B0F0"/>
  </sheetPr>
  <dimension ref="A3:M41"/>
  <sheetViews>
    <sheetView zoomScale="70" zoomScaleNormal="70" zoomScaleSheetLayoutView="76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20" sqref="F20"/>
    </sheetView>
  </sheetViews>
  <sheetFormatPr defaultRowHeight="14.4" x14ac:dyDescent="0.3"/>
  <cols>
    <col min="1" max="1" width="4.6640625" style="9" bestFit="1" customWidth="1"/>
    <col min="3" max="3" width="26.33203125" customWidth="1"/>
    <col min="4" max="4" width="20.44140625" bestFit="1" customWidth="1"/>
    <col min="5" max="5" width="21" customWidth="1"/>
    <col min="6" max="6" width="14.109375" bestFit="1" customWidth="1"/>
    <col min="7" max="8" width="15.109375" customWidth="1"/>
    <col min="9" max="9" width="18.33203125" style="5" bestFit="1" customWidth="1"/>
    <col min="10" max="10" width="32.88671875" customWidth="1"/>
    <col min="11" max="12" width="15.109375" customWidth="1"/>
    <col min="13" max="13" width="18.33203125" style="5" bestFit="1" customWidth="1"/>
    <col min="14" max="14" width="11.33203125" customWidth="1"/>
  </cols>
  <sheetData>
    <row r="3" spans="1:13" x14ac:dyDescent="0.3">
      <c r="A3" s="10" t="s">
        <v>0</v>
      </c>
      <c r="B3" s="8" t="s">
        <v>49</v>
      </c>
      <c r="C3" s="6"/>
      <c r="D3" s="6"/>
      <c r="E3" s="6"/>
      <c r="I3"/>
      <c r="M3"/>
    </row>
    <row r="4" spans="1:13" ht="28.8" x14ac:dyDescent="0.3">
      <c r="B4" s="4" t="s">
        <v>2</v>
      </c>
      <c r="C4" s="4" t="s">
        <v>8</v>
      </c>
      <c r="D4" s="4" t="s">
        <v>7</v>
      </c>
      <c r="E4" s="13" t="s">
        <v>87</v>
      </c>
      <c r="F4" s="13" t="s">
        <v>91</v>
      </c>
      <c r="G4" s="13" t="s">
        <v>78</v>
      </c>
      <c r="I4"/>
      <c r="M4"/>
    </row>
    <row r="5" spans="1:13" x14ac:dyDescent="0.3">
      <c r="B5" s="155" t="s">
        <v>11</v>
      </c>
      <c r="C5" s="156"/>
      <c r="D5" s="12"/>
      <c r="E5" s="15"/>
      <c r="F5" s="16"/>
      <c r="G5" s="16"/>
      <c r="M5"/>
    </row>
    <row r="6" spans="1:13" x14ac:dyDescent="0.3">
      <c r="B6" s="2">
        <v>1</v>
      </c>
      <c r="C6" s="3" t="s">
        <v>5</v>
      </c>
      <c r="D6" s="2">
        <f>1*5</f>
        <v>5</v>
      </c>
      <c r="E6" s="2">
        <v>4</v>
      </c>
      <c r="F6" s="14">
        <f>D6*E6</f>
        <v>20</v>
      </c>
      <c r="G6" s="14"/>
    </row>
    <row r="7" spans="1:13" x14ac:dyDescent="0.3">
      <c r="B7" s="1">
        <v>2</v>
      </c>
      <c r="C7" s="7" t="s">
        <v>15</v>
      </c>
      <c r="D7" s="1">
        <f>1*5</f>
        <v>5</v>
      </c>
      <c r="E7" s="1">
        <v>2</v>
      </c>
      <c r="F7" s="11">
        <f>D7*E7</f>
        <v>10</v>
      </c>
      <c r="G7" s="14"/>
      <c r="I7"/>
      <c r="M7"/>
    </row>
    <row r="8" spans="1:13" x14ac:dyDescent="0.3">
      <c r="B8" s="1">
        <v>3</v>
      </c>
      <c r="C8" s="7" t="s">
        <v>4</v>
      </c>
      <c r="D8" s="1">
        <f>1*3</f>
        <v>3</v>
      </c>
      <c r="E8" s="1">
        <v>1</v>
      </c>
      <c r="F8" s="11">
        <f t="shared" ref="F8" si="0">D8*E8</f>
        <v>3</v>
      </c>
      <c r="G8" s="14"/>
      <c r="H8" s="27"/>
      <c r="I8" s="27"/>
      <c r="J8" s="27"/>
      <c r="M8"/>
    </row>
    <row r="9" spans="1:13" x14ac:dyDescent="0.3">
      <c r="B9" s="161" t="s">
        <v>12</v>
      </c>
      <c r="C9" s="162"/>
      <c r="D9" s="162"/>
      <c r="E9" s="163"/>
      <c r="F9" s="17">
        <f>SUM(F6:F8)</f>
        <v>33</v>
      </c>
      <c r="G9" s="17"/>
      <c r="I9"/>
      <c r="M9"/>
    </row>
    <row r="10" spans="1:13" x14ac:dyDescent="0.3">
      <c r="B10" s="155" t="s">
        <v>17</v>
      </c>
      <c r="C10" s="156"/>
      <c r="D10" s="12"/>
      <c r="E10" s="15"/>
      <c r="F10" s="16"/>
      <c r="G10" s="16"/>
      <c r="I10"/>
      <c r="M10"/>
    </row>
    <row r="11" spans="1:13" x14ac:dyDescent="0.3">
      <c r="B11" s="2">
        <v>1</v>
      </c>
      <c r="C11" s="3" t="s">
        <v>5</v>
      </c>
      <c r="D11" s="2">
        <f>2+1+1*5</f>
        <v>8</v>
      </c>
      <c r="E11" s="2">
        <v>4</v>
      </c>
      <c r="F11" s="14">
        <f>D11*E11</f>
        <v>32</v>
      </c>
      <c r="G11" s="14"/>
      <c r="I11"/>
      <c r="M11"/>
    </row>
    <row r="12" spans="1:13" x14ac:dyDescent="0.3">
      <c r="B12" s="1">
        <v>2</v>
      </c>
      <c r="C12" s="7" t="s">
        <v>15</v>
      </c>
      <c r="D12" s="1">
        <f>2+1+1*5+1</f>
        <v>9</v>
      </c>
      <c r="E12" s="1">
        <v>2</v>
      </c>
      <c r="F12" s="11">
        <f t="shared" ref="F12:F15" si="1">D12*E12</f>
        <v>18</v>
      </c>
      <c r="G12" s="14"/>
      <c r="I12"/>
      <c r="M12"/>
    </row>
    <row r="13" spans="1:13" x14ac:dyDescent="0.3">
      <c r="B13" s="1">
        <v>3</v>
      </c>
      <c r="C13" s="7" t="s">
        <v>4</v>
      </c>
      <c r="D13" s="1">
        <f>1+1*5</f>
        <v>6</v>
      </c>
      <c r="E13" s="1">
        <v>1</v>
      </c>
      <c r="F13" s="11">
        <f t="shared" si="1"/>
        <v>6</v>
      </c>
      <c r="G13" s="14"/>
      <c r="I13"/>
      <c r="M13"/>
    </row>
    <row r="14" spans="1:13" x14ac:dyDescent="0.3">
      <c r="B14" s="1">
        <v>4</v>
      </c>
      <c r="C14" s="7" t="s">
        <v>3</v>
      </c>
      <c r="D14" s="1">
        <f>1+1</f>
        <v>2</v>
      </c>
      <c r="E14" s="1">
        <v>2</v>
      </c>
      <c r="F14" s="11">
        <f t="shared" si="1"/>
        <v>4</v>
      </c>
      <c r="G14" s="14"/>
      <c r="I14"/>
      <c r="M14"/>
    </row>
    <row r="15" spans="1:13" x14ac:dyDescent="0.3">
      <c r="B15" s="1">
        <v>5</v>
      </c>
      <c r="C15" s="7" t="s">
        <v>10</v>
      </c>
      <c r="D15" s="1">
        <f>1*3</f>
        <v>3</v>
      </c>
      <c r="E15" s="1">
        <v>2</v>
      </c>
      <c r="F15" s="11">
        <f t="shared" si="1"/>
        <v>6</v>
      </c>
      <c r="G15" s="14"/>
      <c r="I15"/>
      <c r="M15"/>
    </row>
    <row r="16" spans="1:13" x14ac:dyDescent="0.3">
      <c r="B16" s="161" t="s">
        <v>18</v>
      </c>
      <c r="C16" s="162"/>
      <c r="D16" s="162"/>
      <c r="E16" s="163"/>
      <c r="F16" s="17">
        <f>SUM(F11:F15)</f>
        <v>66</v>
      </c>
      <c r="G16" s="17"/>
      <c r="I16"/>
      <c r="M16"/>
    </row>
    <row r="17" spans="2:13" x14ac:dyDescent="0.3">
      <c r="B17" s="161" t="s">
        <v>1</v>
      </c>
      <c r="C17" s="162"/>
      <c r="D17" s="162"/>
      <c r="E17" s="163"/>
      <c r="F17" s="18">
        <f>SUM(F9,F16)</f>
        <v>99</v>
      </c>
      <c r="G17" s="18">
        <f>SUM(G9,G16)</f>
        <v>0</v>
      </c>
      <c r="I17"/>
      <c r="M17"/>
    </row>
    <row r="18" spans="2:13" x14ac:dyDescent="0.3">
      <c r="I18"/>
      <c r="M18"/>
    </row>
    <row r="19" spans="2:13" x14ac:dyDescent="0.3">
      <c r="I19"/>
      <c r="M19"/>
    </row>
    <row r="20" spans="2:13" x14ac:dyDescent="0.3">
      <c r="B20" t="s">
        <v>85</v>
      </c>
      <c r="I20"/>
      <c r="M20"/>
    </row>
    <row r="21" spans="2:13" x14ac:dyDescent="0.3">
      <c r="B21" t="s">
        <v>92</v>
      </c>
      <c r="G21" s="27" t="s">
        <v>93</v>
      </c>
      <c r="I21"/>
      <c r="M21"/>
    </row>
    <row r="22" spans="2:13" x14ac:dyDescent="0.3">
      <c r="I22"/>
      <c r="M22"/>
    </row>
    <row r="23" spans="2:13" x14ac:dyDescent="0.3">
      <c r="I23"/>
      <c r="M23"/>
    </row>
    <row r="24" spans="2:13" x14ac:dyDescent="0.3">
      <c r="I24"/>
      <c r="M24"/>
    </row>
    <row r="25" spans="2:13" x14ac:dyDescent="0.3">
      <c r="I25"/>
      <c r="M25"/>
    </row>
    <row r="26" spans="2:13" x14ac:dyDescent="0.3">
      <c r="I26"/>
      <c r="M26"/>
    </row>
    <row r="27" spans="2:13" x14ac:dyDescent="0.3">
      <c r="I27"/>
      <c r="M27"/>
    </row>
    <row r="28" spans="2:13" x14ac:dyDescent="0.3">
      <c r="I28"/>
      <c r="M28"/>
    </row>
    <row r="29" spans="2:13" x14ac:dyDescent="0.3">
      <c r="I29"/>
      <c r="M29"/>
    </row>
    <row r="30" spans="2:13" x14ac:dyDescent="0.3">
      <c r="I30"/>
      <c r="M30"/>
    </row>
    <row r="31" spans="2:13" x14ac:dyDescent="0.3">
      <c r="I31"/>
      <c r="M31"/>
    </row>
    <row r="32" spans="2:13" x14ac:dyDescent="0.3">
      <c r="I32"/>
      <c r="M32"/>
    </row>
    <row r="33" spans="9:13" x14ac:dyDescent="0.3">
      <c r="I33"/>
      <c r="M33"/>
    </row>
    <row r="34" spans="9:13" x14ac:dyDescent="0.3">
      <c r="I34"/>
      <c r="M34"/>
    </row>
    <row r="35" spans="9:13" x14ac:dyDescent="0.3">
      <c r="I35"/>
      <c r="M35"/>
    </row>
    <row r="36" spans="9:13" x14ac:dyDescent="0.3">
      <c r="I36"/>
      <c r="M36"/>
    </row>
    <row r="37" spans="9:13" x14ac:dyDescent="0.3">
      <c r="I37"/>
      <c r="M37"/>
    </row>
    <row r="38" spans="9:13" x14ac:dyDescent="0.3">
      <c r="I38"/>
      <c r="M38"/>
    </row>
    <row r="39" spans="9:13" x14ac:dyDescent="0.3">
      <c r="I39"/>
      <c r="M39"/>
    </row>
    <row r="40" spans="9:13" x14ac:dyDescent="0.3">
      <c r="I40"/>
      <c r="M40"/>
    </row>
    <row r="41" spans="9:13" x14ac:dyDescent="0.3">
      <c r="I41"/>
      <c r="M41"/>
    </row>
  </sheetData>
  <mergeCells count="5">
    <mergeCell ref="B5:C5"/>
    <mergeCell ref="B9:E9"/>
    <mergeCell ref="B10:C10"/>
    <mergeCell ref="B16:E16"/>
    <mergeCell ref="B17:E17"/>
  </mergeCells>
  <pageMargins left="0.7" right="0.7" top="0.75" bottom="0.75" header="0.3" footer="0.3"/>
  <pageSetup paperSize="9" scale="3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4DA9A-79BB-43FE-BE46-35F36559B33A}">
  <sheetPr>
    <tabColor rgb="FF00B0F0"/>
  </sheetPr>
  <dimension ref="A3:M165"/>
  <sheetViews>
    <sheetView topLeftCell="L1" zoomScale="80" zoomScaleNormal="80" zoomScaleSheetLayoutView="83" workbookViewId="0">
      <pane ySplit="4" topLeftCell="A5" activePane="bottomLeft" state="frozen"/>
      <selection activeCell="B1" sqref="B1"/>
      <selection pane="bottomLeft" activeCell="T28" sqref="T28"/>
    </sheetView>
  </sheetViews>
  <sheetFormatPr defaultRowHeight="14.4" x14ac:dyDescent="0.3"/>
  <cols>
    <col min="1" max="1" width="4.6640625" style="9" bestFit="1" customWidth="1"/>
    <col min="3" max="3" width="26.33203125" customWidth="1"/>
    <col min="4" max="4" width="20.44140625" customWidth="1"/>
    <col min="5" max="5" width="15.21875" customWidth="1"/>
    <col min="6" max="6" width="14.109375" bestFit="1" customWidth="1"/>
    <col min="7" max="8" width="14.6640625" customWidth="1"/>
    <col min="9" max="9" width="22.5546875" style="5" customWidth="1"/>
    <col min="10" max="10" width="31.21875" customWidth="1"/>
    <col min="11" max="12" width="14.6640625" customWidth="1"/>
    <col min="13" max="13" width="13.88671875" style="5" customWidth="1"/>
    <col min="14" max="14" width="11.33203125" customWidth="1"/>
  </cols>
  <sheetData>
    <row r="3" spans="1:13" x14ac:dyDescent="0.3">
      <c r="A3" s="10" t="s">
        <v>0</v>
      </c>
      <c r="B3" s="8" t="s">
        <v>74</v>
      </c>
      <c r="C3" s="6"/>
      <c r="D3" s="6"/>
      <c r="E3" s="6"/>
      <c r="F3" s="150" t="s">
        <v>83</v>
      </c>
      <c r="G3" s="150"/>
      <c r="H3" s="150"/>
      <c r="I3" s="150"/>
      <c r="J3" s="150" t="s">
        <v>84</v>
      </c>
      <c r="K3" s="150"/>
      <c r="L3" s="150"/>
      <c r="M3" s="150"/>
    </row>
    <row r="4" spans="1:13" ht="28.8" x14ac:dyDescent="0.3">
      <c r="B4" s="4" t="s">
        <v>2</v>
      </c>
      <c r="C4" s="4" t="s">
        <v>8</v>
      </c>
      <c r="D4" s="4" t="s">
        <v>7</v>
      </c>
      <c r="E4" s="19" t="s">
        <v>79</v>
      </c>
      <c r="F4" s="13" t="s">
        <v>6</v>
      </c>
      <c r="G4" s="13" t="s">
        <v>77</v>
      </c>
      <c r="H4" s="13" t="s">
        <v>78</v>
      </c>
      <c r="I4" s="19" t="s">
        <v>81</v>
      </c>
      <c r="J4" s="13" t="s">
        <v>87</v>
      </c>
      <c r="K4" s="13" t="s">
        <v>77</v>
      </c>
      <c r="L4" s="13" t="s">
        <v>78</v>
      </c>
      <c r="M4" s="19" t="s">
        <v>81</v>
      </c>
    </row>
    <row r="5" spans="1:13" x14ac:dyDescent="0.3">
      <c r="B5" s="155" t="s">
        <v>13</v>
      </c>
      <c r="C5" s="156"/>
      <c r="D5" s="12"/>
      <c r="E5" s="12"/>
      <c r="F5" s="15"/>
      <c r="G5" s="16"/>
      <c r="H5" s="16"/>
      <c r="I5" s="1"/>
      <c r="J5" s="15"/>
      <c r="K5" s="16"/>
      <c r="L5" s="16"/>
      <c r="M5" s="1"/>
    </row>
    <row r="6" spans="1:13" x14ac:dyDescent="0.3">
      <c r="B6" s="2">
        <v>1</v>
      </c>
      <c r="C6" s="3" t="s">
        <v>5</v>
      </c>
      <c r="D6" s="2">
        <v>8</v>
      </c>
      <c r="E6" s="20"/>
      <c r="F6" s="2">
        <v>5</v>
      </c>
      <c r="G6" s="14"/>
      <c r="H6" s="11">
        <f>D6*F6</f>
        <v>40</v>
      </c>
      <c r="I6" s="21"/>
      <c r="J6" s="2">
        <v>5</v>
      </c>
      <c r="K6" s="14"/>
      <c r="L6" s="11">
        <f>J6*D6</f>
        <v>40</v>
      </c>
      <c r="M6" s="21"/>
    </row>
    <row r="7" spans="1:13" x14ac:dyDescent="0.3">
      <c r="B7" s="1">
        <v>2</v>
      </c>
      <c r="C7" s="7" t="s">
        <v>9</v>
      </c>
      <c r="D7" s="1">
        <v>8</v>
      </c>
      <c r="E7" s="21"/>
      <c r="F7" s="1">
        <v>2</v>
      </c>
      <c r="G7" s="11">
        <f t="shared" ref="G7:G9" si="0">D7*F7</f>
        <v>16</v>
      </c>
      <c r="H7" s="11"/>
      <c r="I7" s="21"/>
      <c r="J7" s="1">
        <v>2</v>
      </c>
      <c r="K7" s="11">
        <f>J7*D7</f>
        <v>16</v>
      </c>
      <c r="L7" s="11"/>
      <c r="M7" s="21"/>
    </row>
    <row r="8" spans="1:13" x14ac:dyDescent="0.3">
      <c r="B8" s="1">
        <v>3</v>
      </c>
      <c r="C8" s="7" t="s">
        <v>4</v>
      </c>
      <c r="D8" s="1">
        <v>5</v>
      </c>
      <c r="E8" s="21">
        <v>2</v>
      </c>
      <c r="F8" s="1">
        <v>2</v>
      </c>
      <c r="G8" s="11">
        <f t="shared" si="0"/>
        <v>10</v>
      </c>
      <c r="H8" s="11"/>
      <c r="I8" s="21">
        <f>E8*F8</f>
        <v>4</v>
      </c>
      <c r="J8" s="1">
        <v>2</v>
      </c>
      <c r="K8" s="11">
        <f t="shared" ref="K8:K9" si="1">J8*D8</f>
        <v>10</v>
      </c>
      <c r="L8" s="11"/>
      <c r="M8" s="21">
        <f>E8*J8</f>
        <v>4</v>
      </c>
    </row>
    <row r="9" spans="1:13" x14ac:dyDescent="0.3">
      <c r="B9" s="1">
        <v>4</v>
      </c>
      <c r="C9" s="7" t="s">
        <v>10</v>
      </c>
      <c r="D9" s="1">
        <v>8</v>
      </c>
      <c r="E9" s="21">
        <v>8</v>
      </c>
      <c r="F9" s="1">
        <v>2</v>
      </c>
      <c r="G9" s="11">
        <f t="shared" si="0"/>
        <v>16</v>
      </c>
      <c r="H9" s="11"/>
      <c r="I9" s="21">
        <f>E9*F9</f>
        <v>16</v>
      </c>
      <c r="J9" s="1">
        <v>2</v>
      </c>
      <c r="K9" s="11">
        <f t="shared" si="1"/>
        <v>16</v>
      </c>
      <c r="L9" s="11"/>
      <c r="M9" s="21">
        <f t="shared" ref="M9" si="2">E9*J9</f>
        <v>16</v>
      </c>
    </row>
    <row r="10" spans="1:13" x14ac:dyDescent="0.3">
      <c r="B10" s="102" t="s">
        <v>14</v>
      </c>
      <c r="C10" s="103"/>
      <c r="D10" s="103"/>
      <c r="E10" s="103"/>
      <c r="F10" s="104"/>
      <c r="G10" s="17">
        <f>SUM(G6:G9)</f>
        <v>42</v>
      </c>
      <c r="H10" s="17">
        <f>SUM(H6:H9)</f>
        <v>40</v>
      </c>
      <c r="I10" s="21">
        <f>SUM(I6:I9)</f>
        <v>20</v>
      </c>
      <c r="J10" s="38" t="s">
        <v>14</v>
      </c>
      <c r="K10" s="17">
        <f>SUM(K6:K9)</f>
        <v>42</v>
      </c>
      <c r="L10" s="17">
        <f>SUM(L6:L9)</f>
        <v>40</v>
      </c>
      <c r="M10" s="21">
        <f>SUM(M6:M9)</f>
        <v>20</v>
      </c>
    </row>
    <row r="11" spans="1:13" x14ac:dyDescent="0.3">
      <c r="B11" s="155" t="s">
        <v>11</v>
      </c>
      <c r="C11" s="156"/>
      <c r="D11" s="12"/>
      <c r="E11" s="12"/>
      <c r="F11" s="15"/>
      <c r="G11" s="16"/>
      <c r="H11" s="16"/>
      <c r="I11" s="1"/>
      <c r="J11" s="15"/>
      <c r="K11" s="16"/>
      <c r="L11" s="16"/>
      <c r="M11" s="1"/>
    </row>
    <row r="12" spans="1:13" x14ac:dyDescent="0.3">
      <c r="B12" s="2">
        <v>1</v>
      </c>
      <c r="C12" s="3" t="s">
        <v>5</v>
      </c>
      <c r="D12" s="2">
        <v>6</v>
      </c>
      <c r="E12" s="20"/>
      <c r="F12" s="2">
        <v>5</v>
      </c>
      <c r="G12" s="14"/>
      <c r="H12" s="14">
        <f t="shared" ref="H12" si="3">D12*F12</f>
        <v>30</v>
      </c>
      <c r="I12" s="21"/>
      <c r="J12" s="2">
        <v>5</v>
      </c>
      <c r="K12" s="14"/>
      <c r="L12" s="14">
        <f>J12*D12</f>
        <v>30</v>
      </c>
      <c r="M12" s="21"/>
    </row>
    <row r="13" spans="1:13" x14ac:dyDescent="0.3">
      <c r="B13" s="1">
        <v>2</v>
      </c>
      <c r="C13" s="7" t="s">
        <v>9</v>
      </c>
      <c r="D13" s="1">
        <v>12</v>
      </c>
      <c r="E13" s="21"/>
      <c r="F13" s="1">
        <v>2</v>
      </c>
      <c r="G13" s="11">
        <f t="shared" ref="G13:G17" si="4">D13*F13</f>
        <v>24</v>
      </c>
      <c r="H13" s="11"/>
      <c r="I13" s="21"/>
      <c r="J13" s="1">
        <v>2</v>
      </c>
      <c r="K13" s="11">
        <f>J13*D13</f>
        <v>24</v>
      </c>
      <c r="L13" s="11"/>
      <c r="M13" s="21"/>
    </row>
    <row r="14" spans="1:13" x14ac:dyDescent="0.3">
      <c r="B14" s="1">
        <v>3</v>
      </c>
      <c r="C14" s="7" t="s">
        <v>4</v>
      </c>
      <c r="D14" s="1">
        <v>9</v>
      </c>
      <c r="E14" s="21">
        <v>5</v>
      </c>
      <c r="F14" s="1">
        <v>2</v>
      </c>
      <c r="G14" s="11">
        <f t="shared" si="4"/>
        <v>18</v>
      </c>
      <c r="H14" s="11"/>
      <c r="I14" s="21">
        <f>E14*F14</f>
        <v>10</v>
      </c>
      <c r="J14" s="1">
        <v>2</v>
      </c>
      <c r="K14" s="11">
        <f t="shared" ref="K14:K17" si="5">J14*D14</f>
        <v>18</v>
      </c>
      <c r="L14" s="11"/>
      <c r="M14" s="21">
        <f t="shared" ref="M14:M16" si="6">E14*J14</f>
        <v>10</v>
      </c>
    </row>
    <row r="15" spans="1:13" x14ac:dyDescent="0.3">
      <c r="B15" s="1">
        <v>4</v>
      </c>
      <c r="C15" s="7" t="s">
        <v>56</v>
      </c>
      <c r="D15" s="1">
        <v>1</v>
      </c>
      <c r="E15" s="21"/>
      <c r="F15" s="1">
        <v>5</v>
      </c>
      <c r="G15" s="11">
        <f t="shared" si="4"/>
        <v>5</v>
      </c>
      <c r="H15" s="11"/>
      <c r="I15" s="21"/>
      <c r="J15" s="1">
        <v>5</v>
      </c>
      <c r="K15" s="11">
        <f t="shared" si="5"/>
        <v>5</v>
      </c>
      <c r="L15" s="11"/>
      <c r="M15" s="21"/>
    </row>
    <row r="16" spans="1:13" x14ac:dyDescent="0.3">
      <c r="B16" s="1">
        <v>5</v>
      </c>
      <c r="C16" s="7" t="s">
        <v>3</v>
      </c>
      <c r="D16" s="1">
        <v>2</v>
      </c>
      <c r="E16" s="21">
        <v>2</v>
      </c>
      <c r="F16" s="1">
        <v>2</v>
      </c>
      <c r="G16" s="11">
        <f t="shared" si="4"/>
        <v>4</v>
      </c>
      <c r="H16" s="11"/>
      <c r="I16" s="21">
        <f>E16*F16</f>
        <v>4</v>
      </c>
      <c r="J16" s="1">
        <v>2</v>
      </c>
      <c r="K16" s="11">
        <f t="shared" si="5"/>
        <v>4</v>
      </c>
      <c r="L16" s="11"/>
      <c r="M16" s="21">
        <f t="shared" si="6"/>
        <v>4</v>
      </c>
    </row>
    <row r="17" spans="2:13" x14ac:dyDescent="0.3">
      <c r="B17" s="1">
        <v>6</v>
      </c>
      <c r="C17" s="7" t="s">
        <v>54</v>
      </c>
      <c r="D17" s="1">
        <v>2</v>
      </c>
      <c r="E17" s="21"/>
      <c r="F17" s="1">
        <v>10</v>
      </c>
      <c r="G17" s="11">
        <f t="shared" si="4"/>
        <v>20</v>
      </c>
      <c r="H17" s="11"/>
      <c r="I17" s="21"/>
      <c r="J17" s="1">
        <v>10</v>
      </c>
      <c r="K17" s="11">
        <f t="shared" si="5"/>
        <v>20</v>
      </c>
      <c r="L17" s="11"/>
      <c r="M17" s="21"/>
    </row>
    <row r="18" spans="2:13" x14ac:dyDescent="0.3">
      <c r="B18" s="102" t="s">
        <v>12</v>
      </c>
      <c r="C18" s="103"/>
      <c r="D18" s="103"/>
      <c r="E18" s="103"/>
      <c r="F18" s="104"/>
      <c r="G18" s="17">
        <f>SUM(G12:G17)</f>
        <v>71</v>
      </c>
      <c r="H18" s="17">
        <f>SUM(H12:H17)</f>
        <v>30</v>
      </c>
      <c r="I18" s="21">
        <f>SUM(I12:I17)</f>
        <v>14</v>
      </c>
      <c r="J18" s="38" t="s">
        <v>12</v>
      </c>
      <c r="K18" s="17">
        <f>SUM(K12:K17)</f>
        <v>71</v>
      </c>
      <c r="L18" s="17">
        <f>SUM(L12:L17)</f>
        <v>30</v>
      </c>
      <c r="M18" s="21">
        <f>SUM(M12:M17)</f>
        <v>14</v>
      </c>
    </row>
    <row r="19" spans="2:13" x14ac:dyDescent="0.3">
      <c r="B19" s="155" t="s">
        <v>17</v>
      </c>
      <c r="C19" s="156"/>
      <c r="D19" s="12"/>
      <c r="E19" s="12"/>
      <c r="F19" s="15"/>
      <c r="G19" s="16"/>
      <c r="H19" s="16"/>
      <c r="I19" s="1"/>
      <c r="J19" s="15"/>
      <c r="K19" s="16"/>
      <c r="L19" s="16"/>
      <c r="M19" s="1"/>
    </row>
    <row r="20" spans="2:13" x14ac:dyDescent="0.3">
      <c r="B20" s="2">
        <v>1</v>
      </c>
      <c r="C20" s="3" t="s">
        <v>5</v>
      </c>
      <c r="D20" s="2">
        <v>5</v>
      </c>
      <c r="E20" s="20"/>
      <c r="F20" s="2">
        <v>5</v>
      </c>
      <c r="G20" s="14"/>
      <c r="H20" s="14">
        <f t="shared" ref="H20" si="7">D20*F20</f>
        <v>25</v>
      </c>
      <c r="I20" s="21"/>
      <c r="J20" s="2">
        <v>5</v>
      </c>
      <c r="K20" s="14"/>
      <c r="L20" s="14">
        <f>J20*D20</f>
        <v>25</v>
      </c>
      <c r="M20" s="21"/>
    </row>
    <row r="21" spans="2:13" x14ac:dyDescent="0.3">
      <c r="B21" s="2">
        <v>2</v>
      </c>
      <c r="C21" s="3" t="s">
        <v>24</v>
      </c>
      <c r="D21" s="2">
        <v>2</v>
      </c>
      <c r="E21" s="20"/>
      <c r="F21" s="2">
        <v>10</v>
      </c>
      <c r="G21" s="14">
        <f>D21*F21</f>
        <v>20</v>
      </c>
      <c r="H21" s="14"/>
      <c r="I21" s="21"/>
      <c r="J21" s="2">
        <v>10</v>
      </c>
      <c r="K21" s="14">
        <f>J21*D21</f>
        <v>20</v>
      </c>
      <c r="L21" s="14"/>
      <c r="M21" s="21"/>
    </row>
    <row r="22" spans="2:13" x14ac:dyDescent="0.3">
      <c r="B22" s="1">
        <v>3</v>
      </c>
      <c r="C22" s="7" t="s">
        <v>9</v>
      </c>
      <c r="D22" s="1">
        <v>11</v>
      </c>
      <c r="E22" s="21"/>
      <c r="F22" s="1">
        <v>2</v>
      </c>
      <c r="G22" s="11">
        <f t="shared" ref="G22:G24" si="8">D22*F22</f>
        <v>22</v>
      </c>
      <c r="H22" s="11"/>
      <c r="I22" s="21"/>
      <c r="J22" s="1">
        <v>2</v>
      </c>
      <c r="K22" s="14">
        <f t="shared" ref="K22:K25" si="9">J22*D22</f>
        <v>22</v>
      </c>
      <c r="L22" s="11"/>
      <c r="M22" s="21"/>
    </row>
    <row r="23" spans="2:13" x14ac:dyDescent="0.3">
      <c r="B23" s="1">
        <v>4</v>
      </c>
      <c r="C23" s="7" t="s">
        <v>4</v>
      </c>
      <c r="D23" s="25">
        <v>30</v>
      </c>
      <c r="E23" s="21">
        <v>30</v>
      </c>
      <c r="F23" s="1">
        <v>2</v>
      </c>
      <c r="G23" s="11">
        <f t="shared" si="8"/>
        <v>60</v>
      </c>
      <c r="H23" s="11"/>
      <c r="I23" s="21">
        <f>E23*F23</f>
        <v>60</v>
      </c>
      <c r="J23" s="1">
        <v>2</v>
      </c>
      <c r="K23" s="14">
        <f t="shared" si="9"/>
        <v>60</v>
      </c>
      <c r="L23" s="11"/>
      <c r="M23" s="21">
        <f t="shared" ref="M23:M25" si="10">E23*J23</f>
        <v>60</v>
      </c>
    </row>
    <row r="24" spans="2:13" x14ac:dyDescent="0.3">
      <c r="B24" s="1">
        <v>5</v>
      </c>
      <c r="C24" s="7" t="s">
        <v>56</v>
      </c>
      <c r="D24" s="1">
        <v>2</v>
      </c>
      <c r="E24" s="21">
        <v>2</v>
      </c>
      <c r="F24" s="1">
        <v>5</v>
      </c>
      <c r="G24" s="11">
        <f t="shared" si="8"/>
        <v>10</v>
      </c>
      <c r="H24" s="11"/>
      <c r="I24" s="21">
        <f>E24*F24</f>
        <v>10</v>
      </c>
      <c r="J24" s="1">
        <v>5</v>
      </c>
      <c r="K24" s="14">
        <f t="shared" si="9"/>
        <v>10</v>
      </c>
      <c r="L24" s="11"/>
      <c r="M24" s="21">
        <f t="shared" si="10"/>
        <v>10</v>
      </c>
    </row>
    <row r="25" spans="2:13" x14ac:dyDescent="0.3">
      <c r="B25" s="1">
        <v>6</v>
      </c>
      <c r="C25" s="7" t="s">
        <v>57</v>
      </c>
      <c r="D25" s="1">
        <v>2</v>
      </c>
      <c r="E25" s="21">
        <v>2</v>
      </c>
      <c r="F25" s="1">
        <v>3</v>
      </c>
      <c r="G25" s="11">
        <f>D25*F25</f>
        <v>6</v>
      </c>
      <c r="H25" s="11"/>
      <c r="I25" s="21">
        <f t="shared" ref="I25" si="11">E25*F25</f>
        <v>6</v>
      </c>
      <c r="J25" s="1">
        <v>3</v>
      </c>
      <c r="K25" s="14">
        <f t="shared" si="9"/>
        <v>6</v>
      </c>
      <c r="L25" s="11"/>
      <c r="M25" s="21">
        <f t="shared" si="10"/>
        <v>6</v>
      </c>
    </row>
    <row r="26" spans="2:13" x14ac:dyDescent="0.3">
      <c r="B26" s="102" t="s">
        <v>18</v>
      </c>
      <c r="C26" s="103"/>
      <c r="D26" s="103"/>
      <c r="E26" s="103"/>
      <c r="F26" s="104"/>
      <c r="G26" s="17">
        <f>SUM(G20:G25)</f>
        <v>118</v>
      </c>
      <c r="H26" s="17">
        <f>SUM(H20:H25)</f>
        <v>25</v>
      </c>
      <c r="I26" s="21">
        <f>SUM(I20:I25)</f>
        <v>76</v>
      </c>
      <c r="J26" s="38" t="s">
        <v>18</v>
      </c>
      <c r="K26" s="17">
        <f>SUM(K20:K25)</f>
        <v>118</v>
      </c>
      <c r="L26" s="17">
        <f>SUM(L20:L25)</f>
        <v>25</v>
      </c>
      <c r="M26" s="21">
        <f>SUM(M20:M25)</f>
        <v>76</v>
      </c>
    </row>
    <row r="27" spans="2:13" x14ac:dyDescent="0.3">
      <c r="B27" s="155" t="s">
        <v>58</v>
      </c>
      <c r="C27" s="156"/>
      <c r="D27" s="12"/>
      <c r="E27" s="12"/>
      <c r="F27" s="15"/>
      <c r="G27" s="16"/>
      <c r="H27" s="16"/>
      <c r="I27" s="1"/>
      <c r="J27" s="15"/>
      <c r="K27" s="16"/>
      <c r="L27" s="16"/>
      <c r="M27" s="1"/>
    </row>
    <row r="28" spans="2:13" x14ac:dyDescent="0.3">
      <c r="B28" s="2">
        <v>1</v>
      </c>
      <c r="C28" s="3" t="s">
        <v>5</v>
      </c>
      <c r="D28" s="2">
        <v>1</v>
      </c>
      <c r="E28" s="2"/>
      <c r="F28" s="2">
        <v>5</v>
      </c>
      <c r="G28" s="14"/>
      <c r="H28" s="14">
        <f t="shared" ref="H28" si="12">D28*F28</f>
        <v>5</v>
      </c>
      <c r="I28" s="1"/>
      <c r="J28" s="2">
        <v>5</v>
      </c>
      <c r="K28" s="14"/>
      <c r="L28" s="14">
        <f>J28*D28</f>
        <v>5</v>
      </c>
      <c r="M28" s="1"/>
    </row>
    <row r="29" spans="2:13" x14ac:dyDescent="0.3">
      <c r="B29" s="1">
        <v>2</v>
      </c>
      <c r="C29" s="7" t="s">
        <v>9</v>
      </c>
      <c r="D29" s="1">
        <v>3</v>
      </c>
      <c r="E29" s="1"/>
      <c r="F29" s="1">
        <v>2</v>
      </c>
      <c r="G29" s="11">
        <f t="shared" ref="G29" si="13">D29*F29</f>
        <v>6</v>
      </c>
      <c r="H29" s="11"/>
      <c r="I29" s="1"/>
      <c r="J29" s="1">
        <v>2</v>
      </c>
      <c r="K29" s="11">
        <f>J29*D29</f>
        <v>6</v>
      </c>
      <c r="L29" s="11"/>
      <c r="M29" s="1"/>
    </row>
    <row r="30" spans="2:13" x14ac:dyDescent="0.3">
      <c r="B30" s="102" t="s">
        <v>59</v>
      </c>
      <c r="C30" s="103"/>
      <c r="D30" s="103"/>
      <c r="E30" s="103"/>
      <c r="F30" s="104"/>
      <c r="G30" s="17">
        <f>SUM(G28:G29)</f>
        <v>6</v>
      </c>
      <c r="H30" s="17">
        <f>SUM(H28:H29)</f>
        <v>5</v>
      </c>
      <c r="I30" s="1"/>
      <c r="J30" s="38" t="s">
        <v>59</v>
      </c>
      <c r="K30" s="17">
        <f>SUM(K28:K29)</f>
        <v>6</v>
      </c>
      <c r="L30" s="17">
        <f>SUM(L28:L29)</f>
        <v>5</v>
      </c>
      <c r="M30" s="1"/>
    </row>
    <row r="31" spans="2:13" x14ac:dyDescent="0.3">
      <c r="B31" s="155" t="s">
        <v>25</v>
      </c>
      <c r="C31" s="156"/>
      <c r="D31" s="12"/>
      <c r="E31" s="12"/>
      <c r="F31" s="15"/>
      <c r="G31" s="16"/>
      <c r="H31" s="16"/>
      <c r="I31" s="1"/>
      <c r="J31" s="15"/>
      <c r="K31" s="16"/>
      <c r="L31" s="16"/>
      <c r="M31" s="1"/>
    </row>
    <row r="32" spans="2:13" x14ac:dyDescent="0.3">
      <c r="B32" s="2">
        <v>1</v>
      </c>
      <c r="C32" s="3" t="s">
        <v>5</v>
      </c>
      <c r="D32" s="2">
        <v>5</v>
      </c>
      <c r="E32" s="20"/>
      <c r="F32" s="2">
        <v>5</v>
      </c>
      <c r="G32" s="14"/>
      <c r="H32" s="14">
        <f t="shared" ref="H32" si="14">D32*F32</f>
        <v>25</v>
      </c>
      <c r="I32" s="21"/>
      <c r="J32" s="2">
        <v>5</v>
      </c>
      <c r="K32" s="14"/>
      <c r="L32" s="14">
        <f>J32*D32</f>
        <v>25</v>
      </c>
      <c r="M32" s="21"/>
    </row>
    <row r="33" spans="2:13" x14ac:dyDescent="0.3">
      <c r="B33" s="1">
        <v>2</v>
      </c>
      <c r="C33" s="7" t="s">
        <v>9</v>
      </c>
      <c r="D33" s="1">
        <v>5</v>
      </c>
      <c r="E33" s="21"/>
      <c r="F33" s="1">
        <v>2</v>
      </c>
      <c r="G33" s="11">
        <f t="shared" ref="G33:G37" si="15">D33*F33</f>
        <v>10</v>
      </c>
      <c r="H33" s="11"/>
      <c r="I33" s="21"/>
      <c r="J33" s="1">
        <v>2</v>
      </c>
      <c r="K33" s="11">
        <f>J33*D33</f>
        <v>10</v>
      </c>
      <c r="L33" s="11"/>
      <c r="M33" s="21"/>
    </row>
    <row r="34" spans="2:13" x14ac:dyDescent="0.3">
      <c r="B34" s="1">
        <v>3</v>
      </c>
      <c r="C34" s="7" t="s">
        <v>4</v>
      </c>
      <c r="D34" s="1">
        <v>2</v>
      </c>
      <c r="E34" s="21">
        <v>1</v>
      </c>
      <c r="F34" s="1">
        <v>2</v>
      </c>
      <c r="G34" s="11">
        <f t="shared" si="15"/>
        <v>4</v>
      </c>
      <c r="H34" s="11"/>
      <c r="I34" s="21">
        <f>E34*F34</f>
        <v>2</v>
      </c>
      <c r="J34" s="1">
        <v>2</v>
      </c>
      <c r="K34" s="11">
        <f t="shared" ref="K34:K37" si="16">J34*D34</f>
        <v>4</v>
      </c>
      <c r="L34" s="11"/>
      <c r="M34" s="21">
        <f t="shared" ref="M34:M37" si="17">E34*J34</f>
        <v>2</v>
      </c>
    </row>
    <row r="35" spans="2:13" x14ac:dyDescent="0.3">
      <c r="B35" s="1">
        <v>4</v>
      </c>
      <c r="C35" s="7" t="s">
        <v>20</v>
      </c>
      <c r="D35" s="1">
        <v>6</v>
      </c>
      <c r="E35" s="21">
        <v>6</v>
      </c>
      <c r="F35" s="1">
        <v>4</v>
      </c>
      <c r="G35" s="11">
        <f t="shared" si="15"/>
        <v>24</v>
      </c>
      <c r="H35" s="11"/>
      <c r="I35" s="21">
        <f t="shared" ref="I35:I37" si="18">E35*F35</f>
        <v>24</v>
      </c>
      <c r="J35" s="30">
        <v>4</v>
      </c>
      <c r="K35" s="11">
        <f t="shared" si="16"/>
        <v>24</v>
      </c>
      <c r="L35" s="11"/>
      <c r="M35" s="21">
        <f t="shared" si="17"/>
        <v>24</v>
      </c>
    </row>
    <row r="36" spans="2:13" x14ac:dyDescent="0.3">
      <c r="B36" s="1">
        <v>5</v>
      </c>
      <c r="C36" s="7" t="s">
        <v>60</v>
      </c>
      <c r="D36" s="1">
        <v>1</v>
      </c>
      <c r="E36" s="21"/>
      <c r="F36" s="1">
        <v>3</v>
      </c>
      <c r="G36" s="11">
        <f t="shared" si="15"/>
        <v>3</v>
      </c>
      <c r="H36" s="11"/>
      <c r="I36" s="21"/>
      <c r="J36" s="1">
        <v>3</v>
      </c>
      <c r="K36" s="11">
        <f t="shared" si="16"/>
        <v>3</v>
      </c>
      <c r="L36" s="11"/>
      <c r="M36" s="21"/>
    </row>
    <row r="37" spans="2:13" x14ac:dyDescent="0.3">
      <c r="B37" s="1">
        <v>6</v>
      </c>
      <c r="C37" s="7" t="s">
        <v>10</v>
      </c>
      <c r="D37" s="1">
        <v>4</v>
      </c>
      <c r="E37" s="21">
        <v>4</v>
      </c>
      <c r="F37" s="1">
        <v>2</v>
      </c>
      <c r="G37" s="11">
        <f t="shared" si="15"/>
        <v>8</v>
      </c>
      <c r="H37" s="11"/>
      <c r="I37" s="21">
        <f t="shared" si="18"/>
        <v>8</v>
      </c>
      <c r="J37" s="1">
        <v>2</v>
      </c>
      <c r="K37" s="11">
        <f t="shared" si="16"/>
        <v>8</v>
      </c>
      <c r="L37" s="11"/>
      <c r="M37" s="21">
        <f t="shared" si="17"/>
        <v>8</v>
      </c>
    </row>
    <row r="38" spans="2:13" x14ac:dyDescent="0.3">
      <c r="B38" s="102" t="s">
        <v>26</v>
      </c>
      <c r="C38" s="103"/>
      <c r="D38" s="103"/>
      <c r="E38" s="103"/>
      <c r="F38" s="104"/>
      <c r="G38" s="17">
        <f>SUM(G32:G37)</f>
        <v>49</v>
      </c>
      <c r="H38" s="17">
        <f>SUM(H32:H37)</f>
        <v>25</v>
      </c>
      <c r="I38" s="21">
        <f>SUM(I30:I37)</f>
        <v>34</v>
      </c>
      <c r="J38" s="38" t="s">
        <v>26</v>
      </c>
      <c r="K38" s="17">
        <f>SUM(K32:K37)</f>
        <v>49</v>
      </c>
      <c r="L38" s="17">
        <f>SUM(L32:L37)</f>
        <v>25</v>
      </c>
      <c r="M38" s="21">
        <f>SUM(M30:M37)</f>
        <v>34</v>
      </c>
    </row>
    <row r="39" spans="2:13" x14ac:dyDescent="0.3">
      <c r="B39" s="155" t="s">
        <v>61</v>
      </c>
      <c r="C39" s="156"/>
      <c r="D39" s="12"/>
      <c r="E39" s="12"/>
      <c r="F39" s="15"/>
      <c r="G39" s="16"/>
      <c r="H39" s="16"/>
      <c r="I39" s="1"/>
      <c r="J39" s="15"/>
      <c r="K39" s="16"/>
      <c r="L39" s="16"/>
      <c r="M39" s="1"/>
    </row>
    <row r="40" spans="2:13" x14ac:dyDescent="0.3">
      <c r="B40" s="2">
        <v>1</v>
      </c>
      <c r="C40" s="3" t="s">
        <v>5</v>
      </c>
      <c r="D40" s="2">
        <v>1</v>
      </c>
      <c r="E40" s="2"/>
      <c r="F40" s="2">
        <v>5</v>
      </c>
      <c r="G40" s="14"/>
      <c r="H40" s="14">
        <f t="shared" ref="H40" si="19">D40*F40</f>
        <v>5</v>
      </c>
      <c r="I40" s="1"/>
      <c r="J40" s="2">
        <v>5</v>
      </c>
      <c r="K40" s="14"/>
      <c r="L40" s="14">
        <f>J40*D40</f>
        <v>5</v>
      </c>
      <c r="M40" s="1"/>
    </row>
    <row r="41" spans="2:13" x14ac:dyDescent="0.3">
      <c r="B41" s="1">
        <v>2</v>
      </c>
      <c r="C41" s="7" t="s">
        <v>9</v>
      </c>
      <c r="D41" s="1">
        <v>3</v>
      </c>
      <c r="E41" s="1"/>
      <c r="F41" s="1">
        <v>2</v>
      </c>
      <c r="G41" s="11">
        <f t="shared" ref="G41" si="20">D41*F41</f>
        <v>6</v>
      </c>
      <c r="H41" s="11"/>
      <c r="I41" s="1"/>
      <c r="J41" s="1">
        <v>2</v>
      </c>
      <c r="K41" s="11">
        <f>J41*D41</f>
        <v>6</v>
      </c>
      <c r="L41" s="11"/>
      <c r="M41" s="1"/>
    </row>
    <row r="42" spans="2:13" x14ac:dyDescent="0.3">
      <c r="B42" s="102" t="s">
        <v>62</v>
      </c>
      <c r="C42" s="103"/>
      <c r="D42" s="103"/>
      <c r="E42" s="103"/>
      <c r="F42" s="104"/>
      <c r="G42" s="17">
        <f>SUM(G40:G41)</f>
        <v>6</v>
      </c>
      <c r="H42" s="17">
        <f>SUM(H40:H41)</f>
        <v>5</v>
      </c>
      <c r="I42" s="1"/>
      <c r="J42" s="38" t="s">
        <v>62</v>
      </c>
      <c r="K42" s="17">
        <f>SUM(K40:K41)</f>
        <v>6</v>
      </c>
      <c r="L42" s="17">
        <f>SUM(L40:L41)</f>
        <v>5</v>
      </c>
      <c r="M42" s="1"/>
    </row>
    <row r="43" spans="2:13" x14ac:dyDescent="0.3">
      <c r="B43" s="155" t="s">
        <v>27</v>
      </c>
      <c r="C43" s="156"/>
      <c r="D43" s="12"/>
      <c r="E43" s="12"/>
      <c r="F43" s="15"/>
      <c r="G43" s="16"/>
      <c r="H43" s="16"/>
      <c r="I43" s="1"/>
      <c r="J43" s="15"/>
      <c r="K43" s="16"/>
      <c r="L43" s="16"/>
      <c r="M43" s="1"/>
    </row>
    <row r="44" spans="2:13" x14ac:dyDescent="0.3">
      <c r="B44" s="2">
        <v>1</v>
      </c>
      <c r="C44" s="3" t="s">
        <v>5</v>
      </c>
      <c r="D44" s="2">
        <v>5</v>
      </c>
      <c r="E44" s="20"/>
      <c r="F44" s="2">
        <v>5</v>
      </c>
      <c r="G44" s="14"/>
      <c r="H44" s="14">
        <f t="shared" ref="H44" si="21">D44*F44</f>
        <v>25</v>
      </c>
      <c r="I44" s="21"/>
      <c r="J44" s="2">
        <v>5</v>
      </c>
      <c r="K44" s="14"/>
      <c r="L44" s="14">
        <f>J44*D44</f>
        <v>25</v>
      </c>
      <c r="M44" s="21"/>
    </row>
    <row r="45" spans="2:13" x14ac:dyDescent="0.3">
      <c r="B45" s="1">
        <v>2</v>
      </c>
      <c r="C45" s="7" t="s">
        <v>9</v>
      </c>
      <c r="D45" s="1">
        <v>5</v>
      </c>
      <c r="E45" s="21"/>
      <c r="F45" s="1">
        <v>2</v>
      </c>
      <c r="G45" s="11">
        <f t="shared" ref="G45:G48" si="22">D45*F45</f>
        <v>10</v>
      </c>
      <c r="H45" s="11"/>
      <c r="I45" s="21"/>
      <c r="J45" s="1">
        <v>2</v>
      </c>
      <c r="K45" s="11">
        <f>J45*D45</f>
        <v>10</v>
      </c>
      <c r="L45" s="11"/>
      <c r="M45" s="21"/>
    </row>
    <row r="46" spans="2:13" x14ac:dyDescent="0.3">
      <c r="B46" s="1">
        <v>3</v>
      </c>
      <c r="C46" s="7" t="s">
        <v>4</v>
      </c>
      <c r="D46" s="1">
        <v>2</v>
      </c>
      <c r="E46" s="21">
        <v>1</v>
      </c>
      <c r="F46" s="1">
        <v>2</v>
      </c>
      <c r="G46" s="11">
        <f t="shared" si="22"/>
        <v>4</v>
      </c>
      <c r="H46" s="11"/>
      <c r="I46" s="21">
        <f>E46*F46</f>
        <v>2</v>
      </c>
      <c r="J46" s="1">
        <v>2</v>
      </c>
      <c r="K46" s="11">
        <f t="shared" ref="K46:K48" si="23">J46*D46</f>
        <v>4</v>
      </c>
      <c r="L46" s="11"/>
      <c r="M46" s="21">
        <f t="shared" ref="M46:M48" si="24">E46*J46</f>
        <v>2</v>
      </c>
    </row>
    <row r="47" spans="2:13" x14ac:dyDescent="0.3">
      <c r="B47" s="1">
        <v>4</v>
      </c>
      <c r="C47" s="7" t="s">
        <v>60</v>
      </c>
      <c r="D47" s="1">
        <v>2</v>
      </c>
      <c r="E47" s="21">
        <v>2</v>
      </c>
      <c r="F47" s="1">
        <v>3</v>
      </c>
      <c r="G47" s="11">
        <f t="shared" si="22"/>
        <v>6</v>
      </c>
      <c r="H47" s="11"/>
      <c r="I47" s="21">
        <f>E47*F47</f>
        <v>6</v>
      </c>
      <c r="J47" s="1">
        <v>3</v>
      </c>
      <c r="K47" s="11">
        <f t="shared" si="23"/>
        <v>6</v>
      </c>
      <c r="L47" s="11"/>
      <c r="M47" s="21">
        <f t="shared" si="24"/>
        <v>6</v>
      </c>
    </row>
    <row r="48" spans="2:13" x14ac:dyDescent="0.3">
      <c r="B48" s="1">
        <v>5</v>
      </c>
      <c r="C48" s="7" t="s">
        <v>10</v>
      </c>
      <c r="D48" s="1">
        <v>4</v>
      </c>
      <c r="E48" s="21">
        <v>4</v>
      </c>
      <c r="F48" s="1">
        <v>2</v>
      </c>
      <c r="G48" s="11">
        <f t="shared" si="22"/>
        <v>8</v>
      </c>
      <c r="H48" s="11"/>
      <c r="I48" s="21">
        <f>E48*F48</f>
        <v>8</v>
      </c>
      <c r="J48" s="1">
        <v>2</v>
      </c>
      <c r="K48" s="11">
        <f t="shared" si="23"/>
        <v>8</v>
      </c>
      <c r="L48" s="11"/>
      <c r="M48" s="21">
        <f t="shared" si="24"/>
        <v>8</v>
      </c>
    </row>
    <row r="49" spans="2:13" x14ac:dyDescent="0.3">
      <c r="B49" s="102" t="s">
        <v>28</v>
      </c>
      <c r="C49" s="103"/>
      <c r="D49" s="103"/>
      <c r="E49" s="103"/>
      <c r="F49" s="104"/>
      <c r="G49" s="17">
        <f>SUM(G44:G48)</f>
        <v>28</v>
      </c>
      <c r="H49" s="17">
        <f>SUM(H44:H48)</f>
        <v>25</v>
      </c>
      <c r="I49" s="21">
        <f>SUM(I41:I48)</f>
        <v>16</v>
      </c>
      <c r="J49" s="38" t="s">
        <v>28</v>
      </c>
      <c r="K49" s="17">
        <f>SUM(K44:K48)</f>
        <v>28</v>
      </c>
      <c r="L49" s="17">
        <f>SUM(L44:L48)</f>
        <v>25</v>
      </c>
      <c r="M49" s="21">
        <f>SUM(M41:M48)</f>
        <v>16</v>
      </c>
    </row>
    <row r="50" spans="2:13" x14ac:dyDescent="0.3">
      <c r="B50" s="155" t="s">
        <v>63</v>
      </c>
      <c r="C50" s="156"/>
      <c r="D50" s="12"/>
      <c r="E50" s="12"/>
      <c r="F50" s="15"/>
      <c r="G50" s="16"/>
      <c r="H50" s="16"/>
      <c r="I50" s="1"/>
      <c r="J50" s="15"/>
      <c r="K50" s="16"/>
      <c r="L50" s="16"/>
      <c r="M50" s="1"/>
    </row>
    <row r="51" spans="2:13" x14ac:dyDescent="0.3">
      <c r="B51" s="2">
        <v>1</v>
      </c>
      <c r="C51" s="3" t="s">
        <v>5</v>
      </c>
      <c r="D51" s="2">
        <v>1</v>
      </c>
      <c r="E51" s="2"/>
      <c r="F51" s="2">
        <v>5</v>
      </c>
      <c r="G51" s="14"/>
      <c r="H51" s="14">
        <f t="shared" ref="H51" si="25">D51*F51</f>
        <v>5</v>
      </c>
      <c r="I51" s="1"/>
      <c r="J51" s="2">
        <v>5</v>
      </c>
      <c r="K51" s="14"/>
      <c r="L51" s="14">
        <f>J51*D51</f>
        <v>5</v>
      </c>
      <c r="M51" s="1"/>
    </row>
    <row r="52" spans="2:13" x14ac:dyDescent="0.3">
      <c r="B52" s="1">
        <v>2</v>
      </c>
      <c r="C52" s="7" t="s">
        <v>9</v>
      </c>
      <c r="D52" s="1">
        <v>3</v>
      </c>
      <c r="E52" s="1"/>
      <c r="F52" s="1">
        <v>2</v>
      </c>
      <c r="G52" s="11">
        <f t="shared" ref="G52" si="26">D52*F52</f>
        <v>6</v>
      </c>
      <c r="H52" s="11"/>
      <c r="I52" s="1"/>
      <c r="J52" s="1">
        <v>2</v>
      </c>
      <c r="K52" s="11">
        <f>J52*D52</f>
        <v>6</v>
      </c>
      <c r="L52" s="11"/>
      <c r="M52" s="1"/>
    </row>
    <row r="53" spans="2:13" x14ac:dyDescent="0.3">
      <c r="B53" s="102" t="s">
        <v>64</v>
      </c>
      <c r="C53" s="103"/>
      <c r="D53" s="103"/>
      <c r="E53" s="103"/>
      <c r="F53" s="104"/>
      <c r="G53" s="17">
        <f>SUM(G51:G52)</f>
        <v>6</v>
      </c>
      <c r="H53" s="17">
        <f>SUM(H51:H52)</f>
        <v>5</v>
      </c>
      <c r="I53" s="1"/>
      <c r="J53" s="38" t="s">
        <v>64</v>
      </c>
      <c r="K53" s="17">
        <f>SUM(K51:K52)</f>
        <v>6</v>
      </c>
      <c r="L53" s="17">
        <f>SUM(L51:L52)</f>
        <v>5</v>
      </c>
      <c r="M53" s="1"/>
    </row>
    <row r="54" spans="2:13" x14ac:dyDescent="0.3">
      <c r="B54" s="155" t="s">
        <v>29</v>
      </c>
      <c r="C54" s="156"/>
      <c r="D54" s="12"/>
      <c r="E54" s="12"/>
      <c r="F54" s="15"/>
      <c r="G54" s="16"/>
      <c r="H54" s="16"/>
      <c r="I54" s="1"/>
      <c r="J54" s="15"/>
      <c r="K54" s="16"/>
      <c r="L54" s="16"/>
      <c r="M54" s="1"/>
    </row>
    <row r="55" spans="2:13" x14ac:dyDescent="0.3">
      <c r="B55" s="2">
        <v>1</v>
      </c>
      <c r="C55" s="3" t="s">
        <v>5</v>
      </c>
      <c r="D55" s="2">
        <v>5</v>
      </c>
      <c r="E55" s="20"/>
      <c r="F55" s="2">
        <v>5</v>
      </c>
      <c r="G55" s="14"/>
      <c r="H55" s="14">
        <f t="shared" ref="H55" si="27">D55*F55</f>
        <v>25</v>
      </c>
      <c r="I55" s="21"/>
      <c r="J55" s="2">
        <v>5</v>
      </c>
      <c r="K55" s="14"/>
      <c r="L55" s="14">
        <f>J55*D55</f>
        <v>25</v>
      </c>
      <c r="M55" s="21"/>
    </row>
    <row r="56" spans="2:13" x14ac:dyDescent="0.3">
      <c r="B56" s="1">
        <v>2</v>
      </c>
      <c r="C56" s="7" t="s">
        <v>9</v>
      </c>
      <c r="D56" s="1">
        <v>5</v>
      </c>
      <c r="E56" s="21"/>
      <c r="F56" s="1">
        <v>2</v>
      </c>
      <c r="G56" s="11">
        <f t="shared" ref="G56:G58" si="28">D56*F56</f>
        <v>10</v>
      </c>
      <c r="H56" s="11"/>
      <c r="I56" s="21"/>
      <c r="J56" s="1">
        <v>2</v>
      </c>
      <c r="K56" s="11">
        <f>J56*D56</f>
        <v>10</v>
      </c>
      <c r="L56" s="11"/>
      <c r="M56" s="21"/>
    </row>
    <row r="57" spans="2:13" x14ac:dyDescent="0.3">
      <c r="B57" s="1">
        <v>3</v>
      </c>
      <c r="C57" s="7" t="s">
        <v>4</v>
      </c>
      <c r="D57" s="1">
        <v>5</v>
      </c>
      <c r="E57" s="21">
        <v>4</v>
      </c>
      <c r="F57" s="1">
        <v>2</v>
      </c>
      <c r="G57" s="11">
        <f t="shared" si="28"/>
        <v>10</v>
      </c>
      <c r="H57" s="11"/>
      <c r="I57" s="21">
        <f>E57*F57</f>
        <v>8</v>
      </c>
      <c r="J57" s="1">
        <v>2</v>
      </c>
      <c r="K57" s="11">
        <f t="shared" ref="K57:K58" si="29">J57*D57</f>
        <v>10</v>
      </c>
      <c r="L57" s="11"/>
      <c r="M57" s="21">
        <f t="shared" ref="M57:M58" si="30">E57*J57</f>
        <v>8</v>
      </c>
    </row>
    <row r="58" spans="2:13" x14ac:dyDescent="0.3">
      <c r="B58" s="1">
        <v>4</v>
      </c>
      <c r="C58" s="7" t="s">
        <v>60</v>
      </c>
      <c r="D58" s="1">
        <v>7</v>
      </c>
      <c r="E58" s="21">
        <v>3</v>
      </c>
      <c r="F58" s="1">
        <v>3</v>
      </c>
      <c r="G58" s="11">
        <f t="shared" si="28"/>
        <v>21</v>
      </c>
      <c r="H58" s="11"/>
      <c r="I58" s="21">
        <f>E58*F58</f>
        <v>9</v>
      </c>
      <c r="J58" s="1">
        <v>3</v>
      </c>
      <c r="K58" s="11">
        <f t="shared" si="29"/>
        <v>21</v>
      </c>
      <c r="L58" s="11"/>
      <c r="M58" s="21">
        <f t="shared" si="30"/>
        <v>9</v>
      </c>
    </row>
    <row r="59" spans="2:13" x14ac:dyDescent="0.3">
      <c r="B59" s="102" t="s">
        <v>30</v>
      </c>
      <c r="C59" s="103"/>
      <c r="D59" s="103"/>
      <c r="E59" s="103"/>
      <c r="F59" s="104"/>
      <c r="G59" s="17">
        <f>SUM(G55:G58)</f>
        <v>41</v>
      </c>
      <c r="H59" s="17">
        <f>SUM(H55:H58)</f>
        <v>25</v>
      </c>
      <c r="I59" s="21">
        <f>SUM(I51:I58)</f>
        <v>17</v>
      </c>
      <c r="J59" s="38" t="s">
        <v>30</v>
      </c>
      <c r="K59" s="17">
        <f>SUM(K55:K58)</f>
        <v>41</v>
      </c>
      <c r="L59" s="17">
        <f>SUM(L55:L58)</f>
        <v>25</v>
      </c>
      <c r="M59" s="21">
        <f>SUM(M55:M58)</f>
        <v>17</v>
      </c>
    </row>
    <row r="60" spans="2:13" x14ac:dyDescent="0.3">
      <c r="B60" s="155" t="s">
        <v>65</v>
      </c>
      <c r="C60" s="156"/>
      <c r="D60" s="12"/>
      <c r="E60" s="12"/>
      <c r="F60" s="15"/>
      <c r="G60" s="16"/>
      <c r="H60" s="16"/>
      <c r="I60" s="1"/>
      <c r="J60" s="15"/>
      <c r="K60" s="16"/>
      <c r="L60" s="16"/>
      <c r="M60" s="1"/>
    </row>
    <row r="61" spans="2:13" x14ac:dyDescent="0.3">
      <c r="B61" s="2">
        <v>1</v>
      </c>
      <c r="C61" s="3" t="s">
        <v>5</v>
      </c>
      <c r="D61" s="2">
        <v>1</v>
      </c>
      <c r="E61" s="2"/>
      <c r="F61" s="2">
        <v>5</v>
      </c>
      <c r="G61" s="14"/>
      <c r="H61" s="14">
        <f t="shared" ref="H61" si="31">D61*F61</f>
        <v>5</v>
      </c>
      <c r="I61" s="1"/>
      <c r="J61" s="2">
        <v>5</v>
      </c>
      <c r="K61" s="14"/>
      <c r="L61" s="14">
        <f>J61*D61</f>
        <v>5</v>
      </c>
      <c r="M61" s="1"/>
    </row>
    <row r="62" spans="2:13" x14ac:dyDescent="0.3">
      <c r="B62" s="1">
        <v>2</v>
      </c>
      <c r="C62" s="7" t="s">
        <v>9</v>
      </c>
      <c r="D62" s="1">
        <v>3</v>
      </c>
      <c r="E62" s="1"/>
      <c r="F62" s="1">
        <v>2</v>
      </c>
      <c r="G62" s="11">
        <f t="shared" ref="G62" si="32">D62*F62</f>
        <v>6</v>
      </c>
      <c r="H62" s="11"/>
      <c r="I62" s="1"/>
      <c r="J62" s="1">
        <v>2</v>
      </c>
      <c r="K62" s="11">
        <f>J62*D62</f>
        <v>6</v>
      </c>
      <c r="L62" s="11"/>
      <c r="M62" s="1"/>
    </row>
    <row r="63" spans="2:13" x14ac:dyDescent="0.3">
      <c r="B63" s="102" t="s">
        <v>66</v>
      </c>
      <c r="C63" s="103"/>
      <c r="D63" s="103"/>
      <c r="E63" s="103"/>
      <c r="F63" s="104"/>
      <c r="G63" s="17">
        <f>SUM(G61:G62)</f>
        <v>6</v>
      </c>
      <c r="H63" s="17">
        <f>SUM(H61:H62)</f>
        <v>5</v>
      </c>
      <c r="I63" s="1"/>
      <c r="J63" s="38" t="s">
        <v>66</v>
      </c>
      <c r="K63" s="17">
        <f>SUM(K61:K62)</f>
        <v>6</v>
      </c>
      <c r="L63" s="17">
        <f>SUM(L61:L62)</f>
        <v>5</v>
      </c>
      <c r="M63" s="1"/>
    </row>
    <row r="64" spans="2:13" x14ac:dyDescent="0.3">
      <c r="B64" s="155" t="s">
        <v>31</v>
      </c>
      <c r="C64" s="156"/>
      <c r="D64" s="12"/>
      <c r="E64" s="12"/>
      <c r="F64" s="15"/>
      <c r="G64" s="16"/>
      <c r="H64" s="16"/>
      <c r="I64" s="1"/>
      <c r="J64" s="15"/>
      <c r="K64" s="16"/>
      <c r="L64" s="16"/>
      <c r="M64" s="1"/>
    </row>
    <row r="65" spans="2:13" x14ac:dyDescent="0.3">
      <c r="B65" s="2">
        <v>1</v>
      </c>
      <c r="C65" s="3" t="s">
        <v>5</v>
      </c>
      <c r="D65" s="2">
        <v>9</v>
      </c>
      <c r="E65" s="20"/>
      <c r="F65" s="2">
        <v>5</v>
      </c>
      <c r="G65" s="14"/>
      <c r="H65" s="14">
        <f t="shared" ref="H65" si="33">D65*F65</f>
        <v>45</v>
      </c>
      <c r="I65" s="21"/>
      <c r="J65" s="2">
        <v>5</v>
      </c>
      <c r="K65" s="14"/>
      <c r="L65" s="14">
        <f>J65*D65</f>
        <v>45</v>
      </c>
      <c r="M65" s="21"/>
    </row>
    <row r="66" spans="2:13" x14ac:dyDescent="0.3">
      <c r="B66" s="2">
        <v>2</v>
      </c>
      <c r="C66" s="3" t="s">
        <v>24</v>
      </c>
      <c r="D66" s="2">
        <v>2</v>
      </c>
      <c r="E66" s="20"/>
      <c r="F66" s="2">
        <v>10</v>
      </c>
      <c r="G66" s="14">
        <f>D66*F66</f>
        <v>20</v>
      </c>
      <c r="H66" s="14"/>
      <c r="I66" s="21"/>
      <c r="J66" s="2">
        <v>10</v>
      </c>
      <c r="K66" s="14">
        <f>J66*D66</f>
        <v>20</v>
      </c>
      <c r="L66" s="14"/>
      <c r="M66" s="21"/>
    </row>
    <row r="67" spans="2:13" x14ac:dyDescent="0.3">
      <c r="B67" s="1">
        <v>3</v>
      </c>
      <c r="C67" s="7" t="s">
        <v>9</v>
      </c>
      <c r="D67" s="1">
        <v>15</v>
      </c>
      <c r="E67" s="21"/>
      <c r="F67" s="1">
        <v>2</v>
      </c>
      <c r="G67" s="11">
        <f t="shared" ref="G67:G72" si="34">D67*F67</f>
        <v>30</v>
      </c>
      <c r="H67" s="11"/>
      <c r="I67" s="21"/>
      <c r="J67" s="1">
        <v>2</v>
      </c>
      <c r="K67" s="14">
        <f t="shared" ref="K67:K72" si="35">J67*D67</f>
        <v>30</v>
      </c>
      <c r="L67" s="11"/>
      <c r="M67" s="21"/>
    </row>
    <row r="68" spans="2:13" x14ac:dyDescent="0.3">
      <c r="B68" s="1">
        <v>4</v>
      </c>
      <c r="C68" s="7" t="s">
        <v>16</v>
      </c>
      <c r="D68" s="1">
        <v>1</v>
      </c>
      <c r="E68" s="21"/>
      <c r="F68" s="1">
        <v>5</v>
      </c>
      <c r="G68" s="11">
        <f t="shared" si="34"/>
        <v>5</v>
      </c>
      <c r="H68" s="11"/>
      <c r="I68" s="21"/>
      <c r="J68" s="1">
        <v>5</v>
      </c>
      <c r="K68" s="14">
        <f t="shared" si="35"/>
        <v>5</v>
      </c>
      <c r="L68" s="11"/>
      <c r="M68" s="21"/>
    </row>
    <row r="69" spans="2:13" x14ac:dyDescent="0.3">
      <c r="B69" s="1">
        <v>5</v>
      </c>
      <c r="C69" s="7" t="s">
        <v>4</v>
      </c>
      <c r="D69" s="1">
        <v>12</v>
      </c>
      <c r="E69" s="21">
        <v>10</v>
      </c>
      <c r="F69" s="1">
        <v>2</v>
      </c>
      <c r="G69" s="11">
        <f t="shared" si="34"/>
        <v>24</v>
      </c>
      <c r="H69" s="11"/>
      <c r="I69" s="21">
        <f>E69*F69</f>
        <v>20</v>
      </c>
      <c r="J69" s="1">
        <v>2</v>
      </c>
      <c r="K69" s="14">
        <f t="shared" si="35"/>
        <v>24</v>
      </c>
      <c r="L69" s="11"/>
      <c r="M69" s="21">
        <f t="shared" ref="M69:M72" si="36">E69*J69</f>
        <v>20</v>
      </c>
    </row>
    <row r="70" spans="2:13" x14ac:dyDescent="0.3">
      <c r="B70" s="1">
        <v>6</v>
      </c>
      <c r="C70" s="7" t="s">
        <v>21</v>
      </c>
      <c r="D70" s="1">
        <v>1</v>
      </c>
      <c r="E70" s="21"/>
      <c r="F70" s="1">
        <v>3</v>
      </c>
      <c r="G70" s="11">
        <f t="shared" si="34"/>
        <v>3</v>
      </c>
      <c r="H70" s="11"/>
      <c r="I70" s="21"/>
      <c r="J70" s="1">
        <v>3</v>
      </c>
      <c r="K70" s="14">
        <f t="shared" si="35"/>
        <v>3</v>
      </c>
      <c r="L70" s="11"/>
      <c r="M70" s="21"/>
    </row>
    <row r="71" spans="2:13" x14ac:dyDescent="0.3">
      <c r="B71" s="1">
        <v>7</v>
      </c>
      <c r="C71" s="7" t="s">
        <v>67</v>
      </c>
      <c r="D71" s="1">
        <v>1</v>
      </c>
      <c r="E71" s="21">
        <v>1</v>
      </c>
      <c r="F71" s="1">
        <v>2</v>
      </c>
      <c r="G71" s="11">
        <f t="shared" si="34"/>
        <v>2</v>
      </c>
      <c r="H71" s="11"/>
      <c r="I71" s="21">
        <f t="shared" ref="I71:I72" si="37">E71*F71</f>
        <v>2</v>
      </c>
      <c r="J71" s="1">
        <v>2</v>
      </c>
      <c r="K71" s="14">
        <f t="shared" si="35"/>
        <v>2</v>
      </c>
      <c r="L71" s="11"/>
      <c r="M71" s="21">
        <f t="shared" si="36"/>
        <v>2</v>
      </c>
    </row>
    <row r="72" spans="2:13" x14ac:dyDescent="0.3">
      <c r="B72" s="1">
        <v>8</v>
      </c>
      <c r="C72" s="7" t="s">
        <v>10</v>
      </c>
      <c r="D72" s="1">
        <v>2</v>
      </c>
      <c r="E72" s="21">
        <v>10</v>
      </c>
      <c r="F72" s="1">
        <v>2</v>
      </c>
      <c r="G72" s="11">
        <f t="shared" si="34"/>
        <v>4</v>
      </c>
      <c r="H72" s="11"/>
      <c r="I72" s="21">
        <f t="shared" si="37"/>
        <v>20</v>
      </c>
      <c r="J72" s="1">
        <v>2</v>
      </c>
      <c r="K72" s="14">
        <f t="shared" si="35"/>
        <v>4</v>
      </c>
      <c r="L72" s="11"/>
      <c r="M72" s="21">
        <f t="shared" si="36"/>
        <v>20</v>
      </c>
    </row>
    <row r="73" spans="2:13" x14ac:dyDescent="0.3">
      <c r="B73" s="102" t="s">
        <v>32</v>
      </c>
      <c r="C73" s="103"/>
      <c r="D73" s="103"/>
      <c r="E73" s="103"/>
      <c r="F73" s="104"/>
      <c r="G73" s="17">
        <f>SUM(G65:G72)</f>
        <v>88</v>
      </c>
      <c r="H73" s="17">
        <f>SUM(H65:H72)</f>
        <v>45</v>
      </c>
      <c r="I73" s="21">
        <f>SUM(I65:I72)</f>
        <v>42</v>
      </c>
      <c r="J73" s="38" t="s">
        <v>32</v>
      </c>
      <c r="K73" s="17">
        <f>SUM(K65:K72)</f>
        <v>88</v>
      </c>
      <c r="L73" s="17">
        <f>SUM(L65:L72)</f>
        <v>45</v>
      </c>
      <c r="M73" s="21">
        <f>SUM(M65:M72)</f>
        <v>42</v>
      </c>
    </row>
    <row r="74" spans="2:13" x14ac:dyDescent="0.3">
      <c r="B74" s="155" t="s">
        <v>39</v>
      </c>
      <c r="C74" s="156"/>
      <c r="D74" s="12"/>
      <c r="E74" s="12"/>
      <c r="F74" s="15"/>
      <c r="G74" s="16"/>
      <c r="H74" s="16"/>
      <c r="I74" s="1"/>
      <c r="J74" s="15"/>
      <c r="K74" s="16"/>
      <c r="L74" s="16"/>
      <c r="M74" s="1"/>
    </row>
    <row r="75" spans="2:13" x14ac:dyDescent="0.3">
      <c r="B75" s="2">
        <v>1</v>
      </c>
      <c r="C75" s="3" t="s">
        <v>5</v>
      </c>
      <c r="D75" s="2">
        <v>22</v>
      </c>
      <c r="E75" s="20"/>
      <c r="F75" s="2">
        <v>5</v>
      </c>
      <c r="G75" s="14"/>
      <c r="H75" s="14">
        <f t="shared" ref="H75" si="38">D75*F75</f>
        <v>110</v>
      </c>
      <c r="I75" s="21"/>
      <c r="J75" s="2">
        <v>5</v>
      </c>
      <c r="K75" s="14"/>
      <c r="L75" s="14">
        <f>J75*D75</f>
        <v>110</v>
      </c>
      <c r="M75" s="21"/>
    </row>
    <row r="76" spans="2:13" x14ac:dyDescent="0.3">
      <c r="B76" s="1">
        <v>2</v>
      </c>
      <c r="C76" s="7" t="s">
        <v>9</v>
      </c>
      <c r="D76" s="1">
        <v>25</v>
      </c>
      <c r="E76" s="21"/>
      <c r="F76" s="1">
        <v>2</v>
      </c>
      <c r="G76" s="11">
        <f t="shared" ref="G76:G81" si="39">D76*F76</f>
        <v>50</v>
      </c>
      <c r="H76" s="11"/>
      <c r="I76" s="21"/>
      <c r="J76" s="1">
        <v>2</v>
      </c>
      <c r="K76" s="11">
        <f>J76*D76</f>
        <v>50</v>
      </c>
      <c r="L76" s="11"/>
      <c r="M76" s="21"/>
    </row>
    <row r="77" spans="2:13" x14ac:dyDescent="0.3">
      <c r="B77" s="1">
        <v>3</v>
      </c>
      <c r="C77" s="7" t="s">
        <v>4</v>
      </c>
      <c r="D77" s="1">
        <v>29</v>
      </c>
      <c r="E77" s="21">
        <v>25</v>
      </c>
      <c r="F77" s="1">
        <v>2</v>
      </c>
      <c r="G77" s="11">
        <f t="shared" si="39"/>
        <v>58</v>
      </c>
      <c r="H77" s="11"/>
      <c r="I77" s="21">
        <f>E77*F77</f>
        <v>50</v>
      </c>
      <c r="J77" s="1">
        <v>2</v>
      </c>
      <c r="K77" s="11">
        <f t="shared" ref="K77:K81" si="40">J77*D77</f>
        <v>58</v>
      </c>
      <c r="L77" s="11"/>
      <c r="M77" s="21">
        <f t="shared" ref="M77:M81" si="41">E77*J77</f>
        <v>50</v>
      </c>
    </row>
    <row r="78" spans="2:13" x14ac:dyDescent="0.3">
      <c r="B78" s="1">
        <v>4</v>
      </c>
      <c r="C78" s="7" t="s">
        <v>21</v>
      </c>
      <c r="D78" s="1">
        <v>1</v>
      </c>
      <c r="E78" s="21"/>
      <c r="F78" s="1">
        <v>3</v>
      </c>
      <c r="G78" s="11">
        <f t="shared" si="39"/>
        <v>3</v>
      </c>
      <c r="H78" s="11"/>
      <c r="I78" s="21"/>
      <c r="J78" s="1">
        <v>3</v>
      </c>
      <c r="K78" s="11">
        <f t="shared" si="40"/>
        <v>3</v>
      </c>
      <c r="L78" s="11"/>
      <c r="M78" s="21"/>
    </row>
    <row r="79" spans="2:13" x14ac:dyDescent="0.3">
      <c r="B79" s="1">
        <v>5</v>
      </c>
      <c r="C79" s="7" t="s">
        <v>60</v>
      </c>
      <c r="D79" s="1">
        <v>2</v>
      </c>
      <c r="E79" s="21">
        <v>2</v>
      </c>
      <c r="F79" s="1">
        <v>3</v>
      </c>
      <c r="G79" s="11">
        <f t="shared" si="39"/>
        <v>6</v>
      </c>
      <c r="H79" s="11"/>
      <c r="I79" s="21">
        <f t="shared" ref="I79:I81" si="42">E79*F79</f>
        <v>6</v>
      </c>
      <c r="J79" s="1">
        <v>3</v>
      </c>
      <c r="K79" s="11">
        <f t="shared" si="40"/>
        <v>6</v>
      </c>
      <c r="L79" s="11"/>
      <c r="M79" s="21">
        <f t="shared" si="41"/>
        <v>6</v>
      </c>
    </row>
    <row r="80" spans="2:13" x14ac:dyDescent="0.3">
      <c r="B80" s="1">
        <v>6</v>
      </c>
      <c r="C80" s="7" t="s">
        <v>67</v>
      </c>
      <c r="D80" s="1">
        <v>2</v>
      </c>
      <c r="E80" s="21">
        <v>2</v>
      </c>
      <c r="F80" s="1">
        <v>2</v>
      </c>
      <c r="G80" s="11">
        <f t="shared" si="39"/>
        <v>4</v>
      </c>
      <c r="H80" s="11"/>
      <c r="I80" s="21">
        <f t="shared" si="42"/>
        <v>4</v>
      </c>
      <c r="J80" s="1">
        <v>2</v>
      </c>
      <c r="K80" s="11">
        <f t="shared" si="40"/>
        <v>4</v>
      </c>
      <c r="L80" s="11"/>
      <c r="M80" s="21">
        <f t="shared" si="41"/>
        <v>4</v>
      </c>
    </row>
    <row r="81" spans="2:13" x14ac:dyDescent="0.3">
      <c r="B81" s="1">
        <v>7</v>
      </c>
      <c r="C81" s="7" t="s">
        <v>10</v>
      </c>
      <c r="D81" s="1">
        <v>20</v>
      </c>
      <c r="E81" s="21">
        <v>20</v>
      </c>
      <c r="F81" s="1">
        <v>2</v>
      </c>
      <c r="G81" s="11">
        <f t="shared" si="39"/>
        <v>40</v>
      </c>
      <c r="H81" s="11"/>
      <c r="I81" s="21">
        <f t="shared" si="42"/>
        <v>40</v>
      </c>
      <c r="J81" s="1">
        <v>2</v>
      </c>
      <c r="K81" s="11">
        <f t="shared" si="40"/>
        <v>40</v>
      </c>
      <c r="L81" s="11"/>
      <c r="M81" s="21">
        <f t="shared" si="41"/>
        <v>40</v>
      </c>
    </row>
    <row r="82" spans="2:13" x14ac:dyDescent="0.3">
      <c r="B82" s="102" t="s">
        <v>40</v>
      </c>
      <c r="C82" s="103"/>
      <c r="D82" s="103"/>
      <c r="E82" s="103"/>
      <c r="F82" s="104"/>
      <c r="G82" s="17">
        <f>SUM(G75:G81)</f>
        <v>161</v>
      </c>
      <c r="H82" s="17">
        <f>SUM(H75:H81)</f>
        <v>110</v>
      </c>
      <c r="I82" s="23">
        <f>SUM(I76:I81)</f>
        <v>100</v>
      </c>
      <c r="J82" s="38" t="s">
        <v>40</v>
      </c>
      <c r="K82" s="17">
        <f>SUM(K75:K81)</f>
        <v>161</v>
      </c>
      <c r="L82" s="17">
        <f>SUM(L75:L81)</f>
        <v>110</v>
      </c>
      <c r="M82" s="23">
        <f>SUM(M76:M81)</f>
        <v>100</v>
      </c>
    </row>
    <row r="83" spans="2:13" x14ac:dyDescent="0.3">
      <c r="B83" s="155" t="s">
        <v>68</v>
      </c>
      <c r="C83" s="156"/>
      <c r="D83" s="12"/>
      <c r="E83" s="12"/>
      <c r="F83" s="15"/>
      <c r="G83" s="16"/>
      <c r="H83" s="16"/>
      <c r="I83" s="1"/>
      <c r="J83" s="15"/>
      <c r="K83" s="16"/>
      <c r="L83" s="16"/>
      <c r="M83" s="1"/>
    </row>
    <row r="84" spans="2:13" x14ac:dyDescent="0.3">
      <c r="B84" s="2">
        <v>1</v>
      </c>
      <c r="C84" s="3" t="s">
        <v>5</v>
      </c>
      <c r="D84" s="2">
        <v>20</v>
      </c>
      <c r="E84" s="20"/>
      <c r="F84" s="2">
        <v>5</v>
      </c>
      <c r="G84" s="14"/>
      <c r="H84" s="14">
        <f t="shared" ref="H84" si="43">D84*F84</f>
        <v>100</v>
      </c>
      <c r="I84" s="21"/>
      <c r="J84" s="2">
        <v>5</v>
      </c>
      <c r="K84" s="14"/>
      <c r="L84" s="14">
        <f>J84*D84</f>
        <v>100</v>
      </c>
      <c r="M84" s="21"/>
    </row>
    <row r="85" spans="2:13" x14ac:dyDescent="0.3">
      <c r="B85" s="2">
        <v>2</v>
      </c>
      <c r="C85" s="3" t="s">
        <v>24</v>
      </c>
      <c r="D85" s="2">
        <v>3</v>
      </c>
      <c r="E85" s="20"/>
      <c r="F85" s="2">
        <v>10</v>
      </c>
      <c r="G85" s="14">
        <f>D85*F85</f>
        <v>30</v>
      </c>
      <c r="H85" s="14"/>
      <c r="I85" s="21"/>
      <c r="J85" s="2">
        <v>10</v>
      </c>
      <c r="K85" s="14">
        <f>J85*D85</f>
        <v>30</v>
      </c>
      <c r="L85" s="14"/>
      <c r="M85" s="21"/>
    </row>
    <row r="86" spans="2:13" x14ac:dyDescent="0.3">
      <c r="B86" s="1">
        <v>3</v>
      </c>
      <c r="C86" s="7" t="s">
        <v>9</v>
      </c>
      <c r="D86" s="1">
        <v>23</v>
      </c>
      <c r="E86" s="21"/>
      <c r="F86" s="1">
        <v>2</v>
      </c>
      <c r="G86" s="11">
        <f t="shared" ref="G86:G90" si="44">D86*F86</f>
        <v>46</v>
      </c>
      <c r="H86" s="11"/>
      <c r="I86" s="21"/>
      <c r="J86" s="1">
        <v>2</v>
      </c>
      <c r="K86" s="14">
        <f t="shared" ref="K86:K90" si="45">J86*D86</f>
        <v>46</v>
      </c>
      <c r="L86" s="11"/>
      <c r="M86" s="21"/>
    </row>
    <row r="87" spans="2:13" x14ac:dyDescent="0.3">
      <c r="B87" s="1">
        <v>4</v>
      </c>
      <c r="C87" s="7" t="s">
        <v>4</v>
      </c>
      <c r="D87" s="1">
        <v>19</v>
      </c>
      <c r="E87" s="21">
        <v>18</v>
      </c>
      <c r="F87" s="1">
        <v>2</v>
      </c>
      <c r="G87" s="11">
        <f t="shared" si="44"/>
        <v>38</v>
      </c>
      <c r="H87" s="11"/>
      <c r="I87" s="21">
        <f>E87*F87</f>
        <v>36</v>
      </c>
      <c r="J87" s="1">
        <v>2</v>
      </c>
      <c r="K87" s="14">
        <f t="shared" si="45"/>
        <v>38</v>
      </c>
      <c r="L87" s="11"/>
      <c r="M87" s="21">
        <f t="shared" ref="M87:M90" si="46">E87*J87</f>
        <v>36</v>
      </c>
    </row>
    <row r="88" spans="2:13" x14ac:dyDescent="0.3">
      <c r="B88" s="1">
        <v>5</v>
      </c>
      <c r="C88" s="7" t="s">
        <v>21</v>
      </c>
      <c r="D88" s="1">
        <v>1</v>
      </c>
      <c r="E88" s="21"/>
      <c r="F88" s="1">
        <v>3</v>
      </c>
      <c r="G88" s="11">
        <f t="shared" si="44"/>
        <v>3</v>
      </c>
      <c r="H88" s="11"/>
      <c r="I88" s="21"/>
      <c r="J88" s="1">
        <v>3</v>
      </c>
      <c r="K88" s="14">
        <f t="shared" si="45"/>
        <v>3</v>
      </c>
      <c r="L88" s="11"/>
      <c r="M88" s="21"/>
    </row>
    <row r="89" spans="2:13" ht="15.6" customHeight="1" x14ac:dyDescent="0.3">
      <c r="B89" s="1">
        <v>6</v>
      </c>
      <c r="C89" s="7" t="s">
        <v>67</v>
      </c>
      <c r="D89" s="1">
        <v>1</v>
      </c>
      <c r="E89" s="21">
        <v>1</v>
      </c>
      <c r="F89" s="1">
        <v>2</v>
      </c>
      <c r="G89" s="11">
        <f t="shared" si="44"/>
        <v>2</v>
      </c>
      <c r="H89" s="11"/>
      <c r="I89" s="21">
        <f t="shared" ref="I89:I90" si="47">E89*F89</f>
        <v>2</v>
      </c>
      <c r="J89" s="1">
        <v>2</v>
      </c>
      <c r="K89" s="14">
        <f t="shared" si="45"/>
        <v>2</v>
      </c>
      <c r="L89" s="11"/>
      <c r="M89" s="21">
        <f t="shared" si="46"/>
        <v>2</v>
      </c>
    </row>
    <row r="90" spans="2:13" x14ac:dyDescent="0.3">
      <c r="B90" s="1">
        <v>7</v>
      </c>
      <c r="C90" s="7" t="s">
        <v>10</v>
      </c>
      <c r="D90" s="1">
        <v>15</v>
      </c>
      <c r="E90" s="21">
        <v>15</v>
      </c>
      <c r="F90" s="1">
        <v>2</v>
      </c>
      <c r="G90" s="11">
        <f t="shared" si="44"/>
        <v>30</v>
      </c>
      <c r="H90" s="11"/>
      <c r="I90" s="21">
        <f t="shared" si="47"/>
        <v>30</v>
      </c>
      <c r="J90" s="1">
        <v>2</v>
      </c>
      <c r="K90" s="14">
        <f t="shared" si="45"/>
        <v>30</v>
      </c>
      <c r="L90" s="11"/>
      <c r="M90" s="21">
        <f t="shared" si="46"/>
        <v>30</v>
      </c>
    </row>
    <row r="91" spans="2:13" x14ac:dyDescent="0.3">
      <c r="B91" s="102" t="s">
        <v>69</v>
      </c>
      <c r="C91" s="103"/>
      <c r="D91" s="103"/>
      <c r="E91" s="103"/>
      <c r="F91" s="104"/>
      <c r="G91" s="17">
        <f>SUM(G84:G90)</f>
        <v>149</v>
      </c>
      <c r="H91" s="17">
        <f>SUM(H84:H90)</f>
        <v>100</v>
      </c>
      <c r="I91" s="23">
        <f>SUM(I85:I90)</f>
        <v>68</v>
      </c>
      <c r="J91" s="38" t="s">
        <v>88</v>
      </c>
      <c r="K91" s="17">
        <f>SUM(K84:K90)</f>
        <v>149</v>
      </c>
      <c r="L91" s="17">
        <f>SUM(L84:L90)</f>
        <v>100</v>
      </c>
      <c r="M91" s="23">
        <f>SUM(M85:M90)</f>
        <v>68</v>
      </c>
    </row>
    <row r="92" spans="2:13" x14ac:dyDescent="0.3">
      <c r="B92" s="155" t="s">
        <v>41</v>
      </c>
      <c r="C92" s="156"/>
      <c r="D92" s="12"/>
      <c r="E92" s="12"/>
      <c r="F92" s="15"/>
      <c r="G92" s="16"/>
      <c r="H92" s="16"/>
      <c r="I92" s="1"/>
      <c r="J92" s="15"/>
      <c r="K92" s="16"/>
      <c r="L92" s="16"/>
      <c r="M92" s="1"/>
    </row>
    <row r="93" spans="2:13" x14ac:dyDescent="0.3">
      <c r="B93" s="2">
        <v>1</v>
      </c>
      <c r="C93" s="3" t="s">
        <v>5</v>
      </c>
      <c r="D93" s="2">
        <v>18</v>
      </c>
      <c r="E93" s="20"/>
      <c r="F93" s="2">
        <v>5</v>
      </c>
      <c r="G93" s="14"/>
      <c r="H93" s="14">
        <f t="shared" ref="H93" si="48">D93*F93</f>
        <v>90</v>
      </c>
      <c r="I93" s="21"/>
      <c r="J93" s="2">
        <v>5</v>
      </c>
      <c r="K93" s="14"/>
      <c r="L93" s="14">
        <f>J93*D93</f>
        <v>90</v>
      </c>
      <c r="M93" s="21"/>
    </row>
    <row r="94" spans="2:13" x14ac:dyDescent="0.3">
      <c r="B94" s="1">
        <v>2</v>
      </c>
      <c r="C94" s="7" t="s">
        <v>9</v>
      </c>
      <c r="D94" s="1">
        <v>21</v>
      </c>
      <c r="E94" s="21"/>
      <c r="F94" s="1">
        <v>2</v>
      </c>
      <c r="G94" s="11">
        <f t="shared" ref="G94:G99" si="49">D94*F94</f>
        <v>42</v>
      </c>
      <c r="H94" s="11"/>
      <c r="I94" s="21"/>
      <c r="J94" s="1">
        <v>2</v>
      </c>
      <c r="K94" s="11">
        <f>J94*D94</f>
        <v>42</v>
      </c>
      <c r="L94" s="11"/>
      <c r="M94" s="21"/>
    </row>
    <row r="95" spans="2:13" x14ac:dyDescent="0.3">
      <c r="B95" s="1">
        <v>3</v>
      </c>
      <c r="C95" s="7" t="s">
        <v>4</v>
      </c>
      <c r="D95" s="1">
        <v>22</v>
      </c>
      <c r="E95" s="21">
        <v>21</v>
      </c>
      <c r="F95" s="1">
        <v>2</v>
      </c>
      <c r="G95" s="11">
        <f t="shared" si="49"/>
        <v>44</v>
      </c>
      <c r="H95" s="11"/>
      <c r="I95" s="21">
        <f>E95*F95</f>
        <v>42</v>
      </c>
      <c r="J95" s="1">
        <v>2</v>
      </c>
      <c r="K95" s="11">
        <f t="shared" ref="K95:K99" si="50">J95*D95</f>
        <v>44</v>
      </c>
      <c r="L95" s="11"/>
      <c r="M95" s="21">
        <f t="shared" ref="M95:M99" si="51">E95*J95</f>
        <v>42</v>
      </c>
    </row>
    <row r="96" spans="2:13" x14ac:dyDescent="0.3">
      <c r="B96" s="1">
        <v>4</v>
      </c>
      <c r="C96" s="7" t="s">
        <v>21</v>
      </c>
      <c r="D96" s="1">
        <v>1</v>
      </c>
      <c r="E96" s="21"/>
      <c r="F96" s="1">
        <v>3</v>
      </c>
      <c r="G96" s="11">
        <f t="shared" si="49"/>
        <v>3</v>
      </c>
      <c r="H96" s="11"/>
      <c r="I96" s="21"/>
      <c r="J96" s="1">
        <v>3</v>
      </c>
      <c r="K96" s="11">
        <f t="shared" si="50"/>
        <v>3</v>
      </c>
      <c r="L96" s="11"/>
      <c r="M96" s="21"/>
    </row>
    <row r="97" spans="2:13" x14ac:dyDescent="0.3">
      <c r="B97" s="1">
        <v>5</v>
      </c>
      <c r="C97" s="7" t="s">
        <v>60</v>
      </c>
      <c r="D97" s="1">
        <v>2</v>
      </c>
      <c r="E97" s="21">
        <v>2</v>
      </c>
      <c r="F97" s="1">
        <v>3</v>
      </c>
      <c r="G97" s="11">
        <f t="shared" si="49"/>
        <v>6</v>
      </c>
      <c r="H97" s="11"/>
      <c r="I97" s="21">
        <f t="shared" ref="I97:I99" si="52">E97*F97</f>
        <v>6</v>
      </c>
      <c r="J97" s="1">
        <v>3</v>
      </c>
      <c r="K97" s="11">
        <f t="shared" si="50"/>
        <v>6</v>
      </c>
      <c r="L97" s="11"/>
      <c r="M97" s="21">
        <f t="shared" si="51"/>
        <v>6</v>
      </c>
    </row>
    <row r="98" spans="2:13" x14ac:dyDescent="0.3">
      <c r="B98" s="1">
        <v>6</v>
      </c>
      <c r="C98" s="7" t="s">
        <v>67</v>
      </c>
      <c r="D98" s="1">
        <v>2</v>
      </c>
      <c r="E98" s="21">
        <v>2</v>
      </c>
      <c r="F98" s="1">
        <v>2</v>
      </c>
      <c r="G98" s="11">
        <f t="shared" si="49"/>
        <v>4</v>
      </c>
      <c r="H98" s="11"/>
      <c r="I98" s="21">
        <f t="shared" si="52"/>
        <v>4</v>
      </c>
      <c r="J98" s="1">
        <v>2</v>
      </c>
      <c r="K98" s="11">
        <f t="shared" si="50"/>
        <v>4</v>
      </c>
      <c r="L98" s="11"/>
      <c r="M98" s="21">
        <f t="shared" si="51"/>
        <v>4</v>
      </c>
    </row>
    <row r="99" spans="2:13" x14ac:dyDescent="0.3">
      <c r="B99" s="1">
        <v>7</v>
      </c>
      <c r="C99" s="7" t="s">
        <v>10</v>
      </c>
      <c r="D99" s="1">
        <v>16</v>
      </c>
      <c r="E99" s="21">
        <v>16</v>
      </c>
      <c r="F99" s="1">
        <v>2</v>
      </c>
      <c r="G99" s="11">
        <f t="shared" si="49"/>
        <v>32</v>
      </c>
      <c r="H99" s="11"/>
      <c r="I99" s="21">
        <f t="shared" si="52"/>
        <v>32</v>
      </c>
      <c r="J99" s="1">
        <v>2</v>
      </c>
      <c r="K99" s="11">
        <f t="shared" si="50"/>
        <v>32</v>
      </c>
      <c r="L99" s="11"/>
      <c r="M99" s="21">
        <f t="shared" si="51"/>
        <v>32</v>
      </c>
    </row>
    <row r="100" spans="2:13" x14ac:dyDescent="0.3">
      <c r="B100" s="102" t="s">
        <v>42</v>
      </c>
      <c r="C100" s="103"/>
      <c r="D100" s="103"/>
      <c r="E100" s="103"/>
      <c r="F100" s="104"/>
      <c r="G100" s="17">
        <f>SUM(G93:G99)</f>
        <v>131</v>
      </c>
      <c r="H100" s="17">
        <f>SUM(H93:H99)</f>
        <v>90</v>
      </c>
      <c r="I100" s="23">
        <f>SUM(I94:I99)</f>
        <v>84</v>
      </c>
      <c r="J100" s="38" t="s">
        <v>42</v>
      </c>
      <c r="K100" s="17">
        <f>SUM(K93:K99)</f>
        <v>131</v>
      </c>
      <c r="L100" s="17">
        <f>SUM(L93:L99)</f>
        <v>90</v>
      </c>
      <c r="M100" s="23">
        <f>SUM(M94:M99)</f>
        <v>84</v>
      </c>
    </row>
    <row r="101" spans="2:13" x14ac:dyDescent="0.3">
      <c r="B101" s="155" t="s">
        <v>70</v>
      </c>
      <c r="C101" s="156"/>
      <c r="D101" s="12"/>
      <c r="E101" s="12"/>
      <c r="F101" s="15"/>
      <c r="G101" s="16"/>
      <c r="H101" s="16"/>
      <c r="I101" s="1"/>
      <c r="J101" s="15"/>
      <c r="K101" s="16"/>
      <c r="L101" s="16"/>
      <c r="M101" s="1"/>
    </row>
    <row r="102" spans="2:13" x14ac:dyDescent="0.3">
      <c r="B102" s="2">
        <v>1</v>
      </c>
      <c r="C102" s="3" t="s">
        <v>5</v>
      </c>
      <c r="D102" s="2">
        <v>13</v>
      </c>
      <c r="E102" s="20"/>
      <c r="F102" s="2">
        <v>5</v>
      </c>
      <c r="G102" s="14"/>
      <c r="H102" s="14">
        <f t="shared" ref="H102" si="53">D102*F102</f>
        <v>65</v>
      </c>
      <c r="I102" s="21"/>
      <c r="J102" s="2">
        <v>5</v>
      </c>
      <c r="K102" s="14"/>
      <c r="L102" s="14">
        <f>J102*D102</f>
        <v>65</v>
      </c>
      <c r="M102" s="21"/>
    </row>
    <row r="103" spans="2:13" x14ac:dyDescent="0.3">
      <c r="B103" s="2">
        <v>2</v>
      </c>
      <c r="C103" s="3" t="s">
        <v>24</v>
      </c>
      <c r="D103" s="2">
        <v>3</v>
      </c>
      <c r="E103" s="20"/>
      <c r="F103" s="2">
        <v>10</v>
      </c>
      <c r="G103" s="14">
        <f>D103*F103</f>
        <v>30</v>
      </c>
      <c r="H103" s="14"/>
      <c r="I103" s="21"/>
      <c r="J103" s="2">
        <v>10</v>
      </c>
      <c r="K103" s="14">
        <f>J103*D103</f>
        <v>30</v>
      </c>
      <c r="L103" s="14"/>
      <c r="M103" s="21"/>
    </row>
    <row r="104" spans="2:13" x14ac:dyDescent="0.3">
      <c r="B104" s="1">
        <v>3</v>
      </c>
      <c r="C104" s="7" t="s">
        <v>9</v>
      </c>
      <c r="D104" s="1">
        <v>27</v>
      </c>
      <c r="E104" s="21"/>
      <c r="F104" s="1">
        <v>2</v>
      </c>
      <c r="G104" s="11">
        <f t="shared" ref="G104:G108" si="54">D104*F104</f>
        <v>54</v>
      </c>
      <c r="H104" s="11"/>
      <c r="I104" s="21"/>
      <c r="J104" s="1">
        <v>2</v>
      </c>
      <c r="K104" s="14">
        <f t="shared" ref="K104:K108" si="55">J104*D104</f>
        <v>54</v>
      </c>
      <c r="L104" s="11"/>
      <c r="M104" s="21"/>
    </row>
    <row r="105" spans="2:13" x14ac:dyDescent="0.3">
      <c r="B105" s="1">
        <v>4</v>
      </c>
      <c r="C105" s="7" t="s">
        <v>4</v>
      </c>
      <c r="D105" s="25">
        <v>15</v>
      </c>
      <c r="E105" s="21">
        <v>15</v>
      </c>
      <c r="F105" s="1">
        <v>2</v>
      </c>
      <c r="G105" s="11">
        <f t="shared" si="54"/>
        <v>30</v>
      </c>
      <c r="H105" s="11"/>
      <c r="I105" s="21">
        <f>E105*F105</f>
        <v>30</v>
      </c>
      <c r="J105" s="1">
        <v>2</v>
      </c>
      <c r="K105" s="14">
        <f t="shared" si="55"/>
        <v>30</v>
      </c>
      <c r="L105" s="11"/>
      <c r="M105" s="21">
        <f t="shared" ref="M105:M108" si="56">E105*J105</f>
        <v>30</v>
      </c>
    </row>
    <row r="106" spans="2:13" x14ac:dyDescent="0.3">
      <c r="B106" s="1">
        <v>5</v>
      </c>
      <c r="C106" s="7" t="s">
        <v>21</v>
      </c>
      <c r="D106" s="1">
        <v>1</v>
      </c>
      <c r="E106" s="21"/>
      <c r="F106" s="1">
        <v>3</v>
      </c>
      <c r="G106" s="11">
        <f t="shared" si="54"/>
        <v>3</v>
      </c>
      <c r="H106" s="11"/>
      <c r="I106" s="21"/>
      <c r="J106" s="1">
        <v>3</v>
      </c>
      <c r="K106" s="14">
        <f t="shared" si="55"/>
        <v>3</v>
      </c>
      <c r="L106" s="11"/>
      <c r="M106" s="21"/>
    </row>
    <row r="107" spans="2:13" x14ac:dyDescent="0.3">
      <c r="B107" s="1">
        <v>6</v>
      </c>
      <c r="C107" s="7" t="s">
        <v>67</v>
      </c>
      <c r="D107" s="1">
        <v>5</v>
      </c>
      <c r="E107" s="21">
        <v>5</v>
      </c>
      <c r="F107" s="1">
        <v>2</v>
      </c>
      <c r="G107" s="11">
        <f t="shared" si="54"/>
        <v>10</v>
      </c>
      <c r="H107" s="11"/>
      <c r="I107" s="21">
        <f t="shared" ref="I107:I108" si="57">E107*F107</f>
        <v>10</v>
      </c>
      <c r="J107" s="1">
        <v>2</v>
      </c>
      <c r="K107" s="14">
        <f t="shared" si="55"/>
        <v>10</v>
      </c>
      <c r="L107" s="11"/>
      <c r="M107" s="21">
        <f t="shared" si="56"/>
        <v>10</v>
      </c>
    </row>
    <row r="108" spans="2:13" x14ac:dyDescent="0.3">
      <c r="B108" s="1">
        <v>7</v>
      </c>
      <c r="C108" s="7" t="s">
        <v>10</v>
      </c>
      <c r="D108" s="1">
        <v>2</v>
      </c>
      <c r="E108" s="21">
        <v>8</v>
      </c>
      <c r="F108" s="1">
        <v>2</v>
      </c>
      <c r="G108" s="11">
        <f t="shared" si="54"/>
        <v>4</v>
      </c>
      <c r="H108" s="11"/>
      <c r="I108" s="21">
        <f t="shared" si="57"/>
        <v>16</v>
      </c>
      <c r="J108" s="1">
        <v>2</v>
      </c>
      <c r="K108" s="14">
        <f t="shared" si="55"/>
        <v>4</v>
      </c>
      <c r="L108" s="11"/>
      <c r="M108" s="21">
        <f t="shared" si="56"/>
        <v>16</v>
      </c>
    </row>
    <row r="109" spans="2:13" x14ac:dyDescent="0.3">
      <c r="B109" s="102" t="s">
        <v>71</v>
      </c>
      <c r="C109" s="103"/>
      <c r="D109" s="103"/>
      <c r="E109" s="103"/>
      <c r="F109" s="104"/>
      <c r="G109" s="17">
        <f>SUM(G102:G108)</f>
        <v>131</v>
      </c>
      <c r="H109" s="17">
        <f>SUM(H102:H108)</f>
        <v>65</v>
      </c>
      <c r="I109" s="23">
        <f>SUM(I103:I108)</f>
        <v>56</v>
      </c>
      <c r="J109" s="38" t="s">
        <v>71</v>
      </c>
      <c r="K109" s="17">
        <f>SUM(K102:K108)</f>
        <v>131</v>
      </c>
      <c r="L109" s="17">
        <f>SUM(L102:L108)</f>
        <v>65</v>
      </c>
      <c r="M109" s="21">
        <f>SUM(M102:M108)</f>
        <v>56</v>
      </c>
    </row>
    <row r="110" spans="2:13" x14ac:dyDescent="0.3">
      <c r="B110" s="155" t="s">
        <v>43</v>
      </c>
      <c r="C110" s="156"/>
      <c r="D110" s="12"/>
      <c r="E110" s="12"/>
      <c r="F110" s="15"/>
      <c r="G110" s="16"/>
      <c r="H110" s="16"/>
      <c r="I110" s="1"/>
      <c r="J110" s="15"/>
      <c r="K110" s="16"/>
      <c r="L110" s="16"/>
      <c r="M110" s="1"/>
    </row>
    <row r="111" spans="2:13" x14ac:dyDescent="0.3">
      <c r="B111" s="2">
        <v>1</v>
      </c>
      <c r="C111" s="3" t="s">
        <v>5</v>
      </c>
      <c r="D111" s="2">
        <v>18</v>
      </c>
      <c r="E111" s="20"/>
      <c r="F111" s="2">
        <v>5</v>
      </c>
      <c r="G111" s="14"/>
      <c r="H111" s="14">
        <f t="shared" ref="H111" si="58">D111*F111</f>
        <v>90</v>
      </c>
      <c r="I111" s="21"/>
      <c r="J111" s="2">
        <v>5</v>
      </c>
      <c r="K111" s="14"/>
      <c r="L111" s="14">
        <f>J111*D111</f>
        <v>90</v>
      </c>
      <c r="M111" s="21"/>
    </row>
    <row r="112" spans="2:13" x14ac:dyDescent="0.3">
      <c r="B112" s="1">
        <v>2</v>
      </c>
      <c r="C112" s="7" t="s">
        <v>9</v>
      </c>
      <c r="D112" s="1">
        <v>21</v>
      </c>
      <c r="E112" s="21"/>
      <c r="F112" s="1">
        <v>2</v>
      </c>
      <c r="G112" s="11">
        <f t="shared" ref="G112:G117" si="59">D112*F112</f>
        <v>42</v>
      </c>
      <c r="H112" s="11"/>
      <c r="I112" s="21"/>
      <c r="J112" s="1">
        <v>2</v>
      </c>
      <c r="K112" s="11">
        <f>J112*D112</f>
        <v>42</v>
      </c>
      <c r="L112" s="11"/>
      <c r="M112" s="21"/>
    </row>
    <row r="113" spans="2:13" x14ac:dyDescent="0.3">
      <c r="B113" s="1">
        <v>3</v>
      </c>
      <c r="C113" s="7" t="s">
        <v>4</v>
      </c>
      <c r="D113" s="1">
        <v>22</v>
      </c>
      <c r="E113" s="21">
        <v>21</v>
      </c>
      <c r="F113" s="1">
        <v>2</v>
      </c>
      <c r="G113" s="11">
        <f t="shared" si="59"/>
        <v>44</v>
      </c>
      <c r="H113" s="11"/>
      <c r="I113" s="21">
        <f>E113*F113</f>
        <v>42</v>
      </c>
      <c r="J113" s="1">
        <v>2</v>
      </c>
      <c r="K113" s="11">
        <f t="shared" ref="K113:K117" si="60">J113*D113</f>
        <v>44</v>
      </c>
      <c r="L113" s="11"/>
      <c r="M113" s="21">
        <f t="shared" ref="M113:M117" si="61">J113*E113</f>
        <v>42</v>
      </c>
    </row>
    <row r="114" spans="2:13" x14ac:dyDescent="0.3">
      <c r="B114" s="1">
        <v>4</v>
      </c>
      <c r="C114" s="7" t="s">
        <v>21</v>
      </c>
      <c r="D114" s="1">
        <v>1</v>
      </c>
      <c r="E114" s="21"/>
      <c r="F114" s="1">
        <v>3</v>
      </c>
      <c r="G114" s="11">
        <f t="shared" si="59"/>
        <v>3</v>
      </c>
      <c r="H114" s="11"/>
      <c r="I114" s="21"/>
      <c r="J114" s="1">
        <v>3</v>
      </c>
      <c r="K114" s="11">
        <f t="shared" si="60"/>
        <v>3</v>
      </c>
      <c r="L114" s="11"/>
      <c r="M114" s="21"/>
    </row>
    <row r="115" spans="2:13" x14ac:dyDescent="0.3">
      <c r="B115" s="1">
        <v>5</v>
      </c>
      <c r="C115" s="7" t="s">
        <v>60</v>
      </c>
      <c r="D115" s="1">
        <v>2</v>
      </c>
      <c r="E115" s="21">
        <v>2</v>
      </c>
      <c r="F115" s="1">
        <v>3</v>
      </c>
      <c r="G115" s="11">
        <f t="shared" si="59"/>
        <v>6</v>
      </c>
      <c r="H115" s="11"/>
      <c r="I115" s="21">
        <f t="shared" ref="I115:I117" si="62">E115*F115</f>
        <v>6</v>
      </c>
      <c r="J115" s="1">
        <v>3</v>
      </c>
      <c r="K115" s="11">
        <f t="shared" si="60"/>
        <v>6</v>
      </c>
      <c r="L115" s="11"/>
      <c r="M115" s="21">
        <f t="shared" si="61"/>
        <v>6</v>
      </c>
    </row>
    <row r="116" spans="2:13" x14ac:dyDescent="0.3">
      <c r="B116" s="1">
        <v>6</v>
      </c>
      <c r="C116" s="7" t="s">
        <v>67</v>
      </c>
      <c r="D116" s="1">
        <v>2</v>
      </c>
      <c r="E116" s="21">
        <v>2</v>
      </c>
      <c r="F116" s="1">
        <v>2</v>
      </c>
      <c r="G116" s="11">
        <f t="shared" si="59"/>
        <v>4</v>
      </c>
      <c r="H116" s="11"/>
      <c r="I116" s="21">
        <f t="shared" si="62"/>
        <v>4</v>
      </c>
      <c r="J116" s="1">
        <v>2</v>
      </c>
      <c r="K116" s="11">
        <f t="shared" si="60"/>
        <v>4</v>
      </c>
      <c r="L116" s="11"/>
      <c r="M116" s="21">
        <f t="shared" si="61"/>
        <v>4</v>
      </c>
    </row>
    <row r="117" spans="2:13" x14ac:dyDescent="0.3">
      <c r="B117" s="1">
        <v>7</v>
      </c>
      <c r="C117" s="7" t="s">
        <v>10</v>
      </c>
      <c r="D117" s="1">
        <v>16</v>
      </c>
      <c r="E117" s="21">
        <v>16</v>
      </c>
      <c r="F117" s="1">
        <v>2</v>
      </c>
      <c r="G117" s="11">
        <f t="shared" si="59"/>
        <v>32</v>
      </c>
      <c r="H117" s="11"/>
      <c r="I117" s="21">
        <f t="shared" si="62"/>
        <v>32</v>
      </c>
      <c r="J117" s="1">
        <v>2</v>
      </c>
      <c r="K117" s="11">
        <f t="shared" si="60"/>
        <v>32</v>
      </c>
      <c r="L117" s="11"/>
      <c r="M117" s="21">
        <f t="shared" si="61"/>
        <v>32</v>
      </c>
    </row>
    <row r="118" spans="2:13" x14ac:dyDescent="0.3">
      <c r="B118" s="102" t="s">
        <v>44</v>
      </c>
      <c r="C118" s="103"/>
      <c r="D118" s="103"/>
      <c r="E118" s="103"/>
      <c r="F118" s="104"/>
      <c r="G118" s="17">
        <f>SUM(G111:G117)</f>
        <v>131</v>
      </c>
      <c r="H118" s="17">
        <f>SUM(H111:H117)</f>
        <v>90</v>
      </c>
      <c r="I118" s="23">
        <f>SUM(I112:I117)</f>
        <v>84</v>
      </c>
      <c r="J118" s="38" t="s">
        <v>44</v>
      </c>
      <c r="K118" s="17">
        <f>SUM(K111:K117)</f>
        <v>131</v>
      </c>
      <c r="L118" s="17">
        <f>SUM(L111:L117)</f>
        <v>90</v>
      </c>
      <c r="M118" s="23">
        <f>SUM(M112:M117)</f>
        <v>84</v>
      </c>
    </row>
    <row r="119" spans="2:13" x14ac:dyDescent="0.3">
      <c r="B119" s="155" t="s">
        <v>72</v>
      </c>
      <c r="C119" s="156"/>
      <c r="D119" s="12"/>
      <c r="E119" s="12"/>
      <c r="F119" s="15"/>
      <c r="G119" s="16"/>
      <c r="H119" s="16"/>
      <c r="I119" s="1"/>
      <c r="J119" s="15"/>
      <c r="K119" s="16"/>
      <c r="L119" s="16"/>
      <c r="M119" s="1"/>
    </row>
    <row r="120" spans="2:13" x14ac:dyDescent="0.3">
      <c r="B120" s="2">
        <v>1</v>
      </c>
      <c r="C120" s="3" t="s">
        <v>5</v>
      </c>
      <c r="D120" s="2">
        <v>7</v>
      </c>
      <c r="E120" s="20"/>
      <c r="F120" s="2">
        <v>5</v>
      </c>
      <c r="G120" s="14"/>
      <c r="H120" s="14">
        <f t="shared" ref="H120" si="63">D120*F120</f>
        <v>35</v>
      </c>
      <c r="I120" s="21"/>
      <c r="J120" s="2">
        <v>5</v>
      </c>
      <c r="K120" s="14"/>
      <c r="L120" s="14">
        <f>J120*D120</f>
        <v>35</v>
      </c>
      <c r="M120" s="21"/>
    </row>
    <row r="121" spans="2:13" x14ac:dyDescent="0.3">
      <c r="B121" s="2">
        <v>2</v>
      </c>
      <c r="C121" s="3" t="s">
        <v>24</v>
      </c>
      <c r="D121" s="2">
        <v>2</v>
      </c>
      <c r="E121" s="20"/>
      <c r="F121" s="2">
        <v>10</v>
      </c>
      <c r="G121" s="14">
        <f>D121*F121</f>
        <v>20</v>
      </c>
      <c r="H121" s="14"/>
      <c r="I121" s="21"/>
      <c r="J121" s="2">
        <v>10</v>
      </c>
      <c r="K121" s="14">
        <f>J121*D121</f>
        <v>20</v>
      </c>
      <c r="L121" s="14"/>
      <c r="M121" s="21"/>
    </row>
    <row r="122" spans="2:13" x14ac:dyDescent="0.3">
      <c r="B122" s="1">
        <v>3</v>
      </c>
      <c r="C122" s="7" t="s">
        <v>9</v>
      </c>
      <c r="D122" s="1">
        <v>9</v>
      </c>
      <c r="E122" s="21"/>
      <c r="F122" s="1">
        <v>2</v>
      </c>
      <c r="G122" s="11">
        <f t="shared" ref="G122:G125" si="64">D122*F122</f>
        <v>18</v>
      </c>
      <c r="H122" s="11"/>
      <c r="I122" s="21"/>
      <c r="J122" s="1">
        <v>2</v>
      </c>
      <c r="K122" s="14">
        <f t="shared" ref="K122:K125" si="65">J122*D122</f>
        <v>18</v>
      </c>
      <c r="L122" s="11"/>
      <c r="M122" s="21"/>
    </row>
    <row r="123" spans="2:13" x14ac:dyDescent="0.3">
      <c r="B123" s="1">
        <v>4</v>
      </c>
      <c r="C123" s="7" t="s">
        <v>4</v>
      </c>
      <c r="D123" s="1">
        <v>5</v>
      </c>
      <c r="E123" s="21">
        <v>1</v>
      </c>
      <c r="F123" s="1">
        <v>2</v>
      </c>
      <c r="G123" s="11">
        <f t="shared" si="64"/>
        <v>10</v>
      </c>
      <c r="H123" s="11"/>
      <c r="I123" s="21">
        <f>E123*F123</f>
        <v>2</v>
      </c>
      <c r="J123" s="1">
        <v>2</v>
      </c>
      <c r="K123" s="14">
        <f t="shared" si="65"/>
        <v>10</v>
      </c>
      <c r="L123" s="11"/>
      <c r="M123" s="21">
        <f t="shared" ref="M123:M125" si="66">E123*J123</f>
        <v>2</v>
      </c>
    </row>
    <row r="124" spans="2:13" x14ac:dyDescent="0.3">
      <c r="B124" s="1">
        <v>5</v>
      </c>
      <c r="C124" s="7" t="s">
        <v>56</v>
      </c>
      <c r="D124" s="1">
        <v>3</v>
      </c>
      <c r="E124" s="21"/>
      <c r="F124" s="1">
        <v>5</v>
      </c>
      <c r="G124" s="11">
        <f t="shared" si="64"/>
        <v>15</v>
      </c>
      <c r="H124" s="11"/>
      <c r="I124" s="21"/>
      <c r="J124" s="1">
        <v>5</v>
      </c>
      <c r="K124" s="14">
        <f t="shared" si="65"/>
        <v>15</v>
      </c>
      <c r="L124" s="11"/>
      <c r="M124" s="21"/>
    </row>
    <row r="125" spans="2:13" x14ac:dyDescent="0.3">
      <c r="B125" s="1">
        <v>6</v>
      </c>
      <c r="C125" s="7" t="s">
        <v>67</v>
      </c>
      <c r="D125" s="1">
        <v>2</v>
      </c>
      <c r="E125" s="21">
        <v>2</v>
      </c>
      <c r="F125" s="1">
        <v>2</v>
      </c>
      <c r="G125" s="11">
        <f t="shared" si="64"/>
        <v>4</v>
      </c>
      <c r="H125" s="11"/>
      <c r="I125" s="21">
        <f t="shared" ref="I125" si="67">E125*F125</f>
        <v>4</v>
      </c>
      <c r="J125" s="1">
        <v>2</v>
      </c>
      <c r="K125" s="14">
        <f t="shared" si="65"/>
        <v>4</v>
      </c>
      <c r="L125" s="11"/>
      <c r="M125" s="21">
        <f t="shared" si="66"/>
        <v>4</v>
      </c>
    </row>
    <row r="126" spans="2:13" x14ac:dyDescent="0.3">
      <c r="B126" s="102" t="s">
        <v>73</v>
      </c>
      <c r="C126" s="103"/>
      <c r="D126" s="103"/>
      <c r="E126" s="103"/>
      <c r="F126" s="104"/>
      <c r="G126" s="17">
        <f>SUM(G120:G125)</f>
        <v>67</v>
      </c>
      <c r="H126" s="17">
        <f>SUM(H120:H125)</f>
        <v>35</v>
      </c>
      <c r="I126" s="23">
        <f>SUM(I120:I125)</f>
        <v>6</v>
      </c>
      <c r="J126" s="38" t="s">
        <v>73</v>
      </c>
      <c r="K126" s="17">
        <f>SUM(K120:K125)</f>
        <v>67</v>
      </c>
      <c r="L126" s="17">
        <f>SUM(L120:L125)</f>
        <v>35</v>
      </c>
      <c r="M126" s="23">
        <f>SUM(M120:M125)</f>
        <v>6</v>
      </c>
    </row>
    <row r="127" spans="2:13" x14ac:dyDescent="0.3">
      <c r="B127" s="155" t="s">
        <v>45</v>
      </c>
      <c r="C127" s="156"/>
      <c r="D127" s="12"/>
      <c r="E127" s="12"/>
      <c r="F127" s="15"/>
      <c r="G127" s="16"/>
      <c r="H127" s="16"/>
      <c r="I127" s="1"/>
      <c r="J127" s="15"/>
      <c r="K127" s="16"/>
      <c r="L127" s="16"/>
      <c r="M127" s="1"/>
    </row>
    <row r="128" spans="2:13" x14ac:dyDescent="0.3">
      <c r="B128" s="2">
        <v>1</v>
      </c>
      <c r="C128" s="3" t="s">
        <v>5</v>
      </c>
      <c r="D128" s="2">
        <v>21</v>
      </c>
      <c r="E128" s="20"/>
      <c r="F128" s="2">
        <v>5</v>
      </c>
      <c r="G128" s="14"/>
      <c r="H128" s="14">
        <f t="shared" ref="H128" si="68">D128*F128</f>
        <v>105</v>
      </c>
      <c r="I128" s="21"/>
      <c r="J128" s="2">
        <v>5</v>
      </c>
      <c r="K128" s="14"/>
      <c r="L128" s="14">
        <f>J128*D128</f>
        <v>105</v>
      </c>
      <c r="M128" s="21"/>
    </row>
    <row r="129" spans="2:13" x14ac:dyDescent="0.3">
      <c r="B129" s="1">
        <v>2</v>
      </c>
      <c r="C129" s="7" t="s">
        <v>9</v>
      </c>
      <c r="D129" s="1">
        <v>24</v>
      </c>
      <c r="E129" s="21"/>
      <c r="F129" s="1">
        <v>2</v>
      </c>
      <c r="G129" s="11">
        <f t="shared" ref="G129:G134" si="69">D129*F129</f>
        <v>48</v>
      </c>
      <c r="H129" s="11"/>
      <c r="I129" s="21"/>
      <c r="J129" s="1">
        <v>2</v>
      </c>
      <c r="K129" s="11">
        <f>J129*D129</f>
        <v>48</v>
      </c>
      <c r="L129" s="11"/>
      <c r="M129" s="21"/>
    </row>
    <row r="130" spans="2:13" x14ac:dyDescent="0.3">
      <c r="B130" s="1">
        <v>3</v>
      </c>
      <c r="C130" s="7" t="s">
        <v>4</v>
      </c>
      <c r="D130" s="1">
        <v>34</v>
      </c>
      <c r="E130" s="21">
        <v>23</v>
      </c>
      <c r="F130" s="1">
        <v>2</v>
      </c>
      <c r="G130" s="11">
        <f t="shared" si="69"/>
        <v>68</v>
      </c>
      <c r="H130" s="11"/>
      <c r="I130" s="21">
        <f>E130*F130</f>
        <v>46</v>
      </c>
      <c r="J130" s="1">
        <v>2</v>
      </c>
      <c r="K130" s="11">
        <f t="shared" ref="K130:K134" si="70">J130*D130</f>
        <v>68</v>
      </c>
      <c r="L130" s="11"/>
      <c r="M130" s="21">
        <f t="shared" ref="M130:M134" si="71">E130*J130</f>
        <v>46</v>
      </c>
    </row>
    <row r="131" spans="2:13" x14ac:dyDescent="0.3">
      <c r="B131" s="1">
        <v>4</v>
      </c>
      <c r="C131" s="7" t="s">
        <v>21</v>
      </c>
      <c r="D131" s="1">
        <v>1</v>
      </c>
      <c r="E131" s="21"/>
      <c r="F131" s="1">
        <v>3</v>
      </c>
      <c r="G131" s="11">
        <f t="shared" si="69"/>
        <v>3</v>
      </c>
      <c r="H131" s="11"/>
      <c r="I131" s="21"/>
      <c r="J131" s="1">
        <v>3</v>
      </c>
      <c r="K131" s="11">
        <f t="shared" si="70"/>
        <v>3</v>
      </c>
      <c r="L131" s="11"/>
      <c r="M131" s="21"/>
    </row>
    <row r="132" spans="2:13" x14ac:dyDescent="0.3">
      <c r="B132" s="1">
        <v>5</v>
      </c>
      <c r="C132" s="7" t="s">
        <v>60</v>
      </c>
      <c r="D132" s="25">
        <v>18</v>
      </c>
      <c r="E132" s="21">
        <v>18</v>
      </c>
      <c r="F132" s="1">
        <v>3</v>
      </c>
      <c r="G132" s="11">
        <f t="shared" si="69"/>
        <v>54</v>
      </c>
      <c r="H132" s="11"/>
      <c r="I132" s="21">
        <f t="shared" ref="I132:I134" si="72">E132*F132</f>
        <v>54</v>
      </c>
      <c r="J132" s="1">
        <v>3</v>
      </c>
      <c r="K132" s="11">
        <f t="shared" si="70"/>
        <v>54</v>
      </c>
      <c r="L132" s="11"/>
      <c r="M132" s="21">
        <f t="shared" si="71"/>
        <v>54</v>
      </c>
    </row>
    <row r="133" spans="2:13" x14ac:dyDescent="0.3">
      <c r="B133" s="1">
        <v>6</v>
      </c>
      <c r="C133" s="7" t="s">
        <v>67</v>
      </c>
      <c r="D133" s="25">
        <v>2</v>
      </c>
      <c r="E133" s="21">
        <v>2</v>
      </c>
      <c r="F133" s="1">
        <v>2</v>
      </c>
      <c r="G133" s="11">
        <f t="shared" si="69"/>
        <v>4</v>
      </c>
      <c r="H133" s="11"/>
      <c r="I133" s="21">
        <f t="shared" si="72"/>
        <v>4</v>
      </c>
      <c r="J133" s="1">
        <v>2</v>
      </c>
      <c r="K133" s="11">
        <f t="shared" si="70"/>
        <v>4</v>
      </c>
      <c r="L133" s="11"/>
      <c r="M133" s="21">
        <f t="shared" si="71"/>
        <v>4</v>
      </c>
    </row>
    <row r="134" spans="2:13" x14ac:dyDescent="0.3">
      <c r="B134" s="1">
        <v>7</v>
      </c>
      <c r="C134" s="7" t="s">
        <v>10</v>
      </c>
      <c r="D134" s="1">
        <v>19</v>
      </c>
      <c r="E134" s="21">
        <v>19</v>
      </c>
      <c r="F134" s="1">
        <v>2</v>
      </c>
      <c r="G134" s="11">
        <f t="shared" si="69"/>
        <v>38</v>
      </c>
      <c r="H134" s="11"/>
      <c r="I134" s="21">
        <f t="shared" si="72"/>
        <v>38</v>
      </c>
      <c r="J134" s="1">
        <v>2</v>
      </c>
      <c r="K134" s="11">
        <f t="shared" si="70"/>
        <v>38</v>
      </c>
      <c r="L134" s="11"/>
      <c r="M134" s="21">
        <f t="shared" si="71"/>
        <v>38</v>
      </c>
    </row>
    <row r="135" spans="2:13" x14ac:dyDescent="0.3">
      <c r="B135" s="161" t="s">
        <v>46</v>
      </c>
      <c r="C135" s="162"/>
      <c r="D135" s="162"/>
      <c r="E135" s="162"/>
      <c r="F135" s="163"/>
      <c r="G135" s="17">
        <f>SUM(G128:G134)</f>
        <v>215</v>
      </c>
      <c r="H135" s="17">
        <f>SUM(H128:H134)</f>
        <v>105</v>
      </c>
      <c r="I135" s="21">
        <f>SUM(I128:I134)</f>
        <v>142</v>
      </c>
      <c r="J135" s="39" t="s">
        <v>46</v>
      </c>
      <c r="K135" s="17">
        <f>SUM(K128:K134)</f>
        <v>215</v>
      </c>
      <c r="L135" s="17">
        <f>SUM(L128:L134)</f>
        <v>105</v>
      </c>
      <c r="M135" s="21">
        <f>SUM(M128:M134)</f>
        <v>142</v>
      </c>
    </row>
    <row r="136" spans="2:13" x14ac:dyDescent="0.3">
      <c r="B136" s="161" t="s">
        <v>53</v>
      </c>
      <c r="C136" s="162"/>
      <c r="D136" s="162"/>
      <c r="E136" s="162"/>
      <c r="F136" s="163"/>
      <c r="G136" s="58">
        <f>SUM(G10,G18,G26,G30,G38,G42,G49,G53,G59,G63,G73)</f>
        <v>461</v>
      </c>
      <c r="H136" s="11">
        <f>SUM(H10,H18,H26,H30,H38,H42,H49,H53,H59,H63,H73)</f>
        <v>235</v>
      </c>
      <c r="I136" s="1"/>
      <c r="J136" s="39" t="s">
        <v>89</v>
      </c>
      <c r="K136" s="17">
        <f>SUM(K10,K18,K26,K30,K38,K42,K49,K53,K59,K63,K73)</f>
        <v>461</v>
      </c>
      <c r="L136" s="17">
        <f>SUM(L10,L18,L26,L30,L38,L42,L49,L53,L59,L63,L73)</f>
        <v>235</v>
      </c>
      <c r="M136" s="1"/>
    </row>
    <row r="137" spans="2:13" x14ac:dyDescent="0.3">
      <c r="B137" s="161" t="s">
        <v>52</v>
      </c>
      <c r="C137" s="162"/>
      <c r="D137" s="162"/>
      <c r="E137" s="162"/>
      <c r="F137" s="163"/>
      <c r="G137" s="17">
        <f>SUM(G91,G100,G109,G118,G126,G135)</f>
        <v>824</v>
      </c>
      <c r="H137" s="17">
        <f>SUM(H82,H91,H100,H109,H118,H126,H135)</f>
        <v>595</v>
      </c>
      <c r="I137" s="1"/>
      <c r="J137" s="39" t="s">
        <v>90</v>
      </c>
      <c r="K137" s="17">
        <f>SUM(K82,K91,K100,K109,K118,K126,K135)</f>
        <v>985</v>
      </c>
      <c r="L137" s="17">
        <f>SUM(L91,L100,L109,L118,L126,L135)</f>
        <v>485</v>
      </c>
      <c r="M137" s="1"/>
    </row>
    <row r="138" spans="2:13" x14ac:dyDescent="0.3">
      <c r="B138" s="161" t="s">
        <v>1</v>
      </c>
      <c r="C138" s="162"/>
      <c r="D138" s="162"/>
      <c r="E138" s="162"/>
      <c r="F138" s="163"/>
      <c r="G138" s="17">
        <f>SUM(G10,G18,G26,G30,G38,G42,G49,G53,G59,G63,G73,G82,G91,G100,G109,G118,G126,G135)</f>
        <v>1446</v>
      </c>
      <c r="H138" s="17">
        <f>SUM(H10,H18,H26,H30,H38,H42,H49,H53,H59,H63,H73,H82,H91,H100,H109,H118,H126,H135)</f>
        <v>830</v>
      </c>
      <c r="I138" s="23">
        <f>SUM(I10,I18,I26,I30,I38,I42,I49,I53,I59,I63,I73,I82,I91,I100,I109,I118,I126,I135)</f>
        <v>759</v>
      </c>
      <c r="J138" s="32"/>
      <c r="K138" s="17">
        <f>SUM(K10,K18,K26,K30,K38,K42,K49,K53,K59,K63,K73,K82,K91,K100,K109,K118,K126,K135)</f>
        <v>1446</v>
      </c>
      <c r="L138" s="17">
        <f>SUM(L10,L18,L26,L30,L38,L42,L49,L53,L59,L63,L73,L82,L91,L100,L109,L118,L126,L135)</f>
        <v>830</v>
      </c>
      <c r="M138" s="23">
        <f>SUM(M10,M18,M26,M30,M38,M42,M49,M53,M59,M63,M73,M82,M91,M100,M109,M118,M126,M135)</f>
        <v>759</v>
      </c>
    </row>
    <row r="139" spans="2:13" x14ac:dyDescent="0.3">
      <c r="E139" s="164"/>
      <c r="F139" s="164"/>
      <c r="G139" s="26"/>
      <c r="H139" s="26"/>
      <c r="I139"/>
      <c r="M139"/>
    </row>
    <row r="140" spans="2:13" x14ac:dyDescent="0.3">
      <c r="I140"/>
      <c r="M140"/>
    </row>
    <row r="141" spans="2:13" x14ac:dyDescent="0.3">
      <c r="I141"/>
      <c r="M141"/>
    </row>
    <row r="142" spans="2:13" x14ac:dyDescent="0.3">
      <c r="B142" t="s">
        <v>85</v>
      </c>
    </row>
    <row r="143" spans="2:13" x14ac:dyDescent="0.3">
      <c r="B143" s="154" t="s">
        <v>86</v>
      </c>
      <c r="C143" s="154"/>
      <c r="D143" s="154"/>
      <c r="E143" s="154"/>
      <c r="F143" s="154"/>
      <c r="G143" s="154"/>
    </row>
    <row r="165" spans="2:7" x14ac:dyDescent="0.3">
      <c r="B165" s="154" t="s">
        <v>271</v>
      </c>
      <c r="C165" s="154"/>
      <c r="D165" s="154"/>
      <c r="E165" s="154"/>
      <c r="F165" s="154"/>
      <c r="G165" s="154"/>
    </row>
  </sheetData>
  <mergeCells count="27">
    <mergeCell ref="E139:F139"/>
    <mergeCell ref="B143:G143"/>
    <mergeCell ref="B165:G165"/>
    <mergeCell ref="B5:C5"/>
    <mergeCell ref="B11:C11"/>
    <mergeCell ref="B19:C19"/>
    <mergeCell ref="B27:C27"/>
    <mergeCell ref="B31:C31"/>
    <mergeCell ref="B39:C39"/>
    <mergeCell ref="B43:C43"/>
    <mergeCell ref="B50:C50"/>
    <mergeCell ref="B110:C110"/>
    <mergeCell ref="B119:C119"/>
    <mergeCell ref="B92:C92"/>
    <mergeCell ref="B101:C101"/>
    <mergeCell ref="B127:C127"/>
    <mergeCell ref="J3:M3"/>
    <mergeCell ref="B64:C64"/>
    <mergeCell ref="B74:C74"/>
    <mergeCell ref="B83:C83"/>
    <mergeCell ref="B54:C54"/>
    <mergeCell ref="B60:C60"/>
    <mergeCell ref="B135:F135"/>
    <mergeCell ref="B136:F136"/>
    <mergeCell ref="B137:F137"/>
    <mergeCell ref="B138:F138"/>
    <mergeCell ref="F3:I3"/>
  </mergeCells>
  <printOptions gridLines="1"/>
  <pageMargins left="0.70866141732283472" right="0.70866141732283472" top="0.74803149606299213" bottom="0.74803149606299213" header="0.31496062992125984" footer="0.31496062992125984"/>
  <pageSetup paperSize="9" scale="32" orientation="portrait" r:id="rId1"/>
  <rowBreaks count="1" manualBreakCount="1">
    <brk id="63" max="16383" man="1"/>
  </row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0EEEE-52A1-424A-918C-80D408BA5622}">
  <sheetPr>
    <tabColor rgb="FF00B0F0"/>
  </sheetPr>
  <dimension ref="A3:M28"/>
  <sheetViews>
    <sheetView zoomScale="70" zoomScaleNormal="70" zoomScaleSheetLayoutView="76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15" sqref="I15"/>
    </sheetView>
  </sheetViews>
  <sheetFormatPr defaultRowHeight="14.4" x14ac:dyDescent="0.3"/>
  <cols>
    <col min="1" max="1" width="4.6640625" style="9" bestFit="1" customWidth="1"/>
    <col min="3" max="3" width="26.33203125" customWidth="1"/>
    <col min="4" max="4" width="20.44140625" bestFit="1" customWidth="1"/>
    <col min="5" max="5" width="21" customWidth="1"/>
    <col min="6" max="6" width="14.109375" bestFit="1" customWidth="1"/>
    <col min="7" max="8" width="15.109375" customWidth="1"/>
    <col min="9" max="9" width="18.33203125" style="5" bestFit="1" customWidth="1"/>
    <col min="10" max="10" width="32.88671875" customWidth="1"/>
    <col min="11" max="12" width="15.109375" customWidth="1"/>
    <col min="13" max="13" width="18.33203125" style="5" bestFit="1" customWidth="1"/>
    <col min="14" max="14" width="11.33203125" customWidth="1"/>
  </cols>
  <sheetData>
    <row r="3" spans="1:13" x14ac:dyDescent="0.3">
      <c r="A3" s="10" t="s">
        <v>0</v>
      </c>
      <c r="B3" s="8" t="s">
        <v>76</v>
      </c>
      <c r="C3" s="6"/>
      <c r="D3" s="6"/>
      <c r="E3" s="6"/>
      <c r="F3" s="73"/>
      <c r="G3" s="74"/>
      <c r="I3"/>
      <c r="M3"/>
    </row>
    <row r="4" spans="1:13" ht="28.8" x14ac:dyDescent="0.3">
      <c r="B4" s="4" t="s">
        <v>2</v>
      </c>
      <c r="C4" s="4" t="s">
        <v>8</v>
      </c>
      <c r="D4" s="4" t="s">
        <v>7</v>
      </c>
      <c r="E4" s="13" t="s">
        <v>87</v>
      </c>
      <c r="F4" s="13" t="s">
        <v>91</v>
      </c>
      <c r="G4" s="13" t="s">
        <v>78</v>
      </c>
      <c r="I4"/>
      <c r="M4"/>
    </row>
    <row r="5" spans="1:13" x14ac:dyDescent="0.3">
      <c r="B5" s="155" t="s">
        <v>11</v>
      </c>
      <c r="C5" s="156"/>
      <c r="D5" s="12"/>
      <c r="E5" s="15"/>
      <c r="F5" s="16"/>
      <c r="G5" s="16"/>
      <c r="I5"/>
      <c r="M5"/>
    </row>
    <row r="6" spans="1:13" x14ac:dyDescent="0.3">
      <c r="B6" s="2">
        <v>1</v>
      </c>
      <c r="C6" s="3" t="s">
        <v>5</v>
      </c>
      <c r="D6" s="2">
        <f>8</f>
        <v>8</v>
      </c>
      <c r="E6" s="2">
        <v>4</v>
      </c>
      <c r="F6" s="14">
        <f>D6*E6</f>
        <v>32</v>
      </c>
      <c r="G6" s="14"/>
      <c r="I6"/>
    </row>
    <row r="7" spans="1:13" x14ac:dyDescent="0.3">
      <c r="B7" s="2">
        <v>2</v>
      </c>
      <c r="C7" s="7" t="s">
        <v>9</v>
      </c>
      <c r="D7" s="1">
        <f>8</f>
        <v>8</v>
      </c>
      <c r="E7" s="1">
        <v>2</v>
      </c>
      <c r="F7" s="11">
        <f t="shared" ref="F7" si="0">D7*E7</f>
        <v>16</v>
      </c>
      <c r="G7" s="14"/>
      <c r="I7"/>
      <c r="M7"/>
    </row>
    <row r="8" spans="1:13" x14ac:dyDescent="0.3">
      <c r="B8" s="161" t="s">
        <v>12</v>
      </c>
      <c r="C8" s="162"/>
      <c r="D8" s="162"/>
      <c r="E8" s="163"/>
      <c r="F8" s="17">
        <f>SUM(F6:F7)</f>
        <v>48</v>
      </c>
      <c r="G8" s="17">
        <f>SUM(G6:G7)</f>
        <v>0</v>
      </c>
      <c r="I8"/>
      <c r="M8"/>
    </row>
    <row r="9" spans="1:13" x14ac:dyDescent="0.3">
      <c r="B9" s="155" t="s">
        <v>17</v>
      </c>
      <c r="C9" s="156"/>
      <c r="D9" s="12"/>
      <c r="E9" s="15"/>
      <c r="F9" s="16"/>
      <c r="G9" s="16"/>
      <c r="I9"/>
      <c r="M9"/>
    </row>
    <row r="10" spans="1:13" x14ac:dyDescent="0.3">
      <c r="B10" s="2">
        <v>1</v>
      </c>
      <c r="C10" s="3" t="s">
        <v>5</v>
      </c>
      <c r="D10" s="2">
        <f>2</f>
        <v>2</v>
      </c>
      <c r="E10" s="2">
        <v>4</v>
      </c>
      <c r="F10" s="14">
        <f>D10*E10</f>
        <v>8</v>
      </c>
      <c r="G10" s="14"/>
      <c r="I10"/>
      <c r="M10"/>
    </row>
    <row r="11" spans="1:13" x14ac:dyDescent="0.3">
      <c r="B11" s="2">
        <v>2</v>
      </c>
      <c r="C11" s="7" t="s">
        <v>9</v>
      </c>
      <c r="D11" s="1">
        <f>2</f>
        <v>2</v>
      </c>
      <c r="E11" s="1">
        <v>2</v>
      </c>
      <c r="F11" s="11">
        <f t="shared" ref="F11:F14" si="1">D11*E11</f>
        <v>4</v>
      </c>
      <c r="G11" s="14"/>
      <c r="I11"/>
      <c r="M11"/>
    </row>
    <row r="12" spans="1:13" x14ac:dyDescent="0.3">
      <c r="B12" s="2">
        <v>3</v>
      </c>
      <c r="C12" s="7" t="s">
        <v>4</v>
      </c>
      <c r="D12" s="1">
        <f>2</f>
        <v>2</v>
      </c>
      <c r="E12" s="1">
        <v>1</v>
      </c>
      <c r="F12" s="11">
        <f t="shared" si="1"/>
        <v>2</v>
      </c>
      <c r="G12" s="14"/>
      <c r="I12"/>
      <c r="M12"/>
    </row>
    <row r="13" spans="1:13" x14ac:dyDescent="0.3">
      <c r="B13" s="2">
        <v>4</v>
      </c>
      <c r="C13" s="7" t="s">
        <v>3</v>
      </c>
      <c r="D13" s="1">
        <f>1</f>
        <v>1</v>
      </c>
      <c r="E13" s="1">
        <v>2</v>
      </c>
      <c r="F13" s="11">
        <f t="shared" si="1"/>
        <v>2</v>
      </c>
      <c r="G13" s="14"/>
      <c r="I13"/>
      <c r="M13"/>
    </row>
    <row r="14" spans="1:13" x14ac:dyDescent="0.3">
      <c r="B14" s="2">
        <v>5</v>
      </c>
      <c r="C14" s="7" t="s">
        <v>21</v>
      </c>
      <c r="D14" s="1">
        <f>1</f>
        <v>1</v>
      </c>
      <c r="E14" s="1">
        <f>3</f>
        <v>3</v>
      </c>
      <c r="F14" s="11">
        <f t="shared" si="1"/>
        <v>3</v>
      </c>
      <c r="G14" s="14"/>
      <c r="I14"/>
      <c r="M14"/>
    </row>
    <row r="15" spans="1:13" x14ac:dyDescent="0.3">
      <c r="B15" s="161" t="s">
        <v>18</v>
      </c>
      <c r="C15" s="162"/>
      <c r="D15" s="162"/>
      <c r="E15" s="163"/>
      <c r="F15" s="17">
        <f>SUM(F10:F14)</f>
        <v>19</v>
      </c>
      <c r="G15" s="17">
        <f>SUM(G10:G14)</f>
        <v>0</v>
      </c>
      <c r="I15"/>
      <c r="M15"/>
    </row>
    <row r="16" spans="1:13" x14ac:dyDescent="0.3">
      <c r="B16" s="161" t="s">
        <v>1</v>
      </c>
      <c r="C16" s="162"/>
      <c r="D16" s="162"/>
      <c r="E16" s="163"/>
      <c r="F16" s="17">
        <f>SUM(F8,F15)</f>
        <v>67</v>
      </c>
      <c r="G16" s="17">
        <f>SUM(G8,G15)</f>
        <v>0</v>
      </c>
      <c r="I16"/>
      <c r="M16"/>
    </row>
    <row r="17" spans="2:9" x14ac:dyDescent="0.3">
      <c r="I17"/>
    </row>
    <row r="18" spans="2:9" x14ac:dyDescent="0.3">
      <c r="I18"/>
    </row>
    <row r="19" spans="2:9" x14ac:dyDescent="0.3">
      <c r="B19" t="s">
        <v>85</v>
      </c>
      <c r="I19"/>
    </row>
    <row r="20" spans="2:9" x14ac:dyDescent="0.3">
      <c r="B20" t="s">
        <v>92</v>
      </c>
      <c r="G20" s="27" t="s">
        <v>93</v>
      </c>
      <c r="I20"/>
    </row>
    <row r="21" spans="2:9" x14ac:dyDescent="0.3">
      <c r="I21"/>
    </row>
    <row r="22" spans="2:9" x14ac:dyDescent="0.3">
      <c r="I22"/>
    </row>
    <row r="23" spans="2:9" x14ac:dyDescent="0.3">
      <c r="I23"/>
    </row>
    <row r="24" spans="2:9" x14ac:dyDescent="0.3">
      <c r="I24"/>
    </row>
    <row r="25" spans="2:9" x14ac:dyDescent="0.3">
      <c r="I25"/>
    </row>
    <row r="26" spans="2:9" x14ac:dyDescent="0.3">
      <c r="I26"/>
    </row>
    <row r="27" spans="2:9" x14ac:dyDescent="0.3">
      <c r="I27"/>
    </row>
    <row r="28" spans="2:9" x14ac:dyDescent="0.3">
      <c r="I28"/>
    </row>
  </sheetData>
  <mergeCells count="5">
    <mergeCell ref="B5:C5"/>
    <mergeCell ref="B8:E8"/>
    <mergeCell ref="B9:C9"/>
    <mergeCell ref="B15:E15"/>
    <mergeCell ref="B16:E16"/>
  </mergeCells>
  <pageMargins left="0.7" right="0.7" top="0.75" bottom="0.75" header="0.3" footer="0.3"/>
  <pageSetup paperSize="9" scale="3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9651A-183F-458B-8B2A-3DB71B44F494}">
  <dimension ref="A2:AO99"/>
  <sheetViews>
    <sheetView zoomScale="70" zoomScaleNormal="70" workbookViewId="0">
      <selection activeCell="B99" sqref="B99"/>
    </sheetView>
  </sheetViews>
  <sheetFormatPr defaultRowHeight="14.4" x14ac:dyDescent="0.3"/>
  <cols>
    <col min="3" max="3" width="22.33203125" customWidth="1"/>
    <col min="4" max="4" width="16.21875" customWidth="1"/>
    <col min="5" max="5" width="19.88671875" customWidth="1"/>
    <col min="6" max="6" width="12.33203125" customWidth="1"/>
    <col min="10" max="10" width="23.33203125" customWidth="1"/>
    <col min="11" max="11" width="15" customWidth="1"/>
    <col min="12" max="12" width="21" style="26" customWidth="1"/>
    <col min="13" max="13" width="14.77734375" style="26" customWidth="1"/>
    <col min="17" max="17" width="22.21875" customWidth="1"/>
    <col min="18" max="18" width="16.5546875" customWidth="1"/>
    <col min="19" max="19" width="19.5546875" style="26" customWidth="1"/>
    <col min="20" max="20" width="18.109375" style="26" customWidth="1"/>
    <col min="24" max="24" width="23.44140625" customWidth="1"/>
    <col min="25" max="25" width="15.77734375" customWidth="1"/>
    <col min="26" max="26" width="21.109375" style="26" customWidth="1"/>
    <col min="27" max="27" width="17.88671875" style="26" customWidth="1"/>
    <col min="31" max="31" width="22.88671875" customWidth="1"/>
    <col min="32" max="32" width="17" customWidth="1"/>
    <col min="33" max="33" width="19.88671875" customWidth="1"/>
    <col min="34" max="34" width="20.21875" customWidth="1"/>
    <col min="38" max="38" width="22.33203125" customWidth="1"/>
    <col min="39" max="39" width="14.44140625" customWidth="1"/>
    <col min="40" max="40" width="19.44140625" customWidth="1"/>
    <col min="41" max="41" width="18.33203125" customWidth="1"/>
  </cols>
  <sheetData>
    <row r="2" spans="1:41" x14ac:dyDescent="0.3">
      <c r="B2" s="180" t="s">
        <v>376</v>
      </c>
      <c r="C2" s="180"/>
    </row>
    <row r="3" spans="1:41" x14ac:dyDescent="0.3">
      <c r="B3" s="78" t="s">
        <v>392</v>
      </c>
    </row>
    <row r="4" spans="1:41" x14ac:dyDescent="0.3">
      <c r="B4" s="78" t="s">
        <v>391</v>
      </c>
    </row>
    <row r="5" spans="1:41" x14ac:dyDescent="0.3">
      <c r="B5" s="78" t="s">
        <v>393</v>
      </c>
    </row>
    <row r="6" spans="1:41" x14ac:dyDescent="0.3">
      <c r="B6" s="78"/>
    </row>
    <row r="7" spans="1:41" x14ac:dyDescent="0.3">
      <c r="B7" s="33" t="s">
        <v>100</v>
      </c>
      <c r="I7" s="33" t="s">
        <v>101</v>
      </c>
      <c r="P7" s="180" t="s">
        <v>102</v>
      </c>
      <c r="Q7" s="180"/>
      <c r="W7" s="180" t="s">
        <v>103</v>
      </c>
      <c r="X7" s="180"/>
      <c r="AD7" s="180" t="s">
        <v>104</v>
      </c>
      <c r="AE7" s="180"/>
      <c r="AG7" s="26"/>
      <c r="AH7" s="26"/>
      <c r="AK7" s="180" t="s">
        <v>105</v>
      </c>
      <c r="AL7" s="180"/>
      <c r="AN7" s="26"/>
      <c r="AO7" s="26"/>
    </row>
    <row r="8" spans="1:41" x14ac:dyDescent="0.3">
      <c r="A8" s="56"/>
      <c r="B8" s="56"/>
      <c r="C8" s="56"/>
      <c r="D8" s="56"/>
      <c r="E8" s="56"/>
      <c r="F8" s="56"/>
      <c r="G8" s="56"/>
      <c r="AG8" s="26"/>
      <c r="AH8" s="26"/>
      <c r="AN8" s="26"/>
      <c r="AO8" s="26"/>
    </row>
    <row r="9" spans="1:41" ht="46.2" customHeight="1" x14ac:dyDescent="0.3">
      <c r="A9" s="56"/>
      <c r="B9" s="84" t="s">
        <v>2</v>
      </c>
      <c r="C9" s="84" t="s">
        <v>8</v>
      </c>
      <c r="D9" s="84" t="s">
        <v>7</v>
      </c>
      <c r="E9" s="84" t="s">
        <v>435</v>
      </c>
      <c r="F9" s="84" t="s">
        <v>91</v>
      </c>
      <c r="G9" s="56"/>
      <c r="I9" s="24" t="s">
        <v>2</v>
      </c>
      <c r="J9" s="24" t="s">
        <v>8</v>
      </c>
      <c r="K9" s="24" t="s">
        <v>7</v>
      </c>
      <c r="L9" s="24" t="s">
        <v>435</v>
      </c>
      <c r="M9" s="24" t="s">
        <v>91</v>
      </c>
      <c r="P9" s="24" t="s">
        <v>2</v>
      </c>
      <c r="Q9" s="24" t="s">
        <v>8</v>
      </c>
      <c r="R9" s="24" t="s">
        <v>7</v>
      </c>
      <c r="S9" s="24" t="s">
        <v>435</v>
      </c>
      <c r="T9" s="24" t="s">
        <v>91</v>
      </c>
      <c r="W9" s="24" t="s">
        <v>2</v>
      </c>
      <c r="X9" s="24" t="s">
        <v>8</v>
      </c>
      <c r="Y9" s="24" t="s">
        <v>7</v>
      </c>
      <c r="Z9" s="24" t="s">
        <v>87</v>
      </c>
      <c r="AA9" s="24" t="s">
        <v>91</v>
      </c>
      <c r="AD9" s="24" t="s">
        <v>2</v>
      </c>
      <c r="AE9" s="24" t="s">
        <v>8</v>
      </c>
      <c r="AF9" s="24" t="s">
        <v>7</v>
      </c>
      <c r="AG9" s="24" t="s">
        <v>435</v>
      </c>
      <c r="AH9" s="24" t="s">
        <v>91</v>
      </c>
      <c r="AK9" s="24" t="s">
        <v>2</v>
      </c>
      <c r="AL9" s="24" t="s">
        <v>8</v>
      </c>
      <c r="AM9" s="24" t="s">
        <v>7</v>
      </c>
      <c r="AN9" s="24" t="s">
        <v>435</v>
      </c>
      <c r="AO9" s="24" t="s">
        <v>91</v>
      </c>
    </row>
    <row r="10" spans="1:41" x14ac:dyDescent="0.3">
      <c r="A10" s="56"/>
      <c r="B10" s="218" t="s">
        <v>11</v>
      </c>
      <c r="C10" s="218"/>
      <c r="D10" s="218"/>
      <c r="E10" s="218"/>
      <c r="F10" s="218"/>
      <c r="G10" s="56"/>
      <c r="I10" s="213" t="s">
        <v>13</v>
      </c>
      <c r="J10" s="213"/>
      <c r="K10" s="213"/>
      <c r="L10" s="213"/>
      <c r="M10" s="213"/>
      <c r="P10" s="213" t="s">
        <v>13</v>
      </c>
      <c r="Q10" s="213"/>
      <c r="R10" s="213"/>
      <c r="S10" s="213"/>
      <c r="T10" s="213"/>
      <c r="W10" s="213" t="s">
        <v>13</v>
      </c>
      <c r="X10" s="213"/>
      <c r="Y10" s="213"/>
      <c r="Z10" s="213"/>
      <c r="AA10" s="213"/>
      <c r="AD10" s="213" t="s">
        <v>11</v>
      </c>
      <c r="AE10" s="213"/>
      <c r="AF10" s="213"/>
      <c r="AG10" s="213"/>
      <c r="AH10" s="213"/>
      <c r="AK10" s="213" t="s">
        <v>11</v>
      </c>
      <c r="AL10" s="213"/>
      <c r="AM10" s="213"/>
      <c r="AN10" s="213"/>
      <c r="AO10" s="213"/>
    </row>
    <row r="11" spans="1:41" x14ac:dyDescent="0.3">
      <c r="A11" s="56"/>
      <c r="B11" s="30">
        <v>1</v>
      </c>
      <c r="C11" s="83" t="s">
        <v>5</v>
      </c>
      <c r="D11" s="30">
        <f>1+1+1*3+1+1+1</f>
        <v>8</v>
      </c>
      <c r="E11" s="17">
        <v>4</v>
      </c>
      <c r="F11" s="17">
        <f>D11*E11</f>
        <v>32</v>
      </c>
      <c r="G11" s="56"/>
      <c r="I11" s="1">
        <v>1</v>
      </c>
      <c r="J11" s="7" t="s">
        <v>5</v>
      </c>
      <c r="K11" s="1">
        <v>8</v>
      </c>
      <c r="L11" s="11">
        <v>4</v>
      </c>
      <c r="M11" s="11">
        <f>K11*L11</f>
        <v>32</v>
      </c>
      <c r="P11" s="1">
        <v>1</v>
      </c>
      <c r="Q11" s="7" t="s">
        <v>5</v>
      </c>
      <c r="R11" s="1">
        <v>13</v>
      </c>
      <c r="S11" s="11">
        <v>4</v>
      </c>
      <c r="T11" s="11">
        <f>R11*S11</f>
        <v>52</v>
      </c>
      <c r="W11" s="1">
        <v>1</v>
      </c>
      <c r="X11" s="7" t="s">
        <v>5</v>
      </c>
      <c r="Y11" s="1">
        <v>27</v>
      </c>
      <c r="Z11" s="11">
        <v>4</v>
      </c>
      <c r="AA11" s="11">
        <f>Y11*Z11</f>
        <v>108</v>
      </c>
      <c r="AD11" s="2">
        <v>1</v>
      </c>
      <c r="AE11" s="3" t="s">
        <v>5</v>
      </c>
      <c r="AF11" s="2">
        <f>1*5</f>
        <v>5</v>
      </c>
      <c r="AG11" s="11">
        <v>4</v>
      </c>
      <c r="AH11" s="11">
        <f>AF11*AG11</f>
        <v>20</v>
      </c>
      <c r="AK11" s="2">
        <v>1</v>
      </c>
      <c r="AL11" s="3" t="s">
        <v>5</v>
      </c>
      <c r="AM11" s="2">
        <f>8</f>
        <v>8</v>
      </c>
      <c r="AN11" s="11">
        <v>4</v>
      </c>
      <c r="AO11" s="11">
        <f>AM11*AN11</f>
        <v>32</v>
      </c>
    </row>
    <row r="12" spans="1:41" x14ac:dyDescent="0.3">
      <c r="A12" s="56"/>
      <c r="B12" s="217" t="s">
        <v>12</v>
      </c>
      <c r="C12" s="217"/>
      <c r="D12" s="217"/>
      <c r="E12" s="217"/>
      <c r="F12" s="17">
        <f>SUM(F11)</f>
        <v>32</v>
      </c>
      <c r="G12" s="56"/>
      <c r="I12" s="214" t="s">
        <v>14</v>
      </c>
      <c r="J12" s="214"/>
      <c r="K12" s="214"/>
      <c r="L12" s="214"/>
      <c r="M12" s="36">
        <f>SUM(M11)</f>
        <v>32</v>
      </c>
      <c r="P12" s="1">
        <v>2</v>
      </c>
      <c r="Q12" s="7" t="s">
        <v>24</v>
      </c>
      <c r="R12" s="1">
        <v>2</v>
      </c>
      <c r="S12" s="11">
        <v>8</v>
      </c>
      <c r="T12" s="11">
        <f t="shared" ref="T12:T13" si="0">R12*S12</f>
        <v>16</v>
      </c>
      <c r="W12" s="214" t="s">
        <v>14</v>
      </c>
      <c r="X12" s="214"/>
      <c r="Y12" s="214"/>
      <c r="Z12" s="214"/>
      <c r="AA12" s="36">
        <f>SUM(AA11)</f>
        <v>108</v>
      </c>
      <c r="AD12" s="214" t="s">
        <v>12</v>
      </c>
      <c r="AE12" s="214"/>
      <c r="AF12" s="214"/>
      <c r="AG12" s="214"/>
      <c r="AH12" s="36">
        <f>SUM(AH11)</f>
        <v>20</v>
      </c>
      <c r="AK12" s="214" t="s">
        <v>12</v>
      </c>
      <c r="AL12" s="214"/>
      <c r="AM12" s="214"/>
      <c r="AN12" s="214"/>
      <c r="AO12" s="36">
        <f>SUM(AO11)</f>
        <v>32</v>
      </c>
    </row>
    <row r="13" spans="1:41" x14ac:dyDescent="0.3">
      <c r="A13" s="56"/>
      <c r="B13" s="218" t="s">
        <v>17</v>
      </c>
      <c r="C13" s="218"/>
      <c r="D13" s="218"/>
      <c r="E13" s="218"/>
      <c r="F13" s="218"/>
      <c r="G13" s="56"/>
      <c r="I13" s="213" t="s">
        <v>11</v>
      </c>
      <c r="J13" s="213"/>
      <c r="K13" s="213"/>
      <c r="L13" s="213"/>
      <c r="M13" s="213"/>
      <c r="P13" s="1">
        <v>3</v>
      </c>
      <c r="Q13" s="7" t="s">
        <v>16</v>
      </c>
      <c r="R13" s="1">
        <v>2</v>
      </c>
      <c r="S13" s="11">
        <v>4</v>
      </c>
      <c r="T13" s="11">
        <f t="shared" si="0"/>
        <v>8</v>
      </c>
      <c r="W13" s="213" t="s">
        <v>11</v>
      </c>
      <c r="X13" s="213"/>
      <c r="Y13" s="213"/>
      <c r="Z13" s="213"/>
      <c r="AA13" s="213"/>
      <c r="AD13" s="213" t="s">
        <v>17</v>
      </c>
      <c r="AE13" s="213"/>
      <c r="AF13" s="213"/>
      <c r="AG13" s="213"/>
      <c r="AH13" s="213"/>
      <c r="AK13" s="213" t="s">
        <v>17</v>
      </c>
      <c r="AL13" s="213"/>
      <c r="AM13" s="213"/>
      <c r="AN13" s="213"/>
      <c r="AO13" s="213"/>
    </row>
    <row r="14" spans="1:41" x14ac:dyDescent="0.3">
      <c r="A14" s="56"/>
      <c r="B14" s="30">
        <v>1</v>
      </c>
      <c r="C14" s="83" t="s">
        <v>5</v>
      </c>
      <c r="D14" s="30">
        <v>13</v>
      </c>
      <c r="E14" s="17">
        <v>4</v>
      </c>
      <c r="F14" s="17">
        <f>D14*E14</f>
        <v>52</v>
      </c>
      <c r="G14" s="56"/>
      <c r="I14" s="1">
        <v>1</v>
      </c>
      <c r="J14" s="7" t="s">
        <v>5</v>
      </c>
      <c r="K14" s="1">
        <v>6</v>
      </c>
      <c r="L14" s="11">
        <v>4</v>
      </c>
      <c r="M14" s="11">
        <f>K14*L14</f>
        <v>24</v>
      </c>
      <c r="P14" s="214" t="s">
        <v>14</v>
      </c>
      <c r="Q14" s="214"/>
      <c r="R14" s="214"/>
      <c r="S14" s="214"/>
      <c r="T14" s="36">
        <f>SUM(T11:T13)</f>
        <v>76</v>
      </c>
      <c r="W14" s="1">
        <v>1</v>
      </c>
      <c r="X14" s="7" t="s">
        <v>5</v>
      </c>
      <c r="Y14" s="1">
        <v>6</v>
      </c>
      <c r="Z14" s="11">
        <v>4</v>
      </c>
      <c r="AA14" s="11">
        <f>Y14*Z14</f>
        <v>24</v>
      </c>
      <c r="AD14" s="2">
        <v>1</v>
      </c>
      <c r="AE14" s="3" t="s">
        <v>5</v>
      </c>
      <c r="AF14" s="2">
        <f>2+1+1*5</f>
        <v>8</v>
      </c>
      <c r="AG14" s="1">
        <v>4</v>
      </c>
      <c r="AH14" s="11">
        <f>AF14*AG14</f>
        <v>32</v>
      </c>
      <c r="AK14" s="2">
        <v>1</v>
      </c>
      <c r="AL14" s="3" t="s">
        <v>5</v>
      </c>
      <c r="AM14" s="2">
        <f>2</f>
        <v>2</v>
      </c>
      <c r="AN14" s="1">
        <v>4</v>
      </c>
      <c r="AO14" s="11">
        <f>AM14*AN14</f>
        <v>8</v>
      </c>
    </row>
    <row r="15" spans="1:41" x14ac:dyDescent="0.3">
      <c r="A15" s="56"/>
      <c r="B15" s="30">
        <v>2</v>
      </c>
      <c r="C15" s="83" t="s">
        <v>24</v>
      </c>
      <c r="D15" s="30">
        <v>2</v>
      </c>
      <c r="E15" s="17">
        <v>8</v>
      </c>
      <c r="F15" s="17">
        <f t="shared" ref="F15:F16" si="1">D15*E15</f>
        <v>16</v>
      </c>
      <c r="G15" s="56"/>
      <c r="I15" s="1">
        <v>2</v>
      </c>
      <c r="J15" s="7" t="s">
        <v>56</v>
      </c>
      <c r="K15" s="1">
        <v>1</v>
      </c>
      <c r="L15" s="11">
        <v>4</v>
      </c>
      <c r="M15" s="11">
        <f t="shared" ref="M15:M16" si="2">K15*L15</f>
        <v>4</v>
      </c>
      <c r="P15" s="213" t="s">
        <v>11</v>
      </c>
      <c r="Q15" s="213"/>
      <c r="R15" s="213"/>
      <c r="S15" s="213"/>
      <c r="T15" s="213"/>
      <c r="W15" s="1">
        <v>2</v>
      </c>
      <c r="X15" s="7" t="s">
        <v>54</v>
      </c>
      <c r="Y15" s="1">
        <v>2</v>
      </c>
      <c r="Z15" s="11">
        <v>8</v>
      </c>
      <c r="AA15" s="11">
        <f t="shared" ref="AA15:AA16" si="3">Y15*Z15</f>
        <v>16</v>
      </c>
      <c r="AD15" s="214" t="s">
        <v>18</v>
      </c>
      <c r="AE15" s="214"/>
      <c r="AF15" s="214"/>
      <c r="AG15" s="214"/>
      <c r="AH15" s="36">
        <f>SUM(AH14)</f>
        <v>32</v>
      </c>
      <c r="AK15" s="214" t="s">
        <v>18</v>
      </c>
      <c r="AL15" s="214"/>
      <c r="AM15" s="214"/>
      <c r="AN15" s="214"/>
      <c r="AO15" s="36">
        <f>SUM(AO14)</f>
        <v>8</v>
      </c>
    </row>
    <row r="16" spans="1:41" x14ac:dyDescent="0.3">
      <c r="A16" s="56"/>
      <c r="B16" s="30">
        <v>3</v>
      </c>
      <c r="C16" s="83" t="s">
        <v>16</v>
      </c>
      <c r="D16" s="30">
        <v>3</v>
      </c>
      <c r="E16" s="17">
        <v>4</v>
      </c>
      <c r="F16" s="17">
        <f t="shared" si="1"/>
        <v>12</v>
      </c>
      <c r="G16" s="56"/>
      <c r="I16" s="1">
        <v>3</v>
      </c>
      <c r="J16" s="7" t="s">
        <v>54</v>
      </c>
      <c r="K16" s="1">
        <v>2</v>
      </c>
      <c r="L16" s="11">
        <v>8</v>
      </c>
      <c r="M16" s="11">
        <f t="shared" si="2"/>
        <v>16</v>
      </c>
      <c r="P16" s="1">
        <v>1</v>
      </c>
      <c r="Q16" s="7" t="s">
        <v>5</v>
      </c>
      <c r="R16" s="1">
        <v>5</v>
      </c>
      <c r="S16" s="11">
        <v>4</v>
      </c>
      <c r="T16" s="11">
        <f>R16*S16</f>
        <v>20</v>
      </c>
      <c r="W16" s="1">
        <v>6</v>
      </c>
      <c r="X16" s="7" t="s">
        <v>16</v>
      </c>
      <c r="Y16" s="1">
        <v>1</v>
      </c>
      <c r="Z16" s="11">
        <v>4</v>
      </c>
      <c r="AA16" s="11">
        <f t="shared" si="3"/>
        <v>4</v>
      </c>
    </row>
    <row r="17" spans="1:41" x14ac:dyDescent="0.3">
      <c r="A17" s="56"/>
      <c r="B17" s="217" t="s">
        <v>18</v>
      </c>
      <c r="C17" s="217"/>
      <c r="D17" s="217"/>
      <c r="E17" s="217"/>
      <c r="F17" s="17">
        <f>SUM(F14:F16)</f>
        <v>80</v>
      </c>
      <c r="G17" s="56"/>
      <c r="I17" s="214" t="s">
        <v>12</v>
      </c>
      <c r="J17" s="214"/>
      <c r="K17" s="214"/>
      <c r="L17" s="214"/>
      <c r="M17" s="36">
        <f>SUM(M14:M16)</f>
        <v>44</v>
      </c>
      <c r="P17" s="1">
        <v>2</v>
      </c>
      <c r="Q17" s="7" t="s">
        <v>24</v>
      </c>
      <c r="R17" s="1">
        <v>2</v>
      </c>
      <c r="S17" s="11">
        <v>8</v>
      </c>
      <c r="T17" s="11">
        <f t="shared" ref="T17:T18" si="4">R17*S17</f>
        <v>16</v>
      </c>
      <c r="W17" s="214" t="s">
        <v>12</v>
      </c>
      <c r="X17" s="214"/>
      <c r="Y17" s="214"/>
      <c r="Z17" s="214"/>
      <c r="AA17" s="36">
        <f>SUM(AA14:AA16)</f>
        <v>44</v>
      </c>
      <c r="AD17" s="189" t="s">
        <v>415</v>
      </c>
      <c r="AE17" s="189"/>
      <c r="AF17" s="189"/>
      <c r="AG17" s="189"/>
      <c r="AH17" s="189"/>
      <c r="AK17" s="189" t="s">
        <v>415</v>
      </c>
      <c r="AL17" s="189"/>
      <c r="AM17" s="189"/>
      <c r="AN17" s="189"/>
      <c r="AO17" s="189"/>
    </row>
    <row r="18" spans="1:41" x14ac:dyDescent="0.3">
      <c r="A18" s="56"/>
      <c r="B18" s="218" t="s">
        <v>25</v>
      </c>
      <c r="C18" s="218"/>
      <c r="D18" s="218"/>
      <c r="E18" s="218"/>
      <c r="F18" s="218"/>
      <c r="G18" s="56"/>
      <c r="I18" s="213" t="s">
        <v>17</v>
      </c>
      <c r="J18" s="213"/>
      <c r="K18" s="213"/>
      <c r="L18" s="213"/>
      <c r="M18" s="213"/>
      <c r="P18" s="1">
        <v>3</v>
      </c>
      <c r="Q18" s="7" t="s">
        <v>16</v>
      </c>
      <c r="R18" s="1">
        <v>1</v>
      </c>
      <c r="S18" s="11">
        <v>4</v>
      </c>
      <c r="T18" s="11">
        <f t="shared" si="4"/>
        <v>4</v>
      </c>
      <c r="W18" s="213" t="s">
        <v>17</v>
      </c>
      <c r="X18" s="213"/>
      <c r="Y18" s="213"/>
      <c r="Z18" s="213"/>
      <c r="AA18" s="213"/>
      <c r="AD18" s="189" t="s">
        <v>383</v>
      </c>
      <c r="AE18" s="189"/>
      <c r="AF18" s="36" t="s">
        <v>384</v>
      </c>
      <c r="AG18" s="36" t="s">
        <v>385</v>
      </c>
      <c r="AH18" s="36" t="s">
        <v>436</v>
      </c>
      <c r="AK18" s="189" t="s">
        <v>383</v>
      </c>
      <c r="AL18" s="189"/>
      <c r="AM18" s="36" t="s">
        <v>384</v>
      </c>
      <c r="AN18" s="36" t="s">
        <v>385</v>
      </c>
      <c r="AO18" s="36" t="s">
        <v>436</v>
      </c>
    </row>
    <row r="19" spans="1:41" x14ac:dyDescent="0.3">
      <c r="A19" s="56"/>
      <c r="B19" s="30">
        <v>1</v>
      </c>
      <c r="C19" s="83" t="s">
        <v>5</v>
      </c>
      <c r="D19" s="30">
        <v>21</v>
      </c>
      <c r="E19" s="17">
        <v>4</v>
      </c>
      <c r="F19" s="17">
        <f>D19*E19</f>
        <v>84</v>
      </c>
      <c r="G19" s="56"/>
      <c r="I19" s="1">
        <v>1</v>
      </c>
      <c r="J19" s="7" t="s">
        <v>5</v>
      </c>
      <c r="K19" s="1">
        <v>5</v>
      </c>
      <c r="L19" s="11">
        <v>4</v>
      </c>
      <c r="M19" s="11">
        <f>K19*L19</f>
        <v>20</v>
      </c>
      <c r="P19" s="214" t="s">
        <v>12</v>
      </c>
      <c r="Q19" s="214"/>
      <c r="R19" s="214"/>
      <c r="S19" s="214"/>
      <c r="T19" s="36">
        <f>SUM(T16:T18)</f>
        <v>40</v>
      </c>
      <c r="W19" s="1">
        <v>1</v>
      </c>
      <c r="X19" s="7" t="s">
        <v>5</v>
      </c>
      <c r="Y19" s="1">
        <v>6</v>
      </c>
      <c r="Z19" s="11">
        <v>4</v>
      </c>
      <c r="AA19" s="11">
        <f>Y19*Z19</f>
        <v>24</v>
      </c>
      <c r="AD19" s="151">
        <v>2</v>
      </c>
      <c r="AE19" s="151"/>
      <c r="AF19" s="11">
        <f>AH15</f>
        <v>32</v>
      </c>
      <c r="AG19" s="11">
        <v>4</v>
      </c>
      <c r="AH19" s="11">
        <v>100</v>
      </c>
      <c r="AK19" s="151">
        <v>2</v>
      </c>
      <c r="AL19" s="151"/>
      <c r="AM19" s="11">
        <f>AO15</f>
        <v>8</v>
      </c>
      <c r="AN19" s="11">
        <v>4</v>
      </c>
      <c r="AO19" s="11">
        <v>100</v>
      </c>
    </row>
    <row r="20" spans="1:41" x14ac:dyDescent="0.3">
      <c r="A20" s="56"/>
      <c r="B20" s="30">
        <v>2</v>
      </c>
      <c r="C20" s="83" t="s">
        <v>16</v>
      </c>
      <c r="D20" s="30">
        <v>4</v>
      </c>
      <c r="E20" s="17">
        <v>4</v>
      </c>
      <c r="F20" s="17">
        <f>D20*E20</f>
        <v>16</v>
      </c>
      <c r="G20" s="56"/>
      <c r="I20" s="1">
        <v>2</v>
      </c>
      <c r="J20" s="7" t="s">
        <v>24</v>
      </c>
      <c r="K20" s="1">
        <v>2</v>
      </c>
      <c r="L20" s="11">
        <v>8</v>
      </c>
      <c r="M20" s="11">
        <f t="shared" ref="M20:M21" si="5">K20*L20</f>
        <v>16</v>
      </c>
      <c r="P20" s="213" t="s">
        <v>33</v>
      </c>
      <c r="Q20" s="213"/>
      <c r="R20" s="213"/>
      <c r="S20" s="213"/>
      <c r="T20" s="213"/>
      <c r="W20" s="1">
        <v>2</v>
      </c>
      <c r="X20" s="7" t="s">
        <v>54</v>
      </c>
      <c r="Y20" s="1">
        <v>2</v>
      </c>
      <c r="Z20" s="11">
        <v>8</v>
      </c>
      <c r="AA20" s="11">
        <f t="shared" ref="AA20:AA21" si="6">Y20*Z20</f>
        <v>16</v>
      </c>
      <c r="AD20" s="151">
        <v>1</v>
      </c>
      <c r="AE20" s="151"/>
      <c r="AF20" s="11">
        <f>AF19+AH12</f>
        <v>52</v>
      </c>
      <c r="AG20" s="11">
        <v>4</v>
      </c>
      <c r="AH20" s="11">
        <v>100</v>
      </c>
      <c r="AK20" s="151">
        <v>1</v>
      </c>
      <c r="AL20" s="151"/>
      <c r="AM20" s="11">
        <f>AM19+AO12</f>
        <v>40</v>
      </c>
      <c r="AN20" s="11">
        <v>4</v>
      </c>
      <c r="AO20" s="11">
        <v>100</v>
      </c>
    </row>
    <row r="21" spans="1:41" x14ac:dyDescent="0.3">
      <c r="A21" s="56"/>
      <c r="B21" s="217" t="s">
        <v>26</v>
      </c>
      <c r="C21" s="217"/>
      <c r="D21" s="217"/>
      <c r="E21" s="217"/>
      <c r="F21" s="17">
        <f>SUM(F19:F20)</f>
        <v>100</v>
      </c>
      <c r="G21" s="56"/>
      <c r="I21" s="1">
        <v>3</v>
      </c>
      <c r="J21" s="7" t="s">
        <v>56</v>
      </c>
      <c r="K21" s="1">
        <v>2</v>
      </c>
      <c r="L21" s="11">
        <v>4</v>
      </c>
      <c r="M21" s="11">
        <f t="shared" si="5"/>
        <v>8</v>
      </c>
      <c r="P21" s="1">
        <v>1</v>
      </c>
      <c r="Q21" s="7" t="s">
        <v>5</v>
      </c>
      <c r="R21" s="1">
        <v>1</v>
      </c>
      <c r="S21" s="11">
        <v>4</v>
      </c>
      <c r="T21" s="11">
        <f>R21*S21</f>
        <v>4</v>
      </c>
      <c r="W21" s="1">
        <v>6</v>
      </c>
      <c r="X21" s="7" t="s">
        <v>16</v>
      </c>
      <c r="Y21" s="1">
        <v>2</v>
      </c>
      <c r="Z21" s="11">
        <v>4</v>
      </c>
      <c r="AA21" s="11">
        <f t="shared" si="6"/>
        <v>8</v>
      </c>
    </row>
    <row r="22" spans="1:41" x14ac:dyDescent="0.3">
      <c r="A22" s="56"/>
      <c r="B22" s="218" t="s">
        <v>27</v>
      </c>
      <c r="C22" s="218"/>
      <c r="D22" s="218"/>
      <c r="E22" s="218"/>
      <c r="F22" s="218"/>
      <c r="G22" s="56"/>
      <c r="I22" s="214" t="s">
        <v>18</v>
      </c>
      <c r="J22" s="214"/>
      <c r="K22" s="214"/>
      <c r="L22" s="214"/>
      <c r="M22" s="36">
        <f>SUM(M19:M21)</f>
        <v>44</v>
      </c>
      <c r="P22" s="214" t="s">
        <v>34</v>
      </c>
      <c r="Q22" s="214"/>
      <c r="R22" s="214"/>
      <c r="S22" s="214"/>
      <c r="T22" s="36">
        <f>SUM(T21)</f>
        <v>4</v>
      </c>
      <c r="W22" s="214" t="s">
        <v>18</v>
      </c>
      <c r="X22" s="214"/>
      <c r="Y22" s="214"/>
      <c r="Z22" s="214"/>
      <c r="AA22" s="36">
        <f>SUM(AA19:AA21)</f>
        <v>48</v>
      </c>
    </row>
    <row r="23" spans="1:41" x14ac:dyDescent="0.3">
      <c r="A23" s="56"/>
      <c r="B23" s="30">
        <v>1</v>
      </c>
      <c r="C23" s="83" t="s">
        <v>5</v>
      </c>
      <c r="D23" s="30">
        <v>14</v>
      </c>
      <c r="E23" s="17">
        <v>4</v>
      </c>
      <c r="F23" s="17">
        <f>D23*E23</f>
        <v>56</v>
      </c>
      <c r="G23" s="56"/>
      <c r="I23" s="213" t="s">
        <v>58</v>
      </c>
      <c r="J23" s="213"/>
      <c r="K23" s="213"/>
      <c r="L23" s="213"/>
      <c r="M23" s="213"/>
      <c r="P23" s="213" t="s">
        <v>17</v>
      </c>
      <c r="Q23" s="213"/>
      <c r="R23" s="213"/>
      <c r="S23" s="213"/>
      <c r="T23" s="213"/>
      <c r="W23" s="213" t="s">
        <v>25</v>
      </c>
      <c r="X23" s="213"/>
      <c r="Y23" s="213"/>
      <c r="Z23" s="213"/>
      <c r="AA23" s="213"/>
    </row>
    <row r="24" spans="1:41" x14ac:dyDescent="0.3">
      <c r="A24" s="56"/>
      <c r="B24" s="30">
        <v>2</v>
      </c>
      <c r="C24" s="83" t="s">
        <v>16</v>
      </c>
      <c r="D24" s="30">
        <v>4</v>
      </c>
      <c r="E24" s="17">
        <v>4</v>
      </c>
      <c r="F24" s="17">
        <f>D24*E24</f>
        <v>16</v>
      </c>
      <c r="G24" s="56"/>
      <c r="I24" s="1">
        <v>1</v>
      </c>
      <c r="J24" s="7" t="s">
        <v>5</v>
      </c>
      <c r="K24" s="1">
        <v>1</v>
      </c>
      <c r="L24" s="11">
        <v>4</v>
      </c>
      <c r="M24" s="11">
        <f>K24*L24</f>
        <v>4</v>
      </c>
      <c r="P24" s="1">
        <v>1</v>
      </c>
      <c r="Q24" s="7" t="s">
        <v>5</v>
      </c>
      <c r="R24" s="1">
        <v>13</v>
      </c>
      <c r="S24" s="11">
        <v>4</v>
      </c>
      <c r="T24" s="11">
        <f>R24*S24</f>
        <v>52</v>
      </c>
      <c r="W24" s="1">
        <v>1</v>
      </c>
      <c r="X24" s="7" t="s">
        <v>5</v>
      </c>
      <c r="Y24" s="1">
        <f>1+2+1+2</f>
        <v>6</v>
      </c>
      <c r="Z24" s="11">
        <v>4</v>
      </c>
      <c r="AA24" s="11">
        <f>Y24*Z24</f>
        <v>24</v>
      </c>
    </row>
    <row r="25" spans="1:41" x14ac:dyDescent="0.3">
      <c r="A25" s="56"/>
      <c r="B25" s="217" t="s">
        <v>28</v>
      </c>
      <c r="C25" s="217"/>
      <c r="D25" s="217"/>
      <c r="E25" s="217"/>
      <c r="F25" s="17">
        <f>SUM(F23:F24)</f>
        <v>72</v>
      </c>
      <c r="G25" s="56"/>
      <c r="I25" s="214" t="s">
        <v>394</v>
      </c>
      <c r="J25" s="214"/>
      <c r="K25" s="214"/>
      <c r="L25" s="214"/>
      <c r="M25" s="36">
        <f>SUM(M24)</f>
        <v>4</v>
      </c>
      <c r="P25" s="1">
        <v>2</v>
      </c>
      <c r="Q25" s="7" t="s">
        <v>24</v>
      </c>
      <c r="R25" s="1">
        <v>2</v>
      </c>
      <c r="S25" s="11">
        <v>8</v>
      </c>
      <c r="T25" s="11">
        <f t="shared" ref="T25:T26" si="7">R25*S25</f>
        <v>16</v>
      </c>
      <c r="W25" s="214" t="s">
        <v>26</v>
      </c>
      <c r="X25" s="214"/>
      <c r="Y25" s="214"/>
      <c r="Z25" s="214"/>
      <c r="AA25" s="36">
        <f>SUM(AA24)</f>
        <v>24</v>
      </c>
    </row>
    <row r="26" spans="1:41" x14ac:dyDescent="0.3">
      <c r="A26" s="56"/>
      <c r="B26" s="218" t="s">
        <v>29</v>
      </c>
      <c r="C26" s="218"/>
      <c r="D26" s="218"/>
      <c r="E26" s="218"/>
      <c r="F26" s="218"/>
      <c r="G26" s="56"/>
      <c r="I26" s="213" t="s">
        <v>25</v>
      </c>
      <c r="J26" s="213"/>
      <c r="K26" s="213"/>
      <c r="L26" s="213"/>
      <c r="M26" s="213"/>
      <c r="P26" s="1">
        <v>3</v>
      </c>
      <c r="Q26" s="7" t="s">
        <v>16</v>
      </c>
      <c r="R26" s="1">
        <v>2</v>
      </c>
      <c r="S26" s="11">
        <v>4</v>
      </c>
      <c r="T26" s="11">
        <f t="shared" si="7"/>
        <v>8</v>
      </c>
      <c r="W26" s="213" t="s">
        <v>35</v>
      </c>
      <c r="X26" s="213"/>
      <c r="Y26" s="213"/>
      <c r="Z26" s="213"/>
      <c r="AA26" s="213"/>
    </row>
    <row r="27" spans="1:41" x14ac:dyDescent="0.3">
      <c r="A27" s="56"/>
      <c r="B27" s="30">
        <v>1</v>
      </c>
      <c r="C27" s="83" t="s">
        <v>5</v>
      </c>
      <c r="D27" s="30">
        <v>14</v>
      </c>
      <c r="E27" s="17">
        <v>4</v>
      </c>
      <c r="F27" s="17">
        <f>D27*E27</f>
        <v>56</v>
      </c>
      <c r="G27" s="56"/>
      <c r="I27" s="1">
        <v>1</v>
      </c>
      <c r="J27" s="7" t="s">
        <v>5</v>
      </c>
      <c r="K27" s="1">
        <v>5</v>
      </c>
      <c r="L27" s="11">
        <v>4</v>
      </c>
      <c r="M27" s="11">
        <f>K27*L27</f>
        <v>20</v>
      </c>
      <c r="P27" s="214" t="s">
        <v>18</v>
      </c>
      <c r="Q27" s="214"/>
      <c r="R27" s="214"/>
      <c r="S27" s="214"/>
      <c r="T27" s="36">
        <f>SUM(T24:T26)</f>
        <v>76</v>
      </c>
      <c r="W27" s="1">
        <v>1</v>
      </c>
      <c r="X27" s="7" t="s">
        <v>5</v>
      </c>
      <c r="Y27" s="1">
        <v>1</v>
      </c>
      <c r="Z27" s="11">
        <v>4</v>
      </c>
      <c r="AA27" s="11">
        <f>Y27*Z27</f>
        <v>4</v>
      </c>
    </row>
    <row r="28" spans="1:41" x14ac:dyDescent="0.3">
      <c r="A28" s="56"/>
      <c r="B28" s="30">
        <v>2</v>
      </c>
      <c r="C28" s="83" t="s">
        <v>16</v>
      </c>
      <c r="D28" s="30">
        <v>4</v>
      </c>
      <c r="E28" s="17">
        <v>4</v>
      </c>
      <c r="F28" s="17">
        <f>D28*E28</f>
        <v>16</v>
      </c>
      <c r="G28" s="56"/>
      <c r="I28" s="214" t="s">
        <v>26</v>
      </c>
      <c r="J28" s="214"/>
      <c r="K28" s="214"/>
      <c r="L28" s="214"/>
      <c r="M28" s="36">
        <f>SUM(M27)</f>
        <v>20</v>
      </c>
      <c r="P28" s="213" t="s">
        <v>25</v>
      </c>
      <c r="Q28" s="213"/>
      <c r="R28" s="213"/>
      <c r="S28" s="213"/>
      <c r="T28" s="213"/>
      <c r="W28" s="214" t="s">
        <v>36</v>
      </c>
      <c r="X28" s="214"/>
      <c r="Y28" s="214"/>
      <c r="Z28" s="214"/>
      <c r="AA28" s="36">
        <f>SUM(AA27)</f>
        <v>4</v>
      </c>
    </row>
    <row r="29" spans="1:41" x14ac:dyDescent="0.3">
      <c r="A29" s="56"/>
      <c r="B29" s="217" t="s">
        <v>30</v>
      </c>
      <c r="C29" s="217"/>
      <c r="D29" s="217"/>
      <c r="E29" s="217"/>
      <c r="F29" s="17">
        <f>SUM(F27:F28)</f>
        <v>72</v>
      </c>
      <c r="G29" s="56"/>
      <c r="I29" s="213" t="s">
        <v>61</v>
      </c>
      <c r="J29" s="213"/>
      <c r="K29" s="213"/>
      <c r="L29" s="213"/>
      <c r="M29" s="213"/>
      <c r="P29" s="1">
        <v>1</v>
      </c>
      <c r="Q29" s="7" t="s">
        <v>5</v>
      </c>
      <c r="R29" s="1">
        <v>7</v>
      </c>
      <c r="S29" s="11">
        <v>4</v>
      </c>
      <c r="T29" s="11">
        <f>R29*S29</f>
        <v>28</v>
      </c>
      <c r="W29" s="213" t="s">
        <v>27</v>
      </c>
      <c r="X29" s="213"/>
      <c r="Y29" s="213"/>
      <c r="Z29" s="213"/>
      <c r="AA29" s="213"/>
    </row>
    <row r="30" spans="1:41" x14ac:dyDescent="0.3">
      <c r="A30" s="56"/>
      <c r="B30" s="218" t="s">
        <v>31</v>
      </c>
      <c r="C30" s="218"/>
      <c r="D30" s="218"/>
      <c r="E30" s="218"/>
      <c r="F30" s="218"/>
      <c r="G30" s="56"/>
      <c r="I30" s="1">
        <v>1</v>
      </c>
      <c r="J30" s="7" t="s">
        <v>5</v>
      </c>
      <c r="K30" s="1">
        <v>1</v>
      </c>
      <c r="L30" s="11">
        <v>4</v>
      </c>
      <c r="M30" s="11">
        <f>K30*L30</f>
        <v>4</v>
      </c>
      <c r="P30" s="214" t="s">
        <v>26</v>
      </c>
      <c r="Q30" s="214"/>
      <c r="R30" s="214"/>
      <c r="S30" s="214"/>
      <c r="T30" s="36">
        <f>SUM(T29)</f>
        <v>28</v>
      </c>
      <c r="W30" s="1">
        <v>1</v>
      </c>
      <c r="X30" s="7" t="s">
        <v>5</v>
      </c>
      <c r="Y30" s="1">
        <f>1+2+2+1+2</f>
        <v>8</v>
      </c>
      <c r="Z30" s="11">
        <v>4</v>
      </c>
      <c r="AA30" s="11">
        <f>Y30*Z30</f>
        <v>32</v>
      </c>
    </row>
    <row r="31" spans="1:41" x14ac:dyDescent="0.3">
      <c r="A31" s="56"/>
      <c r="B31" s="30">
        <v>1</v>
      </c>
      <c r="C31" s="83" t="s">
        <v>5</v>
      </c>
      <c r="D31" s="30">
        <v>14</v>
      </c>
      <c r="E31" s="17">
        <v>4</v>
      </c>
      <c r="F31" s="17">
        <f>D31*E31</f>
        <v>56</v>
      </c>
      <c r="G31" s="56"/>
      <c r="I31" s="214" t="s">
        <v>62</v>
      </c>
      <c r="J31" s="214"/>
      <c r="K31" s="214"/>
      <c r="L31" s="214"/>
      <c r="M31" s="36">
        <f>SUM(M30)</f>
        <v>4</v>
      </c>
      <c r="P31" s="213" t="s">
        <v>35</v>
      </c>
      <c r="Q31" s="213"/>
      <c r="R31" s="213"/>
      <c r="S31" s="213"/>
      <c r="T31" s="213"/>
      <c r="W31" s="214" t="s">
        <v>28</v>
      </c>
      <c r="X31" s="214"/>
      <c r="Y31" s="214"/>
      <c r="Z31" s="214"/>
      <c r="AA31" s="36">
        <f>SUM(AA30)</f>
        <v>32</v>
      </c>
    </row>
    <row r="32" spans="1:41" x14ac:dyDescent="0.3">
      <c r="A32" s="56"/>
      <c r="B32" s="30">
        <v>4</v>
      </c>
      <c r="C32" s="83" t="s">
        <v>16</v>
      </c>
      <c r="D32" s="30">
        <v>4</v>
      </c>
      <c r="E32" s="17">
        <v>4</v>
      </c>
      <c r="F32" s="17">
        <f>D32*E32</f>
        <v>16</v>
      </c>
      <c r="G32" s="56"/>
      <c r="I32" s="213" t="s">
        <v>27</v>
      </c>
      <c r="J32" s="213"/>
      <c r="K32" s="213"/>
      <c r="L32" s="213"/>
      <c r="M32" s="213"/>
      <c r="P32" s="1">
        <v>1</v>
      </c>
      <c r="Q32" s="7" t="s">
        <v>5</v>
      </c>
      <c r="R32" s="1">
        <v>2</v>
      </c>
      <c r="S32" s="11">
        <v>4</v>
      </c>
      <c r="T32" s="11">
        <f>R32*S32</f>
        <v>8</v>
      </c>
      <c r="W32" s="213" t="s">
        <v>29</v>
      </c>
      <c r="X32" s="213"/>
      <c r="Y32" s="213"/>
      <c r="Z32" s="213"/>
      <c r="AA32" s="213"/>
    </row>
    <row r="33" spans="1:27" x14ac:dyDescent="0.3">
      <c r="A33" s="56"/>
      <c r="B33" s="217" t="s">
        <v>32</v>
      </c>
      <c r="C33" s="217"/>
      <c r="D33" s="217"/>
      <c r="E33" s="217"/>
      <c r="F33" s="17">
        <f>SUM(F31:F32)</f>
        <v>72</v>
      </c>
      <c r="G33" s="56"/>
      <c r="I33" s="1">
        <v>1</v>
      </c>
      <c r="J33" s="7" t="s">
        <v>5</v>
      </c>
      <c r="K33" s="1">
        <v>5</v>
      </c>
      <c r="L33" s="11">
        <v>4</v>
      </c>
      <c r="M33" s="11">
        <f>K33*L33</f>
        <v>20</v>
      </c>
      <c r="P33" s="214" t="s">
        <v>36</v>
      </c>
      <c r="Q33" s="214"/>
      <c r="R33" s="214"/>
      <c r="S33" s="214"/>
      <c r="T33" s="36">
        <f>SUM(T32)</f>
        <v>8</v>
      </c>
      <c r="W33" s="1">
        <v>1</v>
      </c>
      <c r="X33" s="7" t="s">
        <v>5</v>
      </c>
      <c r="Y33" s="1">
        <f>2+1+10+2</f>
        <v>15</v>
      </c>
      <c r="Z33" s="11">
        <v>4</v>
      </c>
      <c r="AA33" s="11">
        <f>Y33*Z33</f>
        <v>60</v>
      </c>
    </row>
    <row r="34" spans="1:27" x14ac:dyDescent="0.3">
      <c r="A34" s="56"/>
      <c r="B34" s="56"/>
      <c r="C34" s="56"/>
      <c r="D34" s="56"/>
      <c r="E34" s="56"/>
      <c r="F34" s="56"/>
      <c r="G34" s="56"/>
      <c r="I34" s="214" t="s">
        <v>28</v>
      </c>
      <c r="J34" s="214"/>
      <c r="K34" s="214"/>
      <c r="L34" s="214"/>
      <c r="M34" s="36">
        <f>SUM(M33)</f>
        <v>20</v>
      </c>
      <c r="P34" s="213" t="s">
        <v>27</v>
      </c>
      <c r="Q34" s="213"/>
      <c r="R34" s="213"/>
      <c r="S34" s="213"/>
      <c r="T34" s="213"/>
      <c r="W34" s="214" t="s">
        <v>30</v>
      </c>
      <c r="X34" s="214"/>
      <c r="Y34" s="214"/>
      <c r="Z34" s="214"/>
      <c r="AA34" s="36">
        <f>SUM(AA33)</f>
        <v>60</v>
      </c>
    </row>
    <row r="35" spans="1:27" x14ac:dyDescent="0.3">
      <c r="A35" s="56"/>
      <c r="B35" s="183" t="s">
        <v>415</v>
      </c>
      <c r="C35" s="183"/>
      <c r="D35" s="183"/>
      <c r="E35" s="183"/>
      <c r="F35" s="183"/>
      <c r="G35" s="56"/>
      <c r="I35" s="213" t="s">
        <v>63</v>
      </c>
      <c r="J35" s="213"/>
      <c r="K35" s="213"/>
      <c r="L35" s="213"/>
      <c r="M35" s="213"/>
      <c r="P35" s="1">
        <v>1</v>
      </c>
      <c r="Q35" s="7" t="s">
        <v>5</v>
      </c>
      <c r="R35" s="1">
        <v>11</v>
      </c>
      <c r="S35" s="11">
        <v>4</v>
      </c>
      <c r="T35" s="11">
        <f>R35*S35</f>
        <v>44</v>
      </c>
      <c r="W35" s="213" t="s">
        <v>37</v>
      </c>
      <c r="X35" s="213"/>
      <c r="Y35" s="213"/>
      <c r="Z35" s="213"/>
      <c r="AA35" s="213"/>
    </row>
    <row r="36" spans="1:27" ht="28.8" x14ac:dyDescent="0.3">
      <c r="A36" s="56"/>
      <c r="B36" s="216" t="s">
        <v>383</v>
      </c>
      <c r="C36" s="216"/>
      <c r="D36" s="84" t="s">
        <v>384</v>
      </c>
      <c r="E36" s="84" t="s">
        <v>385</v>
      </c>
      <c r="F36" s="84" t="s">
        <v>436</v>
      </c>
      <c r="G36" s="56"/>
      <c r="I36" s="1">
        <v>1</v>
      </c>
      <c r="J36" s="7" t="s">
        <v>5</v>
      </c>
      <c r="K36" s="1">
        <v>1</v>
      </c>
      <c r="L36" s="11">
        <v>4</v>
      </c>
      <c r="M36" s="11">
        <f>K36*L36</f>
        <v>4</v>
      </c>
      <c r="P36" s="214" t="s">
        <v>28</v>
      </c>
      <c r="Q36" s="214"/>
      <c r="R36" s="214"/>
      <c r="S36" s="214"/>
      <c r="T36" s="36">
        <f>SUM(T35)</f>
        <v>44</v>
      </c>
      <c r="W36" s="1">
        <v>1</v>
      </c>
      <c r="X36" s="7" t="s">
        <v>5</v>
      </c>
      <c r="Y36" s="1">
        <f>1</f>
        <v>1</v>
      </c>
      <c r="Z36" s="11">
        <v>4</v>
      </c>
      <c r="AA36" s="11">
        <f>Y36*Z36</f>
        <v>4</v>
      </c>
    </row>
    <row r="37" spans="1:27" x14ac:dyDescent="0.3">
      <c r="A37" s="56"/>
      <c r="B37" s="215" t="s">
        <v>382</v>
      </c>
      <c r="C37" s="215"/>
      <c r="D37" s="17">
        <f>F33</f>
        <v>72</v>
      </c>
      <c r="E37" s="17">
        <v>4</v>
      </c>
      <c r="F37" s="17">
        <v>100</v>
      </c>
      <c r="G37" s="56"/>
      <c r="I37" s="214" t="s">
        <v>63</v>
      </c>
      <c r="J37" s="214"/>
      <c r="K37" s="214"/>
      <c r="L37" s="214"/>
      <c r="M37" s="36">
        <f>SUM(M36)</f>
        <v>4</v>
      </c>
      <c r="P37" s="213" t="s">
        <v>29</v>
      </c>
      <c r="Q37" s="213"/>
      <c r="R37" s="213"/>
      <c r="S37" s="213"/>
      <c r="T37" s="213"/>
      <c r="W37" s="214" t="s">
        <v>38</v>
      </c>
      <c r="X37" s="214"/>
      <c r="Y37" s="214"/>
      <c r="Z37" s="214"/>
      <c r="AA37" s="36">
        <f>SUM(AA36)</f>
        <v>4</v>
      </c>
    </row>
    <row r="38" spans="1:27" x14ac:dyDescent="0.3">
      <c r="A38" s="56"/>
      <c r="B38" s="215" t="s">
        <v>381</v>
      </c>
      <c r="C38" s="215"/>
      <c r="D38" s="17">
        <f>D37+F29</f>
        <v>144</v>
      </c>
      <c r="E38" s="17">
        <v>4</v>
      </c>
      <c r="F38" s="17">
        <v>100</v>
      </c>
      <c r="G38" s="56"/>
      <c r="I38" s="213" t="s">
        <v>29</v>
      </c>
      <c r="J38" s="213"/>
      <c r="K38" s="213"/>
      <c r="L38" s="213"/>
      <c r="M38" s="213"/>
      <c r="P38" s="1">
        <v>1</v>
      </c>
      <c r="Q38" s="7" t="s">
        <v>5</v>
      </c>
      <c r="R38" s="1">
        <v>11</v>
      </c>
      <c r="S38" s="11">
        <v>4</v>
      </c>
      <c r="T38" s="11">
        <f>R38*S38</f>
        <v>44</v>
      </c>
      <c r="W38" s="213" t="s">
        <v>31</v>
      </c>
      <c r="X38" s="213"/>
      <c r="Y38" s="213"/>
      <c r="Z38" s="213"/>
      <c r="AA38" s="213"/>
    </row>
    <row r="39" spans="1:27" x14ac:dyDescent="0.3">
      <c r="A39" s="56"/>
      <c r="B39" s="215" t="s">
        <v>380</v>
      </c>
      <c r="C39" s="215"/>
      <c r="D39" s="17">
        <f>D38+F25</f>
        <v>216</v>
      </c>
      <c r="E39" s="17">
        <v>4</v>
      </c>
      <c r="F39" s="17">
        <v>100</v>
      </c>
      <c r="G39" s="56"/>
      <c r="I39" s="1">
        <v>1</v>
      </c>
      <c r="J39" s="7" t="s">
        <v>5</v>
      </c>
      <c r="K39" s="1">
        <v>5</v>
      </c>
      <c r="L39" s="11">
        <v>4</v>
      </c>
      <c r="M39" s="11">
        <f>K39*L39</f>
        <v>20</v>
      </c>
      <c r="P39" s="1">
        <v>2</v>
      </c>
      <c r="Q39" s="7" t="s">
        <v>24</v>
      </c>
      <c r="R39" s="1">
        <v>2</v>
      </c>
      <c r="S39" s="11">
        <v>8</v>
      </c>
      <c r="T39" s="11">
        <f t="shared" ref="T39:T40" si="8">R39*S39</f>
        <v>16</v>
      </c>
      <c r="W39" s="1">
        <v>1</v>
      </c>
      <c r="X39" s="7" t="s">
        <v>5</v>
      </c>
      <c r="Y39" s="1">
        <v>33</v>
      </c>
      <c r="Z39" s="11">
        <v>4</v>
      </c>
      <c r="AA39" s="11">
        <f>Y39*Z39</f>
        <v>132</v>
      </c>
    </row>
    <row r="40" spans="1:27" x14ac:dyDescent="0.3">
      <c r="A40" s="56"/>
      <c r="B40" s="215" t="s">
        <v>379</v>
      </c>
      <c r="C40" s="215"/>
      <c r="D40" s="17">
        <f>D39+F21</f>
        <v>316</v>
      </c>
      <c r="E40" s="17">
        <v>5</v>
      </c>
      <c r="F40" s="17">
        <v>125</v>
      </c>
      <c r="G40" s="56"/>
      <c r="I40" s="214" t="s">
        <v>30</v>
      </c>
      <c r="J40" s="214"/>
      <c r="K40" s="214"/>
      <c r="L40" s="214"/>
      <c r="M40" s="36">
        <f>SUM(M39)</f>
        <v>20</v>
      </c>
      <c r="P40" s="1">
        <v>3</v>
      </c>
      <c r="Q40" s="7" t="s">
        <v>16</v>
      </c>
      <c r="R40" s="1">
        <v>1</v>
      </c>
      <c r="S40" s="11">
        <v>4</v>
      </c>
      <c r="T40" s="11">
        <f t="shared" si="8"/>
        <v>4</v>
      </c>
      <c r="W40" s="1">
        <v>2</v>
      </c>
      <c r="X40" s="7" t="s">
        <v>24</v>
      </c>
      <c r="Y40" s="1">
        <v>4</v>
      </c>
      <c r="Z40" s="11">
        <v>8</v>
      </c>
      <c r="AA40" s="11">
        <f t="shared" ref="AA40:AA41" si="9">Y40*Z40</f>
        <v>32</v>
      </c>
    </row>
    <row r="41" spans="1:27" x14ac:dyDescent="0.3">
      <c r="A41" s="56"/>
      <c r="B41" s="215" t="s">
        <v>378</v>
      </c>
      <c r="C41" s="215"/>
      <c r="D41" s="17">
        <f>D40+F17</f>
        <v>396</v>
      </c>
      <c r="E41" s="17">
        <v>5</v>
      </c>
      <c r="F41" s="17">
        <v>125</v>
      </c>
      <c r="G41" s="56"/>
      <c r="I41" s="213" t="s">
        <v>65</v>
      </c>
      <c r="J41" s="213"/>
      <c r="K41" s="213"/>
      <c r="L41" s="213"/>
      <c r="M41" s="213"/>
      <c r="P41" s="214" t="s">
        <v>30</v>
      </c>
      <c r="Q41" s="214"/>
      <c r="R41" s="214"/>
      <c r="S41" s="214"/>
      <c r="T41" s="36">
        <f>SUM(T38:T40)</f>
        <v>64</v>
      </c>
      <c r="W41" s="1">
        <v>5</v>
      </c>
      <c r="X41" s="7" t="s">
        <v>16</v>
      </c>
      <c r="Y41" s="1">
        <v>3</v>
      </c>
      <c r="Z41" s="11">
        <v>4</v>
      </c>
      <c r="AA41" s="11">
        <f t="shared" si="9"/>
        <v>12</v>
      </c>
    </row>
    <row r="42" spans="1:27" x14ac:dyDescent="0.3">
      <c r="A42" s="56"/>
      <c r="B42" s="215" t="s">
        <v>377</v>
      </c>
      <c r="C42" s="215"/>
      <c r="D42" s="17">
        <f>D41+F12</f>
        <v>428</v>
      </c>
      <c r="E42" s="17">
        <v>5</v>
      </c>
      <c r="F42" s="17">
        <v>125</v>
      </c>
      <c r="G42" s="56"/>
      <c r="I42" s="1">
        <v>1</v>
      </c>
      <c r="J42" s="7" t="s">
        <v>5</v>
      </c>
      <c r="K42" s="1">
        <v>1</v>
      </c>
      <c r="L42" s="11">
        <v>4</v>
      </c>
      <c r="M42" s="11">
        <f>K42*L42</f>
        <v>4</v>
      </c>
      <c r="P42" s="213" t="s">
        <v>37</v>
      </c>
      <c r="Q42" s="213"/>
      <c r="R42" s="213"/>
      <c r="S42" s="213"/>
      <c r="T42" s="213"/>
      <c r="W42" s="214" t="s">
        <v>32</v>
      </c>
      <c r="X42" s="214"/>
      <c r="Y42" s="214"/>
      <c r="Z42" s="214"/>
      <c r="AA42" s="36">
        <f>SUM(AA39:AA41)</f>
        <v>176</v>
      </c>
    </row>
    <row r="43" spans="1:27" x14ac:dyDescent="0.3">
      <c r="A43" s="56"/>
      <c r="B43" s="56"/>
      <c r="C43" s="56"/>
      <c r="D43" s="56"/>
      <c r="E43" s="56"/>
      <c r="F43" s="56"/>
      <c r="G43" s="56"/>
      <c r="I43" s="214" t="s">
        <v>66</v>
      </c>
      <c r="J43" s="214"/>
      <c r="K43" s="214"/>
      <c r="L43" s="214"/>
      <c r="M43" s="36">
        <f>SUM(M42)</f>
        <v>4</v>
      </c>
      <c r="P43" s="1">
        <v>1</v>
      </c>
      <c r="Q43" s="7" t="s">
        <v>5</v>
      </c>
      <c r="R43" s="1">
        <v>2</v>
      </c>
      <c r="S43" s="11">
        <v>4</v>
      </c>
      <c r="T43" s="11">
        <f>R43*S43</f>
        <v>8</v>
      </c>
      <c r="W43" s="213" t="s">
        <v>39</v>
      </c>
      <c r="X43" s="213"/>
      <c r="Y43" s="213"/>
      <c r="Z43" s="213"/>
      <c r="AA43" s="213"/>
    </row>
    <row r="44" spans="1:27" x14ac:dyDescent="0.3">
      <c r="A44" s="56"/>
      <c r="B44" s="56"/>
      <c r="C44" s="56"/>
      <c r="D44" s="56"/>
      <c r="E44" s="56"/>
      <c r="F44" s="56"/>
      <c r="I44" s="213" t="s">
        <v>31</v>
      </c>
      <c r="J44" s="213"/>
      <c r="K44" s="213"/>
      <c r="L44" s="213"/>
      <c r="M44" s="213"/>
      <c r="P44" s="214" t="s">
        <v>38</v>
      </c>
      <c r="Q44" s="214"/>
      <c r="R44" s="214"/>
      <c r="S44" s="214"/>
      <c r="T44" s="36">
        <f>SUM(T43)</f>
        <v>8</v>
      </c>
      <c r="W44" s="1">
        <v>1</v>
      </c>
      <c r="X44" s="7" t="s">
        <v>5</v>
      </c>
      <c r="Y44" s="1">
        <v>38</v>
      </c>
      <c r="Z44" s="11">
        <v>4</v>
      </c>
      <c r="AA44" s="11">
        <f>Y44*Z44</f>
        <v>152</v>
      </c>
    </row>
    <row r="45" spans="1:27" x14ac:dyDescent="0.3">
      <c r="I45" s="1">
        <v>1</v>
      </c>
      <c r="J45" s="7" t="s">
        <v>5</v>
      </c>
      <c r="K45" s="1">
        <v>9</v>
      </c>
      <c r="L45" s="11">
        <v>4</v>
      </c>
      <c r="M45" s="11">
        <f>K45*L45</f>
        <v>36</v>
      </c>
      <c r="P45" s="213" t="s">
        <v>31</v>
      </c>
      <c r="Q45" s="213"/>
      <c r="R45" s="213"/>
      <c r="S45" s="213"/>
      <c r="T45" s="213"/>
      <c r="W45" s="1">
        <v>2</v>
      </c>
      <c r="X45" s="7" t="s">
        <v>24</v>
      </c>
      <c r="Y45" s="1">
        <v>3</v>
      </c>
      <c r="Z45" s="11">
        <v>8</v>
      </c>
      <c r="AA45" s="11">
        <f t="shared" ref="AA45:AA46" si="10">Y45*Z45</f>
        <v>24</v>
      </c>
    </row>
    <row r="46" spans="1:27" x14ac:dyDescent="0.3">
      <c r="I46" s="1">
        <v>2</v>
      </c>
      <c r="J46" s="7" t="s">
        <v>24</v>
      </c>
      <c r="K46" s="1">
        <v>2</v>
      </c>
      <c r="L46" s="11">
        <v>8</v>
      </c>
      <c r="M46" s="11">
        <f t="shared" ref="M46:M47" si="11">K46*L46</f>
        <v>16</v>
      </c>
      <c r="P46" s="1">
        <v>1</v>
      </c>
      <c r="Q46" s="7" t="s">
        <v>5</v>
      </c>
      <c r="R46" s="1">
        <v>40</v>
      </c>
      <c r="S46" s="11">
        <v>4</v>
      </c>
      <c r="T46" s="11">
        <f>R46*S46</f>
        <v>160</v>
      </c>
      <c r="W46" s="1">
        <v>5</v>
      </c>
      <c r="X46" s="7" t="s">
        <v>16</v>
      </c>
      <c r="Y46" s="1">
        <v>2</v>
      </c>
      <c r="Z46" s="11">
        <v>4</v>
      </c>
      <c r="AA46" s="11">
        <f t="shared" si="10"/>
        <v>8</v>
      </c>
    </row>
    <row r="47" spans="1:27" x14ac:dyDescent="0.3">
      <c r="I47" s="1">
        <v>3</v>
      </c>
      <c r="J47" s="7" t="s">
        <v>16</v>
      </c>
      <c r="K47" s="1">
        <v>1</v>
      </c>
      <c r="L47" s="11">
        <v>4</v>
      </c>
      <c r="M47" s="11">
        <f t="shared" si="11"/>
        <v>4</v>
      </c>
      <c r="P47" s="1">
        <v>2</v>
      </c>
      <c r="Q47" s="7" t="s">
        <v>16</v>
      </c>
      <c r="R47" s="1">
        <v>2</v>
      </c>
      <c r="S47" s="11">
        <v>4</v>
      </c>
      <c r="T47" s="11">
        <f>R47*S47</f>
        <v>8</v>
      </c>
      <c r="W47" s="214" t="s">
        <v>40</v>
      </c>
      <c r="X47" s="214"/>
      <c r="Y47" s="214"/>
      <c r="Z47" s="214"/>
      <c r="AA47" s="36">
        <f>SUM(AA44:AA46)</f>
        <v>184</v>
      </c>
    </row>
    <row r="48" spans="1:27" x14ac:dyDescent="0.3">
      <c r="I48" s="214" t="s">
        <v>32</v>
      </c>
      <c r="J48" s="214"/>
      <c r="K48" s="214"/>
      <c r="L48" s="214"/>
      <c r="M48" s="36">
        <f>SUM(M45:M47)</f>
        <v>56</v>
      </c>
      <c r="P48" s="214" t="s">
        <v>32</v>
      </c>
      <c r="Q48" s="214"/>
      <c r="R48" s="214"/>
      <c r="S48" s="214"/>
      <c r="T48" s="36">
        <f>SUM(T46:T47)</f>
        <v>168</v>
      </c>
      <c r="W48" s="213" t="s">
        <v>41</v>
      </c>
      <c r="X48" s="213"/>
      <c r="Y48" s="213"/>
      <c r="Z48" s="213"/>
      <c r="AA48" s="213"/>
    </row>
    <row r="49" spans="9:27" x14ac:dyDescent="0.3">
      <c r="I49" s="213" t="s">
        <v>39</v>
      </c>
      <c r="J49" s="213"/>
      <c r="K49" s="213"/>
      <c r="L49" s="213"/>
      <c r="M49" s="213"/>
      <c r="P49" s="213" t="s">
        <v>39</v>
      </c>
      <c r="Q49" s="213"/>
      <c r="R49" s="213"/>
      <c r="S49" s="213"/>
      <c r="T49" s="213"/>
      <c r="W49" s="1">
        <v>1</v>
      </c>
      <c r="X49" s="7" t="s">
        <v>5</v>
      </c>
      <c r="Y49" s="1">
        <v>31</v>
      </c>
      <c r="Z49" s="11">
        <v>4</v>
      </c>
      <c r="AA49" s="11">
        <f>Y49*Z49</f>
        <v>124</v>
      </c>
    </row>
    <row r="50" spans="9:27" x14ac:dyDescent="0.3">
      <c r="I50" s="1">
        <v>1</v>
      </c>
      <c r="J50" s="7" t="s">
        <v>5</v>
      </c>
      <c r="K50" s="1">
        <v>22</v>
      </c>
      <c r="L50" s="11">
        <v>4</v>
      </c>
      <c r="M50" s="11">
        <f>K50*L50</f>
        <v>88</v>
      </c>
      <c r="P50" s="1">
        <v>1</v>
      </c>
      <c r="Q50" s="7" t="s">
        <v>5</v>
      </c>
      <c r="R50" s="1">
        <v>38</v>
      </c>
      <c r="S50" s="11">
        <v>4</v>
      </c>
      <c r="T50" s="11">
        <f>R50*S50</f>
        <v>152</v>
      </c>
      <c r="W50" s="1">
        <v>2</v>
      </c>
      <c r="X50" s="7" t="s">
        <v>24</v>
      </c>
      <c r="Y50" s="1">
        <v>3</v>
      </c>
      <c r="Z50" s="11">
        <v>8</v>
      </c>
      <c r="AA50" s="11">
        <f t="shared" ref="AA50:AA51" si="12">Y50*Z50</f>
        <v>24</v>
      </c>
    </row>
    <row r="51" spans="9:27" x14ac:dyDescent="0.3">
      <c r="I51" s="214" t="s">
        <v>40</v>
      </c>
      <c r="J51" s="214"/>
      <c r="K51" s="214"/>
      <c r="L51" s="214"/>
      <c r="M51" s="36">
        <f>SUM(M50)</f>
        <v>88</v>
      </c>
      <c r="P51" s="1">
        <v>2</v>
      </c>
      <c r="Q51" s="7" t="s">
        <v>24</v>
      </c>
      <c r="R51" s="1">
        <v>3</v>
      </c>
      <c r="S51" s="11">
        <v>8</v>
      </c>
      <c r="T51" s="11">
        <f t="shared" ref="T51:T52" si="13">R51*S51</f>
        <v>24</v>
      </c>
      <c r="W51" s="1">
        <v>5</v>
      </c>
      <c r="X51" s="7" t="s">
        <v>16</v>
      </c>
      <c r="Y51" s="1">
        <v>2</v>
      </c>
      <c r="Z51" s="11">
        <v>4</v>
      </c>
      <c r="AA51" s="11">
        <f t="shared" si="12"/>
        <v>8</v>
      </c>
    </row>
    <row r="52" spans="9:27" x14ac:dyDescent="0.3">
      <c r="I52" s="213" t="s">
        <v>68</v>
      </c>
      <c r="J52" s="213"/>
      <c r="K52" s="213"/>
      <c r="L52" s="213"/>
      <c r="M52" s="213"/>
      <c r="P52" s="1">
        <v>3</v>
      </c>
      <c r="Q52" s="7" t="s">
        <v>16</v>
      </c>
      <c r="R52" s="1">
        <v>2</v>
      </c>
      <c r="S52" s="11">
        <v>4</v>
      </c>
      <c r="T52" s="11">
        <f t="shared" si="13"/>
        <v>8</v>
      </c>
      <c r="W52" s="214" t="s">
        <v>42</v>
      </c>
      <c r="X52" s="214"/>
      <c r="Y52" s="214"/>
      <c r="Z52" s="214"/>
      <c r="AA52" s="36">
        <f>SUM(AA49:AA51)</f>
        <v>156</v>
      </c>
    </row>
    <row r="53" spans="9:27" x14ac:dyDescent="0.3">
      <c r="I53" s="1">
        <v>1</v>
      </c>
      <c r="J53" s="7" t="s">
        <v>5</v>
      </c>
      <c r="K53" s="1">
        <v>20</v>
      </c>
      <c r="L53" s="11">
        <v>4</v>
      </c>
      <c r="M53" s="11">
        <f>K53*L53</f>
        <v>80</v>
      </c>
      <c r="P53" s="214" t="s">
        <v>40</v>
      </c>
      <c r="Q53" s="214"/>
      <c r="R53" s="214"/>
      <c r="S53" s="214"/>
      <c r="T53" s="36">
        <f>SUM(T50:T52)</f>
        <v>184</v>
      </c>
      <c r="W53" s="213" t="s">
        <v>43</v>
      </c>
      <c r="X53" s="213"/>
      <c r="Y53" s="213"/>
      <c r="Z53" s="213"/>
      <c r="AA53" s="213"/>
    </row>
    <row r="54" spans="9:27" x14ac:dyDescent="0.3">
      <c r="I54" s="1">
        <v>2</v>
      </c>
      <c r="J54" s="7" t="s">
        <v>24</v>
      </c>
      <c r="K54" s="1">
        <v>3</v>
      </c>
      <c r="L54" s="11">
        <v>8</v>
      </c>
      <c r="M54" s="11">
        <f>K54*L54</f>
        <v>24</v>
      </c>
      <c r="P54" s="213" t="s">
        <v>41</v>
      </c>
      <c r="Q54" s="213"/>
      <c r="R54" s="213"/>
      <c r="S54" s="213"/>
      <c r="T54" s="213"/>
      <c r="W54" s="1">
        <v>1</v>
      </c>
      <c r="X54" s="7" t="s">
        <v>5</v>
      </c>
      <c r="Y54" s="1">
        <v>25</v>
      </c>
      <c r="Z54" s="11">
        <v>4</v>
      </c>
      <c r="AA54" s="11">
        <f>Y54*Z54</f>
        <v>100</v>
      </c>
    </row>
    <row r="55" spans="9:27" x14ac:dyDescent="0.3">
      <c r="I55" s="214" t="s">
        <v>69</v>
      </c>
      <c r="J55" s="214"/>
      <c r="K55" s="214"/>
      <c r="L55" s="214"/>
      <c r="M55" s="36">
        <f>SUM(M53:M54)</f>
        <v>104</v>
      </c>
      <c r="P55" s="1">
        <v>1</v>
      </c>
      <c r="Q55" s="7" t="s">
        <v>5</v>
      </c>
      <c r="R55" s="1">
        <v>31</v>
      </c>
      <c r="S55" s="11">
        <v>4</v>
      </c>
      <c r="T55" s="11">
        <f>R55*S55</f>
        <v>124</v>
      </c>
      <c r="W55" s="1">
        <v>2</v>
      </c>
      <c r="X55" s="7" t="s">
        <v>24</v>
      </c>
      <c r="Y55" s="1">
        <v>18</v>
      </c>
      <c r="Z55" s="11">
        <v>8</v>
      </c>
      <c r="AA55" s="11">
        <f t="shared" ref="AA55:AA56" si="14">Y55*Z55</f>
        <v>144</v>
      </c>
    </row>
    <row r="56" spans="9:27" x14ac:dyDescent="0.3">
      <c r="I56" s="213" t="s">
        <v>41</v>
      </c>
      <c r="J56" s="213"/>
      <c r="K56" s="213"/>
      <c r="L56" s="213"/>
      <c r="M56" s="213"/>
      <c r="P56" s="1">
        <v>2</v>
      </c>
      <c r="Q56" s="7" t="s">
        <v>24</v>
      </c>
      <c r="R56" s="1">
        <v>3</v>
      </c>
      <c r="S56" s="11">
        <v>8</v>
      </c>
      <c r="T56" s="11">
        <f t="shared" ref="T56:T57" si="15">R56*S56</f>
        <v>24</v>
      </c>
      <c r="W56" s="1">
        <v>5</v>
      </c>
      <c r="X56" s="7" t="s">
        <v>16</v>
      </c>
      <c r="Y56" s="1">
        <v>3</v>
      </c>
      <c r="Z56" s="11">
        <v>4</v>
      </c>
      <c r="AA56" s="11">
        <f t="shared" si="14"/>
        <v>12</v>
      </c>
    </row>
    <row r="57" spans="9:27" x14ac:dyDescent="0.3">
      <c r="I57" s="1">
        <v>1</v>
      </c>
      <c r="J57" s="7" t="s">
        <v>5</v>
      </c>
      <c r="K57" s="1">
        <v>18</v>
      </c>
      <c r="L57" s="11">
        <v>4</v>
      </c>
      <c r="M57" s="11">
        <f>K57*L57</f>
        <v>72</v>
      </c>
      <c r="P57" s="1">
        <v>3</v>
      </c>
      <c r="Q57" s="7" t="s">
        <v>16</v>
      </c>
      <c r="R57" s="1">
        <v>3</v>
      </c>
      <c r="S57" s="11">
        <v>4</v>
      </c>
      <c r="T57" s="11">
        <f t="shared" si="15"/>
        <v>12</v>
      </c>
      <c r="W57" s="214" t="s">
        <v>44</v>
      </c>
      <c r="X57" s="214"/>
      <c r="Y57" s="214"/>
      <c r="Z57" s="214"/>
      <c r="AA57" s="36">
        <f>SUM(AA54:AA56)</f>
        <v>256</v>
      </c>
    </row>
    <row r="58" spans="9:27" x14ac:dyDescent="0.3">
      <c r="I58" s="214" t="s">
        <v>42</v>
      </c>
      <c r="J58" s="214"/>
      <c r="K58" s="214"/>
      <c r="L58" s="214"/>
      <c r="M58" s="36">
        <f>SUM(M57)</f>
        <v>72</v>
      </c>
      <c r="P58" s="214" t="s">
        <v>42</v>
      </c>
      <c r="Q58" s="214"/>
      <c r="R58" s="214"/>
      <c r="S58" s="214"/>
      <c r="T58" s="36">
        <f>SUM(T55:T57)</f>
        <v>160</v>
      </c>
      <c r="W58" s="213" t="s">
        <v>45</v>
      </c>
      <c r="X58" s="213"/>
      <c r="Y58" s="213"/>
      <c r="Z58" s="213"/>
      <c r="AA58" s="213"/>
    </row>
    <row r="59" spans="9:27" x14ac:dyDescent="0.3">
      <c r="I59" s="213" t="s">
        <v>70</v>
      </c>
      <c r="J59" s="213"/>
      <c r="K59" s="213"/>
      <c r="L59" s="213"/>
      <c r="M59" s="213"/>
      <c r="P59" s="213" t="s">
        <v>43</v>
      </c>
      <c r="Q59" s="213"/>
      <c r="R59" s="213"/>
      <c r="S59" s="213"/>
      <c r="T59" s="213"/>
      <c r="W59" s="1">
        <v>1</v>
      </c>
      <c r="X59" s="7" t="s">
        <v>5</v>
      </c>
      <c r="Y59" s="1">
        <f>19+2</f>
        <v>21</v>
      </c>
      <c r="Z59" s="11">
        <v>4</v>
      </c>
      <c r="AA59" s="11">
        <f>Y59*Z59</f>
        <v>84</v>
      </c>
    </row>
    <row r="60" spans="9:27" x14ac:dyDescent="0.3">
      <c r="I60" s="1">
        <v>1</v>
      </c>
      <c r="J60" s="7" t="s">
        <v>5</v>
      </c>
      <c r="K60" s="1">
        <v>13</v>
      </c>
      <c r="L60" s="11">
        <v>4</v>
      </c>
      <c r="M60" s="11">
        <f>K60*L60</f>
        <v>52</v>
      </c>
      <c r="P60" s="1">
        <v>1</v>
      </c>
      <c r="Q60" s="7" t="s">
        <v>5</v>
      </c>
      <c r="R60" s="1">
        <v>25</v>
      </c>
      <c r="S60" s="11">
        <v>4</v>
      </c>
      <c r="T60" s="11">
        <f>R60*S60</f>
        <v>100</v>
      </c>
      <c r="W60" s="214" t="s">
        <v>46</v>
      </c>
      <c r="X60" s="214"/>
      <c r="Y60" s="214"/>
      <c r="Z60" s="214"/>
      <c r="AA60" s="36">
        <f>SUM(AA59)</f>
        <v>84</v>
      </c>
    </row>
    <row r="61" spans="9:27" x14ac:dyDescent="0.3">
      <c r="I61" s="1">
        <v>2</v>
      </c>
      <c r="J61" s="7" t="s">
        <v>24</v>
      </c>
      <c r="K61" s="1">
        <v>3</v>
      </c>
      <c r="L61" s="11">
        <v>8</v>
      </c>
      <c r="M61" s="11">
        <f>K61*L61</f>
        <v>24</v>
      </c>
      <c r="P61" s="1">
        <v>2</v>
      </c>
      <c r="Q61" s="7" t="s">
        <v>24</v>
      </c>
      <c r="R61" s="1">
        <v>2</v>
      </c>
      <c r="S61" s="11">
        <v>8</v>
      </c>
      <c r="T61" s="11">
        <f t="shared" ref="T61:T62" si="16">R61*S61</f>
        <v>16</v>
      </c>
      <c r="Z61"/>
    </row>
    <row r="62" spans="9:27" x14ac:dyDescent="0.3">
      <c r="I62" s="214" t="s">
        <v>71</v>
      </c>
      <c r="J62" s="214"/>
      <c r="K62" s="214"/>
      <c r="L62" s="214"/>
      <c r="M62" s="36">
        <f>SUM(M60:M61)</f>
        <v>76</v>
      </c>
      <c r="P62" s="1">
        <v>3</v>
      </c>
      <c r="Q62" s="7" t="s">
        <v>16</v>
      </c>
      <c r="R62" s="1">
        <v>3</v>
      </c>
      <c r="S62" s="11">
        <v>4</v>
      </c>
      <c r="T62" s="11">
        <f t="shared" si="16"/>
        <v>12</v>
      </c>
      <c r="W62" s="189" t="s">
        <v>415</v>
      </c>
      <c r="X62" s="189"/>
      <c r="Y62" s="189"/>
      <c r="Z62" s="189"/>
      <c r="AA62" s="189"/>
    </row>
    <row r="63" spans="9:27" x14ac:dyDescent="0.3">
      <c r="I63" s="213" t="s">
        <v>43</v>
      </c>
      <c r="J63" s="213"/>
      <c r="K63" s="213"/>
      <c r="L63" s="213"/>
      <c r="M63" s="213"/>
      <c r="P63" s="214" t="s">
        <v>44</v>
      </c>
      <c r="Q63" s="214"/>
      <c r="R63" s="214"/>
      <c r="S63" s="214"/>
      <c r="T63" s="36">
        <f>SUM(T60:T62)</f>
        <v>128</v>
      </c>
      <c r="W63" s="201" t="s">
        <v>383</v>
      </c>
      <c r="X63" s="201"/>
      <c r="Y63" s="35" t="s">
        <v>384</v>
      </c>
      <c r="Z63" s="35" t="s">
        <v>385</v>
      </c>
      <c r="AA63" s="36" t="s">
        <v>436</v>
      </c>
    </row>
    <row r="64" spans="9:27" x14ac:dyDescent="0.3">
      <c r="I64" s="1">
        <v>1</v>
      </c>
      <c r="J64" s="7" t="s">
        <v>5</v>
      </c>
      <c r="K64" s="1">
        <v>18</v>
      </c>
      <c r="L64" s="11">
        <v>4</v>
      </c>
      <c r="M64" s="11">
        <f>K64*L64</f>
        <v>72</v>
      </c>
      <c r="P64" s="213" t="s">
        <v>45</v>
      </c>
      <c r="Q64" s="213"/>
      <c r="R64" s="213"/>
      <c r="S64" s="213"/>
      <c r="T64" s="213"/>
      <c r="W64" s="176" t="s">
        <v>398</v>
      </c>
      <c r="X64" s="176"/>
      <c r="Y64" s="1">
        <f>AA60</f>
        <v>84</v>
      </c>
      <c r="Z64" s="1">
        <v>4</v>
      </c>
      <c r="AA64" s="1">
        <v>100</v>
      </c>
    </row>
    <row r="65" spans="9:27" x14ac:dyDescent="0.3">
      <c r="I65" s="214" t="s">
        <v>44</v>
      </c>
      <c r="J65" s="214"/>
      <c r="K65" s="214"/>
      <c r="L65" s="214"/>
      <c r="M65" s="36">
        <f>SUM(M64)</f>
        <v>72</v>
      </c>
      <c r="P65" s="1">
        <v>1</v>
      </c>
      <c r="Q65" s="7" t="s">
        <v>5</v>
      </c>
      <c r="R65" s="1">
        <v>21</v>
      </c>
      <c r="S65" s="11">
        <v>4</v>
      </c>
      <c r="T65" s="11">
        <f>R65*S65</f>
        <v>84</v>
      </c>
      <c r="W65" s="176" t="s">
        <v>399</v>
      </c>
      <c r="X65" s="176"/>
      <c r="Y65" s="1">
        <f>Y64+AA57</f>
        <v>340</v>
      </c>
      <c r="Z65" s="1">
        <v>5</v>
      </c>
      <c r="AA65" s="1">
        <v>125</v>
      </c>
    </row>
    <row r="66" spans="9:27" x14ac:dyDescent="0.3">
      <c r="I66" s="213" t="s">
        <v>72</v>
      </c>
      <c r="J66" s="213"/>
      <c r="K66" s="213"/>
      <c r="L66" s="213"/>
      <c r="M66" s="213"/>
      <c r="P66" s="214" t="s">
        <v>46</v>
      </c>
      <c r="Q66" s="214"/>
      <c r="R66" s="214"/>
      <c r="S66" s="214"/>
      <c r="T66" s="36">
        <f>SUM(T65)</f>
        <v>84</v>
      </c>
      <c r="W66" s="176" t="s">
        <v>403</v>
      </c>
      <c r="X66" s="176"/>
      <c r="Y66" s="1">
        <f>Y65+AA52</f>
        <v>496</v>
      </c>
      <c r="Z66" s="1">
        <v>5</v>
      </c>
      <c r="AA66" s="1">
        <v>125</v>
      </c>
    </row>
    <row r="67" spans="9:27" x14ac:dyDescent="0.3">
      <c r="I67" s="1">
        <v>1</v>
      </c>
      <c r="J67" s="7" t="s">
        <v>5</v>
      </c>
      <c r="K67" s="1">
        <v>7</v>
      </c>
      <c r="L67" s="11">
        <v>4</v>
      </c>
      <c r="M67" s="11">
        <f>K67*L67</f>
        <v>28</v>
      </c>
      <c r="W67" s="176" t="s">
        <v>405</v>
      </c>
      <c r="X67" s="176"/>
      <c r="Y67" s="1">
        <f>Y66+AA47</f>
        <v>680</v>
      </c>
      <c r="Z67" s="1">
        <v>6</v>
      </c>
      <c r="AA67" s="1">
        <v>150</v>
      </c>
    </row>
    <row r="68" spans="9:27" x14ac:dyDescent="0.3">
      <c r="I68" s="1">
        <v>2</v>
      </c>
      <c r="J68" s="7" t="s">
        <v>24</v>
      </c>
      <c r="K68" s="1">
        <v>2</v>
      </c>
      <c r="L68" s="11">
        <v>8</v>
      </c>
      <c r="M68" s="11">
        <f t="shared" ref="M68:M69" si="17">K68*L68</f>
        <v>16</v>
      </c>
      <c r="P68" s="189" t="s">
        <v>415</v>
      </c>
      <c r="Q68" s="189"/>
      <c r="R68" s="189"/>
      <c r="S68" s="189"/>
      <c r="T68" s="189"/>
      <c r="W68" s="176" t="s">
        <v>382</v>
      </c>
      <c r="X68" s="176"/>
      <c r="Y68" s="1">
        <f>Y67+AA42</f>
        <v>856</v>
      </c>
      <c r="Z68" s="1">
        <v>6</v>
      </c>
      <c r="AA68" s="1">
        <v>150</v>
      </c>
    </row>
    <row r="69" spans="9:27" x14ac:dyDescent="0.3">
      <c r="I69" s="1">
        <v>3</v>
      </c>
      <c r="J69" s="7" t="s">
        <v>56</v>
      </c>
      <c r="K69" s="1">
        <v>3</v>
      </c>
      <c r="L69" s="11">
        <v>4</v>
      </c>
      <c r="M69" s="11">
        <f t="shared" si="17"/>
        <v>12</v>
      </c>
      <c r="P69" s="189" t="s">
        <v>383</v>
      </c>
      <c r="Q69" s="189"/>
      <c r="R69" s="36" t="s">
        <v>384</v>
      </c>
      <c r="S69" s="36" t="s">
        <v>385</v>
      </c>
      <c r="T69" s="35" t="s">
        <v>436</v>
      </c>
      <c r="W69" s="176" t="s">
        <v>412</v>
      </c>
      <c r="X69" s="176"/>
      <c r="Y69" s="1">
        <f>Y68+AA37</f>
        <v>860</v>
      </c>
      <c r="Z69" s="1">
        <v>6</v>
      </c>
      <c r="AA69" s="1">
        <v>150</v>
      </c>
    </row>
    <row r="70" spans="9:27" x14ac:dyDescent="0.3">
      <c r="I70" s="214" t="s">
        <v>73</v>
      </c>
      <c r="J70" s="214"/>
      <c r="K70" s="214"/>
      <c r="L70" s="214"/>
      <c r="M70" s="36">
        <f>SUM(M67:M69)</f>
        <v>56</v>
      </c>
      <c r="P70" s="176" t="s">
        <v>398</v>
      </c>
      <c r="Q70" s="176"/>
      <c r="R70" s="1">
        <f>T66</f>
        <v>84</v>
      </c>
      <c r="S70" s="1">
        <v>4</v>
      </c>
      <c r="T70" s="1">
        <v>100</v>
      </c>
      <c r="W70" s="176" t="s">
        <v>381</v>
      </c>
      <c r="X70" s="176"/>
      <c r="Y70" s="1">
        <f>Y69+AA34</f>
        <v>920</v>
      </c>
      <c r="Z70" s="1">
        <v>6</v>
      </c>
      <c r="AA70" s="1">
        <v>150</v>
      </c>
    </row>
    <row r="71" spans="9:27" x14ac:dyDescent="0.3">
      <c r="I71" s="213" t="s">
        <v>45</v>
      </c>
      <c r="J71" s="213"/>
      <c r="K71" s="213"/>
      <c r="L71" s="213"/>
      <c r="M71" s="213"/>
      <c r="P71" s="176" t="s">
        <v>399</v>
      </c>
      <c r="Q71" s="176"/>
      <c r="R71" s="1">
        <f>R70+T63</f>
        <v>212</v>
      </c>
      <c r="S71" s="1">
        <v>4</v>
      </c>
      <c r="T71" s="1">
        <v>100</v>
      </c>
      <c r="W71" s="176" t="s">
        <v>380</v>
      </c>
      <c r="X71" s="176"/>
      <c r="Y71" s="1">
        <f>Y70+AA31</f>
        <v>952</v>
      </c>
      <c r="Z71" s="1">
        <v>6</v>
      </c>
      <c r="AA71" s="1">
        <v>150</v>
      </c>
    </row>
    <row r="72" spans="9:27" x14ac:dyDescent="0.3">
      <c r="I72" s="1">
        <v>1</v>
      </c>
      <c r="J72" s="7" t="s">
        <v>5</v>
      </c>
      <c r="K72" s="1">
        <v>21</v>
      </c>
      <c r="L72" s="11">
        <v>4</v>
      </c>
      <c r="M72" s="11">
        <f>K72*L72</f>
        <v>84</v>
      </c>
      <c r="P72" s="176" t="s">
        <v>403</v>
      </c>
      <c r="Q72" s="176"/>
      <c r="R72" s="1">
        <f>R71+T58</f>
        <v>372</v>
      </c>
      <c r="S72" s="1">
        <v>5</v>
      </c>
      <c r="T72" s="1">
        <v>125</v>
      </c>
      <c r="W72" s="176" t="s">
        <v>413</v>
      </c>
      <c r="X72" s="176"/>
      <c r="Y72" s="1">
        <f>Y71+AA31</f>
        <v>984</v>
      </c>
      <c r="Z72" s="1">
        <v>6</v>
      </c>
      <c r="AA72" s="1">
        <v>150</v>
      </c>
    </row>
    <row r="73" spans="9:27" x14ac:dyDescent="0.3">
      <c r="I73" s="214" t="s">
        <v>46</v>
      </c>
      <c r="J73" s="214"/>
      <c r="K73" s="214"/>
      <c r="L73" s="214"/>
      <c r="M73" s="36">
        <f>SUM(M72)</f>
        <v>84</v>
      </c>
      <c r="P73" s="176" t="s">
        <v>405</v>
      </c>
      <c r="Q73" s="176"/>
      <c r="R73" s="1">
        <f>R72+T53</f>
        <v>556</v>
      </c>
      <c r="S73" s="1">
        <v>5</v>
      </c>
      <c r="T73" s="1">
        <v>125</v>
      </c>
      <c r="W73" s="176" t="s">
        <v>379</v>
      </c>
      <c r="X73" s="176"/>
      <c r="Y73" s="1">
        <f>Y72+AA25</f>
        <v>1008</v>
      </c>
      <c r="Z73" s="1">
        <v>6</v>
      </c>
      <c r="AA73" s="1">
        <v>150</v>
      </c>
    </row>
    <row r="74" spans="9:27" x14ac:dyDescent="0.3">
      <c r="P74" s="176" t="s">
        <v>382</v>
      </c>
      <c r="Q74" s="176"/>
      <c r="R74" s="1">
        <f>R73+T48</f>
        <v>724</v>
      </c>
      <c r="S74" s="1">
        <v>6</v>
      </c>
      <c r="T74" s="1">
        <v>150</v>
      </c>
      <c r="W74" s="176" t="s">
        <v>378</v>
      </c>
      <c r="X74" s="176"/>
      <c r="Y74" s="1">
        <f>Y73+AA22</f>
        <v>1056</v>
      </c>
      <c r="Z74" s="1">
        <v>6</v>
      </c>
      <c r="AA74" s="1">
        <v>150</v>
      </c>
    </row>
    <row r="75" spans="9:27" x14ac:dyDescent="0.3">
      <c r="I75" s="201" t="s">
        <v>415</v>
      </c>
      <c r="J75" s="201"/>
      <c r="K75" s="201"/>
      <c r="L75" s="201"/>
      <c r="M75" s="201"/>
      <c r="P75" s="176" t="s">
        <v>412</v>
      </c>
      <c r="Q75" s="176"/>
      <c r="R75" s="1">
        <f>R74+T44</f>
        <v>732</v>
      </c>
      <c r="S75" s="1">
        <v>6</v>
      </c>
      <c r="T75" s="1">
        <v>150</v>
      </c>
      <c r="W75" s="176" t="s">
        <v>377</v>
      </c>
      <c r="X75" s="176"/>
      <c r="Y75" s="1">
        <f>Y74+AA17</f>
        <v>1100</v>
      </c>
      <c r="Z75" s="1">
        <v>6</v>
      </c>
      <c r="AA75" s="1">
        <v>150</v>
      </c>
    </row>
    <row r="76" spans="9:27" ht="28.8" x14ac:dyDescent="0.3">
      <c r="I76" s="201" t="s">
        <v>383</v>
      </c>
      <c r="J76" s="201"/>
      <c r="K76" s="35" t="s">
        <v>384</v>
      </c>
      <c r="L76" s="35" t="s">
        <v>385</v>
      </c>
      <c r="M76" s="24" t="s">
        <v>436</v>
      </c>
      <c r="P76" s="176" t="s">
        <v>381</v>
      </c>
      <c r="Q76" s="176"/>
      <c r="R76" s="1">
        <f>R75+T41</f>
        <v>796</v>
      </c>
      <c r="S76" s="1">
        <v>6</v>
      </c>
      <c r="T76" s="1">
        <v>150</v>
      </c>
      <c r="W76" s="176" t="s">
        <v>411</v>
      </c>
      <c r="X76" s="176"/>
      <c r="Y76" s="1">
        <f>Y75+AA12</f>
        <v>1208</v>
      </c>
      <c r="Z76" s="1">
        <v>6</v>
      </c>
      <c r="AA76" s="1">
        <v>150</v>
      </c>
    </row>
    <row r="77" spans="9:27" x14ac:dyDescent="0.3">
      <c r="I77" s="151" t="s">
        <v>398</v>
      </c>
      <c r="J77" s="151"/>
      <c r="K77" s="11">
        <f>M73</f>
        <v>84</v>
      </c>
      <c r="L77" s="11">
        <v>4</v>
      </c>
      <c r="M77" s="11">
        <v>100</v>
      </c>
      <c r="P77" s="176" t="s">
        <v>380</v>
      </c>
      <c r="Q77" s="176"/>
      <c r="R77" s="1">
        <f>R76+T36</f>
        <v>840</v>
      </c>
      <c r="S77" s="1">
        <v>6</v>
      </c>
      <c r="T77" s="1">
        <v>150</v>
      </c>
    </row>
    <row r="78" spans="9:27" x14ac:dyDescent="0.3">
      <c r="I78" s="151" t="s">
        <v>400</v>
      </c>
      <c r="J78" s="151"/>
      <c r="K78" s="11">
        <f>K77+M70</f>
        <v>140</v>
      </c>
      <c r="L78" s="11">
        <v>4</v>
      </c>
      <c r="M78" s="11">
        <v>100</v>
      </c>
      <c r="P78" s="176" t="s">
        <v>413</v>
      </c>
      <c r="Q78" s="176"/>
      <c r="R78" s="1">
        <f>R77+T33</f>
        <v>848</v>
      </c>
      <c r="S78" s="1">
        <v>6</v>
      </c>
      <c r="T78" s="1">
        <v>150</v>
      </c>
    </row>
    <row r="79" spans="9:27" x14ac:dyDescent="0.3">
      <c r="I79" s="151" t="s">
        <v>401</v>
      </c>
      <c r="J79" s="151"/>
      <c r="K79" s="11">
        <f>K78+M65</f>
        <v>212</v>
      </c>
      <c r="L79" s="11">
        <v>4</v>
      </c>
      <c r="M79" s="11">
        <v>100</v>
      </c>
      <c r="P79" s="176" t="s">
        <v>379</v>
      </c>
      <c r="Q79" s="176"/>
      <c r="R79" s="1">
        <f>R78+T30</f>
        <v>876</v>
      </c>
      <c r="S79" s="1">
        <v>6</v>
      </c>
      <c r="T79" s="1">
        <v>150</v>
      </c>
    </row>
    <row r="80" spans="9:27" x14ac:dyDescent="0.3">
      <c r="I80" s="151" t="s">
        <v>402</v>
      </c>
      <c r="J80" s="151"/>
      <c r="K80" s="11">
        <f>K79+M62</f>
        <v>288</v>
      </c>
      <c r="L80" s="11">
        <v>5</v>
      </c>
      <c r="M80" s="11">
        <v>125</v>
      </c>
      <c r="P80" s="176" t="s">
        <v>378</v>
      </c>
      <c r="Q80" s="176"/>
      <c r="R80" s="1">
        <f>R79+T27</f>
        <v>952</v>
      </c>
      <c r="S80" s="1">
        <v>6</v>
      </c>
      <c r="T80" s="1">
        <v>150</v>
      </c>
    </row>
    <row r="81" spans="9:20" x14ac:dyDescent="0.3">
      <c r="I81" s="151" t="s">
        <v>403</v>
      </c>
      <c r="J81" s="151"/>
      <c r="K81" s="11">
        <f>K80+M58</f>
        <v>360</v>
      </c>
      <c r="L81" s="11">
        <v>5</v>
      </c>
      <c r="M81" s="11">
        <v>125</v>
      </c>
      <c r="P81" s="176" t="s">
        <v>414</v>
      </c>
      <c r="Q81" s="176"/>
      <c r="R81" s="1">
        <f>R80+T22</f>
        <v>956</v>
      </c>
      <c r="S81" s="1">
        <v>6</v>
      </c>
      <c r="T81" s="1">
        <v>150</v>
      </c>
    </row>
    <row r="82" spans="9:20" x14ac:dyDescent="0.3">
      <c r="I82" s="151" t="s">
        <v>404</v>
      </c>
      <c r="J82" s="151"/>
      <c r="K82" s="11">
        <f>K81+M55</f>
        <v>464</v>
      </c>
      <c r="L82" s="11">
        <v>5</v>
      </c>
      <c r="M82" s="11">
        <v>125</v>
      </c>
      <c r="P82" s="176" t="s">
        <v>377</v>
      </c>
      <c r="Q82" s="176"/>
      <c r="R82" s="1">
        <f>R81+T19</f>
        <v>996</v>
      </c>
      <c r="S82" s="1">
        <v>6</v>
      </c>
      <c r="T82" s="1">
        <v>150</v>
      </c>
    </row>
    <row r="83" spans="9:20" x14ac:dyDescent="0.3">
      <c r="I83" s="151" t="s">
        <v>405</v>
      </c>
      <c r="J83" s="151"/>
      <c r="K83" s="11">
        <f>K82+M51</f>
        <v>552</v>
      </c>
      <c r="L83" s="11">
        <v>5</v>
      </c>
      <c r="M83" s="11">
        <v>125</v>
      </c>
      <c r="P83" s="176" t="s">
        <v>411</v>
      </c>
      <c r="Q83" s="176"/>
      <c r="R83" s="1">
        <f>R82+T14</f>
        <v>1072</v>
      </c>
      <c r="S83" s="1">
        <v>6</v>
      </c>
      <c r="T83" s="1">
        <v>150</v>
      </c>
    </row>
    <row r="84" spans="9:20" x14ac:dyDescent="0.3">
      <c r="I84" s="151" t="s">
        <v>382</v>
      </c>
      <c r="J84" s="151"/>
      <c r="K84" s="11">
        <f>K83+M48</f>
        <v>608</v>
      </c>
      <c r="L84" s="11">
        <v>6</v>
      </c>
      <c r="M84" s="11">
        <v>150</v>
      </c>
    </row>
    <row r="85" spans="9:20" x14ac:dyDescent="0.3">
      <c r="I85" s="151" t="s">
        <v>406</v>
      </c>
      <c r="J85" s="151"/>
      <c r="K85" s="11">
        <f>K84+M43</f>
        <v>612</v>
      </c>
      <c r="L85" s="11">
        <v>6</v>
      </c>
      <c r="M85" s="11">
        <v>150</v>
      </c>
    </row>
    <row r="86" spans="9:20" x14ac:dyDescent="0.3">
      <c r="I86" s="151" t="s">
        <v>381</v>
      </c>
      <c r="J86" s="151"/>
      <c r="K86" s="11">
        <f>K85+M40</f>
        <v>632</v>
      </c>
      <c r="L86" s="11">
        <v>6</v>
      </c>
      <c r="M86" s="11">
        <v>150</v>
      </c>
    </row>
    <row r="87" spans="9:20" x14ac:dyDescent="0.3">
      <c r="I87" s="151" t="s">
        <v>407</v>
      </c>
      <c r="J87" s="151"/>
      <c r="K87" s="11">
        <f>K86+M37</f>
        <v>636</v>
      </c>
      <c r="L87" s="11">
        <v>6</v>
      </c>
      <c r="M87" s="11">
        <v>150</v>
      </c>
    </row>
    <row r="88" spans="9:20" x14ac:dyDescent="0.3">
      <c r="I88" s="151" t="s">
        <v>380</v>
      </c>
      <c r="J88" s="151"/>
      <c r="K88" s="11">
        <f>K87+M34</f>
        <v>656</v>
      </c>
      <c r="L88" s="11">
        <v>6</v>
      </c>
      <c r="M88" s="11">
        <v>150</v>
      </c>
    </row>
    <row r="89" spans="9:20" x14ac:dyDescent="0.3">
      <c r="I89" s="151" t="s">
        <v>408</v>
      </c>
      <c r="J89" s="151"/>
      <c r="K89" s="11">
        <f>K88+M31</f>
        <v>660</v>
      </c>
      <c r="L89" s="11">
        <v>6</v>
      </c>
      <c r="M89" s="11">
        <v>150</v>
      </c>
    </row>
    <row r="90" spans="9:20" x14ac:dyDescent="0.3">
      <c r="I90" s="151" t="s">
        <v>379</v>
      </c>
      <c r="J90" s="151"/>
      <c r="K90" s="11">
        <f>K89+M28</f>
        <v>680</v>
      </c>
      <c r="L90" s="11">
        <v>6</v>
      </c>
      <c r="M90" s="11">
        <v>150</v>
      </c>
    </row>
    <row r="91" spans="9:20" x14ac:dyDescent="0.3">
      <c r="I91" s="151" t="s">
        <v>409</v>
      </c>
      <c r="J91" s="151"/>
      <c r="K91" s="11">
        <f>K90+M25</f>
        <v>684</v>
      </c>
      <c r="L91" s="11">
        <v>6</v>
      </c>
      <c r="M91" s="11">
        <v>150</v>
      </c>
    </row>
    <row r="92" spans="9:20" x14ac:dyDescent="0.3">
      <c r="I92" s="151" t="s">
        <v>378</v>
      </c>
      <c r="J92" s="151"/>
      <c r="K92" s="11">
        <f>K91+M22</f>
        <v>728</v>
      </c>
      <c r="L92" s="11">
        <v>6</v>
      </c>
      <c r="M92" s="11">
        <v>150</v>
      </c>
    </row>
    <row r="93" spans="9:20" x14ac:dyDescent="0.3">
      <c r="I93" s="151" t="s">
        <v>410</v>
      </c>
      <c r="J93" s="151"/>
      <c r="K93" s="11">
        <f>K92+M17</f>
        <v>772</v>
      </c>
      <c r="L93" s="11">
        <v>6</v>
      </c>
      <c r="M93" s="11">
        <v>150</v>
      </c>
    </row>
    <row r="94" spans="9:20" x14ac:dyDescent="0.3">
      <c r="I94" s="151" t="s">
        <v>411</v>
      </c>
      <c r="J94" s="151"/>
      <c r="K94" s="11">
        <f>K93+M12</f>
        <v>804</v>
      </c>
      <c r="L94" s="11">
        <v>6</v>
      </c>
      <c r="M94" s="11">
        <v>150</v>
      </c>
    </row>
    <row r="97" spans="2:2" x14ac:dyDescent="0.3">
      <c r="B97" t="s">
        <v>85</v>
      </c>
    </row>
    <row r="99" spans="2:2" x14ac:dyDescent="0.3">
      <c r="B99" t="s">
        <v>416</v>
      </c>
    </row>
  </sheetData>
  <mergeCells count="182">
    <mergeCell ref="AK7:AL7"/>
    <mergeCell ref="AK10:AO10"/>
    <mergeCell ref="AK12:AN12"/>
    <mergeCell ref="AK13:AO13"/>
    <mergeCell ref="AK15:AN15"/>
    <mergeCell ref="AK18:AL18"/>
    <mergeCell ref="AK19:AL19"/>
    <mergeCell ref="AK20:AL20"/>
    <mergeCell ref="AD7:AE7"/>
    <mergeCell ref="AD10:AH10"/>
    <mergeCell ref="AD12:AG12"/>
    <mergeCell ref="AD13:AH13"/>
    <mergeCell ref="AD15:AG15"/>
    <mergeCell ref="W74:X74"/>
    <mergeCell ref="W75:X75"/>
    <mergeCell ref="W76:X76"/>
    <mergeCell ref="W68:X68"/>
    <mergeCell ref="W69:X69"/>
    <mergeCell ref="W70:X70"/>
    <mergeCell ref="W71:X71"/>
    <mergeCell ref="W72:X72"/>
    <mergeCell ref="AD18:AE18"/>
    <mergeCell ref="AD19:AE19"/>
    <mergeCell ref="AD20:AE20"/>
    <mergeCell ref="W63:X63"/>
    <mergeCell ref="W64:X64"/>
    <mergeCell ref="W65:X65"/>
    <mergeCell ref="W66:X66"/>
    <mergeCell ref="W67:X67"/>
    <mergeCell ref="W57:Z57"/>
    <mergeCell ref="W58:AA58"/>
    <mergeCell ref="W60:Z60"/>
    <mergeCell ref="W73:X73"/>
    <mergeCell ref="W43:AA43"/>
    <mergeCell ref="W47:Z47"/>
    <mergeCell ref="W48:AA48"/>
    <mergeCell ref="W52:Z52"/>
    <mergeCell ref="W53:AA53"/>
    <mergeCell ref="W34:Z34"/>
    <mergeCell ref="W35:AA35"/>
    <mergeCell ref="W37:Z37"/>
    <mergeCell ref="W38:AA38"/>
    <mergeCell ref="W42:Z42"/>
    <mergeCell ref="P82:Q82"/>
    <mergeCell ref="P83:Q83"/>
    <mergeCell ref="W7:X7"/>
    <mergeCell ref="W10:AA10"/>
    <mergeCell ref="W12:Z12"/>
    <mergeCell ref="W13:AA13"/>
    <mergeCell ref="W17:Z17"/>
    <mergeCell ref="W18:AA18"/>
    <mergeCell ref="W22:Z22"/>
    <mergeCell ref="W23:AA23"/>
    <mergeCell ref="W25:Z25"/>
    <mergeCell ref="W26:AA26"/>
    <mergeCell ref="W28:Z28"/>
    <mergeCell ref="W29:AA29"/>
    <mergeCell ref="W31:Z31"/>
    <mergeCell ref="W32:AA32"/>
    <mergeCell ref="P77:Q77"/>
    <mergeCell ref="P78:Q78"/>
    <mergeCell ref="P79:Q79"/>
    <mergeCell ref="P80:Q80"/>
    <mergeCell ref="P81:Q81"/>
    <mergeCell ref="P72:Q72"/>
    <mergeCell ref="P73:Q73"/>
    <mergeCell ref="P74:Q74"/>
    <mergeCell ref="P75:Q75"/>
    <mergeCell ref="P76:Q76"/>
    <mergeCell ref="P69:Q69"/>
    <mergeCell ref="P70:Q70"/>
    <mergeCell ref="P71:Q71"/>
    <mergeCell ref="P58:S58"/>
    <mergeCell ref="P59:T59"/>
    <mergeCell ref="P63:S63"/>
    <mergeCell ref="P64:T64"/>
    <mergeCell ref="P66:S66"/>
    <mergeCell ref="P45:T45"/>
    <mergeCell ref="P48:S48"/>
    <mergeCell ref="P49:T49"/>
    <mergeCell ref="P53:S53"/>
    <mergeCell ref="P54:T54"/>
    <mergeCell ref="P36:S36"/>
    <mergeCell ref="P37:T37"/>
    <mergeCell ref="P41:S41"/>
    <mergeCell ref="P42:T42"/>
    <mergeCell ref="P44:S44"/>
    <mergeCell ref="I93:J93"/>
    <mergeCell ref="I94:J94"/>
    <mergeCell ref="P10:T10"/>
    <mergeCell ref="P7:Q7"/>
    <mergeCell ref="P14:S14"/>
    <mergeCell ref="P15:T15"/>
    <mergeCell ref="P19:S19"/>
    <mergeCell ref="P20:T20"/>
    <mergeCell ref="P22:S22"/>
    <mergeCell ref="P23:T23"/>
    <mergeCell ref="P27:S27"/>
    <mergeCell ref="P28:T28"/>
    <mergeCell ref="P30:S30"/>
    <mergeCell ref="P31:T31"/>
    <mergeCell ref="P33:S33"/>
    <mergeCell ref="P34:T34"/>
    <mergeCell ref="I88:J88"/>
    <mergeCell ref="I89:J89"/>
    <mergeCell ref="I90:J90"/>
    <mergeCell ref="I91:J91"/>
    <mergeCell ref="I92:J92"/>
    <mergeCell ref="I83:J83"/>
    <mergeCell ref="I84:J84"/>
    <mergeCell ref="I85:J85"/>
    <mergeCell ref="I86:J86"/>
    <mergeCell ref="I87:J87"/>
    <mergeCell ref="I78:J78"/>
    <mergeCell ref="I79:J79"/>
    <mergeCell ref="I80:J80"/>
    <mergeCell ref="I81:J81"/>
    <mergeCell ref="I82:J82"/>
    <mergeCell ref="I71:M71"/>
    <mergeCell ref="I73:L73"/>
    <mergeCell ref="I76:J76"/>
    <mergeCell ref="I77:J77"/>
    <mergeCell ref="I62:L62"/>
    <mergeCell ref="I63:M63"/>
    <mergeCell ref="I65:L65"/>
    <mergeCell ref="I66:M66"/>
    <mergeCell ref="I70:L70"/>
    <mergeCell ref="I75:M75"/>
    <mergeCell ref="I52:M52"/>
    <mergeCell ref="I55:L55"/>
    <mergeCell ref="I56:M56"/>
    <mergeCell ref="I58:L58"/>
    <mergeCell ref="I59:M59"/>
    <mergeCell ref="I44:M44"/>
    <mergeCell ref="I48:L48"/>
    <mergeCell ref="I49:M49"/>
    <mergeCell ref="I51:L51"/>
    <mergeCell ref="I40:L40"/>
    <mergeCell ref="I41:M41"/>
    <mergeCell ref="B2:C2"/>
    <mergeCell ref="B36:C36"/>
    <mergeCell ref="B37:C37"/>
    <mergeCell ref="B38:C38"/>
    <mergeCell ref="B39:C39"/>
    <mergeCell ref="B40:C40"/>
    <mergeCell ref="B33:E33"/>
    <mergeCell ref="B22:F22"/>
    <mergeCell ref="B25:E25"/>
    <mergeCell ref="B26:F26"/>
    <mergeCell ref="B29:E29"/>
    <mergeCell ref="B30:F30"/>
    <mergeCell ref="B10:F10"/>
    <mergeCell ref="B12:E12"/>
    <mergeCell ref="B13:F13"/>
    <mergeCell ref="B17:E17"/>
    <mergeCell ref="B18:F18"/>
    <mergeCell ref="B21:E21"/>
    <mergeCell ref="B35:F35"/>
    <mergeCell ref="P68:T68"/>
    <mergeCell ref="W62:AA62"/>
    <mergeCell ref="AD17:AH17"/>
    <mergeCell ref="AK17:AO17"/>
    <mergeCell ref="I10:M10"/>
    <mergeCell ref="I12:L12"/>
    <mergeCell ref="I13:M13"/>
    <mergeCell ref="I17:L17"/>
    <mergeCell ref="B41:C41"/>
    <mergeCell ref="B42:C42"/>
    <mergeCell ref="I28:L28"/>
    <mergeCell ref="I29:M29"/>
    <mergeCell ref="I31:L31"/>
    <mergeCell ref="I32:M32"/>
    <mergeCell ref="I34:L34"/>
    <mergeCell ref="I18:M18"/>
    <mergeCell ref="I22:L22"/>
    <mergeCell ref="I23:M23"/>
    <mergeCell ref="I25:L25"/>
    <mergeCell ref="I26:M26"/>
    <mergeCell ref="I43:L43"/>
    <mergeCell ref="I35:M35"/>
    <mergeCell ref="I37:L37"/>
    <mergeCell ref="I38:M38"/>
  </mergeCells>
  <phoneticPr fontId="8" type="noConversion"/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B14E6-50A7-4C68-A395-F0E8E9A10153}">
  <dimension ref="B2:AK133"/>
  <sheetViews>
    <sheetView topLeftCell="A3" zoomScale="60" zoomScaleNormal="60" workbookViewId="0">
      <selection activeCell="J25" sqref="J25"/>
    </sheetView>
  </sheetViews>
  <sheetFormatPr defaultRowHeight="14.4" x14ac:dyDescent="0.3"/>
  <cols>
    <col min="2" max="2" width="16.33203125" customWidth="1"/>
    <col min="3" max="3" width="18.44140625" bestFit="1" customWidth="1"/>
    <col min="4" max="4" width="15.109375" customWidth="1"/>
    <col min="5" max="5" width="19.6640625" customWidth="1"/>
    <col min="6" max="6" width="18.5546875" customWidth="1"/>
    <col min="8" max="8" width="11.33203125" customWidth="1"/>
    <col min="9" max="9" width="18.44140625" bestFit="1" customWidth="1"/>
    <col min="10" max="10" width="15.44140625" customWidth="1"/>
    <col min="11" max="11" width="20.44140625" customWidth="1"/>
    <col min="12" max="12" width="19.77734375" customWidth="1"/>
    <col min="15" max="15" width="19.88671875" customWidth="1"/>
    <col min="16" max="16" width="14.5546875" bestFit="1" customWidth="1"/>
    <col min="17" max="17" width="18.33203125" bestFit="1" customWidth="1"/>
    <col min="18" max="18" width="18.6640625" customWidth="1"/>
    <col min="21" max="21" width="19.44140625" customWidth="1"/>
    <col min="22" max="22" width="14.5546875" bestFit="1" customWidth="1"/>
    <col min="23" max="23" width="19.44140625" customWidth="1"/>
    <col min="24" max="24" width="17.77734375" customWidth="1"/>
    <col min="27" max="27" width="18.44140625" bestFit="1" customWidth="1"/>
    <col min="28" max="28" width="14.5546875" bestFit="1" customWidth="1"/>
    <col min="29" max="29" width="18.33203125" bestFit="1" customWidth="1"/>
    <col min="30" max="30" width="18.6640625" customWidth="1"/>
    <col min="34" max="34" width="20.6640625" customWidth="1"/>
    <col min="35" max="35" width="14.5546875" bestFit="1" customWidth="1"/>
    <col min="36" max="36" width="18.33203125" bestFit="1" customWidth="1"/>
    <col min="37" max="37" width="20.109375" customWidth="1"/>
  </cols>
  <sheetData>
    <row r="2" spans="2:37" x14ac:dyDescent="0.3">
      <c r="B2" s="33" t="s">
        <v>395</v>
      </c>
    </row>
    <row r="3" spans="2:37" x14ac:dyDescent="0.3">
      <c r="B3" s="78" t="s">
        <v>420</v>
      </c>
      <c r="C3" s="78"/>
    </row>
    <row r="4" spans="2:37" x14ac:dyDescent="0.3">
      <c r="B4" s="78" t="s">
        <v>419</v>
      </c>
      <c r="C4" s="78"/>
    </row>
    <row r="5" spans="2:37" x14ac:dyDescent="0.3">
      <c r="B5" s="78" t="s">
        <v>418</v>
      </c>
    </row>
    <row r="6" spans="2:37" x14ac:dyDescent="0.3">
      <c r="B6" s="78" t="s">
        <v>417</v>
      </c>
    </row>
    <row r="7" spans="2:37" x14ac:dyDescent="0.3">
      <c r="B7" s="78" t="s">
        <v>396</v>
      </c>
    </row>
    <row r="8" spans="2:37" x14ac:dyDescent="0.3">
      <c r="B8" s="78" t="s">
        <v>397</v>
      </c>
    </row>
    <row r="10" spans="2:37" x14ac:dyDescent="0.3">
      <c r="B10" s="33" t="s">
        <v>100</v>
      </c>
      <c r="H10" s="33" t="s">
        <v>101</v>
      </c>
      <c r="N10" s="82" t="s">
        <v>102</v>
      </c>
      <c r="O10" s="5"/>
      <c r="P10" s="5"/>
      <c r="Q10" s="5"/>
      <c r="R10" s="5"/>
      <c r="T10" s="82" t="s">
        <v>103</v>
      </c>
      <c r="Z10" s="82" t="s">
        <v>104</v>
      </c>
      <c r="AG10" s="82" t="s">
        <v>105</v>
      </c>
    </row>
    <row r="11" spans="2:37" x14ac:dyDescent="0.3">
      <c r="B11" s="33"/>
      <c r="H11" s="33"/>
      <c r="N11" s="82"/>
      <c r="O11" s="5"/>
      <c r="P11" s="5"/>
      <c r="Q11" s="5"/>
      <c r="R11" s="5"/>
      <c r="T11" s="82"/>
      <c r="Z11" s="82"/>
    </row>
    <row r="12" spans="2:37" ht="36.6" customHeight="1" x14ac:dyDescent="0.3">
      <c r="B12" s="24" t="s">
        <v>2</v>
      </c>
      <c r="C12" s="35" t="s">
        <v>8</v>
      </c>
      <c r="D12" s="24" t="s">
        <v>7</v>
      </c>
      <c r="E12" s="24" t="s">
        <v>435</v>
      </c>
      <c r="F12" s="24" t="s">
        <v>91</v>
      </c>
      <c r="H12" s="24" t="s">
        <v>2</v>
      </c>
      <c r="I12" s="35" t="s">
        <v>8</v>
      </c>
      <c r="J12" s="24" t="s">
        <v>7</v>
      </c>
      <c r="K12" s="24" t="s">
        <v>435</v>
      </c>
      <c r="L12" s="24" t="s">
        <v>91</v>
      </c>
      <c r="N12" s="24" t="s">
        <v>2</v>
      </c>
      <c r="O12" s="35" t="s">
        <v>8</v>
      </c>
      <c r="P12" s="24" t="s">
        <v>7</v>
      </c>
      <c r="Q12" s="24" t="s">
        <v>435</v>
      </c>
      <c r="R12" s="24" t="s">
        <v>91</v>
      </c>
      <c r="T12" s="24" t="s">
        <v>2</v>
      </c>
      <c r="U12" s="35" t="s">
        <v>8</v>
      </c>
      <c r="V12" s="24" t="s">
        <v>7</v>
      </c>
      <c r="W12" s="24" t="s">
        <v>435</v>
      </c>
      <c r="X12" s="24" t="s">
        <v>91</v>
      </c>
      <c r="Z12" s="24" t="s">
        <v>2</v>
      </c>
      <c r="AA12" s="35" t="s">
        <v>8</v>
      </c>
      <c r="AB12" s="24" t="s">
        <v>7</v>
      </c>
      <c r="AC12" s="24" t="s">
        <v>435</v>
      </c>
      <c r="AD12" s="24" t="s">
        <v>91</v>
      </c>
      <c r="AG12" s="24" t="s">
        <v>2</v>
      </c>
      <c r="AH12" s="24" t="s">
        <v>8</v>
      </c>
      <c r="AI12" s="24" t="s">
        <v>7</v>
      </c>
      <c r="AJ12" s="24" t="s">
        <v>435</v>
      </c>
      <c r="AK12" s="24" t="s">
        <v>91</v>
      </c>
    </row>
    <row r="13" spans="2:37" x14ac:dyDescent="0.3">
      <c r="B13" s="213" t="s">
        <v>11</v>
      </c>
      <c r="C13" s="213"/>
      <c r="D13" s="213"/>
      <c r="E13" s="213"/>
      <c r="F13" s="213"/>
      <c r="H13" s="213" t="s">
        <v>13</v>
      </c>
      <c r="I13" s="213"/>
      <c r="J13" s="213"/>
      <c r="K13" s="213"/>
      <c r="L13" s="213"/>
      <c r="N13" s="158" t="s">
        <v>13</v>
      </c>
      <c r="O13" s="159"/>
      <c r="P13" s="159"/>
      <c r="Q13" s="159"/>
      <c r="R13" s="160"/>
      <c r="T13" s="158" t="s">
        <v>13</v>
      </c>
      <c r="U13" s="159"/>
      <c r="V13" s="159"/>
      <c r="W13" s="159"/>
      <c r="X13" s="160"/>
      <c r="Z13" s="220" t="s">
        <v>11</v>
      </c>
      <c r="AA13" s="220"/>
      <c r="AB13" s="220"/>
      <c r="AC13" s="220"/>
      <c r="AD13" s="220"/>
      <c r="AG13" s="219" t="s">
        <v>11</v>
      </c>
      <c r="AH13" s="219"/>
      <c r="AI13" s="219"/>
      <c r="AJ13" s="219"/>
      <c r="AK13" s="219"/>
    </row>
    <row r="14" spans="2:37" x14ac:dyDescent="0.3">
      <c r="B14" s="1">
        <v>1</v>
      </c>
      <c r="C14" s="7" t="s">
        <v>9</v>
      </c>
      <c r="D14" s="1">
        <f>1+1+1*3+1+1+1</f>
        <v>8</v>
      </c>
      <c r="E14" s="1">
        <v>2</v>
      </c>
      <c r="F14" s="1">
        <f>D14*E14</f>
        <v>16</v>
      </c>
      <c r="H14" s="11">
        <v>1</v>
      </c>
      <c r="I14" s="7" t="s">
        <v>9</v>
      </c>
      <c r="J14" s="1">
        <v>8</v>
      </c>
      <c r="K14" s="1">
        <v>2</v>
      </c>
      <c r="L14" s="11">
        <f>J14*K14</f>
        <v>16</v>
      </c>
      <c r="N14" s="1">
        <v>1</v>
      </c>
      <c r="O14" s="7" t="s">
        <v>9</v>
      </c>
      <c r="P14" s="1">
        <v>19</v>
      </c>
      <c r="Q14" s="1">
        <v>2</v>
      </c>
      <c r="R14" s="1">
        <v>38</v>
      </c>
      <c r="T14" s="1">
        <v>1</v>
      </c>
      <c r="U14" s="7" t="s">
        <v>9</v>
      </c>
      <c r="V14" s="1">
        <v>27</v>
      </c>
      <c r="W14" s="1">
        <v>2</v>
      </c>
      <c r="X14" s="11">
        <f>V14*W14</f>
        <v>54</v>
      </c>
      <c r="Z14" s="11">
        <v>1</v>
      </c>
      <c r="AA14" s="81" t="s">
        <v>15</v>
      </c>
      <c r="AB14" s="1">
        <f>1*5</f>
        <v>5</v>
      </c>
      <c r="AC14" s="1">
        <v>2</v>
      </c>
      <c r="AD14" s="11">
        <f>AB14*AC14</f>
        <v>10</v>
      </c>
      <c r="AG14" s="11">
        <v>1</v>
      </c>
      <c r="AH14" s="7" t="s">
        <v>15</v>
      </c>
      <c r="AI14" s="1">
        <f>8</f>
        <v>8</v>
      </c>
      <c r="AJ14" s="1">
        <v>2</v>
      </c>
      <c r="AK14" s="11">
        <f>AI14*AJ14</f>
        <v>16</v>
      </c>
    </row>
    <row r="15" spans="2:37" x14ac:dyDescent="0.3">
      <c r="B15" s="1">
        <v>2</v>
      </c>
      <c r="C15" s="7" t="s">
        <v>4</v>
      </c>
      <c r="D15" s="1">
        <f>6+1+1+1*3+1+1+2+1+1+1+2+1</f>
        <v>21</v>
      </c>
      <c r="E15" s="1">
        <v>1</v>
      </c>
      <c r="F15" s="1">
        <f>D15*E15</f>
        <v>21</v>
      </c>
      <c r="H15" s="11">
        <v>2</v>
      </c>
      <c r="I15" s="7" t="s">
        <v>4</v>
      </c>
      <c r="J15" s="1">
        <v>5</v>
      </c>
      <c r="K15" s="1">
        <v>1</v>
      </c>
      <c r="L15" s="11">
        <f>J15*K15</f>
        <v>5</v>
      </c>
      <c r="N15" s="1">
        <v>2</v>
      </c>
      <c r="O15" s="7" t="s">
        <v>4</v>
      </c>
      <c r="P15" s="1">
        <v>12</v>
      </c>
      <c r="Q15" s="1">
        <v>1</v>
      </c>
      <c r="R15" s="1">
        <v>24</v>
      </c>
      <c r="T15" s="1">
        <v>2</v>
      </c>
      <c r="U15" s="7" t="s">
        <v>4</v>
      </c>
      <c r="V15" s="1">
        <v>33</v>
      </c>
      <c r="W15" s="1">
        <v>1</v>
      </c>
      <c r="X15" s="11">
        <f>V15*W15</f>
        <v>33</v>
      </c>
      <c r="Z15" s="11">
        <v>2</v>
      </c>
      <c r="AA15" s="81" t="s">
        <v>4</v>
      </c>
      <c r="AB15" s="1">
        <f>1*3</f>
        <v>3</v>
      </c>
      <c r="AC15" s="1">
        <v>1</v>
      </c>
      <c r="AD15" s="11">
        <f>AB15*AC15</f>
        <v>3</v>
      </c>
      <c r="AG15" s="161" t="s">
        <v>12</v>
      </c>
      <c r="AH15" s="161"/>
      <c r="AI15" s="161"/>
      <c r="AJ15" s="161"/>
      <c r="AK15" s="1">
        <f>SUM(AK13:AK14)</f>
        <v>16</v>
      </c>
    </row>
    <row r="16" spans="2:37" x14ac:dyDescent="0.3">
      <c r="B16" s="1">
        <v>3</v>
      </c>
      <c r="C16" s="7" t="s">
        <v>3</v>
      </c>
      <c r="D16" s="1">
        <f>1+1</f>
        <v>2</v>
      </c>
      <c r="E16" s="1">
        <v>2</v>
      </c>
      <c r="F16" s="1">
        <f>D16*E16</f>
        <v>4</v>
      </c>
      <c r="H16" s="11">
        <v>3</v>
      </c>
      <c r="I16" s="7" t="s">
        <v>10</v>
      </c>
      <c r="J16" s="1">
        <v>8</v>
      </c>
      <c r="K16" s="1">
        <v>2</v>
      </c>
      <c r="L16" s="11">
        <f>J16*K16</f>
        <v>16</v>
      </c>
      <c r="N16" s="1">
        <v>3</v>
      </c>
      <c r="O16" s="7" t="s">
        <v>21</v>
      </c>
      <c r="P16" s="1">
        <v>1</v>
      </c>
      <c r="Q16" s="1">
        <v>3</v>
      </c>
      <c r="R16" s="1">
        <v>3</v>
      </c>
      <c r="T16" s="1">
        <v>3</v>
      </c>
      <c r="U16" s="65" t="s">
        <v>10</v>
      </c>
      <c r="V16" s="1">
        <v>15</v>
      </c>
      <c r="W16" s="25">
        <v>2</v>
      </c>
      <c r="X16" s="11">
        <f>V16*W16</f>
        <v>30</v>
      </c>
      <c r="Z16" s="161" t="s">
        <v>12</v>
      </c>
      <c r="AA16" s="161"/>
      <c r="AB16" s="161"/>
      <c r="AC16" s="161"/>
      <c r="AD16" s="1">
        <f>SUM(AD14:AD15)</f>
        <v>13</v>
      </c>
      <c r="AG16" s="219" t="s">
        <v>17</v>
      </c>
      <c r="AH16" s="219"/>
      <c r="AI16" s="219"/>
      <c r="AJ16" s="219"/>
      <c r="AK16" s="219"/>
    </row>
    <row r="17" spans="2:37" x14ac:dyDescent="0.3">
      <c r="B17" s="1">
        <v>4</v>
      </c>
      <c r="C17" s="7" t="s">
        <v>10</v>
      </c>
      <c r="D17" s="1">
        <f>1+1</f>
        <v>2</v>
      </c>
      <c r="E17" s="1">
        <v>2</v>
      </c>
      <c r="F17" s="1">
        <f>D17*E17</f>
        <v>4</v>
      </c>
      <c r="H17" s="161" t="s">
        <v>14</v>
      </c>
      <c r="I17" s="161"/>
      <c r="J17" s="161"/>
      <c r="K17" s="161"/>
      <c r="L17" s="1">
        <f>SUM(L14:L16)</f>
        <v>37</v>
      </c>
      <c r="N17" s="1">
        <v>4</v>
      </c>
      <c r="O17" s="65" t="s">
        <v>10</v>
      </c>
      <c r="P17" s="30">
        <v>6</v>
      </c>
      <c r="Q17" s="1">
        <v>2</v>
      </c>
      <c r="R17" s="1">
        <v>12</v>
      </c>
      <c r="T17" s="1">
        <v>4</v>
      </c>
      <c r="U17" s="7" t="s">
        <v>21</v>
      </c>
      <c r="V17" s="1">
        <v>2</v>
      </c>
      <c r="W17" s="1">
        <v>3</v>
      </c>
      <c r="X17" s="11">
        <f>V17*W17</f>
        <v>6</v>
      </c>
      <c r="Z17" s="220" t="s">
        <v>17</v>
      </c>
      <c r="AA17" s="220"/>
      <c r="AB17" s="220"/>
      <c r="AC17" s="220"/>
      <c r="AD17" s="220"/>
      <c r="AG17" s="11">
        <v>1</v>
      </c>
      <c r="AH17" s="7" t="s">
        <v>15</v>
      </c>
      <c r="AI17" s="1">
        <f>2</f>
        <v>2</v>
      </c>
      <c r="AJ17" s="1">
        <v>2</v>
      </c>
      <c r="AK17" s="11">
        <f>AI17*AJ17</f>
        <v>4</v>
      </c>
    </row>
    <row r="18" spans="2:37" x14ac:dyDescent="0.3">
      <c r="B18" s="1">
        <v>5</v>
      </c>
      <c r="C18" s="7" t="s">
        <v>21</v>
      </c>
      <c r="D18" s="1">
        <f>1</f>
        <v>1</v>
      </c>
      <c r="E18" s="1">
        <f>3</f>
        <v>3</v>
      </c>
      <c r="F18" s="1">
        <f>D18*E18</f>
        <v>3</v>
      </c>
      <c r="H18" s="219" t="s">
        <v>11</v>
      </c>
      <c r="I18" s="219"/>
      <c r="J18" s="219"/>
      <c r="K18" s="219"/>
      <c r="L18" s="219"/>
      <c r="N18" s="161" t="s">
        <v>14</v>
      </c>
      <c r="O18" s="161"/>
      <c r="P18" s="161"/>
      <c r="Q18" s="161"/>
      <c r="R18" s="1">
        <f>SUM(R14:R17)</f>
        <v>77</v>
      </c>
      <c r="T18" s="161" t="s">
        <v>14</v>
      </c>
      <c r="U18" s="161"/>
      <c r="V18" s="161"/>
      <c r="W18" s="161"/>
      <c r="X18" s="1">
        <f>SUM(X14:X17)</f>
        <v>123</v>
      </c>
      <c r="Z18" s="11">
        <v>1</v>
      </c>
      <c r="AA18" s="81" t="s">
        <v>15</v>
      </c>
      <c r="AB18" s="1">
        <f>2+1+1*5+1</f>
        <v>9</v>
      </c>
      <c r="AC18" s="1">
        <v>2</v>
      </c>
      <c r="AD18" s="11">
        <f>AB18*AC18</f>
        <v>18</v>
      </c>
      <c r="AG18" s="11">
        <v>2</v>
      </c>
      <c r="AH18" s="7" t="s">
        <v>4</v>
      </c>
      <c r="AI18" s="1">
        <f>2</f>
        <v>2</v>
      </c>
      <c r="AJ18" s="1">
        <v>1</v>
      </c>
      <c r="AK18" s="11">
        <f>AI18*AJ18</f>
        <v>2</v>
      </c>
    </row>
    <row r="19" spans="2:37" x14ac:dyDescent="0.3">
      <c r="B19" s="165" t="s">
        <v>12</v>
      </c>
      <c r="C19" s="165"/>
      <c r="D19" s="165"/>
      <c r="E19" s="165"/>
      <c r="F19" s="1">
        <f>SUM(F14:F18)</f>
        <v>48</v>
      </c>
      <c r="H19" s="11">
        <v>1</v>
      </c>
      <c r="I19" s="7" t="s">
        <v>9</v>
      </c>
      <c r="J19" s="1">
        <v>12</v>
      </c>
      <c r="K19" s="1">
        <v>2</v>
      </c>
      <c r="L19" s="11">
        <f>J19*K19</f>
        <v>24</v>
      </c>
      <c r="N19" s="158" t="s">
        <v>11</v>
      </c>
      <c r="O19" s="159"/>
      <c r="P19" s="159"/>
      <c r="Q19" s="159"/>
      <c r="R19" s="160"/>
      <c r="T19" s="158" t="s">
        <v>11</v>
      </c>
      <c r="U19" s="159"/>
      <c r="V19" s="159"/>
      <c r="W19" s="159"/>
      <c r="X19" s="160"/>
      <c r="Z19" s="11">
        <v>2</v>
      </c>
      <c r="AA19" s="81" t="s">
        <v>4</v>
      </c>
      <c r="AB19" s="1">
        <f>1+1*5</f>
        <v>6</v>
      </c>
      <c r="AC19" s="1">
        <v>1</v>
      </c>
      <c r="AD19" s="11">
        <f>AB19*AC19</f>
        <v>6</v>
      </c>
      <c r="AG19" s="11">
        <v>3</v>
      </c>
      <c r="AH19" s="7" t="s">
        <v>3</v>
      </c>
      <c r="AI19" s="1">
        <f>1</f>
        <v>1</v>
      </c>
      <c r="AJ19" s="1">
        <v>2</v>
      </c>
      <c r="AK19" s="11">
        <f>AI19*AJ19</f>
        <v>2</v>
      </c>
    </row>
    <row r="20" spans="2:37" x14ac:dyDescent="0.3">
      <c r="B20" s="219" t="s">
        <v>17</v>
      </c>
      <c r="C20" s="219"/>
      <c r="D20" s="219"/>
      <c r="E20" s="219"/>
      <c r="F20" s="219"/>
      <c r="H20" s="11">
        <v>2</v>
      </c>
      <c r="I20" s="7" t="s">
        <v>4</v>
      </c>
      <c r="J20" s="1">
        <v>9</v>
      </c>
      <c r="K20" s="1">
        <v>1</v>
      </c>
      <c r="L20" s="11">
        <f>J20*K20</f>
        <v>9</v>
      </c>
      <c r="N20" s="1">
        <v>1</v>
      </c>
      <c r="O20" s="7" t="s">
        <v>9</v>
      </c>
      <c r="P20" s="1">
        <v>11</v>
      </c>
      <c r="Q20" s="1">
        <v>2</v>
      </c>
      <c r="R20" s="1">
        <v>22</v>
      </c>
      <c r="T20" s="1">
        <v>1</v>
      </c>
      <c r="U20" s="7" t="s">
        <v>9</v>
      </c>
      <c r="V20" s="1">
        <v>12</v>
      </c>
      <c r="W20" s="1">
        <v>2</v>
      </c>
      <c r="X20" s="11">
        <v>24</v>
      </c>
      <c r="Z20" s="11">
        <v>3</v>
      </c>
      <c r="AA20" s="81" t="s">
        <v>3</v>
      </c>
      <c r="AB20" s="1">
        <f>1+1</f>
        <v>2</v>
      </c>
      <c r="AC20" s="1">
        <v>2</v>
      </c>
      <c r="AD20" s="11">
        <f>AB20*AC20</f>
        <v>4</v>
      </c>
      <c r="AG20" s="11">
        <v>4</v>
      </c>
      <c r="AH20" s="7" t="s">
        <v>21</v>
      </c>
      <c r="AI20" s="1">
        <f>1</f>
        <v>1</v>
      </c>
      <c r="AJ20" s="1">
        <f>3</f>
        <v>3</v>
      </c>
      <c r="AK20" s="11">
        <f>AI20*AJ20</f>
        <v>3</v>
      </c>
    </row>
    <row r="21" spans="2:37" x14ac:dyDescent="0.3">
      <c r="B21" s="1">
        <v>1</v>
      </c>
      <c r="C21" s="7" t="s">
        <v>9</v>
      </c>
      <c r="D21" s="1">
        <f>1*2+1+2+4+2+3+1</f>
        <v>15</v>
      </c>
      <c r="E21" s="1">
        <v>2</v>
      </c>
      <c r="F21" s="1">
        <f>D21*E21</f>
        <v>30</v>
      </c>
      <c r="H21" s="11">
        <v>3</v>
      </c>
      <c r="I21" s="7" t="s">
        <v>3</v>
      </c>
      <c r="J21" s="1">
        <v>2</v>
      </c>
      <c r="K21" s="1">
        <v>2</v>
      </c>
      <c r="L21" s="11">
        <f>J21*K21</f>
        <v>4</v>
      </c>
      <c r="N21" s="1">
        <v>2</v>
      </c>
      <c r="O21" s="7" t="s">
        <v>4</v>
      </c>
      <c r="P21" s="1">
        <v>6</v>
      </c>
      <c r="Q21" s="1">
        <v>1</v>
      </c>
      <c r="R21" s="1">
        <v>12</v>
      </c>
      <c r="T21" s="1">
        <v>2</v>
      </c>
      <c r="U21" s="7" t="s">
        <v>4</v>
      </c>
      <c r="V21" s="1">
        <v>12</v>
      </c>
      <c r="W21" s="1">
        <v>1</v>
      </c>
      <c r="X21" s="11">
        <v>12</v>
      </c>
      <c r="Z21" s="11">
        <v>4</v>
      </c>
      <c r="AA21" s="81" t="s">
        <v>10</v>
      </c>
      <c r="AB21" s="1">
        <f>1*3</f>
        <v>3</v>
      </c>
      <c r="AC21" s="1">
        <v>2</v>
      </c>
      <c r="AD21" s="11">
        <f>AB21*AC21</f>
        <v>6</v>
      </c>
      <c r="AG21" s="161" t="s">
        <v>18</v>
      </c>
      <c r="AH21" s="161"/>
      <c r="AI21" s="161"/>
      <c r="AJ21" s="161"/>
      <c r="AK21" s="1">
        <f>SUM(AK17:AK20)</f>
        <v>11</v>
      </c>
    </row>
    <row r="22" spans="2:37" x14ac:dyDescent="0.3">
      <c r="B22" s="1">
        <v>2</v>
      </c>
      <c r="C22" s="7" t="s">
        <v>4</v>
      </c>
      <c r="D22" s="1">
        <f>1+1+5+2+1+1+3</f>
        <v>14</v>
      </c>
      <c r="E22" s="1">
        <v>1</v>
      </c>
      <c r="F22" s="1">
        <f>D22*E22</f>
        <v>14</v>
      </c>
      <c r="H22" s="161" t="s">
        <v>12</v>
      </c>
      <c r="I22" s="161"/>
      <c r="J22" s="161"/>
      <c r="K22" s="161"/>
      <c r="L22" s="1">
        <f>SUM(L19:L21)</f>
        <v>37</v>
      </c>
      <c r="N22" s="1">
        <v>3</v>
      </c>
      <c r="O22" s="7" t="s">
        <v>3</v>
      </c>
      <c r="P22" s="1">
        <v>1</v>
      </c>
      <c r="Q22" s="1">
        <v>2</v>
      </c>
      <c r="R22" s="1">
        <v>2</v>
      </c>
      <c r="T22" s="1">
        <v>3</v>
      </c>
      <c r="U22" s="65" t="s">
        <v>3</v>
      </c>
      <c r="V22" s="1">
        <v>1</v>
      </c>
      <c r="W22" s="25">
        <v>2</v>
      </c>
      <c r="X22" s="11">
        <v>2</v>
      </c>
      <c r="Z22" s="161" t="s">
        <v>18</v>
      </c>
      <c r="AA22" s="161"/>
      <c r="AB22" s="161"/>
      <c r="AC22" s="161"/>
      <c r="AD22" s="1">
        <f>SUM(AD18:AD21)</f>
        <v>34</v>
      </c>
    </row>
    <row r="23" spans="2:37" x14ac:dyDescent="0.3">
      <c r="B23" s="1">
        <v>3</v>
      </c>
      <c r="C23" s="7" t="s">
        <v>3</v>
      </c>
      <c r="D23" s="1">
        <f>1+1</f>
        <v>2</v>
      </c>
      <c r="E23" s="1">
        <v>2</v>
      </c>
      <c r="F23" s="1">
        <f>D23*E23</f>
        <v>4</v>
      </c>
      <c r="H23" s="219" t="s">
        <v>17</v>
      </c>
      <c r="I23" s="219"/>
      <c r="J23" s="219"/>
      <c r="K23" s="219"/>
      <c r="L23" s="219"/>
      <c r="N23" s="1">
        <v>4</v>
      </c>
      <c r="O23" s="7" t="s">
        <v>21</v>
      </c>
      <c r="P23" s="1">
        <v>1</v>
      </c>
      <c r="Q23" s="1">
        <v>3</v>
      </c>
      <c r="R23" s="1">
        <v>3</v>
      </c>
      <c r="T23" s="1">
        <v>4</v>
      </c>
      <c r="U23" s="7" t="s">
        <v>21</v>
      </c>
      <c r="V23" s="1">
        <v>1</v>
      </c>
      <c r="W23" s="1">
        <v>3</v>
      </c>
      <c r="X23" s="11">
        <v>3</v>
      </c>
    </row>
    <row r="24" spans="2:37" x14ac:dyDescent="0.3">
      <c r="B24" s="1">
        <v>4</v>
      </c>
      <c r="C24" s="7" t="s">
        <v>10</v>
      </c>
      <c r="D24" s="1">
        <f>1+1+1</f>
        <v>3</v>
      </c>
      <c r="E24" s="1">
        <v>2</v>
      </c>
      <c r="F24" s="1">
        <f>D24*E24</f>
        <v>6</v>
      </c>
      <c r="H24" s="11">
        <v>1</v>
      </c>
      <c r="I24" s="7" t="s">
        <v>9</v>
      </c>
      <c r="J24" s="1">
        <v>11</v>
      </c>
      <c r="K24" s="1">
        <v>2</v>
      </c>
      <c r="L24" s="11">
        <f>J24*K24</f>
        <v>22</v>
      </c>
      <c r="N24" s="161" t="s">
        <v>12</v>
      </c>
      <c r="O24" s="161"/>
      <c r="P24" s="161"/>
      <c r="Q24" s="161"/>
      <c r="R24" s="1">
        <f>SUM(R20:R23)</f>
        <v>39</v>
      </c>
      <c r="T24" s="161" t="s">
        <v>12</v>
      </c>
      <c r="U24" s="161"/>
      <c r="V24" s="161"/>
      <c r="W24" s="161"/>
      <c r="X24" s="1">
        <f>SUM(X20:X23)</f>
        <v>41</v>
      </c>
      <c r="Z24" s="189" t="s">
        <v>415</v>
      </c>
      <c r="AA24" s="189"/>
      <c r="AB24" s="189"/>
      <c r="AC24" s="189"/>
      <c r="AD24" s="189"/>
      <c r="AG24" s="189" t="s">
        <v>415</v>
      </c>
      <c r="AH24" s="189"/>
      <c r="AI24" s="189"/>
      <c r="AJ24" s="189"/>
      <c r="AK24" s="189"/>
    </row>
    <row r="25" spans="2:37" ht="15" customHeight="1" x14ac:dyDescent="0.3">
      <c r="B25" s="1">
        <v>5</v>
      </c>
      <c r="C25" s="7" t="s">
        <v>23</v>
      </c>
      <c r="D25" s="1">
        <f>1</f>
        <v>1</v>
      </c>
      <c r="E25" s="1">
        <v>1</v>
      </c>
      <c r="F25" s="1">
        <f>D25*E25</f>
        <v>1</v>
      </c>
      <c r="H25" s="11">
        <v>2</v>
      </c>
      <c r="I25" s="7" t="s">
        <v>4</v>
      </c>
      <c r="J25" s="25">
        <v>30</v>
      </c>
      <c r="K25" s="1">
        <v>1</v>
      </c>
      <c r="L25" s="11">
        <f>J25*K25</f>
        <v>30</v>
      </c>
      <c r="N25" s="158" t="s">
        <v>431</v>
      </c>
      <c r="O25" s="159"/>
      <c r="P25" s="159"/>
      <c r="Q25" s="159"/>
      <c r="R25" s="160"/>
      <c r="T25" s="158" t="s">
        <v>17</v>
      </c>
      <c r="U25" s="159"/>
      <c r="V25" s="159"/>
      <c r="W25" s="159"/>
      <c r="X25" s="160"/>
      <c r="Z25" s="189" t="s">
        <v>383</v>
      </c>
      <c r="AA25" s="189"/>
      <c r="AB25" s="36" t="s">
        <v>384</v>
      </c>
      <c r="AC25" s="36" t="s">
        <v>385</v>
      </c>
      <c r="AD25" s="36" t="s">
        <v>436</v>
      </c>
      <c r="AG25" s="189" t="s">
        <v>383</v>
      </c>
      <c r="AH25" s="189"/>
      <c r="AI25" s="36" t="s">
        <v>384</v>
      </c>
      <c r="AJ25" s="36" t="s">
        <v>385</v>
      </c>
      <c r="AK25" s="36" t="s">
        <v>436</v>
      </c>
    </row>
    <row r="26" spans="2:37" x14ac:dyDescent="0.3">
      <c r="B26" s="165" t="s">
        <v>18</v>
      </c>
      <c r="C26" s="165"/>
      <c r="D26" s="165"/>
      <c r="E26" s="165"/>
      <c r="F26" s="1">
        <f>SUM(F21:F25)</f>
        <v>55</v>
      </c>
      <c r="H26" s="161" t="s">
        <v>18</v>
      </c>
      <c r="I26" s="161"/>
      <c r="J26" s="161"/>
      <c r="K26" s="161"/>
      <c r="L26" s="1">
        <f>SUM(L24:L25)</f>
        <v>52</v>
      </c>
      <c r="N26" s="1">
        <v>1</v>
      </c>
      <c r="O26" s="7" t="s">
        <v>9</v>
      </c>
      <c r="P26" s="1">
        <v>3</v>
      </c>
      <c r="Q26" s="1">
        <v>2</v>
      </c>
      <c r="R26" s="1">
        <v>6</v>
      </c>
      <c r="T26" s="1">
        <v>1</v>
      </c>
      <c r="U26" s="7" t="s">
        <v>9</v>
      </c>
      <c r="V26" s="1">
        <v>12</v>
      </c>
      <c r="W26" s="1">
        <v>2</v>
      </c>
      <c r="X26" s="11">
        <f>V26*W26</f>
        <v>24</v>
      </c>
      <c r="Z26" s="151">
        <v>2</v>
      </c>
      <c r="AA26" s="151"/>
      <c r="AB26" s="11">
        <f>AD22</f>
        <v>34</v>
      </c>
      <c r="AC26" s="11">
        <v>3</v>
      </c>
      <c r="AD26" s="11">
        <v>75</v>
      </c>
      <c r="AG26" s="151">
        <v>2</v>
      </c>
      <c r="AH26" s="151"/>
      <c r="AI26" s="11">
        <f>AK21</f>
        <v>11</v>
      </c>
      <c r="AJ26" s="11">
        <v>2</v>
      </c>
      <c r="AK26" s="11">
        <v>50</v>
      </c>
    </row>
    <row r="27" spans="2:37" x14ac:dyDescent="0.3">
      <c r="B27" s="219" t="s">
        <v>25</v>
      </c>
      <c r="C27" s="219"/>
      <c r="D27" s="219"/>
      <c r="E27" s="219"/>
      <c r="F27" s="219"/>
      <c r="H27" s="158" t="s">
        <v>58</v>
      </c>
      <c r="I27" s="159"/>
      <c r="J27" s="159"/>
      <c r="K27" s="159"/>
      <c r="L27" s="160"/>
      <c r="N27" s="161" t="s">
        <v>432</v>
      </c>
      <c r="O27" s="161"/>
      <c r="P27" s="161"/>
      <c r="Q27" s="161"/>
      <c r="R27" s="1">
        <f>SUM(R26)</f>
        <v>6</v>
      </c>
      <c r="T27" s="1">
        <v>2</v>
      </c>
      <c r="U27" s="7" t="s">
        <v>4</v>
      </c>
      <c r="V27" s="25">
        <v>30</v>
      </c>
      <c r="W27" s="1">
        <v>1</v>
      </c>
      <c r="X27" s="11">
        <f>V27*W27</f>
        <v>30</v>
      </c>
      <c r="Z27" s="151">
        <v>1</v>
      </c>
      <c r="AA27" s="151"/>
      <c r="AB27" s="11">
        <f>AD22+AD16</f>
        <v>47</v>
      </c>
      <c r="AC27" s="11">
        <v>3</v>
      </c>
      <c r="AD27" s="11">
        <v>75</v>
      </c>
      <c r="AG27" s="151">
        <v>1</v>
      </c>
      <c r="AH27" s="151"/>
      <c r="AI27" s="11">
        <f>AK21+AK15</f>
        <v>27</v>
      </c>
      <c r="AJ27" s="85">
        <v>2.5</v>
      </c>
      <c r="AK27" s="11">
        <v>65</v>
      </c>
    </row>
    <row r="28" spans="2:37" x14ac:dyDescent="0.3">
      <c r="B28" s="1">
        <v>1</v>
      </c>
      <c r="C28" s="7" t="str">
        <f>'UBAP LIMBAH GD.A '!C31</f>
        <v>Keran</v>
      </c>
      <c r="D28" s="1">
        <f>'UBAP LIMBAH GD.A '!D31</f>
        <v>21</v>
      </c>
      <c r="E28" s="1">
        <f>'UBAP LIMBAH GD.A '!F31</f>
        <v>2</v>
      </c>
      <c r="F28" s="1">
        <f>'UBAP LIMBAH GD.A '!G31</f>
        <v>42</v>
      </c>
      <c r="H28" s="11">
        <v>1</v>
      </c>
      <c r="I28" s="7" t="s">
        <v>9</v>
      </c>
      <c r="J28" s="1">
        <v>3</v>
      </c>
      <c r="K28" s="1">
        <v>2</v>
      </c>
      <c r="L28" s="11">
        <f>J28*K28</f>
        <v>6</v>
      </c>
      <c r="N28" s="158" t="s">
        <v>17</v>
      </c>
      <c r="O28" s="159"/>
      <c r="P28" s="159"/>
      <c r="Q28" s="159"/>
      <c r="R28" s="160"/>
      <c r="T28" s="1">
        <v>3</v>
      </c>
      <c r="U28" s="7" t="s">
        <v>3</v>
      </c>
      <c r="V28" s="1">
        <v>1</v>
      </c>
      <c r="W28" s="25">
        <v>2</v>
      </c>
      <c r="X28" s="11">
        <f>V28*W28</f>
        <v>2</v>
      </c>
    </row>
    <row r="29" spans="2:37" x14ac:dyDescent="0.3">
      <c r="B29" s="1">
        <v>2</v>
      </c>
      <c r="C29" s="7" t="str">
        <f>'UBAP LIMBAH GD.A '!C32</f>
        <v>Bak Cuci Tangan</v>
      </c>
      <c r="D29" s="1">
        <f>'UBAP LIMBAH GD.A '!D32</f>
        <v>52</v>
      </c>
      <c r="E29" s="1">
        <f>'UBAP LIMBAH GD.A '!F32</f>
        <v>1</v>
      </c>
      <c r="F29" s="1">
        <f>'UBAP LIMBAH GD.A '!G32</f>
        <v>52</v>
      </c>
      <c r="H29" s="161" t="s">
        <v>59</v>
      </c>
      <c r="I29" s="161"/>
      <c r="J29" s="161"/>
      <c r="K29" s="161"/>
      <c r="L29" s="1">
        <f>SUM(L28)</f>
        <v>6</v>
      </c>
      <c r="N29" s="1">
        <v>1</v>
      </c>
      <c r="O29" s="7" t="s">
        <v>9</v>
      </c>
      <c r="P29" s="1">
        <v>15</v>
      </c>
      <c r="Q29" s="1">
        <v>2</v>
      </c>
      <c r="R29" s="1">
        <v>30</v>
      </c>
      <c r="T29" s="161" t="s">
        <v>18</v>
      </c>
      <c r="U29" s="161"/>
      <c r="V29" s="161"/>
      <c r="W29" s="161"/>
      <c r="X29" s="1">
        <f>SUM(X26:X28)</f>
        <v>56</v>
      </c>
    </row>
    <row r="30" spans="2:37" x14ac:dyDescent="0.3">
      <c r="B30" s="1">
        <v>3</v>
      </c>
      <c r="C30" s="7" t="str">
        <f>'UBAP LIMBAH GD.A '!C34</f>
        <v>Shower</v>
      </c>
      <c r="D30" s="1">
        <f>'UBAP LIMBAH GD.A '!D34</f>
        <v>4</v>
      </c>
      <c r="E30" s="1">
        <f>'UBAP LIMBAH GD.A '!F34</f>
        <v>2</v>
      </c>
      <c r="F30" s="1">
        <f>'UBAP LIMBAH GD.A '!G34</f>
        <v>8</v>
      </c>
      <c r="H30" s="219" t="s">
        <v>25</v>
      </c>
      <c r="I30" s="219"/>
      <c r="J30" s="219"/>
      <c r="K30" s="219"/>
      <c r="L30" s="219"/>
      <c r="N30" s="1">
        <v>2</v>
      </c>
      <c r="O30" s="7" t="s">
        <v>4</v>
      </c>
      <c r="P30" s="1">
        <v>32</v>
      </c>
      <c r="Q30" s="1">
        <v>1</v>
      </c>
      <c r="R30" s="1">
        <v>64</v>
      </c>
      <c r="T30" s="158" t="s">
        <v>25</v>
      </c>
      <c r="U30" s="159"/>
      <c r="V30" s="159"/>
      <c r="W30" s="159"/>
      <c r="X30" s="160"/>
    </row>
    <row r="31" spans="2:37" x14ac:dyDescent="0.3">
      <c r="B31" s="165" t="s">
        <v>26</v>
      </c>
      <c r="C31" s="165"/>
      <c r="D31" s="165"/>
      <c r="E31" s="165"/>
      <c r="F31" s="1">
        <f>SUM(F28:F30)</f>
        <v>102</v>
      </c>
      <c r="H31" s="11">
        <v>1</v>
      </c>
      <c r="I31" s="7" t="s">
        <v>9</v>
      </c>
      <c r="J31" s="1">
        <v>5</v>
      </c>
      <c r="K31" s="1">
        <v>2</v>
      </c>
      <c r="L31" s="11">
        <f>J31*K31</f>
        <v>10</v>
      </c>
      <c r="N31" s="1">
        <v>3</v>
      </c>
      <c r="O31" s="7" t="s">
        <v>3</v>
      </c>
      <c r="P31" s="1">
        <v>1</v>
      </c>
      <c r="Q31" s="1">
        <v>2</v>
      </c>
      <c r="R31" s="1">
        <v>2</v>
      </c>
      <c r="T31" s="1">
        <v>1</v>
      </c>
      <c r="U31" s="7" t="s">
        <v>9</v>
      </c>
      <c r="V31" s="1">
        <f>3+2+1+2</f>
        <v>8</v>
      </c>
      <c r="W31" s="1">
        <v>2</v>
      </c>
      <c r="X31" s="11">
        <f>V31*W31</f>
        <v>16</v>
      </c>
    </row>
    <row r="32" spans="2:37" x14ac:dyDescent="0.3">
      <c r="B32" s="219" t="s">
        <v>27</v>
      </c>
      <c r="C32" s="219"/>
      <c r="D32" s="219"/>
      <c r="E32" s="219"/>
      <c r="F32" s="219"/>
      <c r="H32" s="11">
        <v>2</v>
      </c>
      <c r="I32" s="7" t="s">
        <v>4</v>
      </c>
      <c r="J32" s="1">
        <v>2</v>
      </c>
      <c r="K32" s="1">
        <v>1</v>
      </c>
      <c r="L32" s="11">
        <f>J32*K32</f>
        <v>2</v>
      </c>
      <c r="N32" s="1">
        <v>4</v>
      </c>
      <c r="O32" s="7" t="s">
        <v>21</v>
      </c>
      <c r="P32" s="1">
        <v>1</v>
      </c>
      <c r="Q32" s="1">
        <v>3</v>
      </c>
      <c r="R32" s="1">
        <v>3</v>
      </c>
      <c r="T32" s="1">
        <v>2</v>
      </c>
      <c r="U32" s="7" t="s">
        <v>4</v>
      </c>
      <c r="V32" s="1">
        <f>1+1</f>
        <v>2</v>
      </c>
      <c r="W32" s="1">
        <v>1</v>
      </c>
      <c r="X32" s="11">
        <f>V32*W32</f>
        <v>2</v>
      </c>
    </row>
    <row r="33" spans="2:24" x14ac:dyDescent="0.3">
      <c r="B33" s="1">
        <v>1</v>
      </c>
      <c r="C33" s="7" t="s">
        <v>9</v>
      </c>
      <c r="D33" s="1">
        <f>1+6+1+6</f>
        <v>14</v>
      </c>
      <c r="E33" s="1">
        <v>2</v>
      </c>
      <c r="F33" s="1">
        <f>D33*E33</f>
        <v>28</v>
      </c>
      <c r="H33" s="11">
        <v>3</v>
      </c>
      <c r="I33" s="7" t="s">
        <v>10</v>
      </c>
      <c r="J33" s="1">
        <v>4</v>
      </c>
      <c r="K33" s="1">
        <v>2</v>
      </c>
      <c r="L33" s="11">
        <f>J33*K33</f>
        <v>8</v>
      </c>
      <c r="N33" s="161" t="s">
        <v>18</v>
      </c>
      <c r="O33" s="161"/>
      <c r="P33" s="161"/>
      <c r="Q33" s="161"/>
      <c r="R33" s="1">
        <f>SUM(R29:R32)</f>
        <v>99</v>
      </c>
      <c r="T33" s="1">
        <v>3</v>
      </c>
      <c r="U33" s="7" t="s">
        <v>10</v>
      </c>
      <c r="V33" s="1">
        <f>4</f>
        <v>4</v>
      </c>
      <c r="W33" s="1">
        <v>2</v>
      </c>
      <c r="X33" s="11">
        <f>V33*W33</f>
        <v>8</v>
      </c>
    </row>
    <row r="34" spans="2:24" x14ac:dyDescent="0.3">
      <c r="B34" s="1">
        <v>2</v>
      </c>
      <c r="C34" s="7" t="s">
        <v>4</v>
      </c>
      <c r="D34" s="1">
        <f>18+4+1+1+7+8+1+8+13</f>
        <v>61</v>
      </c>
      <c r="E34" s="1">
        <v>1</v>
      </c>
      <c r="F34" s="1">
        <f>D34*E34</f>
        <v>61</v>
      </c>
      <c r="H34" s="161" t="s">
        <v>26</v>
      </c>
      <c r="I34" s="161"/>
      <c r="J34" s="161"/>
      <c r="K34" s="161"/>
      <c r="L34" s="1">
        <f>SUM(L31:L33)</f>
        <v>20</v>
      </c>
      <c r="N34" s="158" t="s">
        <v>25</v>
      </c>
      <c r="O34" s="159"/>
      <c r="P34" s="159"/>
      <c r="Q34" s="159"/>
      <c r="R34" s="160"/>
      <c r="T34" s="161" t="s">
        <v>26</v>
      </c>
      <c r="U34" s="161"/>
      <c r="V34" s="161"/>
      <c r="W34" s="161"/>
      <c r="X34" s="1">
        <f>SUM(X31:X33)</f>
        <v>26</v>
      </c>
    </row>
    <row r="35" spans="2:24" x14ac:dyDescent="0.3">
      <c r="B35" s="165" t="s">
        <v>28</v>
      </c>
      <c r="C35" s="165"/>
      <c r="D35" s="165"/>
      <c r="E35" s="165"/>
      <c r="F35" s="1">
        <f>SUM(F33:F34)</f>
        <v>89</v>
      </c>
      <c r="H35" s="158" t="s">
        <v>61</v>
      </c>
      <c r="I35" s="159"/>
      <c r="J35" s="159"/>
      <c r="K35" s="159"/>
      <c r="L35" s="159"/>
      <c r="N35" s="1">
        <v>1</v>
      </c>
      <c r="O35" s="7" t="s">
        <v>9</v>
      </c>
      <c r="P35" s="1">
        <v>9</v>
      </c>
      <c r="Q35" s="1">
        <v>2</v>
      </c>
      <c r="R35" s="1">
        <v>18</v>
      </c>
      <c r="T35" s="158" t="s">
        <v>433</v>
      </c>
      <c r="U35" s="159"/>
      <c r="V35" s="159"/>
      <c r="W35" s="159"/>
      <c r="X35" s="160"/>
    </row>
    <row r="36" spans="2:24" x14ac:dyDescent="0.3">
      <c r="B36" s="219" t="s">
        <v>29</v>
      </c>
      <c r="C36" s="219"/>
      <c r="D36" s="219"/>
      <c r="E36" s="219"/>
      <c r="F36" s="219"/>
      <c r="H36" s="11">
        <v>1</v>
      </c>
      <c r="I36" s="81" t="s">
        <v>9</v>
      </c>
      <c r="J36" s="1">
        <v>3</v>
      </c>
      <c r="K36" s="1">
        <v>2</v>
      </c>
      <c r="L36" s="11">
        <f>J36*K36</f>
        <v>6</v>
      </c>
      <c r="N36" s="1">
        <v>2</v>
      </c>
      <c r="O36" s="7" t="s">
        <v>4</v>
      </c>
      <c r="P36" s="1">
        <v>1</v>
      </c>
      <c r="Q36" s="1">
        <v>1</v>
      </c>
      <c r="R36" s="1">
        <v>2</v>
      </c>
      <c r="T36" s="1">
        <v>1</v>
      </c>
      <c r="U36" s="7" t="s">
        <v>9</v>
      </c>
      <c r="V36" s="1">
        <v>3</v>
      </c>
      <c r="W36" s="1">
        <v>2</v>
      </c>
      <c r="X36" s="11">
        <f>V36*W36</f>
        <v>6</v>
      </c>
    </row>
    <row r="37" spans="2:24" x14ac:dyDescent="0.3">
      <c r="B37" s="1">
        <v>1</v>
      </c>
      <c r="C37" s="7" t="s">
        <v>9</v>
      </c>
      <c r="D37" s="1">
        <f>1+6+1+6</f>
        <v>14</v>
      </c>
      <c r="E37" s="1">
        <v>2</v>
      </c>
      <c r="F37" s="1">
        <f>D37*E37</f>
        <v>28</v>
      </c>
      <c r="H37" s="161" t="s">
        <v>62</v>
      </c>
      <c r="I37" s="161"/>
      <c r="J37" s="161"/>
      <c r="K37" s="161"/>
      <c r="L37" s="1">
        <f>SUM(L36)</f>
        <v>6</v>
      </c>
      <c r="N37" s="1">
        <v>3</v>
      </c>
      <c r="O37" s="7" t="s">
        <v>10</v>
      </c>
      <c r="P37" s="1">
        <v>3</v>
      </c>
      <c r="Q37" s="1">
        <v>2</v>
      </c>
      <c r="R37" s="1">
        <v>6</v>
      </c>
      <c r="T37" s="161" t="s">
        <v>434</v>
      </c>
      <c r="U37" s="161"/>
      <c r="V37" s="161"/>
      <c r="W37" s="161"/>
      <c r="X37" s="1">
        <f>SUM(X36)</f>
        <v>6</v>
      </c>
    </row>
    <row r="38" spans="2:24" x14ac:dyDescent="0.3">
      <c r="B38" s="1">
        <v>2</v>
      </c>
      <c r="C38" s="7" t="s">
        <v>4</v>
      </c>
      <c r="D38" s="1">
        <f>1+3+1+3</f>
        <v>8</v>
      </c>
      <c r="E38" s="1">
        <v>1</v>
      </c>
      <c r="F38" s="1">
        <f>D38*E38</f>
        <v>8</v>
      </c>
      <c r="H38" s="158" t="s">
        <v>27</v>
      </c>
      <c r="I38" s="159"/>
      <c r="J38" s="159"/>
      <c r="K38" s="159"/>
      <c r="L38" s="160"/>
      <c r="N38" s="161" t="s">
        <v>26</v>
      </c>
      <c r="O38" s="161"/>
      <c r="P38" s="161"/>
      <c r="Q38" s="161"/>
      <c r="R38" s="1">
        <f>SUM(R35:R37)</f>
        <v>26</v>
      </c>
      <c r="T38" s="158" t="s">
        <v>27</v>
      </c>
      <c r="U38" s="159"/>
      <c r="V38" s="159"/>
      <c r="W38" s="159"/>
      <c r="X38" s="160"/>
    </row>
    <row r="39" spans="2:24" x14ac:dyDescent="0.3">
      <c r="B39" s="1">
        <v>3</v>
      </c>
      <c r="C39" s="7" t="s">
        <v>3</v>
      </c>
      <c r="D39" s="1">
        <f>1+1</f>
        <v>2</v>
      </c>
      <c r="E39" s="1">
        <v>2</v>
      </c>
      <c r="F39" s="1">
        <f>D39*E39</f>
        <v>4</v>
      </c>
      <c r="H39" s="11">
        <v>1</v>
      </c>
      <c r="I39" s="7" t="s">
        <v>9</v>
      </c>
      <c r="J39" s="1">
        <v>5</v>
      </c>
      <c r="K39" s="1">
        <v>2</v>
      </c>
      <c r="L39" s="11">
        <f>J39*K39</f>
        <v>10</v>
      </c>
      <c r="N39" s="158" t="s">
        <v>433</v>
      </c>
      <c r="O39" s="159"/>
      <c r="P39" s="159"/>
      <c r="Q39" s="159"/>
      <c r="R39" s="160"/>
      <c r="T39" s="11">
        <v>1</v>
      </c>
      <c r="U39" s="7" t="s">
        <v>9</v>
      </c>
      <c r="V39" s="1">
        <v>10</v>
      </c>
      <c r="W39" s="1">
        <v>2</v>
      </c>
      <c r="X39" s="11">
        <v>20</v>
      </c>
    </row>
    <row r="40" spans="2:24" x14ac:dyDescent="0.3">
      <c r="B40" s="165" t="s">
        <v>30</v>
      </c>
      <c r="C40" s="165"/>
      <c r="D40" s="165"/>
      <c r="E40" s="165"/>
      <c r="F40" s="36">
        <f>SUM(F37:F39)</f>
        <v>40</v>
      </c>
      <c r="H40" s="11">
        <v>2</v>
      </c>
      <c r="I40" s="7" t="s">
        <v>4</v>
      </c>
      <c r="J40" s="1">
        <v>2</v>
      </c>
      <c r="K40" s="1">
        <v>1</v>
      </c>
      <c r="L40" s="11">
        <f>J40*K40</f>
        <v>2</v>
      </c>
      <c r="N40" s="1">
        <v>1</v>
      </c>
      <c r="O40" s="7" t="s">
        <v>9</v>
      </c>
      <c r="P40" s="1">
        <v>2</v>
      </c>
      <c r="Q40" s="1">
        <v>2</v>
      </c>
      <c r="R40" s="1">
        <v>4</v>
      </c>
      <c r="T40" s="1">
        <v>2</v>
      </c>
      <c r="U40" s="7" t="s">
        <v>4</v>
      </c>
      <c r="V40" s="1">
        <v>3</v>
      </c>
      <c r="W40" s="1">
        <v>1</v>
      </c>
      <c r="X40" s="11">
        <v>3</v>
      </c>
    </row>
    <row r="41" spans="2:24" x14ac:dyDescent="0.3">
      <c r="B41" s="219" t="s">
        <v>31</v>
      </c>
      <c r="C41" s="219"/>
      <c r="D41" s="219"/>
      <c r="E41" s="219"/>
      <c r="F41" s="219"/>
      <c r="H41" s="11">
        <v>3</v>
      </c>
      <c r="I41" s="7" t="s">
        <v>10</v>
      </c>
      <c r="J41" s="1">
        <v>4</v>
      </c>
      <c r="K41" s="1">
        <v>2</v>
      </c>
      <c r="L41" s="11">
        <f>J41*K41</f>
        <v>8</v>
      </c>
      <c r="N41" s="1">
        <v>2</v>
      </c>
      <c r="O41" s="7" t="s">
        <v>4</v>
      </c>
      <c r="P41" s="1">
        <v>3</v>
      </c>
      <c r="Q41" s="1">
        <v>1</v>
      </c>
      <c r="R41" s="1">
        <v>6</v>
      </c>
      <c r="T41" s="1">
        <v>3</v>
      </c>
      <c r="U41" s="7" t="s">
        <v>3</v>
      </c>
      <c r="V41" s="1">
        <v>1</v>
      </c>
      <c r="W41" s="1">
        <v>2</v>
      </c>
      <c r="X41" s="11">
        <v>2</v>
      </c>
    </row>
    <row r="42" spans="2:24" x14ac:dyDescent="0.3">
      <c r="B42" s="1">
        <v>1</v>
      </c>
      <c r="C42" s="7" t="s">
        <v>9</v>
      </c>
      <c r="D42" s="1">
        <f>1+6+1+6</f>
        <v>14</v>
      </c>
      <c r="E42" s="1">
        <v>2</v>
      </c>
      <c r="F42" s="11">
        <f>D42*E42</f>
        <v>28</v>
      </c>
      <c r="H42" s="161" t="s">
        <v>28</v>
      </c>
      <c r="I42" s="161"/>
      <c r="J42" s="161"/>
      <c r="K42" s="161"/>
      <c r="L42" s="1">
        <f>SUM(L39:L41)</f>
        <v>20</v>
      </c>
      <c r="N42" s="1">
        <v>3</v>
      </c>
      <c r="O42" s="7" t="s">
        <v>3</v>
      </c>
      <c r="P42" s="1">
        <v>1</v>
      </c>
      <c r="Q42" s="1">
        <v>2</v>
      </c>
      <c r="R42" s="1">
        <v>2</v>
      </c>
      <c r="T42" s="1">
        <v>4</v>
      </c>
      <c r="U42" s="7" t="s">
        <v>21</v>
      </c>
      <c r="V42" s="1">
        <v>1</v>
      </c>
      <c r="W42" s="1">
        <v>3</v>
      </c>
      <c r="X42" s="11">
        <v>3</v>
      </c>
    </row>
    <row r="43" spans="2:24" x14ac:dyDescent="0.3">
      <c r="B43" s="165" t="s">
        <v>32</v>
      </c>
      <c r="C43" s="165"/>
      <c r="D43" s="165"/>
      <c r="E43" s="165"/>
      <c r="F43" s="11">
        <f>SUM(F42)</f>
        <v>28</v>
      </c>
      <c r="H43" s="158" t="s">
        <v>63</v>
      </c>
      <c r="I43" s="159"/>
      <c r="J43" s="159"/>
      <c r="K43" s="159"/>
      <c r="L43" s="160"/>
      <c r="N43" s="1">
        <v>4</v>
      </c>
      <c r="O43" s="7" t="s">
        <v>10</v>
      </c>
      <c r="P43" s="25">
        <v>2</v>
      </c>
      <c r="Q43" s="1">
        <v>2</v>
      </c>
      <c r="R43" s="1">
        <v>2</v>
      </c>
      <c r="T43" s="161" t="s">
        <v>28</v>
      </c>
      <c r="U43" s="161"/>
      <c r="V43" s="161"/>
      <c r="W43" s="161"/>
      <c r="X43" s="1">
        <f>SUM(X39:X42)</f>
        <v>28</v>
      </c>
    </row>
    <row r="44" spans="2:24" x14ac:dyDescent="0.3">
      <c r="H44" s="11">
        <v>1</v>
      </c>
      <c r="I44" s="7" t="s">
        <v>9</v>
      </c>
      <c r="J44" s="1">
        <v>3</v>
      </c>
      <c r="K44" s="1">
        <v>2</v>
      </c>
      <c r="L44" s="11">
        <f>J44*K44</f>
        <v>6</v>
      </c>
      <c r="N44" s="1">
        <v>5</v>
      </c>
      <c r="O44" s="7" t="s">
        <v>21</v>
      </c>
      <c r="P44" s="1">
        <v>1</v>
      </c>
      <c r="Q44" s="1">
        <v>3</v>
      </c>
      <c r="R44" s="1">
        <v>3</v>
      </c>
      <c r="T44" s="158" t="s">
        <v>29</v>
      </c>
      <c r="U44" s="159"/>
      <c r="V44" s="159"/>
      <c r="W44" s="159"/>
      <c r="X44" s="160"/>
    </row>
    <row r="45" spans="2:24" x14ac:dyDescent="0.3">
      <c r="H45" s="161" t="s">
        <v>64</v>
      </c>
      <c r="I45" s="161"/>
      <c r="J45" s="161"/>
      <c r="K45" s="161"/>
      <c r="L45" s="1">
        <f>SUM(L44)</f>
        <v>6</v>
      </c>
      <c r="N45" s="161" t="s">
        <v>434</v>
      </c>
      <c r="O45" s="161"/>
      <c r="P45" s="161"/>
      <c r="Q45" s="161"/>
      <c r="R45" s="1">
        <f>SUM(R40:R44)</f>
        <v>17</v>
      </c>
      <c r="T45" s="1">
        <v>1</v>
      </c>
      <c r="U45" s="7" t="s">
        <v>9</v>
      </c>
      <c r="V45" s="1">
        <v>15</v>
      </c>
      <c r="W45" s="1">
        <v>2</v>
      </c>
      <c r="X45" s="11">
        <v>30</v>
      </c>
    </row>
    <row r="46" spans="2:24" x14ac:dyDescent="0.3">
      <c r="B46" s="189" t="s">
        <v>415</v>
      </c>
      <c r="C46" s="189"/>
      <c r="D46" s="189"/>
      <c r="E46" s="189"/>
      <c r="F46" s="189"/>
      <c r="H46" s="158" t="s">
        <v>29</v>
      </c>
      <c r="I46" s="159"/>
      <c r="J46" s="159"/>
      <c r="K46" s="159"/>
      <c r="L46" s="160"/>
      <c r="N46" s="158" t="s">
        <v>27</v>
      </c>
      <c r="O46" s="159"/>
      <c r="P46" s="159"/>
      <c r="Q46" s="159"/>
      <c r="R46" s="160"/>
      <c r="T46" s="1">
        <v>2</v>
      </c>
      <c r="U46" s="7" t="s">
        <v>4</v>
      </c>
      <c r="V46" s="25">
        <v>20</v>
      </c>
      <c r="W46" s="1">
        <v>1</v>
      </c>
      <c r="X46" s="11">
        <v>20</v>
      </c>
    </row>
    <row r="47" spans="2:24" x14ac:dyDescent="0.3">
      <c r="B47" s="189" t="s">
        <v>383</v>
      </c>
      <c r="C47" s="189"/>
      <c r="D47" s="36" t="s">
        <v>384</v>
      </c>
      <c r="E47" s="36" t="s">
        <v>385</v>
      </c>
      <c r="F47" s="36" t="s">
        <v>436</v>
      </c>
      <c r="H47" s="11">
        <v>1</v>
      </c>
      <c r="I47" s="7" t="s">
        <v>9</v>
      </c>
      <c r="J47" s="1">
        <v>5</v>
      </c>
      <c r="K47" s="1">
        <v>2</v>
      </c>
      <c r="L47" s="11">
        <f>J47*K47</f>
        <v>10</v>
      </c>
      <c r="N47" s="1">
        <v>1</v>
      </c>
      <c r="O47" s="7" t="s">
        <v>9</v>
      </c>
      <c r="P47" s="1">
        <v>13</v>
      </c>
      <c r="Q47" s="1">
        <v>2</v>
      </c>
      <c r="R47" s="1">
        <v>26</v>
      </c>
      <c r="T47" s="1">
        <v>3</v>
      </c>
      <c r="U47" s="7" t="s">
        <v>3</v>
      </c>
      <c r="V47" s="1">
        <v>1</v>
      </c>
      <c r="W47" s="1">
        <v>2</v>
      </c>
      <c r="X47" s="11">
        <v>2</v>
      </c>
    </row>
    <row r="48" spans="2:24" x14ac:dyDescent="0.3">
      <c r="B48" s="151" t="s">
        <v>382</v>
      </c>
      <c r="C48" s="151"/>
      <c r="D48" s="11">
        <f>F43</f>
        <v>28</v>
      </c>
      <c r="E48" s="85">
        <v>2.5</v>
      </c>
      <c r="F48" s="11">
        <v>65</v>
      </c>
      <c r="H48" s="11">
        <v>2</v>
      </c>
      <c r="I48" s="7" t="s">
        <v>4</v>
      </c>
      <c r="J48" s="1">
        <v>5</v>
      </c>
      <c r="K48" s="1">
        <v>1</v>
      </c>
      <c r="L48" s="11">
        <f>J48*K48</f>
        <v>5</v>
      </c>
      <c r="N48" s="1">
        <v>2</v>
      </c>
      <c r="O48" s="7" t="s">
        <v>4</v>
      </c>
      <c r="P48" s="1">
        <v>9</v>
      </c>
      <c r="Q48" s="1">
        <v>1</v>
      </c>
      <c r="R48" s="1">
        <v>18</v>
      </c>
      <c r="T48" s="1">
        <v>4</v>
      </c>
      <c r="U48" s="7" t="s">
        <v>10</v>
      </c>
      <c r="V48" s="1">
        <v>10</v>
      </c>
      <c r="W48" s="1">
        <v>2</v>
      </c>
      <c r="X48" s="11">
        <v>20</v>
      </c>
    </row>
    <row r="49" spans="2:24" x14ac:dyDescent="0.3">
      <c r="B49" s="151" t="s">
        <v>381</v>
      </c>
      <c r="C49" s="151"/>
      <c r="D49" s="11">
        <f>D48+F40</f>
        <v>68</v>
      </c>
      <c r="E49" s="11">
        <v>4</v>
      </c>
      <c r="F49" s="11">
        <v>100</v>
      </c>
      <c r="H49" s="161" t="s">
        <v>30</v>
      </c>
      <c r="I49" s="161"/>
      <c r="J49" s="161"/>
      <c r="K49" s="161"/>
      <c r="L49" s="1">
        <f>SUM(L46:L48)</f>
        <v>15</v>
      </c>
      <c r="N49" s="1">
        <v>3</v>
      </c>
      <c r="O49" s="7" t="s">
        <v>3</v>
      </c>
      <c r="P49" s="1">
        <v>1</v>
      </c>
      <c r="Q49" s="1">
        <v>2</v>
      </c>
      <c r="R49" s="1">
        <v>2</v>
      </c>
      <c r="T49" s="1">
        <v>5</v>
      </c>
      <c r="U49" s="7" t="s">
        <v>21</v>
      </c>
      <c r="V49" s="1">
        <v>1</v>
      </c>
      <c r="W49" s="1">
        <v>3</v>
      </c>
      <c r="X49" s="11">
        <v>3</v>
      </c>
    </row>
    <row r="50" spans="2:24" x14ac:dyDescent="0.3">
      <c r="B50" s="151" t="s">
        <v>380</v>
      </c>
      <c r="C50" s="151"/>
      <c r="D50" s="11">
        <f>D49+F35</f>
        <v>157</v>
      </c>
      <c r="E50" s="11">
        <v>4</v>
      </c>
      <c r="F50" s="11">
        <v>100</v>
      </c>
      <c r="H50" s="158" t="s">
        <v>65</v>
      </c>
      <c r="I50" s="159"/>
      <c r="J50" s="159"/>
      <c r="K50" s="159"/>
      <c r="L50" s="160"/>
      <c r="N50" s="1">
        <v>4</v>
      </c>
      <c r="O50" s="7" t="s">
        <v>21</v>
      </c>
      <c r="P50" s="1">
        <v>3</v>
      </c>
      <c r="Q50" s="1">
        <v>3</v>
      </c>
      <c r="R50" s="1">
        <v>9</v>
      </c>
      <c r="T50" s="161" t="s">
        <v>30</v>
      </c>
      <c r="U50" s="161"/>
      <c r="V50" s="161"/>
      <c r="W50" s="161"/>
      <c r="X50" s="1">
        <f>SUM(X45:X49)</f>
        <v>75</v>
      </c>
    </row>
    <row r="51" spans="2:24" x14ac:dyDescent="0.3">
      <c r="B51" s="151" t="s">
        <v>379</v>
      </c>
      <c r="C51" s="151"/>
      <c r="D51" s="11">
        <f>D50+F31</f>
        <v>259</v>
      </c>
      <c r="E51" s="11">
        <v>5</v>
      </c>
      <c r="F51" s="11">
        <v>125</v>
      </c>
      <c r="H51" s="11">
        <v>1</v>
      </c>
      <c r="I51" s="7" t="s">
        <v>9</v>
      </c>
      <c r="J51" s="1">
        <v>3</v>
      </c>
      <c r="K51" s="1">
        <v>2</v>
      </c>
      <c r="L51" s="11">
        <f>J51*K51</f>
        <v>6</v>
      </c>
      <c r="N51" s="161" t="s">
        <v>28</v>
      </c>
      <c r="O51" s="161"/>
      <c r="P51" s="161"/>
      <c r="Q51" s="161"/>
      <c r="R51" s="1">
        <f>SUM(R47:R50)</f>
        <v>55</v>
      </c>
      <c r="T51" s="158" t="s">
        <v>37</v>
      </c>
      <c r="U51" s="159"/>
      <c r="V51" s="159"/>
      <c r="W51" s="159"/>
      <c r="X51" s="160"/>
    </row>
    <row r="52" spans="2:24" x14ac:dyDescent="0.3">
      <c r="B52" s="151" t="s">
        <v>378</v>
      </c>
      <c r="C52" s="151"/>
      <c r="D52" s="11">
        <f>D51+F26</f>
        <v>314</v>
      </c>
      <c r="E52" s="11">
        <v>5</v>
      </c>
      <c r="F52" s="11">
        <v>125</v>
      </c>
      <c r="H52" s="161" t="s">
        <v>66</v>
      </c>
      <c r="I52" s="161"/>
      <c r="J52" s="161"/>
      <c r="K52" s="161"/>
      <c r="L52" s="1">
        <f>SUM(L51)</f>
        <v>6</v>
      </c>
      <c r="N52" s="158" t="s">
        <v>29</v>
      </c>
      <c r="O52" s="159"/>
      <c r="P52" s="159"/>
      <c r="Q52" s="159"/>
      <c r="R52" s="160"/>
      <c r="T52" s="1">
        <v>1</v>
      </c>
      <c r="U52" s="7" t="s">
        <v>9</v>
      </c>
      <c r="V52" s="1">
        <f>3</f>
        <v>3</v>
      </c>
      <c r="W52" s="1">
        <v>2</v>
      </c>
      <c r="X52" s="11">
        <f>V52*W52</f>
        <v>6</v>
      </c>
    </row>
    <row r="53" spans="2:24" x14ac:dyDescent="0.3">
      <c r="B53" s="151" t="s">
        <v>377</v>
      </c>
      <c r="C53" s="151"/>
      <c r="D53" s="11">
        <f>D52+F19</f>
        <v>362</v>
      </c>
      <c r="E53" s="11">
        <v>5</v>
      </c>
      <c r="F53" s="11">
        <v>125</v>
      </c>
      <c r="H53" s="158" t="s">
        <v>31</v>
      </c>
      <c r="I53" s="159"/>
      <c r="J53" s="159"/>
      <c r="K53" s="159"/>
      <c r="L53" s="160"/>
      <c r="N53" s="1">
        <v>1</v>
      </c>
      <c r="O53" s="7" t="s">
        <v>9</v>
      </c>
      <c r="P53" s="1">
        <v>19</v>
      </c>
      <c r="Q53" s="1">
        <v>2</v>
      </c>
      <c r="R53" s="1">
        <v>38</v>
      </c>
      <c r="T53" s="161" t="s">
        <v>38</v>
      </c>
      <c r="U53" s="161"/>
      <c r="V53" s="161"/>
      <c r="W53" s="161"/>
      <c r="X53" s="1">
        <f>SUM(X52)</f>
        <v>6</v>
      </c>
    </row>
    <row r="54" spans="2:24" x14ac:dyDescent="0.3">
      <c r="H54" s="11">
        <v>1</v>
      </c>
      <c r="I54" s="7" t="s">
        <v>9</v>
      </c>
      <c r="J54" s="1">
        <v>15</v>
      </c>
      <c r="K54" s="1">
        <v>2</v>
      </c>
      <c r="L54" s="11">
        <f>J54*K54</f>
        <v>30</v>
      </c>
      <c r="N54" s="1">
        <v>2</v>
      </c>
      <c r="O54" s="7" t="s">
        <v>4</v>
      </c>
      <c r="P54" s="1">
        <v>36</v>
      </c>
      <c r="Q54" s="1">
        <v>1</v>
      </c>
      <c r="R54" s="1">
        <v>72</v>
      </c>
      <c r="T54" s="158" t="s">
        <v>31</v>
      </c>
      <c r="U54" s="159"/>
      <c r="V54" s="159"/>
      <c r="W54" s="159"/>
      <c r="X54" s="160"/>
    </row>
    <row r="55" spans="2:24" x14ac:dyDescent="0.3">
      <c r="H55" s="11">
        <v>2</v>
      </c>
      <c r="I55" s="7" t="s">
        <v>4</v>
      </c>
      <c r="J55" s="1">
        <v>12</v>
      </c>
      <c r="K55" s="1">
        <v>1</v>
      </c>
      <c r="L55" s="11">
        <f>J55*K55</f>
        <v>12</v>
      </c>
      <c r="N55" s="1">
        <v>3</v>
      </c>
      <c r="O55" s="7" t="s">
        <v>21</v>
      </c>
      <c r="P55" s="1">
        <v>3</v>
      </c>
      <c r="Q55" s="1">
        <v>3</v>
      </c>
      <c r="R55" s="1">
        <v>9</v>
      </c>
      <c r="T55" s="1">
        <v>1</v>
      </c>
      <c r="U55" s="7" t="s">
        <v>9</v>
      </c>
      <c r="V55" s="1">
        <v>46</v>
      </c>
      <c r="W55" s="1">
        <v>2</v>
      </c>
      <c r="X55" s="11">
        <v>92</v>
      </c>
    </row>
    <row r="56" spans="2:24" x14ac:dyDescent="0.3">
      <c r="H56" s="11">
        <v>3</v>
      </c>
      <c r="I56" s="7" t="s">
        <v>21</v>
      </c>
      <c r="J56" s="1">
        <v>1</v>
      </c>
      <c r="K56" s="1">
        <v>3</v>
      </c>
      <c r="L56" s="11">
        <f>J56*K56</f>
        <v>3</v>
      </c>
      <c r="N56" s="161" t="s">
        <v>14</v>
      </c>
      <c r="O56" s="161"/>
      <c r="P56" s="161"/>
      <c r="Q56" s="161"/>
      <c r="R56" s="1">
        <f>SUM(R53:R55)</f>
        <v>119</v>
      </c>
      <c r="T56" s="1">
        <v>2</v>
      </c>
      <c r="U56" s="7" t="s">
        <v>4</v>
      </c>
      <c r="V56" s="1">
        <v>38</v>
      </c>
      <c r="W56" s="1">
        <v>1</v>
      </c>
      <c r="X56" s="11">
        <v>38</v>
      </c>
    </row>
    <row r="57" spans="2:24" x14ac:dyDescent="0.3">
      <c r="H57" s="11">
        <v>4</v>
      </c>
      <c r="I57" s="7" t="s">
        <v>67</v>
      </c>
      <c r="J57" s="1">
        <v>1</v>
      </c>
      <c r="K57" s="1">
        <v>2</v>
      </c>
      <c r="L57" s="11">
        <f>J57*K57</f>
        <v>2</v>
      </c>
      <c r="N57" s="158" t="s">
        <v>37</v>
      </c>
      <c r="O57" s="159"/>
      <c r="P57" s="159"/>
      <c r="Q57" s="159"/>
      <c r="R57" s="160"/>
      <c r="T57" s="1">
        <v>3</v>
      </c>
      <c r="U57" s="7" t="s">
        <v>3</v>
      </c>
      <c r="V57" s="1">
        <v>2</v>
      </c>
      <c r="W57" s="1">
        <v>2</v>
      </c>
      <c r="X57" s="11">
        <v>4</v>
      </c>
    </row>
    <row r="58" spans="2:24" x14ac:dyDescent="0.3">
      <c r="H58" s="11">
        <v>5</v>
      </c>
      <c r="I58" s="7" t="s">
        <v>10</v>
      </c>
      <c r="J58" s="1">
        <v>2</v>
      </c>
      <c r="K58" s="1">
        <v>2</v>
      </c>
      <c r="L58" s="11">
        <f>J58*K58</f>
        <v>4</v>
      </c>
      <c r="N58" s="1">
        <v>1</v>
      </c>
      <c r="O58" s="7" t="s">
        <v>9</v>
      </c>
      <c r="P58" s="1">
        <v>3</v>
      </c>
      <c r="Q58" s="1">
        <v>2</v>
      </c>
      <c r="R58" s="1">
        <v>6</v>
      </c>
      <c r="T58" s="1">
        <v>4</v>
      </c>
      <c r="U58" s="7" t="s">
        <v>10</v>
      </c>
      <c r="V58" s="25">
        <v>36</v>
      </c>
      <c r="W58" s="1">
        <v>2</v>
      </c>
      <c r="X58" s="11">
        <v>72</v>
      </c>
    </row>
    <row r="59" spans="2:24" x14ac:dyDescent="0.3">
      <c r="H59" s="161" t="s">
        <v>32</v>
      </c>
      <c r="I59" s="161"/>
      <c r="J59" s="161"/>
      <c r="K59" s="161"/>
      <c r="L59" s="1">
        <f>SUM(L54:L58)</f>
        <v>51</v>
      </c>
      <c r="N59" s="1">
        <v>2</v>
      </c>
      <c r="O59" s="7" t="s">
        <v>4</v>
      </c>
      <c r="P59" s="1">
        <v>5</v>
      </c>
      <c r="Q59" s="1">
        <v>1</v>
      </c>
      <c r="R59" s="1">
        <v>10</v>
      </c>
      <c r="T59" s="1">
        <v>5</v>
      </c>
      <c r="U59" s="7" t="s">
        <v>21</v>
      </c>
      <c r="V59" s="1">
        <v>1</v>
      </c>
      <c r="W59" s="1">
        <v>3</v>
      </c>
      <c r="X59" s="11">
        <v>3</v>
      </c>
    </row>
    <row r="60" spans="2:24" x14ac:dyDescent="0.3">
      <c r="H60" s="158" t="s">
        <v>39</v>
      </c>
      <c r="I60" s="159"/>
      <c r="J60" s="159"/>
      <c r="K60" s="159"/>
      <c r="L60" s="160"/>
      <c r="N60" s="1">
        <v>3</v>
      </c>
      <c r="O60" s="7" t="s">
        <v>3</v>
      </c>
      <c r="P60" s="1">
        <v>1</v>
      </c>
      <c r="Q60" s="1">
        <v>2</v>
      </c>
      <c r="R60" s="1">
        <v>2</v>
      </c>
      <c r="T60" s="161" t="s">
        <v>32</v>
      </c>
      <c r="U60" s="161"/>
      <c r="V60" s="161"/>
      <c r="W60" s="161"/>
      <c r="X60" s="1">
        <f>SUM(X55:X59)</f>
        <v>209</v>
      </c>
    </row>
    <row r="61" spans="2:24" x14ac:dyDescent="0.3">
      <c r="H61" s="11">
        <v>1</v>
      </c>
      <c r="I61" s="7" t="s">
        <v>9</v>
      </c>
      <c r="J61" s="1">
        <v>25</v>
      </c>
      <c r="K61" s="1">
        <v>2</v>
      </c>
      <c r="L61" s="11">
        <v>50</v>
      </c>
      <c r="N61" s="161" t="s">
        <v>38</v>
      </c>
      <c r="O61" s="161"/>
      <c r="P61" s="161"/>
      <c r="Q61" s="161"/>
      <c r="R61" s="1">
        <f>SUM(R58:R60)</f>
        <v>18</v>
      </c>
      <c r="T61" s="158" t="s">
        <v>39</v>
      </c>
      <c r="U61" s="159"/>
      <c r="V61" s="159"/>
      <c r="W61" s="159"/>
      <c r="X61" s="160"/>
    </row>
    <row r="62" spans="2:24" x14ac:dyDescent="0.3">
      <c r="H62" s="11">
        <v>2</v>
      </c>
      <c r="I62" s="7" t="s">
        <v>4</v>
      </c>
      <c r="J62" s="1">
        <v>29</v>
      </c>
      <c r="K62" s="1">
        <v>1</v>
      </c>
      <c r="L62" s="11">
        <v>29</v>
      </c>
      <c r="N62" s="158" t="s">
        <v>31</v>
      </c>
      <c r="O62" s="159"/>
      <c r="P62" s="159"/>
      <c r="Q62" s="159"/>
      <c r="R62" s="160"/>
      <c r="T62" s="1">
        <v>1</v>
      </c>
      <c r="U62" s="7" t="s">
        <v>9</v>
      </c>
      <c r="V62" s="1">
        <v>44</v>
      </c>
      <c r="W62" s="1">
        <v>2</v>
      </c>
      <c r="X62" s="11">
        <v>88</v>
      </c>
    </row>
    <row r="63" spans="2:24" x14ac:dyDescent="0.3">
      <c r="H63" s="11">
        <v>3</v>
      </c>
      <c r="I63" s="7" t="s">
        <v>21</v>
      </c>
      <c r="J63" s="1">
        <v>1</v>
      </c>
      <c r="K63" s="1">
        <v>3</v>
      </c>
      <c r="L63" s="11">
        <v>3</v>
      </c>
      <c r="N63" s="1">
        <v>1</v>
      </c>
      <c r="O63" s="7" t="s">
        <v>9</v>
      </c>
      <c r="P63" s="1">
        <v>81</v>
      </c>
      <c r="Q63" s="1">
        <v>2</v>
      </c>
      <c r="R63" s="1">
        <v>162</v>
      </c>
      <c r="T63" s="1">
        <v>2</v>
      </c>
      <c r="U63" s="7" t="s">
        <v>4</v>
      </c>
      <c r="V63" s="1">
        <v>59</v>
      </c>
      <c r="W63" s="1">
        <v>1</v>
      </c>
      <c r="X63" s="11">
        <v>59</v>
      </c>
    </row>
    <row r="64" spans="2:24" x14ac:dyDescent="0.3">
      <c r="H64" s="11">
        <v>4</v>
      </c>
      <c r="I64" s="7" t="s">
        <v>67</v>
      </c>
      <c r="J64" s="1">
        <v>2</v>
      </c>
      <c r="K64" s="1">
        <v>2</v>
      </c>
      <c r="L64" s="11">
        <v>4</v>
      </c>
      <c r="N64" s="1">
        <v>2</v>
      </c>
      <c r="O64" s="7" t="s">
        <v>4</v>
      </c>
      <c r="P64" s="1">
        <v>44</v>
      </c>
      <c r="Q64" s="1">
        <v>1</v>
      </c>
      <c r="R64" s="1">
        <v>88</v>
      </c>
      <c r="T64" s="1">
        <v>3</v>
      </c>
      <c r="U64" s="7" t="s">
        <v>3</v>
      </c>
      <c r="V64" s="1">
        <v>3</v>
      </c>
      <c r="W64" s="1">
        <v>2</v>
      </c>
      <c r="X64" s="11">
        <v>6</v>
      </c>
    </row>
    <row r="65" spans="8:24" x14ac:dyDescent="0.3">
      <c r="H65" s="11">
        <v>5</v>
      </c>
      <c r="I65" s="7" t="s">
        <v>10</v>
      </c>
      <c r="J65" s="1">
        <v>20</v>
      </c>
      <c r="K65" s="1">
        <v>2</v>
      </c>
      <c r="L65" s="11">
        <v>40</v>
      </c>
      <c r="N65" s="1">
        <v>3</v>
      </c>
      <c r="O65" s="7" t="s">
        <v>3</v>
      </c>
      <c r="P65" s="1">
        <v>2</v>
      </c>
      <c r="Q65" s="1">
        <v>2</v>
      </c>
      <c r="R65" s="1">
        <v>4</v>
      </c>
      <c r="T65" s="1">
        <v>4</v>
      </c>
      <c r="U65" s="7" t="s">
        <v>10</v>
      </c>
      <c r="V65" s="1">
        <v>31</v>
      </c>
      <c r="W65" s="1">
        <v>2</v>
      </c>
      <c r="X65" s="11">
        <v>62</v>
      </c>
    </row>
    <row r="66" spans="8:24" x14ac:dyDescent="0.3">
      <c r="H66" s="161" t="s">
        <v>40</v>
      </c>
      <c r="I66" s="161"/>
      <c r="J66" s="161"/>
      <c r="K66" s="161"/>
      <c r="L66" s="1">
        <f>SUM(L61:L65)</f>
        <v>126</v>
      </c>
      <c r="N66" s="1">
        <v>4</v>
      </c>
      <c r="O66" s="7" t="s">
        <v>10</v>
      </c>
      <c r="P66" s="25">
        <v>35</v>
      </c>
      <c r="Q66" s="1">
        <v>2</v>
      </c>
      <c r="R66" s="1">
        <v>68</v>
      </c>
      <c r="T66" s="1">
        <v>5</v>
      </c>
      <c r="U66" s="7" t="s">
        <v>21</v>
      </c>
      <c r="V66" s="1">
        <v>2</v>
      </c>
      <c r="W66" s="1">
        <v>3</v>
      </c>
      <c r="X66" s="11">
        <v>6</v>
      </c>
    </row>
    <row r="67" spans="8:24" x14ac:dyDescent="0.3">
      <c r="H67" s="158" t="s">
        <v>425</v>
      </c>
      <c r="I67" s="159"/>
      <c r="J67" s="159"/>
      <c r="K67" s="159"/>
      <c r="L67" s="160"/>
      <c r="N67" s="1">
        <v>5</v>
      </c>
      <c r="O67" s="7" t="s">
        <v>21</v>
      </c>
      <c r="P67" s="1">
        <v>3</v>
      </c>
      <c r="Q67" s="1">
        <v>3</v>
      </c>
      <c r="R67" s="1">
        <v>9</v>
      </c>
      <c r="T67" s="161" t="s">
        <v>40</v>
      </c>
      <c r="U67" s="161"/>
      <c r="V67" s="161"/>
      <c r="W67" s="161"/>
      <c r="X67" s="1">
        <f>SUM(X62:X66)</f>
        <v>221</v>
      </c>
    </row>
    <row r="68" spans="8:24" x14ac:dyDescent="0.3">
      <c r="H68" s="11">
        <v>1</v>
      </c>
      <c r="I68" s="7" t="s">
        <v>9</v>
      </c>
      <c r="J68" s="1">
        <v>23</v>
      </c>
      <c r="K68" s="1">
        <v>2</v>
      </c>
      <c r="L68" s="11">
        <f>J68*K68</f>
        <v>46</v>
      </c>
      <c r="N68" s="161" t="s">
        <v>32</v>
      </c>
      <c r="O68" s="161"/>
      <c r="P68" s="161"/>
      <c r="Q68" s="161"/>
      <c r="R68" s="1">
        <f>SUM(R63:R67)</f>
        <v>331</v>
      </c>
      <c r="T68" s="158" t="s">
        <v>41</v>
      </c>
      <c r="U68" s="159"/>
      <c r="V68" s="159"/>
      <c r="W68" s="159"/>
      <c r="X68" s="160"/>
    </row>
    <row r="69" spans="8:24" x14ac:dyDescent="0.3">
      <c r="H69" s="11">
        <v>2</v>
      </c>
      <c r="I69" s="7" t="s">
        <v>4</v>
      </c>
      <c r="J69" s="1">
        <v>19</v>
      </c>
      <c r="K69" s="1">
        <v>1</v>
      </c>
      <c r="L69" s="11">
        <f>J69*K69</f>
        <v>19</v>
      </c>
      <c r="N69" s="158" t="s">
        <v>39</v>
      </c>
      <c r="O69" s="159"/>
      <c r="P69" s="159"/>
      <c r="Q69" s="159"/>
      <c r="R69" s="160"/>
      <c r="T69" s="1">
        <v>1</v>
      </c>
      <c r="U69" s="7" t="s">
        <v>9</v>
      </c>
      <c r="V69" s="1">
        <v>39</v>
      </c>
      <c r="W69" s="1">
        <v>2</v>
      </c>
      <c r="X69" s="11">
        <v>78</v>
      </c>
    </row>
    <row r="70" spans="8:24" x14ac:dyDescent="0.3">
      <c r="H70" s="11">
        <v>3</v>
      </c>
      <c r="I70" s="7" t="s">
        <v>21</v>
      </c>
      <c r="J70" s="1">
        <v>1</v>
      </c>
      <c r="K70" s="1">
        <v>3</v>
      </c>
      <c r="L70" s="11">
        <f>J70*K70</f>
        <v>3</v>
      </c>
      <c r="N70" s="1">
        <v>1</v>
      </c>
      <c r="O70" s="7" t="s">
        <v>9</v>
      </c>
      <c r="P70" s="1">
        <v>44</v>
      </c>
      <c r="Q70" s="1">
        <v>2</v>
      </c>
      <c r="R70" s="1">
        <v>88</v>
      </c>
      <c r="T70" s="1">
        <v>2</v>
      </c>
      <c r="U70" s="7" t="s">
        <v>4</v>
      </c>
      <c r="V70" s="1">
        <v>39</v>
      </c>
      <c r="W70" s="1">
        <v>1</v>
      </c>
      <c r="X70" s="11">
        <v>39</v>
      </c>
    </row>
    <row r="71" spans="8:24" x14ac:dyDescent="0.3">
      <c r="H71" s="11">
        <v>4</v>
      </c>
      <c r="I71" s="7" t="s">
        <v>67</v>
      </c>
      <c r="J71" s="1">
        <v>1</v>
      </c>
      <c r="K71" s="1">
        <v>2</v>
      </c>
      <c r="L71" s="11">
        <f>J71*K71</f>
        <v>2</v>
      </c>
      <c r="N71" s="1">
        <v>2</v>
      </c>
      <c r="O71" s="7" t="s">
        <v>4</v>
      </c>
      <c r="P71" s="1">
        <v>44</v>
      </c>
      <c r="Q71" s="1">
        <v>1</v>
      </c>
      <c r="R71" s="1">
        <v>88</v>
      </c>
      <c r="T71" s="1">
        <v>3</v>
      </c>
      <c r="U71" s="7" t="s">
        <v>3</v>
      </c>
      <c r="V71" s="1">
        <v>7</v>
      </c>
      <c r="W71" s="1">
        <v>2</v>
      </c>
      <c r="X71" s="11">
        <v>14</v>
      </c>
    </row>
    <row r="72" spans="8:24" x14ac:dyDescent="0.3">
      <c r="H72" s="11">
        <v>5</v>
      </c>
      <c r="I72" s="7" t="s">
        <v>10</v>
      </c>
      <c r="J72" s="1">
        <v>15</v>
      </c>
      <c r="K72" s="1">
        <v>2</v>
      </c>
      <c r="L72" s="11">
        <f>J72*K72</f>
        <v>30</v>
      </c>
      <c r="N72" s="1">
        <v>3</v>
      </c>
      <c r="O72" s="7" t="s">
        <v>3</v>
      </c>
      <c r="P72" s="1">
        <v>3</v>
      </c>
      <c r="Q72" s="1">
        <v>2</v>
      </c>
      <c r="R72" s="1">
        <v>6</v>
      </c>
      <c r="T72" s="1">
        <v>4</v>
      </c>
      <c r="U72" s="7" t="s">
        <v>10</v>
      </c>
      <c r="V72" s="1">
        <v>24</v>
      </c>
      <c r="W72" s="1">
        <v>2</v>
      </c>
      <c r="X72" s="11">
        <v>48</v>
      </c>
    </row>
    <row r="73" spans="8:24" x14ac:dyDescent="0.3">
      <c r="H73" s="161" t="s">
        <v>426</v>
      </c>
      <c r="I73" s="161"/>
      <c r="J73" s="161"/>
      <c r="K73" s="161"/>
      <c r="L73" s="1">
        <f>SUM(L68:L72)</f>
        <v>100</v>
      </c>
      <c r="N73" s="1">
        <v>4</v>
      </c>
      <c r="O73" s="7" t="s">
        <v>10</v>
      </c>
      <c r="P73" s="1">
        <v>31</v>
      </c>
      <c r="Q73" s="1">
        <v>2</v>
      </c>
      <c r="R73" s="1">
        <v>62</v>
      </c>
      <c r="T73" s="1">
        <v>5</v>
      </c>
      <c r="U73" s="7" t="s">
        <v>21</v>
      </c>
      <c r="V73" s="1">
        <v>2</v>
      </c>
      <c r="W73" s="1">
        <v>3</v>
      </c>
      <c r="X73" s="11">
        <v>6</v>
      </c>
    </row>
    <row r="74" spans="8:24" x14ac:dyDescent="0.3">
      <c r="H74" s="158" t="s">
        <v>41</v>
      </c>
      <c r="I74" s="159"/>
      <c r="J74" s="159"/>
      <c r="K74" s="159"/>
      <c r="L74" s="160"/>
      <c r="N74" s="1">
        <v>5</v>
      </c>
      <c r="O74" s="7" t="s">
        <v>21</v>
      </c>
      <c r="P74" s="1">
        <v>2</v>
      </c>
      <c r="Q74" s="1">
        <v>3</v>
      </c>
      <c r="R74" s="1">
        <v>6</v>
      </c>
      <c r="T74" s="161" t="s">
        <v>42</v>
      </c>
      <c r="U74" s="161"/>
      <c r="V74" s="161"/>
      <c r="W74" s="161"/>
      <c r="X74" s="1">
        <f>SUM(X69:X73)</f>
        <v>185</v>
      </c>
    </row>
    <row r="75" spans="8:24" x14ac:dyDescent="0.3">
      <c r="H75" s="11">
        <v>1</v>
      </c>
      <c r="I75" s="7" t="s">
        <v>9</v>
      </c>
      <c r="J75" s="1">
        <v>21</v>
      </c>
      <c r="K75" s="1">
        <v>2</v>
      </c>
      <c r="L75" s="11">
        <v>42</v>
      </c>
      <c r="N75" s="161" t="s">
        <v>40</v>
      </c>
      <c r="O75" s="161"/>
      <c r="P75" s="161"/>
      <c r="Q75" s="161"/>
      <c r="R75" s="1">
        <f>SUM(R70:R74)</f>
        <v>250</v>
      </c>
      <c r="T75" s="158" t="s">
        <v>43</v>
      </c>
      <c r="U75" s="159"/>
      <c r="V75" s="159"/>
      <c r="W75" s="159"/>
      <c r="X75" s="160"/>
    </row>
    <row r="76" spans="8:24" x14ac:dyDescent="0.3">
      <c r="H76" s="11">
        <v>2</v>
      </c>
      <c r="I76" s="7" t="s">
        <v>4</v>
      </c>
      <c r="J76" s="1">
        <v>22</v>
      </c>
      <c r="K76" s="1">
        <v>1</v>
      </c>
      <c r="L76" s="11">
        <v>22</v>
      </c>
      <c r="N76" s="158" t="s">
        <v>41</v>
      </c>
      <c r="O76" s="159"/>
      <c r="P76" s="159"/>
      <c r="Q76" s="159"/>
      <c r="R76" s="160"/>
      <c r="T76" s="1">
        <v>1</v>
      </c>
      <c r="U76" s="7" t="s">
        <v>9</v>
      </c>
      <c r="V76" s="1">
        <v>30</v>
      </c>
      <c r="W76" s="1">
        <v>2</v>
      </c>
      <c r="X76" s="11">
        <v>60</v>
      </c>
    </row>
    <row r="77" spans="8:24" x14ac:dyDescent="0.3">
      <c r="H77" s="11">
        <v>3</v>
      </c>
      <c r="I77" s="7" t="s">
        <v>21</v>
      </c>
      <c r="J77" s="1">
        <v>1</v>
      </c>
      <c r="K77" s="1">
        <v>3</v>
      </c>
      <c r="L77" s="11">
        <v>3</v>
      </c>
      <c r="N77" s="1">
        <v>1</v>
      </c>
      <c r="O77" s="7" t="s">
        <v>9</v>
      </c>
      <c r="P77" s="1">
        <v>41</v>
      </c>
      <c r="Q77" s="1">
        <v>2</v>
      </c>
      <c r="R77" s="1">
        <v>82</v>
      </c>
      <c r="T77" s="1">
        <v>2</v>
      </c>
      <c r="U77" s="7" t="s">
        <v>4</v>
      </c>
      <c r="V77" s="25">
        <v>24</v>
      </c>
      <c r="W77" s="1">
        <v>1</v>
      </c>
      <c r="X77" s="11">
        <v>24</v>
      </c>
    </row>
    <row r="78" spans="8:24" x14ac:dyDescent="0.3">
      <c r="H78" s="11">
        <v>4</v>
      </c>
      <c r="I78" s="7" t="s">
        <v>67</v>
      </c>
      <c r="J78" s="1">
        <v>2</v>
      </c>
      <c r="K78" s="1">
        <v>2</v>
      </c>
      <c r="L78" s="11">
        <v>4</v>
      </c>
      <c r="N78" s="1">
        <v>2</v>
      </c>
      <c r="O78" s="7" t="s">
        <v>4</v>
      </c>
      <c r="P78" s="1">
        <v>39</v>
      </c>
      <c r="Q78" s="1">
        <v>1</v>
      </c>
      <c r="R78" s="1">
        <v>78</v>
      </c>
      <c r="T78" s="1">
        <v>3</v>
      </c>
      <c r="U78" s="7" t="s">
        <v>3</v>
      </c>
      <c r="V78" s="1">
        <v>4</v>
      </c>
      <c r="W78" s="1">
        <v>2</v>
      </c>
      <c r="X78" s="11">
        <v>8</v>
      </c>
    </row>
    <row r="79" spans="8:24" x14ac:dyDescent="0.3">
      <c r="H79" s="11">
        <v>5</v>
      </c>
      <c r="I79" s="7" t="s">
        <v>10</v>
      </c>
      <c r="J79" s="1">
        <v>16</v>
      </c>
      <c r="K79" s="1">
        <v>2</v>
      </c>
      <c r="L79" s="11">
        <v>32</v>
      </c>
      <c r="N79" s="1">
        <v>3</v>
      </c>
      <c r="O79" s="7" t="s">
        <v>3</v>
      </c>
      <c r="P79" s="25">
        <v>6</v>
      </c>
      <c r="Q79" s="1">
        <v>2</v>
      </c>
      <c r="R79" s="1">
        <v>10</v>
      </c>
      <c r="T79" s="1">
        <v>4</v>
      </c>
      <c r="U79" s="7" t="s">
        <v>10</v>
      </c>
      <c r="V79" s="1">
        <v>16</v>
      </c>
      <c r="W79" s="1">
        <v>2</v>
      </c>
      <c r="X79" s="11">
        <v>32</v>
      </c>
    </row>
    <row r="80" spans="8:24" x14ac:dyDescent="0.3">
      <c r="H80" s="161" t="s">
        <v>42</v>
      </c>
      <c r="I80" s="161"/>
      <c r="J80" s="161"/>
      <c r="K80" s="161"/>
      <c r="L80" s="1">
        <f>SUM(L75:L79)</f>
        <v>103</v>
      </c>
      <c r="N80" s="1">
        <v>4</v>
      </c>
      <c r="O80" s="7" t="s">
        <v>10</v>
      </c>
      <c r="P80" s="1">
        <v>25</v>
      </c>
      <c r="Q80" s="1">
        <v>2</v>
      </c>
      <c r="R80" s="1">
        <v>50</v>
      </c>
      <c r="T80" s="1">
        <v>5</v>
      </c>
      <c r="U80" s="7" t="s">
        <v>21</v>
      </c>
      <c r="V80" s="1">
        <v>2</v>
      </c>
      <c r="W80" s="1">
        <v>3</v>
      </c>
      <c r="X80" s="11">
        <v>6</v>
      </c>
    </row>
    <row r="81" spans="8:24" x14ac:dyDescent="0.3">
      <c r="H81" s="158" t="s">
        <v>427</v>
      </c>
      <c r="I81" s="159"/>
      <c r="J81" s="159"/>
      <c r="K81" s="159"/>
      <c r="L81" s="160"/>
      <c r="N81" s="1">
        <v>5</v>
      </c>
      <c r="O81" s="7" t="s">
        <v>21</v>
      </c>
      <c r="P81" s="1">
        <v>2</v>
      </c>
      <c r="Q81" s="1">
        <v>3</v>
      </c>
      <c r="R81" s="1">
        <v>6</v>
      </c>
      <c r="T81" s="161" t="s">
        <v>44</v>
      </c>
      <c r="U81" s="161"/>
      <c r="V81" s="161"/>
      <c r="W81" s="161"/>
      <c r="X81" s="1">
        <f>SUM(X76:X80)</f>
        <v>130</v>
      </c>
    </row>
    <row r="82" spans="8:24" x14ac:dyDescent="0.3">
      <c r="H82" s="11">
        <v>1</v>
      </c>
      <c r="I82" s="7" t="s">
        <v>9</v>
      </c>
      <c r="J82" s="1">
        <v>27</v>
      </c>
      <c r="K82" s="1">
        <v>2</v>
      </c>
      <c r="L82" s="11">
        <f>J82*K82</f>
        <v>54</v>
      </c>
      <c r="N82" s="161" t="s">
        <v>42</v>
      </c>
      <c r="O82" s="161"/>
      <c r="P82" s="161"/>
      <c r="Q82" s="161"/>
      <c r="R82" s="1">
        <f>SUM(R77:R81)</f>
        <v>226</v>
      </c>
      <c r="T82" s="158" t="s">
        <v>45</v>
      </c>
      <c r="U82" s="159"/>
      <c r="V82" s="159"/>
      <c r="W82" s="159"/>
      <c r="X82" s="160"/>
    </row>
    <row r="83" spans="8:24" x14ac:dyDescent="0.3">
      <c r="H83" s="11">
        <v>2</v>
      </c>
      <c r="I83" s="7" t="s">
        <v>4</v>
      </c>
      <c r="J83" s="25">
        <v>15</v>
      </c>
      <c r="K83" s="1">
        <v>1</v>
      </c>
      <c r="L83" s="11">
        <f>J83*K83</f>
        <v>15</v>
      </c>
      <c r="N83" s="158" t="s">
        <v>43</v>
      </c>
      <c r="O83" s="159"/>
      <c r="P83" s="159"/>
      <c r="Q83" s="159"/>
      <c r="R83" s="160"/>
      <c r="T83" s="1">
        <v>1</v>
      </c>
      <c r="U83" s="7" t="s">
        <v>9</v>
      </c>
      <c r="V83" s="1">
        <v>24</v>
      </c>
      <c r="W83" s="1">
        <v>2</v>
      </c>
      <c r="X83" s="11">
        <v>48</v>
      </c>
    </row>
    <row r="84" spans="8:24" x14ac:dyDescent="0.3">
      <c r="H84" s="11">
        <v>3</v>
      </c>
      <c r="I84" s="7" t="s">
        <v>21</v>
      </c>
      <c r="J84" s="1">
        <v>1</v>
      </c>
      <c r="K84" s="1">
        <v>3</v>
      </c>
      <c r="L84" s="11">
        <f>J84*K84</f>
        <v>3</v>
      </c>
      <c r="N84" s="1">
        <v>1</v>
      </c>
      <c r="O84" s="7" t="s">
        <v>9</v>
      </c>
      <c r="P84" s="1">
        <v>30</v>
      </c>
      <c r="Q84" s="1">
        <v>2</v>
      </c>
      <c r="R84" s="1">
        <v>60</v>
      </c>
      <c r="T84" s="1">
        <v>2</v>
      </c>
      <c r="U84" s="7" t="s">
        <v>4</v>
      </c>
      <c r="V84" s="1">
        <v>26</v>
      </c>
      <c r="W84" s="1">
        <v>1</v>
      </c>
      <c r="X84" s="11">
        <v>26</v>
      </c>
    </row>
    <row r="85" spans="8:24" x14ac:dyDescent="0.3">
      <c r="H85" s="11">
        <v>4</v>
      </c>
      <c r="I85" s="7" t="s">
        <v>67</v>
      </c>
      <c r="J85" s="1">
        <v>5</v>
      </c>
      <c r="K85" s="1">
        <v>2</v>
      </c>
      <c r="L85" s="11">
        <f>J85*K85</f>
        <v>10</v>
      </c>
      <c r="N85" s="1">
        <v>2</v>
      </c>
      <c r="O85" s="7" t="s">
        <v>4</v>
      </c>
      <c r="P85" s="1">
        <v>30</v>
      </c>
      <c r="Q85" s="1">
        <v>1</v>
      </c>
      <c r="R85" s="1">
        <v>60</v>
      </c>
      <c r="T85" s="1">
        <v>3</v>
      </c>
      <c r="U85" s="7" t="s">
        <v>3</v>
      </c>
      <c r="V85" s="1">
        <v>8</v>
      </c>
      <c r="W85" s="1">
        <v>2</v>
      </c>
      <c r="X85" s="11">
        <v>16</v>
      </c>
    </row>
    <row r="86" spans="8:24" x14ac:dyDescent="0.3">
      <c r="H86" s="11">
        <v>5</v>
      </c>
      <c r="I86" s="7" t="s">
        <v>10</v>
      </c>
      <c r="J86" s="1">
        <v>2</v>
      </c>
      <c r="K86" s="1">
        <v>2</v>
      </c>
      <c r="L86" s="11">
        <f>J86*K86</f>
        <v>4</v>
      </c>
      <c r="N86" s="1">
        <v>3</v>
      </c>
      <c r="O86" s="7" t="s">
        <v>3</v>
      </c>
      <c r="P86" s="1">
        <v>4</v>
      </c>
      <c r="Q86" s="1">
        <v>2</v>
      </c>
      <c r="R86" s="1">
        <v>8</v>
      </c>
      <c r="T86" s="1">
        <v>4</v>
      </c>
      <c r="U86" s="7" t="s">
        <v>10</v>
      </c>
      <c r="V86" s="1">
        <v>19</v>
      </c>
      <c r="W86" s="1">
        <v>2</v>
      </c>
      <c r="X86" s="11">
        <v>38</v>
      </c>
    </row>
    <row r="87" spans="8:24" x14ac:dyDescent="0.3">
      <c r="H87" s="161" t="s">
        <v>428</v>
      </c>
      <c r="I87" s="161"/>
      <c r="J87" s="161"/>
      <c r="K87" s="161"/>
      <c r="L87" s="1">
        <f>SUM(L82:L86)</f>
        <v>86</v>
      </c>
      <c r="N87" s="1">
        <v>4</v>
      </c>
      <c r="O87" s="7" t="s">
        <v>10</v>
      </c>
      <c r="P87" s="1">
        <v>16</v>
      </c>
      <c r="Q87" s="1">
        <v>2</v>
      </c>
      <c r="R87" s="1">
        <v>32</v>
      </c>
      <c r="T87" s="1">
        <v>5</v>
      </c>
      <c r="U87" s="7" t="s">
        <v>21</v>
      </c>
      <c r="V87" s="1">
        <v>1</v>
      </c>
      <c r="W87" s="1">
        <v>3</v>
      </c>
      <c r="X87" s="11">
        <v>3</v>
      </c>
    </row>
    <row r="88" spans="8:24" x14ac:dyDescent="0.3">
      <c r="H88" s="158" t="s">
        <v>43</v>
      </c>
      <c r="I88" s="159"/>
      <c r="J88" s="159"/>
      <c r="K88" s="159"/>
      <c r="L88" s="160"/>
      <c r="N88" s="1">
        <v>5</v>
      </c>
      <c r="O88" s="7" t="s">
        <v>21</v>
      </c>
      <c r="P88" s="1">
        <v>2</v>
      </c>
      <c r="Q88" s="1">
        <v>3</v>
      </c>
      <c r="R88" s="1">
        <v>6</v>
      </c>
      <c r="T88" s="161" t="s">
        <v>46</v>
      </c>
      <c r="U88" s="161"/>
      <c r="V88" s="161"/>
      <c r="W88" s="161"/>
      <c r="X88" s="1">
        <f>SUM(X83:X87)</f>
        <v>131</v>
      </c>
    </row>
    <row r="89" spans="8:24" x14ac:dyDescent="0.3">
      <c r="H89" s="11">
        <v>1</v>
      </c>
      <c r="I89" s="7" t="s">
        <v>9</v>
      </c>
      <c r="J89" s="1">
        <v>21</v>
      </c>
      <c r="K89" s="1">
        <v>2</v>
      </c>
      <c r="L89" s="11">
        <v>42</v>
      </c>
      <c r="N89" s="161" t="s">
        <v>44</v>
      </c>
      <c r="O89" s="161"/>
      <c r="P89" s="161"/>
      <c r="Q89" s="161"/>
      <c r="R89" s="1">
        <f>SUM(R84:R88)</f>
        <v>166</v>
      </c>
    </row>
    <row r="90" spans="8:24" x14ac:dyDescent="0.3">
      <c r="H90" s="11">
        <v>2</v>
      </c>
      <c r="I90" s="7" t="s">
        <v>4</v>
      </c>
      <c r="J90" s="1">
        <v>22</v>
      </c>
      <c r="K90" s="1">
        <v>1</v>
      </c>
      <c r="L90" s="11">
        <v>22</v>
      </c>
      <c r="N90" s="158" t="s">
        <v>45</v>
      </c>
      <c r="O90" s="159"/>
      <c r="P90" s="159"/>
      <c r="Q90" s="159"/>
      <c r="R90" s="160"/>
      <c r="T90" s="189" t="s">
        <v>415</v>
      </c>
      <c r="U90" s="189"/>
      <c r="V90" s="189"/>
      <c r="W90" s="189"/>
      <c r="X90" s="189"/>
    </row>
    <row r="91" spans="8:24" x14ac:dyDescent="0.3">
      <c r="H91" s="11">
        <v>3</v>
      </c>
      <c r="I91" s="7" t="s">
        <v>21</v>
      </c>
      <c r="J91" s="1">
        <v>1</v>
      </c>
      <c r="K91" s="1">
        <v>3</v>
      </c>
      <c r="L91" s="11">
        <v>3</v>
      </c>
      <c r="N91" s="1">
        <v>1</v>
      </c>
      <c r="O91" s="7" t="s">
        <v>9</v>
      </c>
      <c r="P91" s="1">
        <v>24</v>
      </c>
      <c r="Q91" s="1">
        <v>2</v>
      </c>
      <c r="R91" s="1">
        <v>48</v>
      </c>
      <c r="T91" s="189" t="s">
        <v>383</v>
      </c>
      <c r="U91" s="189"/>
      <c r="V91" s="36" t="s">
        <v>384</v>
      </c>
      <c r="W91" s="36" t="s">
        <v>385</v>
      </c>
      <c r="X91" s="36" t="s">
        <v>436</v>
      </c>
    </row>
    <row r="92" spans="8:24" x14ac:dyDescent="0.3">
      <c r="H92" s="11">
        <v>4</v>
      </c>
      <c r="I92" s="7" t="s">
        <v>67</v>
      </c>
      <c r="J92" s="1">
        <v>2</v>
      </c>
      <c r="K92" s="1">
        <v>2</v>
      </c>
      <c r="L92" s="11">
        <v>4</v>
      </c>
      <c r="N92" s="1">
        <v>2</v>
      </c>
      <c r="O92" s="7" t="s">
        <v>4</v>
      </c>
      <c r="P92" s="1">
        <v>26</v>
      </c>
      <c r="Q92" s="1">
        <v>1</v>
      </c>
      <c r="R92" s="1">
        <v>52</v>
      </c>
      <c r="T92" s="151" t="s">
        <v>398</v>
      </c>
      <c r="U92" s="151"/>
      <c r="V92" s="11">
        <f>X88</f>
        <v>131</v>
      </c>
      <c r="W92" s="11">
        <v>4</v>
      </c>
      <c r="X92" s="11">
        <v>100</v>
      </c>
    </row>
    <row r="93" spans="8:24" x14ac:dyDescent="0.3">
      <c r="H93" s="11">
        <v>5</v>
      </c>
      <c r="I93" s="7" t="s">
        <v>10</v>
      </c>
      <c r="J93" s="1">
        <v>16</v>
      </c>
      <c r="K93" s="1">
        <v>2</v>
      </c>
      <c r="L93" s="11">
        <v>32</v>
      </c>
      <c r="N93" s="1">
        <v>3</v>
      </c>
      <c r="O93" s="7" t="s">
        <v>3</v>
      </c>
      <c r="P93" s="1">
        <v>8</v>
      </c>
      <c r="Q93" s="1">
        <v>2</v>
      </c>
      <c r="R93" s="1">
        <v>16</v>
      </c>
      <c r="T93" s="151" t="s">
        <v>399</v>
      </c>
      <c r="U93" s="151"/>
      <c r="V93" s="11">
        <f>V92+X81</f>
        <v>261</v>
      </c>
      <c r="W93" s="11">
        <v>5</v>
      </c>
      <c r="X93" s="11">
        <v>125</v>
      </c>
    </row>
    <row r="94" spans="8:24" x14ac:dyDescent="0.3">
      <c r="H94" s="161" t="s">
        <v>44</v>
      </c>
      <c r="I94" s="161"/>
      <c r="J94" s="161"/>
      <c r="K94" s="161"/>
      <c r="L94" s="1">
        <f>SUM(L89:L93)</f>
        <v>103</v>
      </c>
      <c r="N94" s="1">
        <v>4</v>
      </c>
      <c r="O94" s="7" t="s">
        <v>10</v>
      </c>
      <c r="P94" s="1">
        <v>19</v>
      </c>
      <c r="Q94" s="1">
        <v>2</v>
      </c>
      <c r="R94" s="1">
        <v>38</v>
      </c>
      <c r="T94" s="151" t="s">
        <v>403</v>
      </c>
      <c r="U94" s="151"/>
      <c r="V94" s="11">
        <f>V93+X74</f>
        <v>446</v>
      </c>
      <c r="W94" s="11">
        <v>5</v>
      </c>
      <c r="X94" s="11">
        <v>125</v>
      </c>
    </row>
    <row r="95" spans="8:24" x14ac:dyDescent="0.3">
      <c r="H95" s="158" t="s">
        <v>429</v>
      </c>
      <c r="I95" s="159"/>
      <c r="J95" s="159"/>
      <c r="K95" s="159"/>
      <c r="L95" s="160"/>
      <c r="N95" s="1">
        <v>5</v>
      </c>
      <c r="O95" s="7" t="s">
        <v>21</v>
      </c>
      <c r="P95" s="1">
        <v>1</v>
      </c>
      <c r="Q95" s="1">
        <v>3</v>
      </c>
      <c r="R95" s="1">
        <v>3</v>
      </c>
      <c r="T95" s="151" t="s">
        <v>405</v>
      </c>
      <c r="U95" s="151"/>
      <c r="V95" s="11">
        <f>V94+X67</f>
        <v>667</v>
      </c>
      <c r="W95" s="11">
        <v>6</v>
      </c>
      <c r="X95" s="11">
        <v>150</v>
      </c>
    </row>
    <row r="96" spans="8:24" x14ac:dyDescent="0.3">
      <c r="H96" s="11">
        <v>1</v>
      </c>
      <c r="I96" s="7" t="s">
        <v>9</v>
      </c>
      <c r="J96" s="1">
        <v>9</v>
      </c>
      <c r="K96" s="1">
        <v>2</v>
      </c>
      <c r="L96" s="11">
        <v>18</v>
      </c>
      <c r="N96" s="161" t="s">
        <v>46</v>
      </c>
      <c r="O96" s="161"/>
      <c r="P96" s="161"/>
      <c r="Q96" s="161"/>
      <c r="R96" s="1">
        <f>SUM(R91:R95)</f>
        <v>157</v>
      </c>
      <c r="T96" s="151" t="s">
        <v>382</v>
      </c>
      <c r="U96" s="151"/>
      <c r="V96" s="11">
        <f>V95+X60</f>
        <v>876</v>
      </c>
      <c r="W96" s="11">
        <v>6</v>
      </c>
      <c r="X96" s="11">
        <v>150</v>
      </c>
    </row>
    <row r="97" spans="8:24" x14ac:dyDescent="0.3">
      <c r="H97" s="11">
        <v>2</v>
      </c>
      <c r="I97" s="7" t="s">
        <v>4</v>
      </c>
      <c r="J97" s="1">
        <v>5</v>
      </c>
      <c r="K97" s="1">
        <v>1</v>
      </c>
      <c r="L97" s="11">
        <v>5</v>
      </c>
      <c r="T97" s="151" t="s">
        <v>412</v>
      </c>
      <c r="U97" s="151"/>
      <c r="V97" s="11">
        <f>V96+X53</f>
        <v>882</v>
      </c>
      <c r="W97" s="11">
        <v>6</v>
      </c>
      <c r="X97" s="11">
        <v>150</v>
      </c>
    </row>
    <row r="98" spans="8:24" x14ac:dyDescent="0.3">
      <c r="H98" s="11">
        <v>3</v>
      </c>
      <c r="I98" s="7" t="s">
        <v>67</v>
      </c>
      <c r="J98" s="1">
        <v>2</v>
      </c>
      <c r="K98" s="1">
        <v>2</v>
      </c>
      <c r="L98" s="11">
        <v>4</v>
      </c>
      <c r="N98" s="201" t="s">
        <v>415</v>
      </c>
      <c r="O98" s="201"/>
      <c r="P98" s="201"/>
      <c r="Q98" s="201"/>
      <c r="R98" s="201"/>
      <c r="T98" s="151" t="s">
        <v>381</v>
      </c>
      <c r="U98" s="151"/>
      <c r="V98" s="11">
        <f>V97+X50</f>
        <v>957</v>
      </c>
      <c r="W98" s="11">
        <v>6</v>
      </c>
      <c r="X98" s="11">
        <v>150</v>
      </c>
    </row>
    <row r="99" spans="8:24" x14ac:dyDescent="0.3">
      <c r="H99" s="161" t="s">
        <v>430</v>
      </c>
      <c r="I99" s="161"/>
      <c r="J99" s="161"/>
      <c r="K99" s="161"/>
      <c r="L99" s="1">
        <f>SUM(L96:L98)</f>
        <v>27</v>
      </c>
      <c r="N99" s="201" t="s">
        <v>383</v>
      </c>
      <c r="O99" s="201"/>
      <c r="P99" s="35" t="s">
        <v>384</v>
      </c>
      <c r="Q99" s="35" t="s">
        <v>385</v>
      </c>
      <c r="R99" s="35" t="s">
        <v>436</v>
      </c>
      <c r="T99" s="151" t="s">
        <v>380</v>
      </c>
      <c r="U99" s="151"/>
      <c r="V99" s="11">
        <f>V98+X43</f>
        <v>985</v>
      </c>
      <c r="W99" s="11">
        <v>6</v>
      </c>
      <c r="X99" s="11">
        <v>150</v>
      </c>
    </row>
    <row r="100" spans="8:24" x14ac:dyDescent="0.3">
      <c r="H100" s="158" t="s">
        <v>45</v>
      </c>
      <c r="I100" s="159"/>
      <c r="J100" s="159"/>
      <c r="K100" s="159"/>
      <c r="L100" s="160"/>
      <c r="N100" s="176" t="s">
        <v>398</v>
      </c>
      <c r="O100" s="176"/>
      <c r="P100" s="1">
        <f>R96</f>
        <v>157</v>
      </c>
      <c r="Q100" s="1">
        <v>4</v>
      </c>
      <c r="R100" s="1">
        <v>100</v>
      </c>
      <c r="T100" s="151" t="s">
        <v>413</v>
      </c>
      <c r="U100" s="151"/>
      <c r="V100" s="11">
        <f>V99+X37</f>
        <v>991</v>
      </c>
      <c r="W100" s="11">
        <v>6</v>
      </c>
      <c r="X100" s="11">
        <v>150</v>
      </c>
    </row>
    <row r="101" spans="8:24" x14ac:dyDescent="0.3">
      <c r="H101" s="11">
        <v>1</v>
      </c>
      <c r="I101" s="7" t="s">
        <v>9</v>
      </c>
      <c r="J101" s="1">
        <v>24</v>
      </c>
      <c r="K101" s="1">
        <v>2</v>
      </c>
      <c r="L101" s="11">
        <v>48</v>
      </c>
      <c r="N101" s="176" t="s">
        <v>399</v>
      </c>
      <c r="O101" s="176"/>
      <c r="P101" s="1">
        <f>P100+R89</f>
        <v>323</v>
      </c>
      <c r="Q101" s="1">
        <v>4</v>
      </c>
      <c r="R101" s="1">
        <v>100</v>
      </c>
      <c r="T101" s="151" t="s">
        <v>379</v>
      </c>
      <c r="U101" s="151"/>
      <c r="V101" s="11">
        <f>V100+X34</f>
        <v>1017</v>
      </c>
      <c r="W101" s="11">
        <v>6</v>
      </c>
      <c r="X101" s="11">
        <v>150</v>
      </c>
    </row>
    <row r="102" spans="8:24" x14ac:dyDescent="0.3">
      <c r="H102" s="11">
        <v>2</v>
      </c>
      <c r="I102" s="7" t="s">
        <v>4</v>
      </c>
      <c r="J102" s="1">
        <v>34</v>
      </c>
      <c r="K102" s="1">
        <v>1</v>
      </c>
      <c r="L102" s="11">
        <v>34</v>
      </c>
      <c r="N102" s="176" t="s">
        <v>403</v>
      </c>
      <c r="O102" s="176"/>
      <c r="P102" s="1">
        <f>P101+R82</f>
        <v>549</v>
      </c>
      <c r="Q102" s="1">
        <v>5</v>
      </c>
      <c r="R102" s="1">
        <v>125</v>
      </c>
      <c r="T102" s="151" t="s">
        <v>378</v>
      </c>
      <c r="U102" s="151"/>
      <c r="V102" s="11">
        <f>V101+X29</f>
        <v>1073</v>
      </c>
      <c r="W102" s="11">
        <v>6</v>
      </c>
      <c r="X102" s="11">
        <v>150</v>
      </c>
    </row>
    <row r="103" spans="8:24" x14ac:dyDescent="0.3">
      <c r="H103" s="11">
        <v>3</v>
      </c>
      <c r="I103" s="7" t="s">
        <v>21</v>
      </c>
      <c r="J103" s="1">
        <v>1</v>
      </c>
      <c r="K103" s="1">
        <v>3</v>
      </c>
      <c r="L103" s="11">
        <v>3</v>
      </c>
      <c r="N103" s="176" t="s">
        <v>405</v>
      </c>
      <c r="O103" s="176"/>
      <c r="P103" s="1">
        <f>P102+R75</f>
        <v>799</v>
      </c>
      <c r="Q103" s="1">
        <v>6</v>
      </c>
      <c r="R103" s="1">
        <v>150</v>
      </c>
      <c r="T103" s="151" t="s">
        <v>377</v>
      </c>
      <c r="U103" s="151"/>
      <c r="V103" s="11">
        <f>V102+X24</f>
        <v>1114</v>
      </c>
      <c r="W103" s="11">
        <v>6</v>
      </c>
      <c r="X103" s="11">
        <v>150</v>
      </c>
    </row>
    <row r="104" spans="8:24" x14ac:dyDescent="0.3">
      <c r="H104" s="11">
        <v>4</v>
      </c>
      <c r="I104" s="7" t="s">
        <v>67</v>
      </c>
      <c r="J104" s="25">
        <v>2</v>
      </c>
      <c r="K104" s="1">
        <v>2</v>
      </c>
      <c r="L104" s="11">
        <v>4</v>
      </c>
      <c r="N104" s="176" t="s">
        <v>382</v>
      </c>
      <c r="O104" s="176"/>
      <c r="P104" s="1">
        <f>P103+R68</f>
        <v>1130</v>
      </c>
      <c r="Q104" s="1">
        <v>6</v>
      </c>
      <c r="R104" s="1">
        <v>150</v>
      </c>
      <c r="T104" s="151" t="s">
        <v>411</v>
      </c>
      <c r="U104" s="151"/>
      <c r="V104" s="11">
        <f>V103+X18</f>
        <v>1237</v>
      </c>
      <c r="W104" s="11">
        <v>6</v>
      </c>
      <c r="X104" s="11">
        <v>150</v>
      </c>
    </row>
    <row r="105" spans="8:24" x14ac:dyDescent="0.3">
      <c r="H105" s="11">
        <v>5</v>
      </c>
      <c r="I105" s="7" t="s">
        <v>10</v>
      </c>
      <c r="J105" s="1">
        <v>19</v>
      </c>
      <c r="K105" s="1">
        <v>2</v>
      </c>
      <c r="L105" s="11">
        <v>38</v>
      </c>
      <c r="N105" s="176" t="s">
        <v>412</v>
      </c>
      <c r="O105" s="176"/>
      <c r="P105" s="1">
        <f>P104+R61</f>
        <v>1148</v>
      </c>
      <c r="Q105" s="1">
        <v>6</v>
      </c>
      <c r="R105" s="1">
        <v>150</v>
      </c>
    </row>
    <row r="106" spans="8:24" x14ac:dyDescent="0.3">
      <c r="H106" s="161" t="s">
        <v>46</v>
      </c>
      <c r="I106" s="161"/>
      <c r="J106" s="161"/>
      <c r="K106" s="161"/>
      <c r="L106" s="1">
        <f>SUM(L101:L105)</f>
        <v>127</v>
      </c>
      <c r="N106" s="176" t="s">
        <v>381</v>
      </c>
      <c r="O106" s="176"/>
      <c r="P106" s="1">
        <f>P105+R56</f>
        <v>1267</v>
      </c>
      <c r="Q106" s="1">
        <v>6</v>
      </c>
      <c r="R106" s="1">
        <v>150</v>
      </c>
    </row>
    <row r="107" spans="8:24" x14ac:dyDescent="0.3">
      <c r="N107" s="176" t="s">
        <v>380</v>
      </c>
      <c r="O107" s="176"/>
      <c r="P107" s="1">
        <f>P106+R51</f>
        <v>1322</v>
      </c>
      <c r="Q107" s="1">
        <v>6</v>
      </c>
      <c r="R107" s="1">
        <v>150</v>
      </c>
    </row>
    <row r="108" spans="8:24" x14ac:dyDescent="0.3">
      <c r="H108" s="189" t="s">
        <v>415</v>
      </c>
      <c r="I108" s="189"/>
      <c r="J108" s="189"/>
      <c r="K108" s="189"/>
      <c r="L108" s="189"/>
      <c r="N108" s="176" t="s">
        <v>413</v>
      </c>
      <c r="O108" s="176"/>
      <c r="P108" s="1">
        <f>P107+R45</f>
        <v>1339</v>
      </c>
      <c r="Q108" s="1">
        <v>6</v>
      </c>
      <c r="R108" s="1">
        <v>150</v>
      </c>
    </row>
    <row r="109" spans="8:24" x14ac:dyDescent="0.3">
      <c r="H109" s="189" t="s">
        <v>383</v>
      </c>
      <c r="I109" s="189"/>
      <c r="J109" s="36" t="s">
        <v>384</v>
      </c>
      <c r="K109" s="36" t="s">
        <v>385</v>
      </c>
      <c r="L109" s="36" t="s">
        <v>437</v>
      </c>
      <c r="N109" s="176" t="s">
        <v>379</v>
      </c>
      <c r="O109" s="176"/>
      <c r="P109" s="1">
        <f>P108+R38</f>
        <v>1365</v>
      </c>
      <c r="Q109" s="1">
        <v>6</v>
      </c>
      <c r="R109" s="1">
        <v>150</v>
      </c>
    </row>
    <row r="110" spans="8:24" x14ac:dyDescent="0.3">
      <c r="H110" s="221" t="s">
        <v>398</v>
      </c>
      <c r="I110" s="221"/>
      <c r="J110" s="11">
        <f>L106</f>
        <v>127</v>
      </c>
      <c r="K110" s="11">
        <v>4</v>
      </c>
      <c r="L110" s="11">
        <v>100</v>
      </c>
      <c r="N110" s="176" t="s">
        <v>378</v>
      </c>
      <c r="O110" s="176"/>
      <c r="P110" s="1">
        <f>P109+R33</f>
        <v>1464</v>
      </c>
      <c r="Q110" s="1">
        <v>8</v>
      </c>
      <c r="R110" s="1">
        <v>150</v>
      </c>
    </row>
    <row r="111" spans="8:24" x14ac:dyDescent="0.3">
      <c r="H111" s="221" t="s">
        <v>400</v>
      </c>
      <c r="I111" s="221"/>
      <c r="J111" s="11">
        <f>J110+L99</f>
        <v>154</v>
      </c>
      <c r="K111" s="11">
        <v>4</v>
      </c>
      <c r="L111" s="11">
        <v>100</v>
      </c>
      <c r="N111" s="176" t="s">
        <v>414</v>
      </c>
      <c r="O111" s="176"/>
      <c r="P111" s="1">
        <f>P110+R27</f>
        <v>1470</v>
      </c>
      <c r="Q111" s="1">
        <v>8</v>
      </c>
      <c r="R111" s="1">
        <v>150</v>
      </c>
    </row>
    <row r="112" spans="8:24" x14ac:dyDescent="0.3">
      <c r="H112" s="221" t="s">
        <v>401</v>
      </c>
      <c r="I112" s="221"/>
      <c r="J112" s="11">
        <f>J111+L94</f>
        <v>257</v>
      </c>
      <c r="K112" s="11">
        <v>5</v>
      </c>
      <c r="L112" s="11">
        <v>125</v>
      </c>
      <c r="N112" s="176" t="s">
        <v>377</v>
      </c>
      <c r="O112" s="176"/>
      <c r="P112" s="1">
        <f>P111+R24</f>
        <v>1509</v>
      </c>
      <c r="Q112" s="1">
        <v>8</v>
      </c>
      <c r="R112" s="1">
        <v>150</v>
      </c>
    </row>
    <row r="113" spans="8:18" x14ac:dyDescent="0.3">
      <c r="H113" s="221" t="s">
        <v>402</v>
      </c>
      <c r="I113" s="221"/>
      <c r="J113" s="11">
        <f>J112+L87</f>
        <v>343</v>
      </c>
      <c r="K113" s="11">
        <v>5</v>
      </c>
      <c r="L113" s="11">
        <v>125</v>
      </c>
      <c r="N113" s="176" t="s">
        <v>411</v>
      </c>
      <c r="O113" s="176"/>
      <c r="P113" s="1">
        <f>P112+R18</f>
        <v>1586</v>
      </c>
      <c r="Q113" s="1">
        <v>8</v>
      </c>
      <c r="R113" s="1">
        <v>150</v>
      </c>
    </row>
    <row r="114" spans="8:18" x14ac:dyDescent="0.3">
      <c r="H114" s="221" t="s">
        <v>403</v>
      </c>
      <c r="I114" s="221"/>
      <c r="J114" s="11">
        <f>J113+L80</f>
        <v>446</v>
      </c>
      <c r="K114" s="11">
        <v>5</v>
      </c>
      <c r="L114" s="11">
        <v>125</v>
      </c>
    </row>
    <row r="115" spans="8:18" x14ac:dyDescent="0.3">
      <c r="H115" s="221" t="s">
        <v>404</v>
      </c>
      <c r="I115" s="221"/>
      <c r="J115" s="11">
        <f>J114+L73</f>
        <v>546</v>
      </c>
      <c r="K115" s="11">
        <v>5</v>
      </c>
      <c r="L115" s="11">
        <v>125</v>
      </c>
    </row>
    <row r="116" spans="8:18" x14ac:dyDescent="0.3">
      <c r="H116" s="221" t="s">
        <v>405</v>
      </c>
      <c r="I116" s="221"/>
      <c r="J116" s="11">
        <f>J115+L66</f>
        <v>672</v>
      </c>
      <c r="K116" s="11">
        <v>6</v>
      </c>
      <c r="L116" s="11">
        <v>150</v>
      </c>
    </row>
    <row r="117" spans="8:18" x14ac:dyDescent="0.3">
      <c r="H117" s="221" t="s">
        <v>382</v>
      </c>
      <c r="I117" s="221"/>
      <c r="J117" s="11">
        <f>J116+L59</f>
        <v>723</v>
      </c>
      <c r="K117" s="11">
        <v>6</v>
      </c>
      <c r="L117" s="11">
        <v>150</v>
      </c>
    </row>
    <row r="118" spans="8:18" x14ac:dyDescent="0.3">
      <c r="H118" s="221" t="s">
        <v>406</v>
      </c>
      <c r="I118" s="221"/>
      <c r="J118" s="11">
        <f>J117+L52</f>
        <v>729</v>
      </c>
      <c r="K118" s="11">
        <v>6</v>
      </c>
      <c r="L118" s="11">
        <v>150</v>
      </c>
    </row>
    <row r="119" spans="8:18" x14ac:dyDescent="0.3">
      <c r="H119" s="221" t="s">
        <v>381</v>
      </c>
      <c r="I119" s="221"/>
      <c r="J119" s="11">
        <f>J118+L49</f>
        <v>744</v>
      </c>
      <c r="K119" s="11">
        <v>6</v>
      </c>
      <c r="L119" s="11">
        <v>150</v>
      </c>
    </row>
    <row r="120" spans="8:18" x14ac:dyDescent="0.3">
      <c r="H120" s="221" t="s">
        <v>407</v>
      </c>
      <c r="I120" s="221"/>
      <c r="J120" s="11">
        <f>J119+L45</f>
        <v>750</v>
      </c>
      <c r="K120" s="11">
        <v>6</v>
      </c>
      <c r="L120" s="11">
        <v>150</v>
      </c>
    </row>
    <row r="121" spans="8:18" x14ac:dyDescent="0.3">
      <c r="H121" s="221" t="s">
        <v>380</v>
      </c>
      <c r="I121" s="221"/>
      <c r="J121" s="11">
        <f>J120+L42</f>
        <v>770</v>
      </c>
      <c r="K121" s="11">
        <v>6</v>
      </c>
      <c r="L121" s="11">
        <v>150</v>
      </c>
    </row>
    <row r="122" spans="8:18" x14ac:dyDescent="0.3">
      <c r="H122" s="221" t="s">
        <v>408</v>
      </c>
      <c r="I122" s="221"/>
      <c r="J122" s="11">
        <f>J121+L37</f>
        <v>776</v>
      </c>
      <c r="K122" s="11">
        <v>6</v>
      </c>
      <c r="L122" s="11">
        <v>150</v>
      </c>
    </row>
    <row r="123" spans="8:18" x14ac:dyDescent="0.3">
      <c r="H123" s="221" t="s">
        <v>379</v>
      </c>
      <c r="I123" s="221"/>
      <c r="J123" s="1">
        <f>J122+L34</f>
        <v>796</v>
      </c>
      <c r="K123" s="11">
        <v>6</v>
      </c>
      <c r="L123" s="11">
        <v>150</v>
      </c>
    </row>
    <row r="124" spans="8:18" x14ac:dyDescent="0.3">
      <c r="H124" s="221" t="s">
        <v>409</v>
      </c>
      <c r="I124" s="221"/>
      <c r="J124" s="11">
        <f>J123+L29</f>
        <v>802</v>
      </c>
      <c r="K124" s="11">
        <v>6</v>
      </c>
      <c r="L124" s="11">
        <v>150</v>
      </c>
    </row>
    <row r="125" spans="8:18" x14ac:dyDescent="0.3">
      <c r="H125" s="221" t="s">
        <v>378</v>
      </c>
      <c r="I125" s="221"/>
      <c r="J125" s="11">
        <f>J124+L26</f>
        <v>854</v>
      </c>
      <c r="K125" s="11">
        <v>6</v>
      </c>
      <c r="L125" s="11">
        <v>150</v>
      </c>
    </row>
    <row r="126" spans="8:18" x14ac:dyDescent="0.3">
      <c r="H126" s="221" t="s">
        <v>410</v>
      </c>
      <c r="I126" s="221"/>
      <c r="J126" s="11">
        <f>J125+L22</f>
        <v>891</v>
      </c>
      <c r="K126" s="11">
        <v>6</v>
      </c>
      <c r="L126" s="11">
        <v>150</v>
      </c>
    </row>
    <row r="127" spans="8:18" x14ac:dyDescent="0.3">
      <c r="H127" s="221" t="s">
        <v>411</v>
      </c>
      <c r="I127" s="221"/>
      <c r="J127" s="11">
        <f>J126+L17</f>
        <v>928</v>
      </c>
      <c r="K127" s="11">
        <v>6</v>
      </c>
      <c r="L127" s="11">
        <v>150</v>
      </c>
    </row>
    <row r="131" spans="2:2" x14ac:dyDescent="0.3">
      <c r="B131" t="s">
        <v>85</v>
      </c>
    </row>
    <row r="133" spans="2:2" x14ac:dyDescent="0.3">
      <c r="B133" t="s">
        <v>416</v>
      </c>
    </row>
  </sheetData>
  <mergeCells count="177">
    <mergeCell ref="N103:O103"/>
    <mergeCell ref="Z24:AD24"/>
    <mergeCell ref="AG24:AK24"/>
    <mergeCell ref="AG25:AH25"/>
    <mergeCell ref="AG26:AH26"/>
    <mergeCell ref="AG27:AH27"/>
    <mergeCell ref="T102:U102"/>
    <mergeCell ref="T103:U103"/>
    <mergeCell ref="T104:U104"/>
    <mergeCell ref="Z25:AA25"/>
    <mergeCell ref="Z26:AA26"/>
    <mergeCell ref="Z27:AA27"/>
    <mergeCell ref="T96:U96"/>
    <mergeCell ref="T97:U97"/>
    <mergeCell ref="T98:U98"/>
    <mergeCell ref="T99:U99"/>
    <mergeCell ref="T100:U100"/>
    <mergeCell ref="T101:U101"/>
    <mergeCell ref="T61:X61"/>
    <mergeCell ref="T68:X68"/>
    <mergeCell ref="T75:X75"/>
    <mergeCell ref="T82:X82"/>
    <mergeCell ref="T35:X35"/>
    <mergeCell ref="T90:X90"/>
    <mergeCell ref="N82:Q82"/>
    <mergeCell ref="N61:Q61"/>
    <mergeCell ref="N68:Q68"/>
    <mergeCell ref="N75:Q75"/>
    <mergeCell ref="N110:O110"/>
    <mergeCell ref="N111:O111"/>
    <mergeCell ref="N112:O112"/>
    <mergeCell ref="N113:O113"/>
    <mergeCell ref="T91:U91"/>
    <mergeCell ref="T92:U92"/>
    <mergeCell ref="T93:U93"/>
    <mergeCell ref="T94:U94"/>
    <mergeCell ref="T95:U95"/>
    <mergeCell ref="N104:O104"/>
    <mergeCell ref="N105:O105"/>
    <mergeCell ref="N106:O106"/>
    <mergeCell ref="N107:O107"/>
    <mergeCell ref="N108:O108"/>
    <mergeCell ref="N109:O109"/>
    <mergeCell ref="N98:R98"/>
    <mergeCell ref="N99:O99"/>
    <mergeCell ref="N100:O100"/>
    <mergeCell ref="N101:O101"/>
    <mergeCell ref="N102:O102"/>
    <mergeCell ref="T88:W88"/>
    <mergeCell ref="T50:W50"/>
    <mergeCell ref="T53:W53"/>
    <mergeCell ref="T60:W60"/>
    <mergeCell ref="T67:W67"/>
    <mergeCell ref="T74:W74"/>
    <mergeCell ref="T81:W81"/>
    <mergeCell ref="T51:X51"/>
    <mergeCell ref="T54:X54"/>
    <mergeCell ref="H125:I125"/>
    <mergeCell ref="H126:I126"/>
    <mergeCell ref="H127:I127"/>
    <mergeCell ref="H66:K66"/>
    <mergeCell ref="H73:K73"/>
    <mergeCell ref="H80:K80"/>
    <mergeCell ref="H87:K87"/>
    <mergeCell ref="H94:K94"/>
    <mergeCell ref="H99:K99"/>
    <mergeCell ref="H74:L74"/>
    <mergeCell ref="H81:L81"/>
    <mergeCell ref="H88:L88"/>
    <mergeCell ref="H95:L95"/>
    <mergeCell ref="H100:L100"/>
    <mergeCell ref="H106:K106"/>
    <mergeCell ref="H120:I120"/>
    <mergeCell ref="H121:I121"/>
    <mergeCell ref="H122:I122"/>
    <mergeCell ref="H123:I123"/>
    <mergeCell ref="H117:I117"/>
    <mergeCell ref="H118:I118"/>
    <mergeCell ref="H119:I119"/>
    <mergeCell ref="H124:I124"/>
    <mergeCell ref="H114:I114"/>
    <mergeCell ref="H115:I115"/>
    <mergeCell ref="H116:I116"/>
    <mergeCell ref="H109:I109"/>
    <mergeCell ref="H110:I110"/>
    <mergeCell ref="H111:I111"/>
    <mergeCell ref="H112:I112"/>
    <mergeCell ref="H113:I113"/>
    <mergeCell ref="B52:C52"/>
    <mergeCell ref="B53:C53"/>
    <mergeCell ref="H53:L53"/>
    <mergeCell ref="H60:L60"/>
    <mergeCell ref="H67:L67"/>
    <mergeCell ref="H52:K52"/>
    <mergeCell ref="H59:K59"/>
    <mergeCell ref="AG13:AK13"/>
    <mergeCell ref="AG15:AJ15"/>
    <mergeCell ref="AG16:AK16"/>
    <mergeCell ref="AG21:AJ21"/>
    <mergeCell ref="B47:C47"/>
    <mergeCell ref="B41:F41"/>
    <mergeCell ref="B32:F32"/>
    <mergeCell ref="B36:F36"/>
    <mergeCell ref="Z13:AD13"/>
    <mergeCell ref="Z17:AD17"/>
    <mergeCell ref="Z16:AC16"/>
    <mergeCell ref="Z22:AC22"/>
    <mergeCell ref="T18:W18"/>
    <mergeCell ref="T24:W24"/>
    <mergeCell ref="T29:W29"/>
    <mergeCell ref="T34:W34"/>
    <mergeCell ref="T37:W37"/>
    <mergeCell ref="T43:W43"/>
    <mergeCell ref="H45:K45"/>
    <mergeCell ref="H17:K17"/>
    <mergeCell ref="H22:K22"/>
    <mergeCell ref="H26:K26"/>
    <mergeCell ref="H29:K29"/>
    <mergeCell ref="B19:E19"/>
    <mergeCell ref="N89:Q89"/>
    <mergeCell ref="N96:Q96"/>
    <mergeCell ref="T13:X13"/>
    <mergeCell ref="T19:X19"/>
    <mergeCell ref="T25:X25"/>
    <mergeCell ref="T30:X30"/>
    <mergeCell ref="T38:X38"/>
    <mergeCell ref="T44:X44"/>
    <mergeCell ref="N83:R83"/>
    <mergeCell ref="N90:R90"/>
    <mergeCell ref="N18:Q18"/>
    <mergeCell ref="N24:Q24"/>
    <mergeCell ref="N27:Q27"/>
    <mergeCell ref="N33:Q33"/>
    <mergeCell ref="N38:Q38"/>
    <mergeCell ref="N45:Q45"/>
    <mergeCell ref="N51:Q51"/>
    <mergeCell ref="N56:Q56"/>
    <mergeCell ref="N46:R46"/>
    <mergeCell ref="N52:R52"/>
    <mergeCell ref="N57:R57"/>
    <mergeCell ref="N62:R62"/>
    <mergeCell ref="N69:R69"/>
    <mergeCell ref="N76:R76"/>
    <mergeCell ref="N13:R13"/>
    <mergeCell ref="N19:R19"/>
    <mergeCell ref="N25:R25"/>
    <mergeCell ref="N28:R28"/>
    <mergeCell ref="N34:R34"/>
    <mergeCell ref="N39:R39"/>
    <mergeCell ref="H13:L13"/>
    <mergeCell ref="H18:L18"/>
    <mergeCell ref="H23:L23"/>
    <mergeCell ref="H30:L30"/>
    <mergeCell ref="H37:K37"/>
    <mergeCell ref="B13:F13"/>
    <mergeCell ref="B20:F20"/>
    <mergeCell ref="B27:F27"/>
    <mergeCell ref="B46:F46"/>
    <mergeCell ref="H108:L108"/>
    <mergeCell ref="B26:E26"/>
    <mergeCell ref="B31:E31"/>
    <mergeCell ref="B35:E35"/>
    <mergeCell ref="B40:E40"/>
    <mergeCell ref="B43:E43"/>
    <mergeCell ref="B48:C48"/>
    <mergeCell ref="B49:C49"/>
    <mergeCell ref="B50:C50"/>
    <mergeCell ref="B51:C51"/>
    <mergeCell ref="H34:K34"/>
    <mergeCell ref="H27:L27"/>
    <mergeCell ref="H38:L38"/>
    <mergeCell ref="H35:L35"/>
    <mergeCell ref="H43:L43"/>
    <mergeCell ref="H50:L50"/>
    <mergeCell ref="H42:K42"/>
    <mergeCell ref="H49:K49"/>
    <mergeCell ref="H46:L46"/>
  </mergeCells>
  <pageMargins left="0.7" right="0.7" top="0.75" bottom="0.75" header="0.3" footer="0.3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4B5D9-EFF3-4155-B4B6-46C2E2C891CE}">
  <dimension ref="B2:AA89"/>
  <sheetViews>
    <sheetView topLeftCell="F1" zoomScale="60" zoomScaleNormal="60" workbookViewId="0">
      <selection activeCell="F43" sqref="F43"/>
    </sheetView>
  </sheetViews>
  <sheetFormatPr defaultRowHeight="14.4" x14ac:dyDescent="0.3"/>
  <cols>
    <col min="3" max="3" width="22.33203125" customWidth="1"/>
    <col min="4" max="4" width="25.5546875" customWidth="1"/>
    <col min="5" max="5" width="30.109375" customWidth="1"/>
    <col min="6" max="6" width="27.44140625" style="26" customWidth="1"/>
    <col min="10" max="10" width="20.21875" customWidth="1"/>
    <col min="11" max="11" width="21.6640625" customWidth="1"/>
    <col min="12" max="12" width="22.21875" customWidth="1"/>
    <col min="13" max="13" width="20" style="26" customWidth="1"/>
    <col min="17" max="17" width="22.21875" customWidth="1"/>
    <col min="18" max="18" width="25.77734375" customWidth="1"/>
    <col min="19" max="19" width="28.6640625" customWidth="1"/>
    <col min="20" max="20" width="30.5546875" style="26" customWidth="1"/>
    <col min="24" max="24" width="21.33203125" customWidth="1"/>
    <col min="25" max="25" width="15.5546875" style="26" customWidth="1"/>
    <col min="26" max="26" width="21" customWidth="1"/>
    <col min="27" max="27" width="19.77734375" style="26" customWidth="1"/>
  </cols>
  <sheetData>
    <row r="2" spans="2:27" x14ac:dyDescent="0.3">
      <c r="B2" s="180" t="s">
        <v>421</v>
      </c>
      <c r="C2" s="180"/>
    </row>
    <row r="3" spans="2:27" x14ac:dyDescent="0.3">
      <c r="B3" s="78" t="s">
        <v>422</v>
      </c>
    </row>
    <row r="4" spans="2:27" x14ac:dyDescent="0.3">
      <c r="B4" s="78" t="s">
        <v>423</v>
      </c>
    </row>
    <row r="5" spans="2:27" x14ac:dyDescent="0.3">
      <c r="B5" s="78" t="s">
        <v>424</v>
      </c>
    </row>
    <row r="6" spans="2:27" x14ac:dyDescent="0.3">
      <c r="B6" s="78"/>
    </row>
    <row r="7" spans="2:27" x14ac:dyDescent="0.3">
      <c r="B7" s="33" t="s">
        <v>100</v>
      </c>
      <c r="I7" s="33" t="s">
        <v>101</v>
      </c>
      <c r="P7" s="33" t="s">
        <v>102</v>
      </c>
      <c r="W7" s="33" t="s">
        <v>103</v>
      </c>
    </row>
    <row r="9" spans="2:27" ht="30.6" customHeight="1" x14ac:dyDescent="0.3">
      <c r="B9" s="24" t="s">
        <v>2</v>
      </c>
      <c r="C9" s="24" t="s">
        <v>8</v>
      </c>
      <c r="D9" s="24" t="s">
        <v>7</v>
      </c>
      <c r="E9" s="24" t="s">
        <v>435</v>
      </c>
      <c r="F9" s="24" t="s">
        <v>91</v>
      </c>
      <c r="I9" s="84" t="s">
        <v>2</v>
      </c>
      <c r="J9" s="84" t="s">
        <v>8</v>
      </c>
      <c r="K9" s="84" t="s">
        <v>7</v>
      </c>
      <c r="L9" s="84" t="s">
        <v>435</v>
      </c>
      <c r="M9" s="84" t="s">
        <v>91</v>
      </c>
      <c r="P9" s="84" t="s">
        <v>2</v>
      </c>
      <c r="Q9" s="84" t="s">
        <v>8</v>
      </c>
      <c r="R9" s="84" t="s">
        <v>7</v>
      </c>
      <c r="S9" s="84" t="s">
        <v>435</v>
      </c>
      <c r="T9" s="84" t="s">
        <v>91</v>
      </c>
      <c r="W9" s="84" t="s">
        <v>2</v>
      </c>
      <c r="X9" s="84" t="s">
        <v>8</v>
      </c>
      <c r="Y9" s="84" t="s">
        <v>7</v>
      </c>
      <c r="Z9" s="84" t="s">
        <v>435</v>
      </c>
      <c r="AA9" s="84" t="s">
        <v>91</v>
      </c>
    </row>
    <row r="10" spans="2:27" x14ac:dyDescent="0.3">
      <c r="B10" s="213" t="s">
        <v>11</v>
      </c>
      <c r="C10" s="213"/>
      <c r="D10" s="213"/>
      <c r="E10" s="213"/>
      <c r="F10" s="213"/>
      <c r="I10" s="218" t="s">
        <v>17</v>
      </c>
      <c r="J10" s="218"/>
      <c r="K10" s="218"/>
      <c r="L10" s="218"/>
      <c r="M10" s="218"/>
      <c r="P10" s="218" t="s">
        <v>13</v>
      </c>
      <c r="Q10" s="218"/>
      <c r="R10" s="218"/>
      <c r="S10" s="218"/>
      <c r="T10" s="218"/>
      <c r="W10" s="218" t="s">
        <v>17</v>
      </c>
      <c r="X10" s="218"/>
      <c r="Y10" s="218"/>
      <c r="Z10" s="218"/>
      <c r="AA10" s="218"/>
    </row>
    <row r="11" spans="2:27" x14ac:dyDescent="0.3">
      <c r="B11" s="1">
        <v>1</v>
      </c>
      <c r="C11" s="83" t="s">
        <v>19</v>
      </c>
      <c r="D11" s="1">
        <v>4</v>
      </c>
      <c r="E11" s="1">
        <v>6</v>
      </c>
      <c r="F11" s="11">
        <f>D11*E11</f>
        <v>24</v>
      </c>
      <c r="I11" s="30">
        <v>1</v>
      </c>
      <c r="J11" s="83" t="s">
        <v>57</v>
      </c>
      <c r="K11" s="30">
        <v>2</v>
      </c>
      <c r="L11" s="30">
        <v>6</v>
      </c>
      <c r="M11" s="17">
        <f>K11*L11</f>
        <v>12</v>
      </c>
      <c r="P11" s="1">
        <v>1</v>
      </c>
      <c r="Q11" s="83" t="s">
        <v>19</v>
      </c>
      <c r="R11" s="1">
        <v>6</v>
      </c>
      <c r="S11" s="1">
        <v>6</v>
      </c>
      <c r="T11" s="11">
        <f>R11*S11</f>
        <v>36</v>
      </c>
      <c r="W11" s="1">
        <v>1</v>
      </c>
      <c r="X11" s="83" t="s">
        <v>22</v>
      </c>
      <c r="Y11" s="1">
        <v>2</v>
      </c>
      <c r="Z11" s="1">
        <v>3</v>
      </c>
      <c r="AA11" s="11">
        <f>Y11*Z11</f>
        <v>6</v>
      </c>
    </row>
    <row r="12" spans="2:27" x14ac:dyDescent="0.3">
      <c r="B12" s="1">
        <v>2</v>
      </c>
      <c r="C12" s="83" t="s">
        <v>20</v>
      </c>
      <c r="D12" s="1">
        <v>6</v>
      </c>
      <c r="E12" s="1">
        <v>3</v>
      </c>
      <c r="F12" s="11">
        <f t="shared" ref="F12:F13" si="0">D12*E12</f>
        <v>18</v>
      </c>
      <c r="I12" s="217" t="s">
        <v>18</v>
      </c>
      <c r="J12" s="217"/>
      <c r="K12" s="217"/>
      <c r="L12" s="217"/>
      <c r="M12" s="17">
        <f>SUM(M9:M11)</f>
        <v>12</v>
      </c>
      <c r="P12" s="1">
        <v>2</v>
      </c>
      <c r="Q12" s="83" t="s">
        <v>10</v>
      </c>
      <c r="R12" s="30">
        <v>6</v>
      </c>
      <c r="S12" s="1">
        <v>2</v>
      </c>
      <c r="T12" s="11">
        <f>R12*S12</f>
        <v>12</v>
      </c>
      <c r="W12" s="217" t="s">
        <v>18</v>
      </c>
      <c r="X12" s="217"/>
      <c r="Y12" s="217"/>
      <c r="Z12" s="217"/>
      <c r="AA12" s="17">
        <f>SUM(AA11)</f>
        <v>6</v>
      </c>
    </row>
    <row r="13" spans="2:27" x14ac:dyDescent="0.3">
      <c r="B13" s="1">
        <v>3</v>
      </c>
      <c r="C13" s="83" t="s">
        <v>22</v>
      </c>
      <c r="D13" s="1">
        <v>2</v>
      </c>
      <c r="E13" s="1">
        <v>3</v>
      </c>
      <c r="F13" s="11">
        <f t="shared" si="0"/>
        <v>6</v>
      </c>
      <c r="I13" s="218" t="s">
        <v>25</v>
      </c>
      <c r="J13" s="218"/>
      <c r="K13" s="218"/>
      <c r="L13" s="218"/>
      <c r="M13" s="218"/>
      <c r="P13" s="217" t="s">
        <v>14</v>
      </c>
      <c r="Q13" s="217"/>
      <c r="R13" s="217"/>
      <c r="S13" s="217"/>
      <c r="T13" s="17">
        <f>SUM(T11:T12)</f>
        <v>48</v>
      </c>
      <c r="W13" s="218" t="s">
        <v>25</v>
      </c>
      <c r="X13" s="218"/>
      <c r="Y13" s="218"/>
      <c r="Z13" s="218"/>
      <c r="AA13" s="218"/>
    </row>
    <row r="14" spans="2:27" x14ac:dyDescent="0.3">
      <c r="B14" s="214" t="s">
        <v>12</v>
      </c>
      <c r="C14" s="214"/>
      <c r="D14" s="214"/>
      <c r="E14" s="214"/>
      <c r="F14" s="11">
        <f>SUM(F11:F13)</f>
        <v>48</v>
      </c>
      <c r="I14" s="30">
        <v>1</v>
      </c>
      <c r="J14" s="83" t="s">
        <v>20</v>
      </c>
      <c r="K14" s="30">
        <v>6</v>
      </c>
      <c r="L14" s="30">
        <v>3</v>
      </c>
      <c r="M14" s="17">
        <f>K14*L14</f>
        <v>18</v>
      </c>
      <c r="P14" s="218" t="s">
        <v>25</v>
      </c>
      <c r="Q14" s="218"/>
      <c r="R14" s="218"/>
      <c r="S14" s="218"/>
      <c r="T14" s="218"/>
      <c r="W14" s="1">
        <v>1</v>
      </c>
      <c r="X14" s="83" t="s">
        <v>19</v>
      </c>
      <c r="Y14" s="1">
        <v>1</v>
      </c>
      <c r="Z14" s="1">
        <v>6</v>
      </c>
      <c r="AA14" s="11">
        <f>Y14*Z14</f>
        <v>6</v>
      </c>
    </row>
    <row r="15" spans="2:27" x14ac:dyDescent="0.3">
      <c r="B15" s="213" t="s">
        <v>17</v>
      </c>
      <c r="C15" s="213"/>
      <c r="D15" s="213"/>
      <c r="E15" s="213"/>
      <c r="F15" s="213"/>
      <c r="I15" s="30">
        <v>2</v>
      </c>
      <c r="J15" s="83" t="s">
        <v>60</v>
      </c>
      <c r="K15" s="30">
        <v>1</v>
      </c>
      <c r="L15" s="30">
        <v>6</v>
      </c>
      <c r="M15" s="17">
        <f>K15*L15</f>
        <v>6</v>
      </c>
      <c r="P15" s="1">
        <v>1</v>
      </c>
      <c r="Q15" s="83" t="s">
        <v>19</v>
      </c>
      <c r="R15" s="1">
        <v>2</v>
      </c>
      <c r="S15" s="1">
        <v>6</v>
      </c>
      <c r="T15" s="11">
        <f>R15*S15</f>
        <v>12</v>
      </c>
      <c r="W15" s="1">
        <v>2</v>
      </c>
      <c r="X15" s="83" t="s">
        <v>20</v>
      </c>
      <c r="Y15" s="30">
        <v>6</v>
      </c>
      <c r="Z15" s="1">
        <v>3</v>
      </c>
      <c r="AA15" s="11">
        <f>Y15*Z15</f>
        <v>18</v>
      </c>
    </row>
    <row r="16" spans="2:27" x14ac:dyDescent="0.3">
      <c r="B16" s="1">
        <v>1</v>
      </c>
      <c r="C16" s="83" t="s">
        <v>19</v>
      </c>
      <c r="D16" s="1">
        <v>1</v>
      </c>
      <c r="E16" s="1">
        <v>6</v>
      </c>
      <c r="F16" s="11">
        <f>D16*E16</f>
        <v>6</v>
      </c>
      <c r="I16" s="217" t="s">
        <v>26</v>
      </c>
      <c r="J16" s="217"/>
      <c r="K16" s="217"/>
      <c r="L16" s="217"/>
      <c r="M16" s="17">
        <f>SUM(M14:M15)</f>
        <v>24</v>
      </c>
      <c r="P16" s="1">
        <v>2</v>
      </c>
      <c r="Q16" s="83" t="s">
        <v>20</v>
      </c>
      <c r="R16" s="1">
        <v>10</v>
      </c>
      <c r="S16" s="1">
        <v>3</v>
      </c>
      <c r="T16" s="11">
        <f>R16*S16</f>
        <v>30</v>
      </c>
      <c r="W16" s="217" t="s">
        <v>26</v>
      </c>
      <c r="X16" s="217"/>
      <c r="Y16" s="217"/>
      <c r="Z16" s="217"/>
      <c r="AA16" s="17">
        <f>SUM(AA14:AA15)</f>
        <v>24</v>
      </c>
    </row>
    <row r="17" spans="2:27" x14ac:dyDescent="0.3">
      <c r="B17" s="1">
        <v>2</v>
      </c>
      <c r="C17" s="83" t="s">
        <v>20</v>
      </c>
      <c r="D17" s="1">
        <v>1</v>
      </c>
      <c r="E17" s="1">
        <v>3</v>
      </c>
      <c r="F17" s="11">
        <f>D17*E17</f>
        <v>3</v>
      </c>
      <c r="I17" s="218" t="s">
        <v>27</v>
      </c>
      <c r="J17" s="218"/>
      <c r="K17" s="218"/>
      <c r="L17" s="218"/>
      <c r="M17" s="218"/>
      <c r="P17" s="217" t="s">
        <v>26</v>
      </c>
      <c r="Q17" s="217"/>
      <c r="R17" s="217"/>
      <c r="S17" s="217"/>
      <c r="T17" s="17">
        <f>SUM(T15:T16)</f>
        <v>42</v>
      </c>
      <c r="W17" s="218" t="s">
        <v>27</v>
      </c>
      <c r="X17" s="218"/>
      <c r="Y17" s="218"/>
      <c r="Z17" s="218"/>
      <c r="AA17" s="218"/>
    </row>
    <row r="18" spans="2:27" x14ac:dyDescent="0.3">
      <c r="B18" s="1">
        <v>3</v>
      </c>
      <c r="C18" s="83" t="s">
        <v>22</v>
      </c>
      <c r="D18" s="1">
        <v>15</v>
      </c>
      <c r="E18" s="1">
        <v>3</v>
      </c>
      <c r="F18" s="11">
        <f>D18*E18</f>
        <v>45</v>
      </c>
      <c r="I18" s="30">
        <v>1</v>
      </c>
      <c r="J18" s="83" t="s">
        <v>60</v>
      </c>
      <c r="K18" s="30">
        <v>2</v>
      </c>
      <c r="L18" s="30">
        <v>6</v>
      </c>
      <c r="M18" s="17">
        <f>K18*L18</f>
        <v>12</v>
      </c>
      <c r="P18" s="218" t="s">
        <v>35</v>
      </c>
      <c r="Q18" s="218"/>
      <c r="R18" s="218"/>
      <c r="S18" s="218"/>
      <c r="T18" s="218"/>
      <c r="W18" s="1">
        <v>1</v>
      </c>
      <c r="X18" s="83" t="s">
        <v>19</v>
      </c>
      <c r="Y18" s="1">
        <v>6</v>
      </c>
      <c r="Z18" s="1">
        <v>6</v>
      </c>
      <c r="AA18" s="11">
        <f>Y18*Z18</f>
        <v>36</v>
      </c>
    </row>
    <row r="19" spans="2:27" x14ac:dyDescent="0.3">
      <c r="B19" s="214" t="s">
        <v>18</v>
      </c>
      <c r="C19" s="214"/>
      <c r="D19" s="214"/>
      <c r="E19" s="214"/>
      <c r="F19" s="11">
        <f>SUM(F16:F18)</f>
        <v>54</v>
      </c>
      <c r="I19" s="217" t="s">
        <v>28</v>
      </c>
      <c r="J19" s="217"/>
      <c r="K19" s="217"/>
      <c r="L19" s="217"/>
      <c r="M19" s="17">
        <f>SUM(M18)</f>
        <v>12</v>
      </c>
      <c r="P19" s="1">
        <v>1</v>
      </c>
      <c r="Q19" s="83" t="s">
        <v>19</v>
      </c>
      <c r="R19" s="1">
        <v>8</v>
      </c>
      <c r="S19" s="1">
        <v>6</v>
      </c>
      <c r="T19" s="11">
        <f>R19*S19</f>
        <v>48</v>
      </c>
      <c r="W19" s="217" t="s">
        <v>28</v>
      </c>
      <c r="X19" s="217"/>
      <c r="Y19" s="217"/>
      <c r="Z19" s="217"/>
      <c r="AA19" s="17">
        <f>SUM(AA18)</f>
        <v>36</v>
      </c>
    </row>
    <row r="20" spans="2:27" x14ac:dyDescent="0.3">
      <c r="B20" s="213" t="s">
        <v>25</v>
      </c>
      <c r="C20" s="213"/>
      <c r="D20" s="213"/>
      <c r="E20" s="213"/>
      <c r="F20" s="213"/>
      <c r="I20" s="218" t="s">
        <v>29</v>
      </c>
      <c r="J20" s="218"/>
      <c r="K20" s="218"/>
      <c r="L20" s="218"/>
      <c r="M20" s="218"/>
      <c r="P20" s="217" t="s">
        <v>36</v>
      </c>
      <c r="Q20" s="217"/>
      <c r="R20" s="217"/>
      <c r="S20" s="217"/>
      <c r="T20" s="17">
        <f>SUM(T19)</f>
        <v>48</v>
      </c>
      <c r="W20" s="218" t="s">
        <v>29</v>
      </c>
      <c r="X20" s="218"/>
      <c r="Y20" s="218"/>
      <c r="Z20" s="218"/>
      <c r="AA20" s="218"/>
    </row>
    <row r="21" spans="2:27" x14ac:dyDescent="0.3">
      <c r="B21" s="1">
        <v>1</v>
      </c>
      <c r="C21" s="83" t="s">
        <v>19</v>
      </c>
      <c r="D21" s="1">
        <v>2</v>
      </c>
      <c r="E21" s="1">
        <v>6</v>
      </c>
      <c r="F21" s="11">
        <f>D21*E21</f>
        <v>12</v>
      </c>
      <c r="I21" s="30">
        <v>1</v>
      </c>
      <c r="J21" s="83" t="s">
        <v>60</v>
      </c>
      <c r="K21" s="30">
        <v>7</v>
      </c>
      <c r="L21" s="30">
        <v>6</v>
      </c>
      <c r="M21" s="17">
        <f>K21*L21</f>
        <v>42</v>
      </c>
      <c r="P21" s="218" t="s">
        <v>27</v>
      </c>
      <c r="Q21" s="218"/>
      <c r="R21" s="218"/>
      <c r="S21" s="218"/>
      <c r="T21" s="218"/>
      <c r="W21" s="1">
        <v>1</v>
      </c>
      <c r="X21" s="83" t="s">
        <v>19</v>
      </c>
      <c r="Y21" s="1">
        <v>1</v>
      </c>
      <c r="Z21" s="1">
        <v>6</v>
      </c>
      <c r="AA21" s="11">
        <f>Y21*Z21</f>
        <v>6</v>
      </c>
    </row>
    <row r="22" spans="2:27" x14ac:dyDescent="0.3">
      <c r="B22" s="214" t="s">
        <v>26</v>
      </c>
      <c r="C22" s="214"/>
      <c r="D22" s="214"/>
      <c r="E22" s="214"/>
      <c r="F22" s="11">
        <f>SUM(F21)</f>
        <v>12</v>
      </c>
      <c r="I22" s="217" t="s">
        <v>30</v>
      </c>
      <c r="J22" s="217"/>
      <c r="K22" s="217"/>
      <c r="L22" s="217"/>
      <c r="M22" s="17">
        <f>SUM(M21)</f>
        <v>42</v>
      </c>
      <c r="P22" s="1">
        <v>1</v>
      </c>
      <c r="Q22" s="83" t="s">
        <v>19</v>
      </c>
      <c r="R22" s="1">
        <v>6</v>
      </c>
      <c r="S22" s="1">
        <v>6</v>
      </c>
      <c r="T22" s="11">
        <f>R22*S22</f>
        <v>36</v>
      </c>
      <c r="W22" s="217" t="s">
        <v>30</v>
      </c>
      <c r="X22" s="217"/>
      <c r="Y22" s="217"/>
      <c r="Z22" s="217"/>
      <c r="AA22" s="17">
        <f>SUM(AA21)</f>
        <v>6</v>
      </c>
    </row>
    <row r="23" spans="2:27" x14ac:dyDescent="0.3">
      <c r="B23" s="213" t="s">
        <v>27</v>
      </c>
      <c r="C23" s="213"/>
      <c r="D23" s="213"/>
      <c r="E23" s="213"/>
      <c r="F23" s="213"/>
      <c r="I23" s="218" t="s">
        <v>39</v>
      </c>
      <c r="J23" s="218"/>
      <c r="K23" s="218"/>
      <c r="L23" s="218"/>
      <c r="M23" s="218"/>
      <c r="P23" s="217" t="s">
        <v>28</v>
      </c>
      <c r="Q23" s="217"/>
      <c r="R23" s="217"/>
      <c r="S23" s="217"/>
      <c r="T23" s="17">
        <f>SUM(T22)</f>
        <v>36</v>
      </c>
      <c r="W23" s="218" t="s">
        <v>31</v>
      </c>
      <c r="X23" s="218"/>
      <c r="Y23" s="218"/>
      <c r="Z23" s="218"/>
      <c r="AA23" s="218"/>
    </row>
    <row r="24" spans="2:27" x14ac:dyDescent="0.3">
      <c r="B24" s="1">
        <v>1</v>
      </c>
      <c r="C24" s="83" t="s">
        <v>19</v>
      </c>
      <c r="D24" s="1">
        <v>2</v>
      </c>
      <c r="E24" s="1">
        <v>6</v>
      </c>
      <c r="F24" s="11">
        <f>D24*E24</f>
        <v>12</v>
      </c>
      <c r="I24" s="30">
        <v>1</v>
      </c>
      <c r="J24" s="83" t="s">
        <v>60</v>
      </c>
      <c r="K24" s="30">
        <v>2</v>
      </c>
      <c r="L24" s="30">
        <v>6</v>
      </c>
      <c r="M24" s="17">
        <f>K24*L24</f>
        <v>12</v>
      </c>
      <c r="P24" s="218" t="s">
        <v>29</v>
      </c>
      <c r="Q24" s="218"/>
      <c r="R24" s="218"/>
      <c r="S24" s="218"/>
      <c r="T24" s="218"/>
      <c r="W24" s="1">
        <v>1</v>
      </c>
      <c r="X24" s="83" t="s">
        <v>19</v>
      </c>
      <c r="Y24" s="1">
        <v>2</v>
      </c>
      <c r="Z24" s="1">
        <v>6</v>
      </c>
      <c r="AA24" s="11">
        <f>Y24*Z24</f>
        <v>12</v>
      </c>
    </row>
    <row r="25" spans="2:27" x14ac:dyDescent="0.3">
      <c r="B25" s="214" t="s">
        <v>28</v>
      </c>
      <c r="C25" s="214"/>
      <c r="D25" s="214"/>
      <c r="E25" s="214"/>
      <c r="F25" s="11">
        <f>SUM(F24)</f>
        <v>12</v>
      </c>
      <c r="I25" s="217" t="s">
        <v>40</v>
      </c>
      <c r="J25" s="217"/>
      <c r="K25" s="217"/>
      <c r="L25" s="217"/>
      <c r="M25" s="17">
        <f>SUM(M24)</f>
        <v>12</v>
      </c>
      <c r="P25" s="1">
        <v>1</v>
      </c>
      <c r="Q25" s="83" t="s">
        <v>19</v>
      </c>
      <c r="R25" s="1">
        <v>1</v>
      </c>
      <c r="S25" s="1">
        <v>6</v>
      </c>
      <c r="T25" s="11">
        <f>R25*S25</f>
        <v>6</v>
      </c>
      <c r="W25" s="217" t="s">
        <v>32</v>
      </c>
      <c r="X25" s="217"/>
      <c r="Y25" s="217"/>
      <c r="Z25" s="217"/>
      <c r="AA25" s="17">
        <f>SUM(AA24)</f>
        <v>12</v>
      </c>
    </row>
    <row r="26" spans="2:27" x14ac:dyDescent="0.3">
      <c r="B26" s="213" t="s">
        <v>31</v>
      </c>
      <c r="C26" s="213"/>
      <c r="D26" s="213"/>
      <c r="E26" s="213"/>
      <c r="F26" s="213"/>
      <c r="I26" s="218" t="s">
        <v>41</v>
      </c>
      <c r="J26" s="218"/>
      <c r="K26" s="218"/>
      <c r="L26" s="218"/>
      <c r="M26" s="218"/>
      <c r="P26" s="217" t="s">
        <v>30</v>
      </c>
      <c r="Q26" s="217"/>
      <c r="R26" s="217"/>
      <c r="S26" s="217"/>
      <c r="T26" s="17">
        <f>SUM(T25)</f>
        <v>6</v>
      </c>
      <c r="W26" s="218" t="s">
        <v>39</v>
      </c>
      <c r="X26" s="218"/>
      <c r="Y26" s="218"/>
      <c r="Z26" s="218"/>
      <c r="AA26" s="218"/>
    </row>
    <row r="27" spans="2:27" x14ac:dyDescent="0.3">
      <c r="B27" s="1">
        <v>1</v>
      </c>
      <c r="C27" s="83" t="s">
        <v>19</v>
      </c>
      <c r="D27" s="1">
        <v>2</v>
      </c>
      <c r="E27" s="1">
        <v>6</v>
      </c>
      <c r="F27" s="11">
        <f>D27*E27</f>
        <v>12</v>
      </c>
      <c r="I27" s="30">
        <v>1</v>
      </c>
      <c r="J27" s="83" t="s">
        <v>60</v>
      </c>
      <c r="K27" s="30">
        <v>2</v>
      </c>
      <c r="L27" s="30">
        <v>6</v>
      </c>
      <c r="M27" s="17">
        <f>K27*L27</f>
        <v>12</v>
      </c>
      <c r="P27" s="218" t="s">
        <v>37</v>
      </c>
      <c r="Q27" s="218"/>
      <c r="R27" s="218"/>
      <c r="S27" s="218"/>
      <c r="T27" s="218"/>
      <c r="W27" s="1">
        <v>1</v>
      </c>
      <c r="X27" s="83" t="s">
        <v>19</v>
      </c>
      <c r="Y27" s="1">
        <v>2</v>
      </c>
      <c r="Z27" s="1">
        <v>6</v>
      </c>
      <c r="AA27" s="11">
        <f>Y27*Z27</f>
        <v>12</v>
      </c>
    </row>
    <row r="28" spans="2:27" x14ac:dyDescent="0.3">
      <c r="B28" s="214" t="s">
        <v>32</v>
      </c>
      <c r="C28" s="214"/>
      <c r="D28" s="214"/>
      <c r="E28" s="214"/>
      <c r="F28" s="11">
        <f>SUM(F27)</f>
        <v>12</v>
      </c>
      <c r="I28" s="217" t="s">
        <v>42</v>
      </c>
      <c r="J28" s="217"/>
      <c r="K28" s="217"/>
      <c r="L28" s="217"/>
      <c r="M28" s="17">
        <f>SUM(M27)</f>
        <v>12</v>
      </c>
      <c r="P28" s="1">
        <v>1</v>
      </c>
      <c r="Q28" s="83" t="s">
        <v>19</v>
      </c>
      <c r="R28" s="1">
        <v>3</v>
      </c>
      <c r="S28" s="1">
        <v>6</v>
      </c>
      <c r="T28" s="11">
        <f>R28*S28</f>
        <v>18</v>
      </c>
      <c r="W28" s="217" t="s">
        <v>40</v>
      </c>
      <c r="X28" s="217"/>
      <c r="Y28" s="217"/>
      <c r="Z28" s="217"/>
      <c r="AA28" s="17">
        <f>SUM(AA27)</f>
        <v>12</v>
      </c>
    </row>
    <row r="29" spans="2:27" x14ac:dyDescent="0.3">
      <c r="I29" s="218" t="s">
        <v>43</v>
      </c>
      <c r="J29" s="218"/>
      <c r="K29" s="218"/>
      <c r="L29" s="218"/>
      <c r="M29" s="218"/>
      <c r="P29" s="217" t="s">
        <v>38</v>
      </c>
      <c r="Q29" s="217"/>
      <c r="R29" s="217"/>
      <c r="S29" s="217"/>
      <c r="T29" s="17">
        <f>SUM(T28)</f>
        <v>18</v>
      </c>
      <c r="W29" s="218" t="s">
        <v>41</v>
      </c>
      <c r="X29" s="218"/>
      <c r="Y29" s="218"/>
      <c r="Z29" s="218"/>
      <c r="AA29" s="218"/>
    </row>
    <row r="30" spans="2:27" x14ac:dyDescent="0.3">
      <c r="B30" s="189" t="s">
        <v>415</v>
      </c>
      <c r="C30" s="189"/>
      <c r="D30" s="189"/>
      <c r="E30" s="189"/>
      <c r="F30" s="189"/>
      <c r="I30" s="30">
        <v>1</v>
      </c>
      <c r="J30" s="83" t="s">
        <v>60</v>
      </c>
      <c r="K30" s="30">
        <v>2</v>
      </c>
      <c r="L30" s="30">
        <v>6</v>
      </c>
      <c r="M30" s="17">
        <f>K30*L30</f>
        <v>12</v>
      </c>
      <c r="P30" s="218" t="s">
        <v>31</v>
      </c>
      <c r="Q30" s="218"/>
      <c r="R30" s="218"/>
      <c r="S30" s="218"/>
      <c r="T30" s="218"/>
      <c r="W30" s="1">
        <v>1</v>
      </c>
      <c r="X30" s="83" t="s">
        <v>19</v>
      </c>
      <c r="Y30" s="1">
        <v>2</v>
      </c>
      <c r="Z30" s="1">
        <v>6</v>
      </c>
      <c r="AA30" s="11">
        <f>Y30*Z30</f>
        <v>12</v>
      </c>
    </row>
    <row r="31" spans="2:27" x14ac:dyDescent="0.3">
      <c r="B31" s="189" t="s">
        <v>383</v>
      </c>
      <c r="C31" s="189"/>
      <c r="D31" s="36" t="s">
        <v>384</v>
      </c>
      <c r="E31" s="36" t="s">
        <v>385</v>
      </c>
      <c r="F31" s="36" t="s">
        <v>436</v>
      </c>
      <c r="I31" s="217" t="s">
        <v>44</v>
      </c>
      <c r="J31" s="217"/>
      <c r="K31" s="217"/>
      <c r="L31" s="217"/>
      <c r="M31" s="17">
        <f>SUM(M30)</f>
        <v>12</v>
      </c>
      <c r="P31" s="1">
        <v>1</v>
      </c>
      <c r="Q31" s="83" t="s">
        <v>19</v>
      </c>
      <c r="R31" s="1">
        <v>2</v>
      </c>
      <c r="S31" s="1">
        <v>6</v>
      </c>
      <c r="T31" s="11">
        <f>R31*S31</f>
        <v>12</v>
      </c>
      <c r="W31" s="217" t="s">
        <v>42</v>
      </c>
      <c r="X31" s="217"/>
      <c r="Y31" s="217"/>
      <c r="Z31" s="217"/>
      <c r="AA31" s="17">
        <f>SUM(AA30)</f>
        <v>12</v>
      </c>
    </row>
    <row r="32" spans="2:27" x14ac:dyDescent="0.3">
      <c r="B32" s="151" t="s">
        <v>382</v>
      </c>
      <c r="C32" s="151"/>
      <c r="D32" s="11">
        <f>F28</f>
        <v>12</v>
      </c>
      <c r="E32" s="11">
        <v>2</v>
      </c>
      <c r="F32" s="11">
        <v>50</v>
      </c>
      <c r="I32" s="218" t="s">
        <v>45</v>
      </c>
      <c r="J32" s="218"/>
      <c r="K32" s="218"/>
      <c r="L32" s="218"/>
      <c r="M32" s="218"/>
      <c r="P32" s="217" t="s">
        <v>32</v>
      </c>
      <c r="Q32" s="217"/>
      <c r="R32" s="217"/>
      <c r="S32" s="217"/>
      <c r="T32" s="17">
        <f>SUM(T31)</f>
        <v>12</v>
      </c>
      <c r="W32" s="218" t="s">
        <v>43</v>
      </c>
      <c r="X32" s="218"/>
      <c r="Y32" s="218"/>
      <c r="Z32" s="218"/>
      <c r="AA32" s="218"/>
    </row>
    <row r="33" spans="2:27" x14ac:dyDescent="0.3">
      <c r="B33" s="151" t="s">
        <v>380</v>
      </c>
      <c r="C33" s="151"/>
      <c r="D33" s="11">
        <f>D32+F25</f>
        <v>24</v>
      </c>
      <c r="E33" s="11">
        <v>2</v>
      </c>
      <c r="F33" s="11">
        <v>50</v>
      </c>
      <c r="I33" s="30">
        <v>1</v>
      </c>
      <c r="J33" s="83" t="s">
        <v>19</v>
      </c>
      <c r="K33" s="30">
        <v>18</v>
      </c>
      <c r="L33" s="30">
        <v>6</v>
      </c>
      <c r="M33" s="17">
        <f>K33*L33</f>
        <v>108</v>
      </c>
      <c r="P33" s="218" t="s">
        <v>39</v>
      </c>
      <c r="Q33" s="218"/>
      <c r="R33" s="218"/>
      <c r="S33" s="218"/>
      <c r="T33" s="218"/>
      <c r="W33" s="1">
        <v>1</v>
      </c>
      <c r="X33" s="83" t="s">
        <v>19</v>
      </c>
      <c r="Y33" s="1">
        <v>2</v>
      </c>
      <c r="Z33" s="1">
        <v>6</v>
      </c>
      <c r="AA33" s="11">
        <f>Y33*Z33</f>
        <v>12</v>
      </c>
    </row>
    <row r="34" spans="2:27" x14ac:dyDescent="0.3">
      <c r="B34" s="151" t="s">
        <v>379</v>
      </c>
      <c r="C34" s="151"/>
      <c r="D34" s="11">
        <f>D33+F22</f>
        <v>36</v>
      </c>
      <c r="E34" s="11">
        <v>3</v>
      </c>
      <c r="F34" s="11">
        <v>75</v>
      </c>
      <c r="I34" s="214" t="s">
        <v>46</v>
      </c>
      <c r="J34" s="214"/>
      <c r="K34" s="214"/>
      <c r="L34" s="214"/>
      <c r="M34" s="11">
        <f>SUM(M33)</f>
        <v>108</v>
      </c>
      <c r="P34" s="1">
        <v>1</v>
      </c>
      <c r="Q34" s="83" t="s">
        <v>19</v>
      </c>
      <c r="R34" s="1">
        <v>2</v>
      </c>
      <c r="S34" s="1">
        <v>6</v>
      </c>
      <c r="T34" s="11">
        <f>R34*S34</f>
        <v>12</v>
      </c>
      <c r="W34" s="217" t="s">
        <v>44</v>
      </c>
      <c r="X34" s="217"/>
      <c r="Y34" s="217"/>
      <c r="Z34" s="217"/>
      <c r="AA34" s="17">
        <f>SUM(AA33)</f>
        <v>12</v>
      </c>
    </row>
    <row r="35" spans="2:27" x14ac:dyDescent="0.3">
      <c r="B35" s="151" t="s">
        <v>378</v>
      </c>
      <c r="C35" s="151"/>
      <c r="D35" s="11">
        <f>D34+F19</f>
        <v>90</v>
      </c>
      <c r="E35" s="11">
        <v>4</v>
      </c>
      <c r="F35" s="11">
        <v>100</v>
      </c>
      <c r="P35" s="217" t="s">
        <v>40</v>
      </c>
      <c r="Q35" s="217"/>
      <c r="R35" s="217"/>
      <c r="S35" s="217"/>
      <c r="T35" s="17">
        <f>SUM(T34)</f>
        <v>12</v>
      </c>
      <c r="W35" s="218" t="s">
        <v>45</v>
      </c>
      <c r="X35" s="218"/>
      <c r="Y35" s="218"/>
      <c r="Z35" s="218"/>
      <c r="AA35" s="218"/>
    </row>
    <row r="36" spans="2:27" x14ac:dyDescent="0.3">
      <c r="B36" s="151" t="s">
        <v>377</v>
      </c>
      <c r="C36" s="151"/>
      <c r="D36" s="11">
        <f>D35+F14</f>
        <v>138</v>
      </c>
      <c r="E36" s="11">
        <v>4</v>
      </c>
      <c r="F36" s="11">
        <v>100</v>
      </c>
      <c r="I36" s="189" t="s">
        <v>415</v>
      </c>
      <c r="J36" s="189"/>
      <c r="K36" s="189"/>
      <c r="L36" s="189"/>
      <c r="M36" s="189"/>
      <c r="P36" s="218" t="s">
        <v>41</v>
      </c>
      <c r="Q36" s="218"/>
      <c r="R36" s="218"/>
      <c r="S36" s="218"/>
      <c r="T36" s="218"/>
      <c r="W36" s="1">
        <v>1</v>
      </c>
      <c r="X36" s="83" t="s">
        <v>19</v>
      </c>
      <c r="Y36" s="30">
        <v>18</v>
      </c>
      <c r="Z36" s="1">
        <v>6</v>
      </c>
      <c r="AA36" s="11">
        <f>Y36*Z36</f>
        <v>108</v>
      </c>
    </row>
    <row r="37" spans="2:27" x14ac:dyDescent="0.3">
      <c r="B37" s="222"/>
      <c r="C37" s="222"/>
      <c r="I37" s="189" t="s">
        <v>383</v>
      </c>
      <c r="J37" s="189"/>
      <c r="K37" s="36" t="s">
        <v>384</v>
      </c>
      <c r="L37" s="36" t="s">
        <v>385</v>
      </c>
      <c r="M37" s="36" t="s">
        <v>436</v>
      </c>
      <c r="P37" s="1">
        <v>1</v>
      </c>
      <c r="Q37" s="83" t="s">
        <v>19</v>
      </c>
      <c r="R37" s="1">
        <v>2</v>
      </c>
      <c r="S37" s="1">
        <v>6</v>
      </c>
      <c r="T37" s="11">
        <f>R37*S37</f>
        <v>12</v>
      </c>
      <c r="W37" s="217" t="s">
        <v>46</v>
      </c>
      <c r="X37" s="217"/>
      <c r="Y37" s="217"/>
      <c r="Z37" s="217"/>
      <c r="AA37" s="17">
        <f>SUM(AA36)</f>
        <v>108</v>
      </c>
    </row>
    <row r="38" spans="2:27" x14ac:dyDescent="0.3">
      <c r="I38" s="151" t="s">
        <v>398</v>
      </c>
      <c r="J38" s="151"/>
      <c r="K38" s="11">
        <f>M34</f>
        <v>108</v>
      </c>
      <c r="L38" s="11">
        <v>4</v>
      </c>
      <c r="M38" s="11">
        <v>100</v>
      </c>
      <c r="P38" s="217" t="s">
        <v>42</v>
      </c>
      <c r="Q38" s="217"/>
      <c r="R38" s="217"/>
      <c r="S38" s="217"/>
      <c r="T38" s="17">
        <f>SUM(T37)</f>
        <v>12</v>
      </c>
    </row>
    <row r="39" spans="2:27" x14ac:dyDescent="0.3">
      <c r="I39" s="151" t="s">
        <v>399</v>
      </c>
      <c r="J39" s="151"/>
      <c r="K39" s="11">
        <f>K38+M31</f>
        <v>120</v>
      </c>
      <c r="L39" s="11">
        <v>4</v>
      </c>
      <c r="M39" s="11">
        <v>100</v>
      </c>
      <c r="P39" s="218" t="s">
        <v>43</v>
      </c>
      <c r="Q39" s="218"/>
      <c r="R39" s="218"/>
      <c r="S39" s="218"/>
      <c r="T39" s="218"/>
      <c r="W39" s="195" t="s">
        <v>415</v>
      </c>
      <c r="X39" s="223"/>
      <c r="Y39" s="223"/>
      <c r="Z39" s="223"/>
      <c r="AA39" s="196"/>
    </row>
    <row r="40" spans="2:27" x14ac:dyDescent="0.3">
      <c r="I40" s="151" t="s">
        <v>403</v>
      </c>
      <c r="J40" s="151"/>
      <c r="K40" s="11">
        <f>K39+M28</f>
        <v>132</v>
      </c>
      <c r="L40" s="11">
        <v>4</v>
      </c>
      <c r="M40" s="11">
        <v>100</v>
      </c>
      <c r="P40" s="1">
        <v>1</v>
      </c>
      <c r="Q40" s="83" t="s">
        <v>19</v>
      </c>
      <c r="R40" s="1">
        <v>2</v>
      </c>
      <c r="S40" s="1">
        <v>6</v>
      </c>
      <c r="T40" s="11">
        <f>R40*S40</f>
        <v>12</v>
      </c>
      <c r="W40" s="189" t="s">
        <v>383</v>
      </c>
      <c r="X40" s="189"/>
      <c r="Y40" s="36" t="s">
        <v>384</v>
      </c>
      <c r="Z40" s="36" t="s">
        <v>385</v>
      </c>
      <c r="AA40" s="36" t="s">
        <v>436</v>
      </c>
    </row>
    <row r="41" spans="2:27" x14ac:dyDescent="0.3">
      <c r="I41" s="151" t="s">
        <v>405</v>
      </c>
      <c r="J41" s="151"/>
      <c r="K41" s="11">
        <f>K40+M25</f>
        <v>144</v>
      </c>
      <c r="L41" s="11">
        <v>4</v>
      </c>
      <c r="M41" s="11">
        <v>100</v>
      </c>
      <c r="P41" s="217" t="s">
        <v>44</v>
      </c>
      <c r="Q41" s="217"/>
      <c r="R41" s="217"/>
      <c r="S41" s="217"/>
      <c r="T41" s="17">
        <f>SUM(T40)</f>
        <v>12</v>
      </c>
      <c r="W41" s="151" t="s">
        <v>398</v>
      </c>
      <c r="X41" s="151"/>
      <c r="Y41" s="11">
        <f>AA37</f>
        <v>108</v>
      </c>
      <c r="Z41" s="11">
        <v>4</v>
      </c>
      <c r="AA41" s="11">
        <v>100</v>
      </c>
    </row>
    <row r="42" spans="2:27" x14ac:dyDescent="0.3">
      <c r="I42" s="151" t="s">
        <v>381</v>
      </c>
      <c r="J42" s="151"/>
      <c r="K42" s="11">
        <f>K41+M22</f>
        <v>186</v>
      </c>
      <c r="L42" s="11">
        <v>4</v>
      </c>
      <c r="M42" s="11">
        <v>100</v>
      </c>
      <c r="P42" s="218" t="s">
        <v>45</v>
      </c>
      <c r="Q42" s="218"/>
      <c r="R42" s="218"/>
      <c r="S42" s="218"/>
      <c r="T42" s="218"/>
      <c r="W42" s="151" t="s">
        <v>399</v>
      </c>
      <c r="X42" s="151"/>
      <c r="Y42" s="11">
        <f>Y41+AA34</f>
        <v>120</v>
      </c>
      <c r="Z42" s="11">
        <v>4</v>
      </c>
      <c r="AA42" s="11">
        <v>100</v>
      </c>
    </row>
    <row r="43" spans="2:27" x14ac:dyDescent="0.3">
      <c r="I43" s="151" t="s">
        <v>380</v>
      </c>
      <c r="J43" s="151"/>
      <c r="K43" s="11">
        <f>K42+M19</f>
        <v>198</v>
      </c>
      <c r="L43" s="11">
        <v>4</v>
      </c>
      <c r="M43" s="11">
        <v>100</v>
      </c>
      <c r="P43" s="1">
        <v>1</v>
      </c>
      <c r="Q43" s="83" t="s">
        <v>19</v>
      </c>
      <c r="R43" s="30">
        <v>18</v>
      </c>
      <c r="S43" s="1">
        <v>6</v>
      </c>
      <c r="T43" s="11">
        <f>R43*S43</f>
        <v>108</v>
      </c>
      <c r="W43" s="151" t="s">
        <v>403</v>
      </c>
      <c r="X43" s="151"/>
      <c r="Y43" s="11">
        <f>Y42+AA31</f>
        <v>132</v>
      </c>
      <c r="Z43" s="11">
        <v>4</v>
      </c>
      <c r="AA43" s="11">
        <v>100</v>
      </c>
    </row>
    <row r="44" spans="2:27" x14ac:dyDescent="0.3">
      <c r="I44" s="151" t="s">
        <v>379</v>
      </c>
      <c r="J44" s="151"/>
      <c r="K44" s="11">
        <f>K43+M16</f>
        <v>222</v>
      </c>
      <c r="L44" s="11">
        <v>4</v>
      </c>
      <c r="M44" s="11">
        <v>100</v>
      </c>
      <c r="P44" s="217" t="s">
        <v>46</v>
      </c>
      <c r="Q44" s="217"/>
      <c r="R44" s="217"/>
      <c r="S44" s="217"/>
      <c r="T44" s="17">
        <f>SUM(T43)</f>
        <v>108</v>
      </c>
      <c r="W44" s="151" t="s">
        <v>405</v>
      </c>
      <c r="X44" s="151"/>
      <c r="Y44" s="11">
        <f>Y43+AA28</f>
        <v>144</v>
      </c>
      <c r="Z44" s="11">
        <v>4</v>
      </c>
      <c r="AA44" s="11">
        <v>100</v>
      </c>
    </row>
    <row r="45" spans="2:27" x14ac:dyDescent="0.3">
      <c r="I45" s="151" t="s">
        <v>378</v>
      </c>
      <c r="J45" s="151"/>
      <c r="K45" s="11">
        <f>K44+M12</f>
        <v>234</v>
      </c>
      <c r="L45" s="11">
        <v>4</v>
      </c>
      <c r="M45" s="11">
        <v>100</v>
      </c>
      <c r="W45" s="151" t="s">
        <v>382</v>
      </c>
      <c r="X45" s="151"/>
      <c r="Y45" s="11">
        <f>Y44+AA25</f>
        <v>156</v>
      </c>
      <c r="Z45" s="11">
        <v>4</v>
      </c>
      <c r="AA45" s="11">
        <v>100</v>
      </c>
    </row>
    <row r="46" spans="2:27" x14ac:dyDescent="0.3">
      <c r="P46" s="189" t="s">
        <v>415</v>
      </c>
      <c r="Q46" s="189"/>
      <c r="R46" s="189"/>
      <c r="S46" s="189"/>
      <c r="T46" s="189"/>
      <c r="W46" s="151" t="s">
        <v>381</v>
      </c>
      <c r="X46" s="151"/>
      <c r="Y46" s="11">
        <f>Y45+AA22</f>
        <v>162</v>
      </c>
      <c r="Z46" s="11">
        <v>4</v>
      </c>
      <c r="AA46" s="11">
        <v>100</v>
      </c>
    </row>
    <row r="47" spans="2:27" x14ac:dyDescent="0.3">
      <c r="P47" s="189" t="s">
        <v>383</v>
      </c>
      <c r="Q47" s="189"/>
      <c r="R47" s="36" t="s">
        <v>384</v>
      </c>
      <c r="S47" s="36" t="s">
        <v>385</v>
      </c>
      <c r="T47" s="36" t="s">
        <v>436</v>
      </c>
      <c r="W47" s="151" t="s">
        <v>380</v>
      </c>
      <c r="X47" s="151"/>
      <c r="Y47" s="11">
        <f>Y46+AA19</f>
        <v>198</v>
      </c>
      <c r="Z47" s="11">
        <v>4</v>
      </c>
      <c r="AA47" s="11">
        <v>100</v>
      </c>
    </row>
    <row r="48" spans="2:27" x14ac:dyDescent="0.3">
      <c r="P48" s="151" t="s">
        <v>398</v>
      </c>
      <c r="Q48" s="151"/>
      <c r="R48" s="11">
        <f>T44</f>
        <v>108</v>
      </c>
      <c r="S48" s="11">
        <v>4</v>
      </c>
      <c r="T48" s="11">
        <v>100</v>
      </c>
      <c r="W48" s="151" t="s">
        <v>379</v>
      </c>
      <c r="X48" s="151"/>
      <c r="Y48" s="11">
        <f>Y47+AA16</f>
        <v>222</v>
      </c>
      <c r="Z48" s="11">
        <v>4</v>
      </c>
      <c r="AA48" s="11">
        <v>100</v>
      </c>
    </row>
    <row r="49" spans="2:27" x14ac:dyDescent="0.3">
      <c r="P49" s="151" t="s">
        <v>399</v>
      </c>
      <c r="Q49" s="151"/>
      <c r="R49" s="11">
        <f>T44+T41</f>
        <v>120</v>
      </c>
      <c r="S49" s="11">
        <v>4</v>
      </c>
      <c r="T49" s="11">
        <v>100</v>
      </c>
      <c r="W49" s="151" t="s">
        <v>378</v>
      </c>
      <c r="X49" s="151"/>
      <c r="Y49" s="11">
        <f>Y48+AA12</f>
        <v>228</v>
      </c>
      <c r="Z49" s="11">
        <v>4</v>
      </c>
      <c r="AA49" s="11">
        <v>100</v>
      </c>
    </row>
    <row r="50" spans="2:27" x14ac:dyDescent="0.3">
      <c r="P50" s="151" t="s">
        <v>403</v>
      </c>
      <c r="Q50" s="151"/>
      <c r="R50" s="11">
        <f>R49+T38</f>
        <v>132</v>
      </c>
      <c r="S50" s="11">
        <v>4</v>
      </c>
      <c r="T50" s="11">
        <v>100</v>
      </c>
    </row>
    <row r="51" spans="2:27" x14ac:dyDescent="0.3">
      <c r="P51" s="151" t="s">
        <v>405</v>
      </c>
      <c r="Q51" s="151"/>
      <c r="R51" s="11">
        <f>R50+T35</f>
        <v>144</v>
      </c>
      <c r="S51" s="11">
        <v>4</v>
      </c>
      <c r="T51" s="11">
        <v>100</v>
      </c>
    </row>
    <row r="52" spans="2:27" x14ac:dyDescent="0.3">
      <c r="P52" s="151" t="s">
        <v>382</v>
      </c>
      <c r="Q52" s="151"/>
      <c r="R52" s="11">
        <f>R51+T32</f>
        <v>156</v>
      </c>
      <c r="S52" s="11">
        <v>4</v>
      </c>
      <c r="T52" s="11">
        <v>100</v>
      </c>
    </row>
    <row r="53" spans="2:27" x14ac:dyDescent="0.3">
      <c r="P53" s="151" t="s">
        <v>412</v>
      </c>
      <c r="Q53" s="151"/>
      <c r="R53" s="11">
        <f>R52+T29</f>
        <v>174</v>
      </c>
      <c r="S53" s="11">
        <v>4</v>
      </c>
      <c r="T53" s="11">
        <v>100</v>
      </c>
    </row>
    <row r="54" spans="2:27" x14ac:dyDescent="0.3">
      <c r="P54" s="151" t="s">
        <v>381</v>
      </c>
      <c r="Q54" s="151"/>
      <c r="R54" s="11">
        <f>R53+T26</f>
        <v>180</v>
      </c>
      <c r="S54" s="11">
        <v>4</v>
      </c>
      <c r="T54" s="11">
        <v>100</v>
      </c>
    </row>
    <row r="55" spans="2:27" x14ac:dyDescent="0.3">
      <c r="P55" s="151" t="s">
        <v>380</v>
      </c>
      <c r="Q55" s="151"/>
      <c r="R55" s="11">
        <f>R54+T23</f>
        <v>216</v>
      </c>
      <c r="S55" s="11">
        <v>4</v>
      </c>
      <c r="T55" s="11">
        <v>100</v>
      </c>
    </row>
    <row r="56" spans="2:27" x14ac:dyDescent="0.3">
      <c r="P56" s="151" t="s">
        <v>413</v>
      </c>
      <c r="Q56" s="151"/>
      <c r="R56" s="11">
        <f>R55+T20</f>
        <v>264</v>
      </c>
      <c r="S56" s="11">
        <v>5</v>
      </c>
      <c r="T56" s="11">
        <v>125</v>
      </c>
    </row>
    <row r="57" spans="2:27" x14ac:dyDescent="0.3">
      <c r="P57" s="151" t="s">
        <v>379</v>
      </c>
      <c r="Q57" s="151"/>
      <c r="R57" s="11">
        <f>R56+T17</f>
        <v>306</v>
      </c>
      <c r="S57" s="11">
        <v>5</v>
      </c>
      <c r="T57" s="11">
        <v>125</v>
      </c>
    </row>
    <row r="58" spans="2:27" x14ac:dyDescent="0.3">
      <c r="P58" s="151" t="s">
        <v>411</v>
      </c>
      <c r="Q58" s="151"/>
      <c r="R58" s="11">
        <f>R57+T13</f>
        <v>354</v>
      </c>
      <c r="S58" s="11">
        <v>5</v>
      </c>
      <c r="T58" s="11">
        <v>125</v>
      </c>
    </row>
    <row r="61" spans="2:27" x14ac:dyDescent="0.3">
      <c r="B61" t="s">
        <v>85</v>
      </c>
      <c r="F61"/>
    </row>
    <row r="62" spans="2:27" x14ac:dyDescent="0.3">
      <c r="F62"/>
    </row>
    <row r="63" spans="2:27" x14ac:dyDescent="0.3">
      <c r="B63" t="s">
        <v>416</v>
      </c>
      <c r="F63"/>
    </row>
    <row r="64" spans="2:27" x14ac:dyDescent="0.3">
      <c r="F64"/>
    </row>
    <row r="65" spans="6:6" x14ac:dyDescent="0.3">
      <c r="F65"/>
    </row>
    <row r="66" spans="6:6" x14ac:dyDescent="0.3">
      <c r="F66"/>
    </row>
    <row r="67" spans="6:6" x14ac:dyDescent="0.3">
      <c r="F67"/>
    </row>
    <row r="68" spans="6:6" x14ac:dyDescent="0.3">
      <c r="F68"/>
    </row>
    <row r="69" spans="6:6" x14ac:dyDescent="0.3">
      <c r="F69"/>
    </row>
    <row r="70" spans="6:6" x14ac:dyDescent="0.3">
      <c r="F70"/>
    </row>
    <row r="71" spans="6:6" x14ac:dyDescent="0.3">
      <c r="F71"/>
    </row>
    <row r="72" spans="6:6" x14ac:dyDescent="0.3">
      <c r="F72"/>
    </row>
    <row r="73" spans="6:6" x14ac:dyDescent="0.3">
      <c r="F73"/>
    </row>
    <row r="74" spans="6:6" x14ac:dyDescent="0.3">
      <c r="F74"/>
    </row>
    <row r="75" spans="6:6" x14ac:dyDescent="0.3">
      <c r="F75"/>
    </row>
    <row r="76" spans="6:6" x14ac:dyDescent="0.3">
      <c r="F76"/>
    </row>
    <row r="77" spans="6:6" x14ac:dyDescent="0.3">
      <c r="F77"/>
    </row>
    <row r="78" spans="6:6" x14ac:dyDescent="0.3">
      <c r="F78"/>
    </row>
    <row r="79" spans="6:6" x14ac:dyDescent="0.3">
      <c r="F79"/>
    </row>
    <row r="80" spans="6:6" x14ac:dyDescent="0.3">
      <c r="F80"/>
    </row>
    <row r="81" spans="6:6" x14ac:dyDescent="0.3">
      <c r="F81"/>
    </row>
    <row r="82" spans="6:6" x14ac:dyDescent="0.3">
      <c r="F82"/>
    </row>
    <row r="83" spans="6:6" x14ac:dyDescent="0.3">
      <c r="F83"/>
    </row>
    <row r="84" spans="6:6" x14ac:dyDescent="0.3">
      <c r="F84"/>
    </row>
    <row r="85" spans="6:6" x14ac:dyDescent="0.3">
      <c r="F85"/>
    </row>
    <row r="86" spans="6:6" x14ac:dyDescent="0.3">
      <c r="F86"/>
    </row>
    <row r="87" spans="6:6" x14ac:dyDescent="0.3">
      <c r="F87"/>
    </row>
    <row r="88" spans="6:6" x14ac:dyDescent="0.3">
      <c r="F88"/>
    </row>
    <row r="89" spans="6:6" x14ac:dyDescent="0.3">
      <c r="F89"/>
    </row>
  </sheetData>
  <mergeCells count="109">
    <mergeCell ref="W40:X40"/>
    <mergeCell ref="W41:X41"/>
    <mergeCell ref="W42:X42"/>
    <mergeCell ref="W43:X43"/>
    <mergeCell ref="W44:X44"/>
    <mergeCell ref="W39:AA39"/>
    <mergeCell ref="P57:Q57"/>
    <mergeCell ref="P58:Q58"/>
    <mergeCell ref="P47:Q47"/>
    <mergeCell ref="P48:Q48"/>
    <mergeCell ref="P49:Q49"/>
    <mergeCell ref="P50:Q50"/>
    <mergeCell ref="P51:Q51"/>
    <mergeCell ref="P52:Q52"/>
    <mergeCell ref="W45:X45"/>
    <mergeCell ref="W46:X46"/>
    <mergeCell ref="W47:X47"/>
    <mergeCell ref="W48:X48"/>
    <mergeCell ref="W49:X49"/>
    <mergeCell ref="P38:S38"/>
    <mergeCell ref="P39:T39"/>
    <mergeCell ref="P41:S41"/>
    <mergeCell ref="P42:T42"/>
    <mergeCell ref="P44:S44"/>
    <mergeCell ref="P53:Q53"/>
    <mergeCell ref="P54:Q54"/>
    <mergeCell ref="P55:Q55"/>
    <mergeCell ref="P56:Q56"/>
    <mergeCell ref="I42:J42"/>
    <mergeCell ref="I43:J43"/>
    <mergeCell ref="I44:J44"/>
    <mergeCell ref="I45:J45"/>
    <mergeCell ref="I37:J37"/>
    <mergeCell ref="I38:J38"/>
    <mergeCell ref="I39:J39"/>
    <mergeCell ref="I40:J40"/>
    <mergeCell ref="I41:J41"/>
    <mergeCell ref="W37:Z37"/>
    <mergeCell ref="B31:C31"/>
    <mergeCell ref="B32:C32"/>
    <mergeCell ref="B33:C33"/>
    <mergeCell ref="B34:C34"/>
    <mergeCell ref="B35:C35"/>
    <mergeCell ref="B36:C36"/>
    <mergeCell ref="B37:C37"/>
    <mergeCell ref="P36:T36"/>
    <mergeCell ref="P33:T33"/>
    <mergeCell ref="P35:S35"/>
    <mergeCell ref="W31:Z31"/>
    <mergeCell ref="W32:AA32"/>
    <mergeCell ref="W34:Z34"/>
    <mergeCell ref="W35:AA35"/>
    <mergeCell ref="P26:S26"/>
    <mergeCell ref="P27:T27"/>
    <mergeCell ref="W26:AA26"/>
    <mergeCell ref="W28:Z28"/>
    <mergeCell ref="W29:AA29"/>
    <mergeCell ref="W20:AA20"/>
    <mergeCell ref="W22:Z22"/>
    <mergeCell ref="W23:AA23"/>
    <mergeCell ref="W25:Z25"/>
    <mergeCell ref="I25:L25"/>
    <mergeCell ref="I26:M26"/>
    <mergeCell ref="W10:AA10"/>
    <mergeCell ref="W12:Z12"/>
    <mergeCell ref="W13:AA13"/>
    <mergeCell ref="W16:Z16"/>
    <mergeCell ref="P29:S29"/>
    <mergeCell ref="P30:T30"/>
    <mergeCell ref="P32:S32"/>
    <mergeCell ref="W17:AA17"/>
    <mergeCell ref="W19:Z19"/>
    <mergeCell ref="P10:T10"/>
    <mergeCell ref="P13:S13"/>
    <mergeCell ref="P14:T14"/>
    <mergeCell ref="P17:S17"/>
    <mergeCell ref="P18:T18"/>
    <mergeCell ref="I19:L19"/>
    <mergeCell ref="I20:M20"/>
    <mergeCell ref="I22:L22"/>
    <mergeCell ref="I23:M23"/>
    <mergeCell ref="P20:S20"/>
    <mergeCell ref="P21:T21"/>
    <mergeCell ref="P23:S23"/>
    <mergeCell ref="P24:T24"/>
    <mergeCell ref="B2:C2"/>
    <mergeCell ref="B10:F10"/>
    <mergeCell ref="B14:E14"/>
    <mergeCell ref="B15:F15"/>
    <mergeCell ref="B19:E19"/>
    <mergeCell ref="B20:F20"/>
    <mergeCell ref="B30:F30"/>
    <mergeCell ref="I36:M36"/>
    <mergeCell ref="P46:T46"/>
    <mergeCell ref="B22:E22"/>
    <mergeCell ref="B23:F23"/>
    <mergeCell ref="B25:E25"/>
    <mergeCell ref="B26:F26"/>
    <mergeCell ref="B28:E28"/>
    <mergeCell ref="I10:M10"/>
    <mergeCell ref="I12:L12"/>
    <mergeCell ref="I13:M13"/>
    <mergeCell ref="I16:L16"/>
    <mergeCell ref="I17:M17"/>
    <mergeCell ref="I28:L28"/>
    <mergeCell ref="I29:M29"/>
    <mergeCell ref="I31:L31"/>
    <mergeCell ref="I32:M32"/>
    <mergeCell ref="I34:L34"/>
  </mergeCells>
  <phoneticPr fontId="8" type="noConversion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5BBE3-4577-4FB5-9E2A-81999B9FDB79}">
  <dimension ref="A3:P126"/>
  <sheetViews>
    <sheetView zoomScale="50" zoomScaleNormal="50" workbookViewId="0">
      <selection activeCell="P34" sqref="P34"/>
    </sheetView>
  </sheetViews>
  <sheetFormatPr defaultRowHeight="14.4" x14ac:dyDescent="0.3"/>
  <cols>
    <col min="4" max="4" width="22.77734375" customWidth="1"/>
    <col min="5" max="5" width="14.6640625" customWidth="1"/>
    <col min="6" max="6" width="16.5546875" customWidth="1"/>
    <col min="9" max="9" width="13.5546875" customWidth="1"/>
    <col min="10" max="10" width="14.77734375" customWidth="1"/>
    <col min="11" max="11" width="15.21875" customWidth="1"/>
    <col min="12" max="12" width="12.77734375" customWidth="1"/>
    <col min="13" max="13" width="10.88671875" customWidth="1"/>
    <col min="14" max="14" width="11.109375" customWidth="1"/>
    <col min="15" max="15" width="11.44140625" customWidth="1"/>
    <col min="16" max="16" width="12.77734375" customWidth="1"/>
    <col min="18" max="18" width="15.5546875" customWidth="1"/>
    <col min="19" max="19" width="14.6640625" customWidth="1"/>
    <col min="20" max="20" width="13" customWidth="1"/>
  </cols>
  <sheetData>
    <row r="3" spans="1:16" x14ac:dyDescent="0.3">
      <c r="B3" s="189" t="s">
        <v>438</v>
      </c>
      <c r="C3" s="189"/>
      <c r="D3" s="189"/>
      <c r="E3" s="189"/>
      <c r="F3" s="189"/>
      <c r="G3" s="189" t="s">
        <v>439</v>
      </c>
      <c r="H3" s="189"/>
      <c r="I3" s="189"/>
      <c r="J3" s="189"/>
      <c r="K3" s="189"/>
      <c r="L3" s="189" t="s">
        <v>440</v>
      </c>
      <c r="M3" s="189"/>
      <c r="N3" s="189"/>
      <c r="O3" s="189"/>
      <c r="P3" s="189"/>
    </row>
    <row r="4" spans="1:16" x14ac:dyDescent="0.3">
      <c r="B4" s="189" t="s">
        <v>415</v>
      </c>
      <c r="C4" s="189"/>
      <c r="D4" s="189"/>
      <c r="E4" s="189"/>
      <c r="F4" s="189"/>
      <c r="G4" s="189" t="s">
        <v>415</v>
      </c>
      <c r="H4" s="189"/>
      <c r="I4" s="189"/>
      <c r="J4" s="189"/>
      <c r="K4" s="189"/>
      <c r="L4" s="189" t="s">
        <v>415</v>
      </c>
      <c r="M4" s="189"/>
      <c r="N4" s="189"/>
      <c r="O4" s="189"/>
      <c r="P4" s="189"/>
    </row>
    <row r="5" spans="1:16" ht="31.8" customHeight="1" x14ac:dyDescent="0.3">
      <c r="B5" s="199" t="s">
        <v>383</v>
      </c>
      <c r="C5" s="199"/>
      <c r="D5" s="24" t="s">
        <v>384</v>
      </c>
      <c r="E5" s="24" t="s">
        <v>385</v>
      </c>
      <c r="F5" s="24" t="s">
        <v>436</v>
      </c>
      <c r="G5" s="199" t="s">
        <v>383</v>
      </c>
      <c r="H5" s="199"/>
      <c r="I5" s="24" t="s">
        <v>384</v>
      </c>
      <c r="J5" s="24" t="s">
        <v>385</v>
      </c>
      <c r="K5" s="24" t="s">
        <v>436</v>
      </c>
      <c r="L5" s="199" t="s">
        <v>383</v>
      </c>
      <c r="M5" s="199"/>
      <c r="N5" s="24" t="s">
        <v>384</v>
      </c>
      <c r="O5" s="24" t="s">
        <v>385</v>
      </c>
      <c r="P5" s="24" t="s">
        <v>436</v>
      </c>
    </row>
    <row r="6" spans="1:16" x14ac:dyDescent="0.3">
      <c r="B6" s="151" t="s">
        <v>382</v>
      </c>
      <c r="C6" s="151"/>
      <c r="D6" s="11">
        <f>'Black Water'!D37</f>
        <v>72</v>
      </c>
      <c r="E6" s="11">
        <v>4</v>
      </c>
      <c r="F6" s="11">
        <v>100</v>
      </c>
      <c r="G6" s="151" t="s">
        <v>382</v>
      </c>
      <c r="H6" s="151"/>
      <c r="I6" s="11">
        <f>'Grey Water'!D48</f>
        <v>28</v>
      </c>
      <c r="J6" s="85">
        <v>2.5</v>
      </c>
      <c r="K6" s="11">
        <v>65</v>
      </c>
      <c r="L6" s="151" t="s">
        <v>382</v>
      </c>
      <c r="M6" s="151"/>
      <c r="N6" s="11">
        <f>'Limbah Medis'!D32</f>
        <v>12</v>
      </c>
      <c r="O6" s="11">
        <v>2</v>
      </c>
      <c r="P6" s="11">
        <v>50</v>
      </c>
    </row>
    <row r="7" spans="1:16" x14ac:dyDescent="0.3">
      <c r="B7" s="151" t="s">
        <v>381</v>
      </c>
      <c r="C7" s="151"/>
      <c r="D7" s="11">
        <f>'Black Water'!D38</f>
        <v>144</v>
      </c>
      <c r="E7" s="11">
        <v>4</v>
      </c>
      <c r="F7" s="11">
        <v>100</v>
      </c>
      <c r="G7" s="151" t="s">
        <v>381</v>
      </c>
      <c r="H7" s="151"/>
      <c r="I7" s="11">
        <f>'Grey Water'!D49</f>
        <v>68</v>
      </c>
      <c r="J7" s="11">
        <v>4</v>
      </c>
      <c r="K7" s="11">
        <v>100</v>
      </c>
      <c r="L7" s="151" t="s">
        <v>380</v>
      </c>
      <c r="M7" s="151"/>
      <c r="N7" s="11">
        <f>'Limbah Medis'!D33</f>
        <v>24</v>
      </c>
      <c r="O7" s="11">
        <v>2</v>
      </c>
      <c r="P7" s="11">
        <v>50</v>
      </c>
    </row>
    <row r="8" spans="1:16" x14ac:dyDescent="0.3">
      <c r="B8" s="151" t="s">
        <v>380</v>
      </c>
      <c r="C8" s="151"/>
      <c r="D8" s="11">
        <f>'Black Water'!D39</f>
        <v>216</v>
      </c>
      <c r="E8" s="11">
        <v>4</v>
      </c>
      <c r="F8" s="11">
        <v>100</v>
      </c>
      <c r="G8" s="151" t="s">
        <v>380</v>
      </c>
      <c r="H8" s="151"/>
      <c r="I8" s="11">
        <f>'Grey Water'!D50</f>
        <v>157</v>
      </c>
      <c r="J8" s="11">
        <v>4</v>
      </c>
      <c r="K8" s="11">
        <v>100</v>
      </c>
      <c r="L8" s="151" t="s">
        <v>379</v>
      </c>
      <c r="M8" s="151"/>
      <c r="N8" s="11">
        <f>'Limbah Medis'!D34</f>
        <v>36</v>
      </c>
      <c r="O8" s="11">
        <v>3</v>
      </c>
      <c r="P8" s="11">
        <v>75</v>
      </c>
    </row>
    <row r="9" spans="1:16" x14ac:dyDescent="0.3">
      <c r="B9" s="151" t="s">
        <v>379</v>
      </c>
      <c r="C9" s="151"/>
      <c r="D9" s="11">
        <f>'Black Water'!D40</f>
        <v>316</v>
      </c>
      <c r="E9" s="11">
        <v>5</v>
      </c>
      <c r="F9" s="11">
        <v>125</v>
      </c>
      <c r="G9" s="151" t="s">
        <v>379</v>
      </c>
      <c r="H9" s="151"/>
      <c r="I9" s="11">
        <f>'Grey Water'!D51</f>
        <v>259</v>
      </c>
      <c r="J9" s="11">
        <v>5</v>
      </c>
      <c r="K9" s="11">
        <v>125</v>
      </c>
      <c r="L9" s="151" t="s">
        <v>378</v>
      </c>
      <c r="M9" s="151"/>
      <c r="N9" s="11">
        <f>'Limbah Medis'!D35</f>
        <v>90</v>
      </c>
      <c r="O9" s="11">
        <v>4</v>
      </c>
      <c r="P9" s="11">
        <v>100</v>
      </c>
    </row>
    <row r="10" spans="1:16" x14ac:dyDescent="0.3">
      <c r="B10" s="151" t="s">
        <v>378</v>
      </c>
      <c r="C10" s="151"/>
      <c r="D10" s="11">
        <f>'Black Water'!D41</f>
        <v>396</v>
      </c>
      <c r="E10" s="11">
        <v>5</v>
      </c>
      <c r="F10" s="11">
        <v>125</v>
      </c>
      <c r="G10" s="151" t="s">
        <v>378</v>
      </c>
      <c r="H10" s="151"/>
      <c r="I10" s="11">
        <f>'Grey Water'!D52</f>
        <v>314</v>
      </c>
      <c r="J10" s="11">
        <v>5</v>
      </c>
      <c r="K10" s="11">
        <v>125</v>
      </c>
      <c r="L10" s="151" t="s">
        <v>377</v>
      </c>
      <c r="M10" s="151"/>
      <c r="N10" s="11">
        <f>'Limbah Medis'!D36</f>
        <v>138</v>
      </c>
      <c r="O10" s="11">
        <v>4</v>
      </c>
      <c r="P10" s="11">
        <v>100</v>
      </c>
    </row>
    <row r="11" spans="1:16" x14ac:dyDescent="0.3">
      <c r="B11" s="151" t="s">
        <v>377</v>
      </c>
      <c r="C11" s="151"/>
      <c r="D11" s="11">
        <f>'Black Water'!D42</f>
        <v>428</v>
      </c>
      <c r="E11" s="11">
        <v>5</v>
      </c>
      <c r="F11" s="11">
        <v>125</v>
      </c>
      <c r="G11" s="151" t="s">
        <v>377</v>
      </c>
      <c r="H11" s="151"/>
      <c r="I11" s="11">
        <f>'Grey Water'!D53</f>
        <v>362</v>
      </c>
      <c r="J11" s="11">
        <v>5</v>
      </c>
      <c r="K11" s="11">
        <v>125</v>
      </c>
    </row>
    <row r="14" spans="1:16" x14ac:dyDescent="0.3">
      <c r="A14" s="56"/>
      <c r="B14" s="56"/>
      <c r="C14" s="56"/>
      <c r="D14" s="56"/>
      <c r="E14" s="56"/>
      <c r="F14" s="56"/>
      <c r="G14" s="56"/>
      <c r="H14" s="56"/>
    </row>
    <row r="15" spans="1:16" x14ac:dyDescent="0.3">
      <c r="A15" s="56"/>
      <c r="B15" s="183" t="s">
        <v>451</v>
      </c>
      <c r="C15" s="183"/>
      <c r="D15" s="183"/>
      <c r="E15" s="183"/>
      <c r="F15" s="183"/>
      <c r="G15" s="183"/>
      <c r="H15" s="56"/>
      <c r="I15" s="189" t="s">
        <v>460</v>
      </c>
      <c r="J15" s="189"/>
      <c r="K15" s="189"/>
      <c r="L15" s="189"/>
      <c r="M15" s="189"/>
      <c r="N15" s="189"/>
    </row>
    <row r="16" spans="1:16" x14ac:dyDescent="0.3">
      <c r="A16" s="56"/>
      <c r="B16" s="183" t="s">
        <v>441</v>
      </c>
      <c r="C16" s="183"/>
      <c r="D16" s="216" t="s">
        <v>444</v>
      </c>
      <c r="E16" s="216" t="s">
        <v>193</v>
      </c>
      <c r="F16" s="216" t="s">
        <v>445</v>
      </c>
      <c r="G16" s="216" t="s">
        <v>446</v>
      </c>
      <c r="H16" s="56"/>
      <c r="I16" s="189" t="s">
        <v>441</v>
      </c>
      <c r="J16" s="189"/>
      <c r="K16" s="199" t="s">
        <v>444</v>
      </c>
      <c r="L16" s="199" t="s">
        <v>193</v>
      </c>
      <c r="M16" s="199" t="s">
        <v>445</v>
      </c>
      <c r="N16" s="199" t="s">
        <v>446</v>
      </c>
    </row>
    <row r="17" spans="1:14" x14ac:dyDescent="0.3">
      <c r="A17" s="56"/>
      <c r="B17" s="18" t="s">
        <v>442</v>
      </c>
      <c r="C17" s="18" t="s">
        <v>443</v>
      </c>
      <c r="D17" s="216"/>
      <c r="E17" s="216"/>
      <c r="F17" s="216"/>
      <c r="G17" s="216"/>
      <c r="H17" s="56"/>
      <c r="I17" s="36" t="s">
        <v>442</v>
      </c>
      <c r="J17" s="36" t="s">
        <v>443</v>
      </c>
      <c r="K17" s="199"/>
      <c r="L17" s="199"/>
      <c r="M17" s="199"/>
      <c r="N17" s="199"/>
    </row>
    <row r="18" spans="1:14" x14ac:dyDescent="0.3">
      <c r="A18" s="56"/>
      <c r="B18" s="30" t="s">
        <v>447</v>
      </c>
      <c r="C18" s="30" t="s">
        <v>123</v>
      </c>
      <c r="D18" s="30" t="s">
        <v>5</v>
      </c>
      <c r="E18" s="30">
        <v>4</v>
      </c>
      <c r="F18" s="30">
        <v>4</v>
      </c>
      <c r="G18" s="30">
        <v>100</v>
      </c>
      <c r="H18" s="56"/>
    </row>
    <row r="19" spans="1:14" x14ac:dyDescent="0.3">
      <c r="A19" s="56"/>
      <c r="B19" s="30" t="s">
        <v>448</v>
      </c>
      <c r="C19" s="30" t="s">
        <v>124</v>
      </c>
      <c r="D19" s="30" t="s">
        <v>5</v>
      </c>
      <c r="E19" s="30">
        <v>4</v>
      </c>
      <c r="F19" s="30">
        <v>4</v>
      </c>
      <c r="G19" s="30">
        <v>100</v>
      </c>
      <c r="H19" s="56"/>
    </row>
    <row r="20" spans="1:14" x14ac:dyDescent="0.3">
      <c r="A20" s="56"/>
      <c r="B20" s="30" t="s">
        <v>123</v>
      </c>
      <c r="C20" s="30" t="s">
        <v>124</v>
      </c>
      <c r="D20" s="125" t="s">
        <v>449</v>
      </c>
      <c r="E20" s="125" t="s">
        <v>449</v>
      </c>
      <c r="F20" s="30">
        <f>SUM(F18:F19)</f>
        <v>8</v>
      </c>
      <c r="G20" s="30">
        <v>100</v>
      </c>
      <c r="H20" s="56"/>
    </row>
    <row r="21" spans="1:14" x14ac:dyDescent="0.3">
      <c r="A21" s="56"/>
      <c r="B21" s="30" t="s">
        <v>448</v>
      </c>
      <c r="C21" s="30" t="s">
        <v>125</v>
      </c>
      <c r="D21" s="30" t="s">
        <v>5</v>
      </c>
      <c r="E21" s="30">
        <v>4</v>
      </c>
      <c r="F21" s="30">
        <v>4</v>
      </c>
      <c r="G21" s="30">
        <v>100</v>
      </c>
      <c r="H21" s="56"/>
    </row>
    <row r="22" spans="1:14" x14ac:dyDescent="0.3">
      <c r="A22" s="56"/>
      <c r="B22" s="30" t="s">
        <v>124</v>
      </c>
      <c r="C22" s="30" t="s">
        <v>125</v>
      </c>
      <c r="D22" s="125" t="s">
        <v>449</v>
      </c>
      <c r="E22" s="125" t="s">
        <v>449</v>
      </c>
      <c r="F22" s="30">
        <f>F20+F21</f>
        <v>12</v>
      </c>
      <c r="G22" s="30">
        <v>100</v>
      </c>
      <c r="H22" s="56"/>
    </row>
    <row r="23" spans="1:14" x14ac:dyDescent="0.3">
      <c r="A23" s="56"/>
      <c r="B23" s="30" t="s">
        <v>448</v>
      </c>
      <c r="C23" s="30" t="s">
        <v>126</v>
      </c>
      <c r="D23" s="30" t="s">
        <v>5</v>
      </c>
      <c r="E23" s="30">
        <v>4</v>
      </c>
      <c r="F23" s="30">
        <v>4</v>
      </c>
      <c r="G23" s="30">
        <v>100</v>
      </c>
      <c r="H23" s="56"/>
    </row>
    <row r="24" spans="1:14" x14ac:dyDescent="0.3">
      <c r="A24" s="56"/>
      <c r="B24" s="30" t="s">
        <v>125</v>
      </c>
      <c r="C24" s="30" t="s">
        <v>126</v>
      </c>
      <c r="D24" s="125" t="s">
        <v>449</v>
      </c>
      <c r="E24" s="30" t="s">
        <v>449</v>
      </c>
      <c r="F24" s="30">
        <f>F22+F23</f>
        <v>16</v>
      </c>
      <c r="G24" s="30">
        <v>100</v>
      </c>
      <c r="H24" s="56"/>
    </row>
    <row r="25" spans="1:14" x14ac:dyDescent="0.3">
      <c r="A25" s="56"/>
      <c r="B25" s="30" t="s">
        <v>448</v>
      </c>
      <c r="C25" s="30" t="s">
        <v>127</v>
      </c>
      <c r="D25" s="30" t="s">
        <v>5</v>
      </c>
      <c r="E25" s="30">
        <v>4</v>
      </c>
      <c r="F25" s="30">
        <v>4</v>
      </c>
      <c r="G25" s="30">
        <v>100</v>
      </c>
      <c r="H25" s="56"/>
    </row>
    <row r="26" spans="1:14" x14ac:dyDescent="0.3">
      <c r="A26" s="56"/>
      <c r="B26" s="30" t="s">
        <v>127</v>
      </c>
      <c r="C26" s="30" t="s">
        <v>128</v>
      </c>
      <c r="D26" s="125" t="s">
        <v>449</v>
      </c>
      <c r="E26" s="125" t="s">
        <v>449</v>
      </c>
      <c r="F26" s="30">
        <v>4</v>
      </c>
      <c r="G26" s="30">
        <v>100</v>
      </c>
      <c r="H26" s="56"/>
    </row>
    <row r="27" spans="1:14" x14ac:dyDescent="0.3">
      <c r="A27" s="56"/>
      <c r="B27" s="30" t="s">
        <v>126</v>
      </c>
      <c r="C27" s="30" t="s">
        <v>128</v>
      </c>
      <c r="D27" s="125" t="s">
        <v>449</v>
      </c>
      <c r="E27" s="125" t="s">
        <v>449</v>
      </c>
      <c r="F27" s="30">
        <f>F24+F26</f>
        <v>20</v>
      </c>
      <c r="G27" s="30">
        <v>100</v>
      </c>
      <c r="H27" s="56"/>
    </row>
    <row r="28" spans="1:14" x14ac:dyDescent="0.3">
      <c r="A28" s="56"/>
      <c r="B28" s="30" t="s">
        <v>448</v>
      </c>
      <c r="C28" s="30" t="s">
        <v>450</v>
      </c>
      <c r="D28" s="30" t="s">
        <v>5</v>
      </c>
      <c r="E28" s="30">
        <v>4</v>
      </c>
      <c r="F28" s="30">
        <v>4</v>
      </c>
      <c r="G28" s="30">
        <v>100</v>
      </c>
      <c r="H28" s="56"/>
    </row>
    <row r="29" spans="1:14" x14ac:dyDescent="0.3">
      <c r="A29" s="56"/>
      <c r="B29" s="30" t="s">
        <v>128</v>
      </c>
      <c r="C29" s="30" t="s">
        <v>450</v>
      </c>
      <c r="D29" s="125" t="s">
        <v>449</v>
      </c>
      <c r="E29" s="125" t="s">
        <v>449</v>
      </c>
      <c r="F29" s="30">
        <f>F27+F26</f>
        <v>24</v>
      </c>
      <c r="G29" s="30">
        <v>100</v>
      </c>
      <c r="H29" s="56"/>
    </row>
    <row r="30" spans="1:14" x14ac:dyDescent="0.3">
      <c r="A30" s="56"/>
      <c r="B30" s="30" t="s">
        <v>450</v>
      </c>
      <c r="C30" s="30" t="s">
        <v>454</v>
      </c>
      <c r="D30" s="125" t="s">
        <v>449</v>
      </c>
      <c r="E30" s="125" t="s">
        <v>449</v>
      </c>
      <c r="F30" s="30">
        <f>F29+F28</f>
        <v>28</v>
      </c>
      <c r="G30" s="30">
        <v>100</v>
      </c>
      <c r="H30" s="56"/>
    </row>
    <row r="31" spans="1:14" x14ac:dyDescent="0.3">
      <c r="A31" s="56"/>
      <c r="B31" s="30" t="s">
        <v>448</v>
      </c>
      <c r="C31" s="30" t="s">
        <v>452</v>
      </c>
      <c r="D31" s="30" t="s">
        <v>5</v>
      </c>
      <c r="E31" s="30">
        <v>4</v>
      </c>
      <c r="F31" s="30">
        <v>4</v>
      </c>
      <c r="G31" s="30">
        <v>100</v>
      </c>
      <c r="H31" s="56"/>
    </row>
    <row r="32" spans="1:14" x14ac:dyDescent="0.3">
      <c r="A32" s="56"/>
      <c r="B32" s="30" t="s">
        <v>452</v>
      </c>
      <c r="C32" s="30" t="s">
        <v>453</v>
      </c>
      <c r="D32" s="125" t="s">
        <v>449</v>
      </c>
      <c r="E32" s="125" t="s">
        <v>449</v>
      </c>
      <c r="F32" s="30">
        <f>F31</f>
        <v>4</v>
      </c>
      <c r="G32" s="30">
        <v>100</v>
      </c>
      <c r="H32" s="56"/>
    </row>
    <row r="33" spans="1:8" x14ac:dyDescent="0.3">
      <c r="A33" s="56"/>
      <c r="B33" s="30" t="s">
        <v>453</v>
      </c>
      <c r="C33" s="30" t="s">
        <v>454</v>
      </c>
      <c r="D33" s="125" t="s">
        <v>449</v>
      </c>
      <c r="E33" s="125" t="s">
        <v>449</v>
      </c>
      <c r="F33" s="30">
        <f>F32</f>
        <v>4</v>
      </c>
      <c r="G33" s="30">
        <v>100</v>
      </c>
      <c r="H33" s="56"/>
    </row>
    <row r="34" spans="1:8" x14ac:dyDescent="0.3">
      <c r="A34" s="56"/>
      <c r="B34" s="30" t="s">
        <v>448</v>
      </c>
      <c r="C34" s="30" t="s">
        <v>455</v>
      </c>
      <c r="D34" s="30" t="s">
        <v>5</v>
      </c>
      <c r="E34" s="30">
        <v>4</v>
      </c>
      <c r="F34" s="30">
        <v>4</v>
      </c>
      <c r="G34" s="30">
        <v>100</v>
      </c>
      <c r="H34" s="56"/>
    </row>
    <row r="35" spans="1:8" x14ac:dyDescent="0.3">
      <c r="A35" s="56"/>
      <c r="B35" s="30" t="s">
        <v>455</v>
      </c>
      <c r="C35" s="30" t="s">
        <v>237</v>
      </c>
      <c r="D35" s="125" t="s">
        <v>449</v>
      </c>
      <c r="E35" s="125" t="s">
        <v>449</v>
      </c>
      <c r="F35" s="30">
        <f>F34</f>
        <v>4</v>
      </c>
      <c r="G35" s="30">
        <v>100</v>
      </c>
      <c r="H35" s="56"/>
    </row>
    <row r="36" spans="1:8" x14ac:dyDescent="0.3">
      <c r="A36" s="56"/>
      <c r="B36" s="30" t="s">
        <v>454</v>
      </c>
      <c r="C36" s="30" t="s">
        <v>237</v>
      </c>
      <c r="D36" s="125" t="s">
        <v>449</v>
      </c>
      <c r="E36" s="125" t="s">
        <v>449</v>
      </c>
      <c r="F36" s="30">
        <f>F30+F33</f>
        <v>32</v>
      </c>
      <c r="G36" s="30">
        <v>100</v>
      </c>
      <c r="H36" s="56"/>
    </row>
    <row r="37" spans="1:8" x14ac:dyDescent="0.3">
      <c r="A37" s="56"/>
      <c r="B37" s="30" t="s">
        <v>237</v>
      </c>
      <c r="C37" s="30" t="s">
        <v>456</v>
      </c>
      <c r="D37" s="125" t="s">
        <v>449</v>
      </c>
      <c r="E37" s="125" t="s">
        <v>449</v>
      </c>
      <c r="F37" s="30">
        <v>32</v>
      </c>
      <c r="G37" s="30">
        <v>100</v>
      </c>
      <c r="H37" s="56"/>
    </row>
    <row r="38" spans="1:8" x14ac:dyDescent="0.3">
      <c r="A38" s="56"/>
      <c r="B38" s="30" t="s">
        <v>448</v>
      </c>
      <c r="C38" s="30" t="s">
        <v>457</v>
      </c>
      <c r="D38" s="125" t="s">
        <v>5</v>
      </c>
      <c r="E38" s="30">
        <v>4</v>
      </c>
      <c r="F38" s="30">
        <v>4</v>
      </c>
      <c r="G38" s="30">
        <v>100</v>
      </c>
      <c r="H38" s="56"/>
    </row>
    <row r="39" spans="1:8" x14ac:dyDescent="0.3">
      <c r="A39" s="56"/>
      <c r="B39" s="30" t="s">
        <v>448</v>
      </c>
      <c r="C39" s="30" t="s">
        <v>458</v>
      </c>
      <c r="D39" s="30" t="s">
        <v>5</v>
      </c>
      <c r="E39" s="30">
        <v>4</v>
      </c>
      <c r="F39" s="30">
        <v>4</v>
      </c>
      <c r="G39" s="30">
        <v>100</v>
      </c>
      <c r="H39" s="56"/>
    </row>
    <row r="40" spans="1:8" x14ac:dyDescent="0.3">
      <c r="A40" s="56"/>
      <c r="B40" s="30" t="s">
        <v>457</v>
      </c>
      <c r="C40" s="30" t="s">
        <v>458</v>
      </c>
      <c r="D40" s="125" t="s">
        <v>449</v>
      </c>
      <c r="E40" s="125" t="s">
        <v>449</v>
      </c>
      <c r="F40" s="30">
        <f>F38</f>
        <v>4</v>
      </c>
      <c r="G40" s="30">
        <v>100</v>
      </c>
      <c r="H40" s="56"/>
    </row>
    <row r="41" spans="1:8" x14ac:dyDescent="0.3">
      <c r="A41" s="56"/>
      <c r="B41" s="30" t="s">
        <v>458</v>
      </c>
      <c r="C41" s="30" t="s">
        <v>459</v>
      </c>
      <c r="D41" s="125" t="s">
        <v>449</v>
      </c>
      <c r="E41" s="125" t="s">
        <v>449</v>
      </c>
      <c r="F41" s="30">
        <f>F40+F39</f>
        <v>8</v>
      </c>
      <c r="G41" s="30">
        <v>100</v>
      </c>
      <c r="H41" s="56"/>
    </row>
    <row r="42" spans="1:8" x14ac:dyDescent="0.3">
      <c r="A42" s="56"/>
      <c r="B42" s="30" t="s">
        <v>459</v>
      </c>
      <c r="C42" s="30" t="s">
        <v>239</v>
      </c>
      <c r="D42" s="125" t="s">
        <v>449</v>
      </c>
      <c r="E42" s="125" t="s">
        <v>449</v>
      </c>
      <c r="F42" s="30">
        <f>F41</f>
        <v>8</v>
      </c>
      <c r="G42" s="30">
        <v>100</v>
      </c>
      <c r="H42" s="56"/>
    </row>
    <row r="43" spans="1:8" x14ac:dyDescent="0.3">
      <c r="A43" s="56"/>
      <c r="B43" s="30" t="s">
        <v>456</v>
      </c>
      <c r="C43" s="30" t="s">
        <v>239</v>
      </c>
      <c r="D43" s="125" t="s">
        <v>449</v>
      </c>
      <c r="E43" s="125" t="s">
        <v>449</v>
      </c>
      <c r="F43" s="30">
        <f>F37</f>
        <v>32</v>
      </c>
      <c r="G43" s="30">
        <v>100</v>
      </c>
      <c r="H43" s="56"/>
    </row>
    <row r="44" spans="1:8" x14ac:dyDescent="0.3">
      <c r="A44" s="56"/>
      <c r="B44" s="30"/>
      <c r="C44" s="30" t="s">
        <v>239</v>
      </c>
      <c r="D44" s="125" t="s">
        <v>449</v>
      </c>
      <c r="E44" s="125" t="s">
        <v>449</v>
      </c>
      <c r="F44" s="30">
        <f>F43+F42</f>
        <v>40</v>
      </c>
      <c r="G44" s="30">
        <v>100</v>
      </c>
      <c r="H44" s="56"/>
    </row>
    <row r="45" spans="1:8" x14ac:dyDescent="0.3">
      <c r="A45" s="56"/>
      <c r="B45" s="124"/>
      <c r="C45" s="124"/>
      <c r="D45" s="124"/>
      <c r="E45" s="124"/>
      <c r="F45" s="124"/>
      <c r="G45" s="124"/>
      <c r="H45" s="56"/>
    </row>
    <row r="46" spans="1:8" x14ac:dyDescent="0.3">
      <c r="A46" s="56"/>
      <c r="B46" s="124"/>
      <c r="C46" s="124"/>
      <c r="D46" s="124"/>
      <c r="E46" s="124"/>
      <c r="F46" s="124"/>
      <c r="G46" s="124"/>
      <c r="H46" s="56"/>
    </row>
    <row r="47" spans="1:8" x14ac:dyDescent="0.3">
      <c r="A47" s="56"/>
      <c r="B47" s="124"/>
      <c r="C47" s="124"/>
      <c r="D47" s="124"/>
      <c r="E47" s="124"/>
      <c r="F47" s="124"/>
      <c r="G47" s="124"/>
      <c r="H47" s="56"/>
    </row>
    <row r="48" spans="1:8" x14ac:dyDescent="0.3">
      <c r="A48" s="56"/>
      <c r="B48" s="124"/>
      <c r="C48" s="124"/>
      <c r="D48" s="124"/>
      <c r="E48" s="124"/>
      <c r="F48" s="124"/>
      <c r="G48" s="124"/>
      <c r="H48" s="56"/>
    </row>
    <row r="49" spans="2:7" x14ac:dyDescent="0.3">
      <c r="B49" s="5"/>
      <c r="C49" s="5"/>
      <c r="D49" s="5"/>
      <c r="E49" s="5"/>
      <c r="F49" s="5"/>
      <c r="G49" s="5"/>
    </row>
    <row r="50" spans="2:7" x14ac:dyDescent="0.3">
      <c r="B50" s="5"/>
      <c r="C50" s="5"/>
      <c r="D50" s="5"/>
      <c r="E50" s="5"/>
      <c r="F50" s="5"/>
      <c r="G50" s="5"/>
    </row>
    <row r="51" spans="2:7" x14ac:dyDescent="0.3">
      <c r="B51" s="5"/>
      <c r="C51" s="5"/>
      <c r="D51" s="5"/>
      <c r="E51" s="5"/>
      <c r="F51" s="5"/>
      <c r="G51" s="5"/>
    </row>
    <row r="52" spans="2:7" x14ac:dyDescent="0.3">
      <c r="B52" s="5"/>
      <c r="C52" s="5"/>
      <c r="D52" s="5"/>
      <c r="E52" s="5"/>
      <c r="F52" s="5"/>
      <c r="G52" s="5"/>
    </row>
    <row r="53" spans="2:7" x14ac:dyDescent="0.3">
      <c r="B53" s="5"/>
      <c r="C53" s="5"/>
      <c r="D53" s="5"/>
      <c r="E53" s="5"/>
      <c r="F53" s="5"/>
      <c r="G53" s="5"/>
    </row>
    <row r="54" spans="2:7" x14ac:dyDescent="0.3">
      <c r="B54" s="5"/>
      <c r="C54" s="5"/>
      <c r="D54" s="5"/>
      <c r="E54" s="5"/>
      <c r="F54" s="5"/>
      <c r="G54" s="5"/>
    </row>
    <row r="55" spans="2:7" x14ac:dyDescent="0.3">
      <c r="B55" s="5"/>
      <c r="C55" s="5"/>
      <c r="D55" s="5"/>
      <c r="E55" s="5"/>
      <c r="F55" s="5"/>
      <c r="G55" s="5"/>
    </row>
    <row r="56" spans="2:7" x14ac:dyDescent="0.3">
      <c r="B56" s="5"/>
      <c r="C56" s="5"/>
      <c r="D56" s="5"/>
      <c r="E56" s="5"/>
      <c r="F56" s="5"/>
      <c r="G56" s="5"/>
    </row>
    <row r="57" spans="2:7" x14ac:dyDescent="0.3">
      <c r="B57" s="5"/>
      <c r="C57" s="5"/>
      <c r="D57" s="5"/>
      <c r="E57" s="5"/>
      <c r="F57" s="5"/>
      <c r="G57" s="5"/>
    </row>
    <row r="58" spans="2:7" x14ac:dyDescent="0.3">
      <c r="B58" s="5"/>
      <c r="C58" s="5"/>
      <c r="D58" s="5"/>
      <c r="E58" s="5"/>
      <c r="F58" s="5"/>
      <c r="G58" s="5"/>
    </row>
    <row r="59" spans="2:7" x14ac:dyDescent="0.3">
      <c r="B59" s="5"/>
      <c r="C59" s="5"/>
      <c r="D59" s="5"/>
      <c r="E59" s="5"/>
      <c r="F59" s="5"/>
      <c r="G59" s="5"/>
    </row>
    <row r="60" spans="2:7" x14ac:dyDescent="0.3">
      <c r="B60" s="5"/>
      <c r="C60" s="5"/>
      <c r="D60" s="5"/>
      <c r="E60" s="5"/>
      <c r="F60" s="5"/>
      <c r="G60" s="5"/>
    </row>
    <row r="61" spans="2:7" x14ac:dyDescent="0.3">
      <c r="B61" s="5"/>
      <c r="C61" s="5"/>
      <c r="D61" s="5"/>
      <c r="E61" s="5"/>
      <c r="F61" s="5"/>
      <c r="G61" s="5"/>
    </row>
    <row r="62" spans="2:7" x14ac:dyDescent="0.3">
      <c r="B62" s="5"/>
      <c r="C62" s="5"/>
      <c r="D62" s="5"/>
      <c r="E62" s="5"/>
      <c r="F62" s="5"/>
      <c r="G62" s="5"/>
    </row>
    <row r="63" spans="2:7" x14ac:dyDescent="0.3">
      <c r="B63" s="5"/>
      <c r="C63" s="5"/>
      <c r="D63" s="5"/>
      <c r="E63" s="5"/>
      <c r="F63" s="5"/>
      <c r="G63" s="5"/>
    </row>
    <row r="64" spans="2:7" x14ac:dyDescent="0.3">
      <c r="B64" s="5"/>
      <c r="C64" s="5"/>
      <c r="D64" s="5"/>
      <c r="E64" s="5"/>
      <c r="F64" s="5"/>
      <c r="G64" s="5"/>
    </row>
    <row r="65" spans="2:7" x14ac:dyDescent="0.3">
      <c r="B65" s="5"/>
      <c r="C65" s="5"/>
      <c r="D65" s="5"/>
      <c r="E65" s="5"/>
      <c r="F65" s="5"/>
      <c r="G65" s="5"/>
    </row>
    <row r="66" spans="2:7" x14ac:dyDescent="0.3">
      <c r="B66" s="5"/>
      <c r="C66" s="5"/>
      <c r="D66" s="5"/>
      <c r="E66" s="5"/>
      <c r="F66" s="5"/>
      <c r="G66" s="5"/>
    </row>
    <row r="67" spans="2:7" x14ac:dyDescent="0.3">
      <c r="B67" s="5"/>
      <c r="C67" s="5"/>
      <c r="D67" s="5"/>
      <c r="E67" s="5"/>
      <c r="F67" s="5"/>
      <c r="G67" s="5"/>
    </row>
    <row r="68" spans="2:7" x14ac:dyDescent="0.3">
      <c r="B68" s="5"/>
      <c r="C68" s="5"/>
      <c r="D68" s="5"/>
      <c r="E68" s="5"/>
      <c r="F68" s="5"/>
      <c r="G68" s="5"/>
    </row>
    <row r="69" spans="2:7" x14ac:dyDescent="0.3">
      <c r="B69" s="5"/>
      <c r="C69" s="5"/>
      <c r="D69" s="5"/>
      <c r="E69" s="5"/>
      <c r="F69" s="5"/>
      <c r="G69" s="5"/>
    </row>
    <row r="70" spans="2:7" x14ac:dyDescent="0.3">
      <c r="B70" s="5"/>
      <c r="C70" s="5"/>
      <c r="D70" s="5"/>
      <c r="E70" s="5"/>
      <c r="F70" s="5"/>
      <c r="G70" s="5"/>
    </row>
    <row r="71" spans="2:7" x14ac:dyDescent="0.3">
      <c r="B71" s="5"/>
      <c r="C71" s="5"/>
      <c r="D71" s="5"/>
      <c r="E71" s="5"/>
      <c r="F71" s="5"/>
      <c r="G71" s="5"/>
    </row>
    <row r="72" spans="2:7" x14ac:dyDescent="0.3">
      <c r="B72" s="5"/>
      <c r="C72" s="5"/>
      <c r="D72" s="5"/>
      <c r="E72" s="5"/>
      <c r="F72" s="5"/>
      <c r="G72" s="5"/>
    </row>
    <row r="73" spans="2:7" x14ac:dyDescent="0.3">
      <c r="B73" s="5"/>
      <c r="C73" s="5"/>
      <c r="D73" s="5"/>
      <c r="E73" s="5"/>
      <c r="F73" s="5"/>
      <c r="G73" s="5"/>
    </row>
    <row r="74" spans="2:7" x14ac:dyDescent="0.3">
      <c r="B74" s="5"/>
      <c r="C74" s="5"/>
      <c r="D74" s="5"/>
      <c r="E74" s="5"/>
      <c r="F74" s="5"/>
      <c r="G74" s="5"/>
    </row>
    <row r="75" spans="2:7" x14ac:dyDescent="0.3">
      <c r="B75" s="5"/>
      <c r="C75" s="5"/>
      <c r="D75" s="5"/>
      <c r="E75" s="5"/>
      <c r="F75" s="5"/>
      <c r="G75" s="5"/>
    </row>
    <row r="76" spans="2:7" x14ac:dyDescent="0.3">
      <c r="B76" s="5"/>
      <c r="C76" s="5"/>
      <c r="D76" s="5"/>
      <c r="E76" s="5"/>
      <c r="F76" s="5"/>
      <c r="G76" s="5"/>
    </row>
    <row r="77" spans="2:7" x14ac:dyDescent="0.3">
      <c r="B77" s="5"/>
      <c r="C77" s="5"/>
      <c r="D77" s="5"/>
      <c r="E77" s="5"/>
      <c r="F77" s="5"/>
      <c r="G77" s="5"/>
    </row>
    <row r="78" spans="2:7" x14ac:dyDescent="0.3">
      <c r="B78" s="5"/>
      <c r="C78" s="5"/>
      <c r="D78" s="5"/>
      <c r="E78" s="5"/>
      <c r="F78" s="5"/>
      <c r="G78" s="5"/>
    </row>
    <row r="79" spans="2:7" x14ac:dyDescent="0.3">
      <c r="B79" s="5"/>
      <c r="C79" s="5"/>
      <c r="D79" s="5"/>
      <c r="E79" s="5"/>
      <c r="F79" s="5"/>
      <c r="G79" s="5"/>
    </row>
    <row r="80" spans="2:7" x14ac:dyDescent="0.3">
      <c r="B80" s="5"/>
      <c r="C80" s="5"/>
      <c r="D80" s="5"/>
      <c r="E80" s="5"/>
      <c r="F80" s="5"/>
      <c r="G80" s="5"/>
    </row>
    <row r="81" spans="2:7" x14ac:dyDescent="0.3">
      <c r="B81" s="5"/>
      <c r="C81" s="5"/>
      <c r="D81" s="5"/>
      <c r="E81" s="5"/>
      <c r="F81" s="5"/>
      <c r="G81" s="5"/>
    </row>
    <row r="82" spans="2:7" x14ac:dyDescent="0.3">
      <c r="B82" s="5"/>
      <c r="C82" s="5"/>
      <c r="D82" s="5"/>
      <c r="E82" s="5"/>
      <c r="F82" s="5"/>
      <c r="G82" s="5"/>
    </row>
    <row r="83" spans="2:7" x14ac:dyDescent="0.3">
      <c r="B83" s="5"/>
      <c r="C83" s="5"/>
      <c r="D83" s="5"/>
      <c r="E83" s="5"/>
      <c r="F83" s="5"/>
      <c r="G83" s="5"/>
    </row>
    <row r="84" spans="2:7" x14ac:dyDescent="0.3">
      <c r="B84" s="5"/>
      <c r="C84" s="5"/>
      <c r="D84" s="5"/>
      <c r="E84" s="5"/>
      <c r="F84" s="5"/>
      <c r="G84" s="5"/>
    </row>
    <row r="85" spans="2:7" x14ac:dyDescent="0.3">
      <c r="B85" s="5"/>
      <c r="C85" s="5"/>
      <c r="D85" s="5"/>
      <c r="E85" s="5"/>
      <c r="F85" s="5"/>
      <c r="G85" s="5"/>
    </row>
    <row r="86" spans="2:7" x14ac:dyDescent="0.3">
      <c r="B86" s="5"/>
      <c r="C86" s="5"/>
      <c r="D86" s="5"/>
      <c r="E86" s="5"/>
      <c r="F86" s="5"/>
      <c r="G86" s="5"/>
    </row>
    <row r="87" spans="2:7" x14ac:dyDescent="0.3">
      <c r="B87" s="5"/>
      <c r="C87" s="5"/>
      <c r="D87" s="5"/>
      <c r="E87" s="5"/>
      <c r="F87" s="5"/>
      <c r="G87" s="5"/>
    </row>
    <row r="88" spans="2:7" x14ac:dyDescent="0.3">
      <c r="B88" s="5"/>
      <c r="C88" s="5"/>
      <c r="D88" s="5"/>
      <c r="E88" s="5"/>
      <c r="F88" s="5"/>
      <c r="G88" s="5"/>
    </row>
    <row r="89" spans="2:7" x14ac:dyDescent="0.3">
      <c r="B89" s="5"/>
      <c r="C89" s="5"/>
      <c r="D89" s="5"/>
      <c r="E89" s="5"/>
      <c r="F89" s="5"/>
      <c r="G89" s="5"/>
    </row>
    <row r="90" spans="2:7" x14ac:dyDescent="0.3">
      <c r="B90" s="5"/>
      <c r="C90" s="5"/>
      <c r="D90" s="5"/>
      <c r="E90" s="5"/>
      <c r="F90" s="5"/>
      <c r="G90" s="5"/>
    </row>
    <row r="91" spans="2:7" x14ac:dyDescent="0.3">
      <c r="B91" s="5"/>
      <c r="C91" s="5"/>
      <c r="D91" s="5"/>
      <c r="E91" s="5"/>
      <c r="F91" s="5"/>
      <c r="G91" s="5"/>
    </row>
    <row r="92" spans="2:7" x14ac:dyDescent="0.3">
      <c r="B92" s="5"/>
      <c r="C92" s="5"/>
      <c r="D92" s="5"/>
      <c r="E92" s="5"/>
      <c r="F92" s="5"/>
      <c r="G92" s="5"/>
    </row>
    <row r="93" spans="2:7" x14ac:dyDescent="0.3">
      <c r="B93" s="5"/>
      <c r="C93" s="5"/>
      <c r="D93" s="5"/>
      <c r="E93" s="5"/>
      <c r="F93" s="5"/>
      <c r="G93" s="5"/>
    </row>
    <row r="94" spans="2:7" x14ac:dyDescent="0.3">
      <c r="B94" s="5"/>
      <c r="C94" s="5"/>
      <c r="D94" s="5"/>
      <c r="E94" s="5"/>
      <c r="F94" s="5"/>
      <c r="G94" s="5"/>
    </row>
    <row r="95" spans="2:7" x14ac:dyDescent="0.3">
      <c r="B95" s="5"/>
      <c r="C95" s="5"/>
      <c r="D95" s="5"/>
      <c r="E95" s="5"/>
      <c r="F95" s="5"/>
      <c r="G95" s="5"/>
    </row>
    <row r="96" spans="2:7" x14ac:dyDescent="0.3">
      <c r="B96" s="5"/>
      <c r="C96" s="5"/>
      <c r="D96" s="5"/>
      <c r="E96" s="5"/>
      <c r="F96" s="5"/>
      <c r="G96" s="5"/>
    </row>
    <row r="97" spans="2:7" x14ac:dyDescent="0.3">
      <c r="B97" s="5"/>
      <c r="C97" s="5"/>
      <c r="D97" s="5"/>
      <c r="E97" s="5"/>
      <c r="F97" s="5"/>
      <c r="G97" s="5"/>
    </row>
    <row r="98" spans="2:7" x14ac:dyDescent="0.3">
      <c r="B98" s="5"/>
      <c r="C98" s="5"/>
      <c r="D98" s="5"/>
      <c r="E98" s="5"/>
      <c r="F98" s="5"/>
      <c r="G98" s="5"/>
    </row>
    <row r="99" spans="2:7" x14ac:dyDescent="0.3">
      <c r="B99" s="5"/>
      <c r="C99" s="5"/>
      <c r="D99" s="5"/>
      <c r="E99" s="5"/>
      <c r="F99" s="5"/>
      <c r="G99" s="5"/>
    </row>
    <row r="100" spans="2:7" x14ac:dyDescent="0.3">
      <c r="B100" s="5"/>
      <c r="C100" s="5"/>
      <c r="D100" s="5"/>
      <c r="E100" s="5"/>
      <c r="F100" s="5"/>
      <c r="G100" s="5"/>
    </row>
    <row r="101" spans="2:7" x14ac:dyDescent="0.3">
      <c r="B101" s="5"/>
      <c r="C101" s="5"/>
      <c r="D101" s="5"/>
      <c r="E101" s="5"/>
      <c r="F101" s="5"/>
      <c r="G101" s="5"/>
    </row>
    <row r="102" spans="2:7" x14ac:dyDescent="0.3">
      <c r="B102" s="5"/>
      <c r="C102" s="5"/>
      <c r="D102" s="5"/>
      <c r="E102" s="5"/>
      <c r="F102" s="5"/>
      <c r="G102" s="5"/>
    </row>
    <row r="103" spans="2:7" x14ac:dyDescent="0.3">
      <c r="B103" s="5"/>
      <c r="C103" s="5"/>
      <c r="D103" s="5"/>
      <c r="E103" s="5"/>
      <c r="F103" s="5"/>
      <c r="G103" s="5"/>
    </row>
    <row r="104" spans="2:7" x14ac:dyDescent="0.3">
      <c r="B104" s="5"/>
      <c r="C104" s="5"/>
      <c r="D104" s="5"/>
      <c r="E104" s="5"/>
      <c r="F104" s="5"/>
      <c r="G104" s="5"/>
    </row>
    <row r="105" spans="2:7" x14ac:dyDescent="0.3">
      <c r="B105" s="5"/>
      <c r="C105" s="5"/>
      <c r="D105" s="5"/>
      <c r="E105" s="5"/>
      <c r="F105" s="5"/>
      <c r="G105" s="5"/>
    </row>
    <row r="106" spans="2:7" x14ac:dyDescent="0.3">
      <c r="B106" s="5"/>
      <c r="C106" s="5"/>
      <c r="D106" s="5"/>
      <c r="E106" s="5"/>
      <c r="F106" s="5"/>
      <c r="G106" s="5"/>
    </row>
    <row r="107" spans="2:7" x14ac:dyDescent="0.3">
      <c r="B107" s="5"/>
      <c r="C107" s="5"/>
      <c r="D107" s="5"/>
      <c r="E107" s="5"/>
      <c r="F107" s="5"/>
      <c r="G107" s="5"/>
    </row>
    <row r="108" spans="2:7" x14ac:dyDescent="0.3">
      <c r="B108" s="5"/>
      <c r="C108" s="5"/>
      <c r="D108" s="5"/>
      <c r="E108" s="5"/>
      <c r="F108" s="5"/>
      <c r="G108" s="5"/>
    </row>
    <row r="109" spans="2:7" x14ac:dyDescent="0.3">
      <c r="B109" s="5"/>
      <c r="C109" s="5"/>
      <c r="D109" s="5"/>
      <c r="E109" s="5"/>
      <c r="F109" s="5"/>
      <c r="G109" s="5"/>
    </row>
    <row r="110" spans="2:7" x14ac:dyDescent="0.3">
      <c r="B110" s="5"/>
      <c r="C110" s="5"/>
      <c r="D110" s="5"/>
      <c r="E110" s="5"/>
      <c r="F110" s="5"/>
      <c r="G110" s="5"/>
    </row>
    <row r="111" spans="2:7" x14ac:dyDescent="0.3">
      <c r="B111" s="5"/>
      <c r="C111" s="5"/>
      <c r="D111" s="5"/>
      <c r="E111" s="5"/>
      <c r="F111" s="5"/>
      <c r="G111" s="5"/>
    </row>
    <row r="112" spans="2:7" x14ac:dyDescent="0.3">
      <c r="B112" s="5"/>
      <c r="C112" s="5"/>
      <c r="D112" s="5"/>
      <c r="E112" s="5"/>
      <c r="F112" s="5"/>
      <c r="G112" s="5"/>
    </row>
    <row r="113" spans="2:7" x14ac:dyDescent="0.3">
      <c r="B113" s="5"/>
      <c r="C113" s="5"/>
      <c r="D113" s="5"/>
      <c r="E113" s="5"/>
      <c r="F113" s="5"/>
      <c r="G113" s="5"/>
    </row>
    <row r="114" spans="2:7" x14ac:dyDescent="0.3">
      <c r="B114" s="5"/>
      <c r="C114" s="5"/>
      <c r="D114" s="5"/>
      <c r="E114" s="5"/>
      <c r="F114" s="5"/>
      <c r="G114" s="5"/>
    </row>
    <row r="115" spans="2:7" x14ac:dyDescent="0.3">
      <c r="B115" s="5"/>
      <c r="C115" s="5"/>
      <c r="D115" s="5"/>
      <c r="E115" s="5"/>
      <c r="F115" s="5"/>
      <c r="G115" s="5"/>
    </row>
    <row r="116" spans="2:7" x14ac:dyDescent="0.3">
      <c r="B116" s="5"/>
      <c r="C116" s="5"/>
      <c r="D116" s="5"/>
      <c r="E116" s="5"/>
      <c r="F116" s="5"/>
      <c r="G116" s="5"/>
    </row>
    <row r="117" spans="2:7" x14ac:dyDescent="0.3">
      <c r="B117" s="5"/>
      <c r="C117" s="5"/>
      <c r="D117" s="5"/>
      <c r="E117" s="5"/>
      <c r="F117" s="5"/>
      <c r="G117" s="5"/>
    </row>
    <row r="118" spans="2:7" x14ac:dyDescent="0.3">
      <c r="B118" s="5"/>
      <c r="C118" s="5"/>
      <c r="D118" s="5"/>
      <c r="E118" s="5"/>
      <c r="F118" s="5"/>
      <c r="G118" s="5"/>
    </row>
    <row r="119" spans="2:7" x14ac:dyDescent="0.3">
      <c r="B119" s="5"/>
      <c r="C119" s="5"/>
      <c r="D119" s="5"/>
      <c r="E119" s="5"/>
      <c r="F119" s="5"/>
      <c r="G119" s="5"/>
    </row>
    <row r="120" spans="2:7" x14ac:dyDescent="0.3">
      <c r="B120" s="5"/>
      <c r="C120" s="5"/>
      <c r="D120" s="5"/>
      <c r="E120" s="5"/>
      <c r="F120" s="5"/>
      <c r="G120" s="5"/>
    </row>
    <row r="121" spans="2:7" x14ac:dyDescent="0.3">
      <c r="B121" s="5"/>
      <c r="C121" s="5"/>
      <c r="D121" s="5"/>
      <c r="E121" s="5"/>
      <c r="F121" s="5"/>
      <c r="G121" s="5"/>
    </row>
    <row r="122" spans="2:7" x14ac:dyDescent="0.3">
      <c r="B122" s="5"/>
      <c r="C122" s="5"/>
      <c r="D122" s="5"/>
      <c r="E122" s="5"/>
      <c r="F122" s="5"/>
      <c r="G122" s="5"/>
    </row>
    <row r="123" spans="2:7" x14ac:dyDescent="0.3">
      <c r="B123" s="5"/>
      <c r="C123" s="5"/>
      <c r="D123" s="5"/>
      <c r="E123" s="5"/>
      <c r="F123" s="5"/>
      <c r="G123" s="5"/>
    </row>
    <row r="124" spans="2:7" x14ac:dyDescent="0.3">
      <c r="B124" s="5"/>
      <c r="C124" s="5"/>
      <c r="D124" s="5"/>
      <c r="E124" s="5"/>
      <c r="F124" s="5"/>
      <c r="G124" s="5"/>
    </row>
    <row r="125" spans="2:7" x14ac:dyDescent="0.3">
      <c r="B125" s="5"/>
      <c r="C125" s="5"/>
      <c r="D125" s="5"/>
      <c r="E125" s="5"/>
      <c r="F125" s="5"/>
      <c r="G125" s="5"/>
    </row>
    <row r="126" spans="2:7" x14ac:dyDescent="0.3">
      <c r="B126" s="5"/>
      <c r="C126" s="5"/>
      <c r="D126" s="5"/>
      <c r="E126" s="5"/>
      <c r="F126" s="5"/>
      <c r="G126" s="5"/>
    </row>
  </sheetData>
  <mergeCells count="38">
    <mergeCell ref="B9:C9"/>
    <mergeCell ref="L8:M8"/>
    <mergeCell ref="L10:M10"/>
    <mergeCell ref="B10:C10"/>
    <mergeCell ref="B11:C11"/>
    <mergeCell ref="G8:H8"/>
    <mergeCell ref="G9:H9"/>
    <mergeCell ref="B8:C8"/>
    <mergeCell ref="G11:H11"/>
    <mergeCell ref="L9:M9"/>
    <mergeCell ref="B3:F3"/>
    <mergeCell ref="G3:K3"/>
    <mergeCell ref="G5:H5"/>
    <mergeCell ref="G6:H6"/>
    <mergeCell ref="G7:H7"/>
    <mergeCell ref="B4:F4"/>
    <mergeCell ref="B5:C5"/>
    <mergeCell ref="B6:C6"/>
    <mergeCell ref="B7:C7"/>
    <mergeCell ref="G4:K4"/>
    <mergeCell ref="L3:P3"/>
    <mergeCell ref="L4:P4"/>
    <mergeCell ref="L5:M5"/>
    <mergeCell ref="L6:M6"/>
    <mergeCell ref="L7:M7"/>
    <mergeCell ref="B15:G15"/>
    <mergeCell ref="I15:N15"/>
    <mergeCell ref="I16:J16"/>
    <mergeCell ref="K16:K17"/>
    <mergeCell ref="G10:H10"/>
    <mergeCell ref="B16:C16"/>
    <mergeCell ref="D16:D17"/>
    <mergeCell ref="E16:E17"/>
    <mergeCell ref="F16:F17"/>
    <mergeCell ref="G16:G17"/>
    <mergeCell ref="L16:L17"/>
    <mergeCell ref="M16:M17"/>
    <mergeCell ref="N16:N1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8F8A9-670D-4D2A-A4D2-1A429A78D220}">
  <sheetPr>
    <tabColor rgb="FF00B0F0"/>
  </sheetPr>
  <dimension ref="A6:Q285"/>
  <sheetViews>
    <sheetView view="pageBreakPreview" topLeftCell="A186" zoomScale="85" zoomScaleNormal="55" zoomScaleSheetLayoutView="85" workbookViewId="0">
      <selection activeCell="C205" sqref="C205"/>
    </sheetView>
  </sheetViews>
  <sheetFormatPr defaultRowHeight="14.4" x14ac:dyDescent="0.3"/>
  <cols>
    <col min="1" max="1" width="4.6640625" style="9" bestFit="1" customWidth="1"/>
    <col min="2" max="2" width="15" customWidth="1"/>
    <col min="3" max="3" width="22" style="132" customWidth="1"/>
    <col min="4" max="4" width="16.88671875" customWidth="1"/>
    <col min="5" max="5" width="21.33203125" customWidth="1"/>
    <col min="6" max="6" width="17.33203125" customWidth="1"/>
    <col min="7" max="7" width="20.6640625" customWidth="1"/>
    <col min="8" max="8" width="17.5546875" customWidth="1"/>
    <col min="9" max="9" width="19.88671875" customWidth="1"/>
    <col min="10" max="10" width="9.109375" customWidth="1"/>
    <col min="11" max="11" width="19.5546875" hidden="1" customWidth="1"/>
    <col min="12" max="12" width="10.109375" hidden="1" customWidth="1"/>
    <col min="13" max="13" width="9.109375" style="5" hidden="1" customWidth="1"/>
    <col min="14" max="14" width="11.33203125" hidden="1" customWidth="1"/>
    <col min="15" max="15" width="8.88671875" hidden="1" customWidth="1"/>
    <col min="16" max="16" width="8.88671875" customWidth="1"/>
    <col min="17" max="17" width="10.88671875" customWidth="1"/>
  </cols>
  <sheetData>
    <row r="6" spans="1:17" ht="14.4" customHeight="1" x14ac:dyDescent="0.3">
      <c r="A6" s="224" t="s">
        <v>603</v>
      </c>
      <c r="B6" s="224"/>
      <c r="C6" s="224"/>
      <c r="D6" s="224"/>
      <c r="E6" s="224"/>
      <c r="F6" s="224"/>
      <c r="G6" s="224"/>
      <c r="H6" s="129"/>
      <c r="I6" s="129"/>
      <c r="J6" s="129"/>
      <c r="K6" s="129"/>
      <c r="L6" s="129"/>
      <c r="M6" s="129"/>
      <c r="N6" s="129"/>
      <c r="O6" s="129"/>
      <c r="P6" s="129"/>
      <c r="Q6" s="129"/>
    </row>
    <row r="7" spans="1:17" ht="14.4" customHeight="1" x14ac:dyDescent="0.3">
      <c r="A7" s="224"/>
      <c r="B7" s="224"/>
      <c r="C7" s="224"/>
      <c r="D7" s="224"/>
      <c r="E7" s="224"/>
      <c r="F7" s="224"/>
      <c r="G7" s="224"/>
      <c r="H7" s="129"/>
      <c r="I7" s="129"/>
      <c r="J7" s="129"/>
      <c r="K7" s="129"/>
      <c r="L7" s="129"/>
      <c r="M7" s="129"/>
      <c r="N7" s="129"/>
      <c r="O7" s="129"/>
      <c r="P7" s="129"/>
      <c r="Q7" s="129"/>
    </row>
    <row r="8" spans="1:17" ht="14.4" customHeight="1" x14ac:dyDescent="0.3">
      <c r="A8" s="130"/>
      <c r="B8" s="130"/>
      <c r="C8" s="130"/>
      <c r="D8" s="130"/>
      <c r="E8" s="130"/>
      <c r="F8" s="130"/>
      <c r="G8" s="130"/>
      <c r="H8" s="129"/>
      <c r="I8" s="129"/>
      <c r="J8" s="129"/>
      <c r="K8" s="129"/>
      <c r="L8" s="129"/>
      <c r="M8" s="129"/>
      <c r="N8" s="129"/>
      <c r="O8" s="129"/>
      <c r="P8" s="129"/>
      <c r="Q8" s="129"/>
    </row>
    <row r="9" spans="1:17" x14ac:dyDescent="0.3">
      <c r="A9"/>
      <c r="B9" s="33" t="s">
        <v>604</v>
      </c>
      <c r="C9" s="33"/>
      <c r="M9"/>
    </row>
    <row r="10" spans="1:17" x14ac:dyDescent="0.3">
      <c r="A10"/>
      <c r="B10" s="131" t="s">
        <v>605</v>
      </c>
      <c r="C10" s="126"/>
      <c r="D10" s="126"/>
      <c r="E10" s="126"/>
    </row>
    <row r="11" spans="1:17" x14ac:dyDescent="0.3">
      <c r="A11"/>
      <c r="M11"/>
    </row>
    <row r="12" spans="1:17" x14ac:dyDescent="0.3">
      <c r="A12"/>
      <c r="B12" s="201" t="s">
        <v>2</v>
      </c>
      <c r="C12" s="199" t="s">
        <v>606</v>
      </c>
      <c r="D12" s="199" t="s">
        <v>7</v>
      </c>
      <c r="E12" s="199" t="s">
        <v>607</v>
      </c>
      <c r="F12" s="199" t="s">
        <v>608</v>
      </c>
      <c r="G12" s="201" t="s">
        <v>236</v>
      </c>
      <c r="M12"/>
    </row>
    <row r="13" spans="1:17" x14ac:dyDescent="0.3">
      <c r="A13"/>
      <c r="B13" s="201"/>
      <c r="C13" s="199"/>
      <c r="D13" s="199"/>
      <c r="E13" s="199"/>
      <c r="F13" s="199"/>
      <c r="G13" s="201"/>
      <c r="M13"/>
    </row>
    <row r="14" spans="1:17" x14ac:dyDescent="0.3">
      <c r="A14"/>
      <c r="B14" s="11">
        <v>1</v>
      </c>
      <c r="C14" s="133" t="s">
        <v>609</v>
      </c>
      <c r="D14" s="11">
        <v>2</v>
      </c>
      <c r="E14" s="11">
        <v>2</v>
      </c>
      <c r="F14" s="11">
        <f>D14*E14</f>
        <v>4</v>
      </c>
      <c r="G14" s="226">
        <v>105</v>
      </c>
      <c r="M14"/>
    </row>
    <row r="15" spans="1:17" x14ac:dyDescent="0.3">
      <c r="A15"/>
      <c r="B15" s="11">
        <v>2</v>
      </c>
      <c r="C15" s="133" t="s">
        <v>20</v>
      </c>
      <c r="D15" s="11">
        <v>6</v>
      </c>
      <c r="E15" s="11">
        <v>3</v>
      </c>
      <c r="F15" s="11">
        <f>D15*E15</f>
        <v>18</v>
      </c>
      <c r="G15" s="227"/>
      <c r="M15"/>
    </row>
    <row r="16" spans="1:17" x14ac:dyDescent="0.3">
      <c r="A16"/>
      <c r="B16" s="134">
        <v>3</v>
      </c>
      <c r="C16" s="127" t="s">
        <v>610</v>
      </c>
      <c r="D16" s="134">
        <v>5</v>
      </c>
      <c r="E16" s="134">
        <v>6</v>
      </c>
      <c r="F16" s="134">
        <f>D16*E16</f>
        <v>30</v>
      </c>
      <c r="G16" s="227"/>
      <c r="M16"/>
    </row>
    <row r="17" spans="1:17" x14ac:dyDescent="0.3">
      <c r="A17"/>
      <c r="B17" s="151" t="s">
        <v>109</v>
      </c>
      <c r="C17" s="151"/>
      <c r="D17" s="151"/>
      <c r="E17" s="151"/>
      <c r="F17" s="11">
        <f>SUM(F14:F16)</f>
        <v>52</v>
      </c>
      <c r="G17" s="228"/>
      <c r="M17"/>
    </row>
    <row r="18" spans="1:17" x14ac:dyDescent="0.3">
      <c r="A18"/>
      <c r="M18"/>
    </row>
    <row r="19" spans="1:17" ht="28.95" customHeight="1" x14ac:dyDescent="0.3">
      <c r="A19"/>
      <c r="B19" s="133" t="s">
        <v>611</v>
      </c>
      <c r="C19" s="135">
        <v>30</v>
      </c>
      <c r="D19" s="1" t="s">
        <v>177</v>
      </c>
    </row>
    <row r="20" spans="1:17" x14ac:dyDescent="0.3">
      <c r="A20"/>
      <c r="B20" s="32" t="s">
        <v>239</v>
      </c>
      <c r="C20" s="86">
        <f>G14</f>
        <v>105</v>
      </c>
      <c r="D20" s="11" t="s">
        <v>236</v>
      </c>
    </row>
    <row r="21" spans="1:17" x14ac:dyDescent="0.3">
      <c r="A21"/>
      <c r="B21" s="32" t="s">
        <v>612</v>
      </c>
      <c r="C21" s="86">
        <f>C20*C19</f>
        <v>3150</v>
      </c>
      <c r="D21" s="11" t="s">
        <v>237</v>
      </c>
    </row>
    <row r="22" spans="1:17" x14ac:dyDescent="0.3">
      <c r="A22"/>
      <c r="B22" s="32" t="s">
        <v>612</v>
      </c>
      <c r="C22" s="86">
        <f>C21/1000</f>
        <v>3.15</v>
      </c>
      <c r="D22" s="11" t="s">
        <v>134</v>
      </c>
    </row>
    <row r="23" spans="1:17" x14ac:dyDescent="0.3">
      <c r="A23"/>
      <c r="B23" s="32" t="s">
        <v>613</v>
      </c>
      <c r="C23" s="86">
        <f>20/100</f>
        <v>0.2</v>
      </c>
      <c r="D23" s="11" t="s">
        <v>196</v>
      </c>
    </row>
    <row r="24" spans="1:17" x14ac:dyDescent="0.3">
      <c r="A24"/>
      <c r="B24" s="32" t="s">
        <v>614</v>
      </c>
      <c r="C24" s="135">
        <f>C22+C23</f>
        <v>3.35</v>
      </c>
      <c r="D24" s="11" t="s">
        <v>134</v>
      </c>
    </row>
    <row r="25" spans="1:17" s="33" customFormat="1" x14ac:dyDescent="0.3">
      <c r="A25"/>
      <c r="B25"/>
      <c r="C25" s="132"/>
      <c r="D25"/>
      <c r="E25"/>
      <c r="F25"/>
      <c r="O25"/>
      <c r="Q25"/>
    </row>
    <row r="26" spans="1:17" x14ac:dyDescent="0.3">
      <c r="A26"/>
      <c r="B26" s="189" t="s">
        <v>615</v>
      </c>
      <c r="C26" s="189"/>
      <c r="D26" s="189"/>
      <c r="E26" s="201" t="s">
        <v>616</v>
      </c>
    </row>
    <row r="27" spans="1:17" x14ac:dyDescent="0.3">
      <c r="A27"/>
      <c r="B27" s="36" t="s">
        <v>617</v>
      </c>
      <c r="C27" s="24" t="s">
        <v>618</v>
      </c>
      <c r="D27" s="36" t="s">
        <v>619</v>
      </c>
      <c r="E27" s="201"/>
    </row>
    <row r="28" spans="1:17" x14ac:dyDescent="0.3">
      <c r="A28"/>
      <c r="B28" s="136">
        <v>2</v>
      </c>
      <c r="C28" s="137">
        <f>(E28)/(B28*D28)</f>
        <v>1.3958333333333335</v>
      </c>
      <c r="D28" s="136">
        <v>1.2</v>
      </c>
      <c r="E28" s="136">
        <f>C24</f>
        <v>3.35</v>
      </c>
    </row>
    <row r="29" spans="1:17" s="33" customFormat="1" x14ac:dyDescent="0.3">
      <c r="A29"/>
      <c r="B29"/>
      <c r="C29" s="132"/>
      <c r="D29"/>
      <c r="E29"/>
      <c r="F29"/>
      <c r="Q29"/>
    </row>
    <row r="30" spans="1:17" ht="27.6" customHeight="1" x14ac:dyDescent="0.3">
      <c r="A30"/>
      <c r="B30" s="138" t="s">
        <v>620</v>
      </c>
      <c r="C30" s="135">
        <f>C20*2</f>
        <v>210</v>
      </c>
      <c r="D30" s="1" t="s">
        <v>236</v>
      </c>
      <c r="E30" s="26" t="s">
        <v>621</v>
      </c>
      <c r="F30" s="137">
        <v>210</v>
      </c>
      <c r="G30" s="1" t="s">
        <v>236</v>
      </c>
    </row>
    <row r="31" spans="1:17" x14ac:dyDescent="0.3">
      <c r="A31"/>
      <c r="B31" s="35" t="s">
        <v>622</v>
      </c>
      <c r="C31" s="139">
        <f>C47+C58+D60+C65</f>
        <v>12.518569885334665</v>
      </c>
      <c r="D31" s="1" t="s">
        <v>196</v>
      </c>
      <c r="E31" s="26" t="s">
        <v>621</v>
      </c>
      <c r="F31" s="137">
        <v>15</v>
      </c>
      <c r="G31" s="1" t="s">
        <v>196</v>
      </c>
    </row>
    <row r="32" spans="1:17" x14ac:dyDescent="0.3">
      <c r="A32"/>
      <c r="B32" s="36" t="s">
        <v>623</v>
      </c>
      <c r="C32" s="151" t="s">
        <v>624</v>
      </c>
      <c r="D32" s="151"/>
    </row>
    <row r="33" spans="1:17" x14ac:dyDescent="0.3">
      <c r="A33"/>
    </row>
    <row r="34" spans="1:17" x14ac:dyDescent="0.3">
      <c r="A34"/>
      <c r="B34" s="11" t="s">
        <v>625</v>
      </c>
      <c r="C34" s="86">
        <f>C30</f>
        <v>210</v>
      </c>
      <c r="D34" s="11" t="s">
        <v>236</v>
      </c>
    </row>
    <row r="35" spans="1:17" x14ac:dyDescent="0.3">
      <c r="A35"/>
      <c r="B35" s="11"/>
      <c r="C35" s="86">
        <f>(C34/1000)/60</f>
        <v>3.5000000000000001E-3</v>
      </c>
      <c r="D35" s="11" t="s">
        <v>194</v>
      </c>
    </row>
    <row r="36" spans="1:17" x14ac:dyDescent="0.3">
      <c r="A36"/>
      <c r="B36" s="11" t="s">
        <v>199</v>
      </c>
      <c r="C36" s="86">
        <v>2</v>
      </c>
      <c r="D36" s="11" t="s">
        <v>198</v>
      </c>
    </row>
    <row r="37" spans="1:17" s="33" customFormat="1" x14ac:dyDescent="0.3">
      <c r="A37"/>
      <c r="B37" s="11" t="s">
        <v>126</v>
      </c>
      <c r="C37" s="86">
        <f>SQRT((C35*4)/(C36*3.14))</f>
        <v>4.7215456823558585E-2</v>
      </c>
      <c r="D37" s="11" t="s">
        <v>196</v>
      </c>
      <c r="E37"/>
      <c r="F37"/>
      <c r="Q37"/>
    </row>
    <row r="38" spans="1:17" x14ac:dyDescent="0.3">
      <c r="A38"/>
      <c r="B38" s="11"/>
      <c r="C38" s="86">
        <f>C37*1000</f>
        <v>47.215456823558583</v>
      </c>
      <c r="D38" s="11" t="s">
        <v>197</v>
      </c>
    </row>
    <row r="39" spans="1:17" x14ac:dyDescent="0.3">
      <c r="A39"/>
      <c r="B39" s="11" t="s">
        <v>235</v>
      </c>
      <c r="C39" s="135">
        <v>50</v>
      </c>
      <c r="D39" s="11" t="s">
        <v>197</v>
      </c>
    </row>
    <row r="40" spans="1:17" x14ac:dyDescent="0.3">
      <c r="A40"/>
      <c r="B40" s="26"/>
      <c r="C40" s="140"/>
      <c r="D40" s="26"/>
      <c r="G40" s="140"/>
      <c r="H40" s="5"/>
      <c r="I40" s="5"/>
      <c r="J40" s="5"/>
    </row>
    <row r="41" spans="1:17" x14ac:dyDescent="0.3">
      <c r="A41"/>
      <c r="B41" s="199" t="s">
        <v>242</v>
      </c>
      <c r="C41" s="199"/>
      <c r="D41" s="199"/>
      <c r="E41" s="199"/>
      <c r="G41" s="140"/>
      <c r="H41" s="5"/>
      <c r="I41" s="5"/>
      <c r="J41" s="5"/>
    </row>
    <row r="42" spans="1:17" x14ac:dyDescent="0.3">
      <c r="A42"/>
      <c r="B42" s="176" t="s">
        <v>243</v>
      </c>
      <c r="C42" s="176"/>
      <c r="D42" s="176"/>
      <c r="E42" s="176"/>
      <c r="G42" s="140"/>
      <c r="H42" s="5"/>
      <c r="I42" s="5"/>
      <c r="J42" s="5"/>
    </row>
    <row r="43" spans="1:17" x14ac:dyDescent="0.3">
      <c r="A43"/>
      <c r="B43" s="11" t="s">
        <v>239</v>
      </c>
      <c r="C43" s="151">
        <f>C35</f>
        <v>3.5000000000000001E-3</v>
      </c>
      <c r="D43" s="151"/>
      <c r="E43" s="11" t="s">
        <v>194</v>
      </c>
      <c r="G43" s="140"/>
      <c r="H43" s="5"/>
      <c r="I43" s="5"/>
      <c r="J43" s="5"/>
    </row>
    <row r="44" spans="1:17" x14ac:dyDescent="0.3">
      <c r="A44"/>
      <c r="B44" s="1" t="s">
        <v>125</v>
      </c>
      <c r="C44" s="176">
        <v>150</v>
      </c>
      <c r="D44" s="176"/>
      <c r="E44" s="1"/>
      <c r="G44" s="140"/>
      <c r="H44" s="5"/>
      <c r="I44" s="5"/>
      <c r="J44" s="5"/>
    </row>
    <row r="45" spans="1:17" x14ac:dyDescent="0.3">
      <c r="A45"/>
      <c r="B45" s="11" t="s">
        <v>126</v>
      </c>
      <c r="C45" s="151">
        <f>C37</f>
        <v>4.7215456823558585E-2</v>
      </c>
      <c r="D45" s="151"/>
      <c r="E45" s="11" t="s">
        <v>196</v>
      </c>
      <c r="G45" s="140"/>
      <c r="H45" s="5"/>
      <c r="I45" s="5"/>
      <c r="J45" s="5"/>
    </row>
    <row r="46" spans="1:17" x14ac:dyDescent="0.3">
      <c r="A46"/>
      <c r="B46" s="11" t="s">
        <v>237</v>
      </c>
      <c r="C46" s="225">
        <f>(15342+6713+6198+4865+5722+22028+6167+9576)/1000</f>
        <v>76.611000000000004</v>
      </c>
      <c r="D46" s="225"/>
      <c r="E46" s="11" t="s">
        <v>196</v>
      </c>
      <c r="G46" s="140"/>
      <c r="H46" s="5"/>
      <c r="I46" s="5"/>
      <c r="J46" s="5"/>
    </row>
    <row r="47" spans="1:17" x14ac:dyDescent="0.3">
      <c r="A47"/>
      <c r="B47" s="11" t="s">
        <v>240</v>
      </c>
      <c r="C47" s="203">
        <f>(((10.67)*(C43^1.85))/((C44^1.85)*(C45^4.87)))*C46</f>
        <v>6.3157156549574998</v>
      </c>
      <c r="D47" s="203"/>
      <c r="E47" s="11" t="s">
        <v>196</v>
      </c>
      <c r="G47" s="140"/>
      <c r="H47" s="5"/>
      <c r="I47" s="5"/>
      <c r="J47" s="5"/>
    </row>
    <row r="48" spans="1:17" x14ac:dyDescent="0.3">
      <c r="A48"/>
      <c r="B48" s="151" t="s">
        <v>244</v>
      </c>
      <c r="C48" s="151"/>
      <c r="D48" s="151"/>
      <c r="E48" s="151"/>
      <c r="G48" s="140"/>
      <c r="H48" s="5"/>
      <c r="I48" s="5"/>
      <c r="J48" s="5"/>
    </row>
    <row r="49" spans="1:10" x14ac:dyDescent="0.3">
      <c r="A49"/>
      <c r="B49" s="11" t="s">
        <v>245</v>
      </c>
      <c r="C49" s="11" t="s">
        <v>246</v>
      </c>
      <c r="D49" s="11" t="s">
        <v>247</v>
      </c>
      <c r="E49" s="11" t="s">
        <v>248</v>
      </c>
      <c r="G49" s="140"/>
      <c r="H49" s="5"/>
      <c r="I49" s="5"/>
      <c r="J49" s="5"/>
    </row>
    <row r="50" spans="1:10" x14ac:dyDescent="0.3">
      <c r="A50"/>
      <c r="B50" s="11" t="s">
        <v>249</v>
      </c>
      <c r="C50" s="136">
        <v>7</v>
      </c>
      <c r="D50" s="11">
        <v>0.7</v>
      </c>
      <c r="E50" s="11">
        <f>C50*D50</f>
        <v>4.8999999999999995</v>
      </c>
      <c r="G50" s="140"/>
      <c r="H50" s="5"/>
      <c r="I50" s="5"/>
      <c r="J50" s="5"/>
    </row>
    <row r="51" spans="1:10" x14ac:dyDescent="0.3">
      <c r="A51"/>
      <c r="B51" s="11"/>
      <c r="C51" s="11"/>
      <c r="D51" s="11"/>
      <c r="E51" s="11"/>
      <c r="G51" s="140"/>
      <c r="H51" s="5"/>
      <c r="I51" s="5"/>
      <c r="J51" s="5"/>
    </row>
    <row r="52" spans="1:10" x14ac:dyDescent="0.3">
      <c r="A52"/>
      <c r="B52" s="151" t="s">
        <v>250</v>
      </c>
      <c r="C52" s="151"/>
      <c r="D52" s="151"/>
      <c r="E52" s="11">
        <f>SUM(E50:E51)</f>
        <v>4.8999999999999995</v>
      </c>
      <c r="G52" s="140"/>
      <c r="H52" s="5"/>
      <c r="I52" s="5"/>
      <c r="J52" s="5"/>
    </row>
    <row r="53" spans="1:10" x14ac:dyDescent="0.3">
      <c r="A53"/>
      <c r="B53" s="151"/>
      <c r="C53" s="151"/>
      <c r="D53" s="151"/>
      <c r="E53" s="151"/>
      <c r="G53" s="140"/>
      <c r="H53" s="5"/>
      <c r="I53" s="5"/>
      <c r="J53" s="5"/>
    </row>
    <row r="54" spans="1:10" x14ac:dyDescent="0.3">
      <c r="A54"/>
      <c r="B54" s="11" t="s">
        <v>199</v>
      </c>
      <c r="C54" s="176">
        <f>C36</f>
        <v>2</v>
      </c>
      <c r="D54" s="176"/>
      <c r="E54" s="11" t="s">
        <v>198</v>
      </c>
      <c r="G54" s="140"/>
      <c r="H54" s="5"/>
      <c r="I54" s="5"/>
      <c r="J54" s="5"/>
    </row>
    <row r="55" spans="1:10" x14ac:dyDescent="0.3">
      <c r="A55"/>
      <c r="B55" s="11" t="s">
        <v>251</v>
      </c>
      <c r="C55" s="176">
        <f>C54^2</f>
        <v>4</v>
      </c>
      <c r="D55" s="176"/>
      <c r="E55" s="11" t="s">
        <v>252</v>
      </c>
      <c r="G55" s="140"/>
      <c r="H55" s="5"/>
      <c r="I55" s="5"/>
      <c r="J55" s="5"/>
    </row>
    <row r="56" spans="1:10" x14ac:dyDescent="0.3">
      <c r="A56"/>
      <c r="B56" s="11" t="s">
        <v>253</v>
      </c>
      <c r="C56" s="176">
        <v>9.81</v>
      </c>
      <c r="D56" s="176"/>
      <c r="E56" s="11" t="s">
        <v>254</v>
      </c>
      <c r="G56" s="140"/>
      <c r="H56" s="5"/>
      <c r="I56" s="5"/>
      <c r="J56" s="5"/>
    </row>
    <row r="57" spans="1:10" x14ac:dyDescent="0.3">
      <c r="A57"/>
      <c r="B57" s="11" t="s">
        <v>255</v>
      </c>
      <c r="C57" s="151">
        <f>2*C56</f>
        <v>19.62</v>
      </c>
      <c r="D57" s="151"/>
      <c r="E57" s="11" t="s">
        <v>254</v>
      </c>
      <c r="G57" s="140"/>
      <c r="H57" s="5"/>
      <c r="I57" s="5"/>
      <c r="J57" s="5"/>
    </row>
    <row r="58" spans="1:10" x14ac:dyDescent="0.3">
      <c r="A58"/>
      <c r="B58" s="11" t="s">
        <v>240</v>
      </c>
      <c r="C58" s="198">
        <f>(E52)*(C55/C57)</f>
        <v>0.99898063200815479</v>
      </c>
      <c r="D58" s="198"/>
      <c r="E58" s="11" t="s">
        <v>196</v>
      </c>
      <c r="G58" s="140"/>
      <c r="H58" s="5"/>
      <c r="I58" s="5"/>
      <c r="J58" s="5"/>
    </row>
    <row r="59" spans="1:10" x14ac:dyDescent="0.3">
      <c r="A59"/>
      <c r="B59" s="199" t="s">
        <v>256</v>
      </c>
      <c r="C59" s="199"/>
      <c r="D59" s="199"/>
      <c r="E59" s="199"/>
      <c r="G59" s="140"/>
      <c r="H59" s="5"/>
      <c r="I59" s="5"/>
      <c r="J59" s="5"/>
    </row>
    <row r="60" spans="1:10" x14ac:dyDescent="0.3">
      <c r="A60"/>
      <c r="B60" s="151" t="s">
        <v>257</v>
      </c>
      <c r="C60" s="151"/>
      <c r="D60" s="11">
        <f>5000/1000</f>
        <v>5</v>
      </c>
      <c r="E60" s="11" t="s">
        <v>196</v>
      </c>
      <c r="G60" s="140"/>
      <c r="H60" s="5"/>
      <c r="I60" s="5"/>
      <c r="J60" s="5"/>
    </row>
    <row r="61" spans="1:10" x14ac:dyDescent="0.3">
      <c r="A61"/>
      <c r="B61" s="201" t="s">
        <v>258</v>
      </c>
      <c r="C61" s="201"/>
      <c r="D61" s="201"/>
      <c r="E61" s="201"/>
      <c r="G61" s="140"/>
      <c r="H61" s="5"/>
      <c r="I61" s="5"/>
      <c r="J61" s="5"/>
    </row>
    <row r="62" spans="1:10" x14ac:dyDescent="0.3">
      <c r="A62"/>
      <c r="B62" s="11" t="s">
        <v>199</v>
      </c>
      <c r="C62" s="11">
        <f>C36</f>
        <v>2</v>
      </c>
      <c r="D62" s="151" t="s">
        <v>198</v>
      </c>
      <c r="E62" s="151"/>
      <c r="G62" s="140"/>
      <c r="H62" s="5"/>
      <c r="I62" s="5"/>
      <c r="J62" s="5"/>
    </row>
    <row r="63" spans="1:10" x14ac:dyDescent="0.3">
      <c r="A63"/>
      <c r="B63" s="11" t="s">
        <v>251</v>
      </c>
      <c r="C63" s="11">
        <f>C62^2</f>
        <v>4</v>
      </c>
      <c r="D63" s="151" t="s">
        <v>252</v>
      </c>
      <c r="E63" s="151"/>
      <c r="G63" s="140"/>
      <c r="H63" s="5"/>
      <c r="I63" s="5"/>
      <c r="J63" s="5"/>
    </row>
    <row r="64" spans="1:10" x14ac:dyDescent="0.3">
      <c r="A64"/>
      <c r="B64" s="11" t="s">
        <v>253</v>
      </c>
      <c r="C64" s="11">
        <v>9.81</v>
      </c>
      <c r="D64" s="151" t="s">
        <v>254</v>
      </c>
      <c r="E64" s="151"/>
      <c r="G64" s="140"/>
      <c r="H64" s="5"/>
      <c r="I64" s="5"/>
      <c r="J64" s="5"/>
    </row>
    <row r="65" spans="1:17" x14ac:dyDescent="0.3">
      <c r="A65"/>
      <c r="B65" s="86" t="s">
        <v>258</v>
      </c>
      <c r="C65" s="141">
        <f>C63/(2*C64)</f>
        <v>0.2038735983690112</v>
      </c>
      <c r="D65" s="231" t="s">
        <v>196</v>
      </c>
      <c r="E65" s="232"/>
      <c r="G65" s="140"/>
      <c r="H65" s="5"/>
      <c r="I65" s="5"/>
      <c r="J65" s="5"/>
    </row>
    <row r="66" spans="1:17" x14ac:dyDescent="0.3">
      <c r="A66"/>
      <c r="B66" s="132"/>
      <c r="C66" s="142"/>
      <c r="D66" s="5"/>
      <c r="E66" s="5"/>
      <c r="G66" s="140"/>
      <c r="H66" s="5"/>
      <c r="I66" s="5"/>
      <c r="J66" s="5"/>
    </row>
    <row r="67" spans="1:17" x14ac:dyDescent="0.3">
      <c r="A67"/>
      <c r="B67" s="180" t="s">
        <v>626</v>
      </c>
      <c r="C67" s="180"/>
      <c r="D67" s="180"/>
      <c r="E67" s="180"/>
    </row>
    <row r="68" spans="1:17" x14ac:dyDescent="0.3">
      <c r="A68"/>
      <c r="B68" s="131" t="s">
        <v>627</v>
      </c>
      <c r="C68" s="126"/>
      <c r="D68" s="126"/>
      <c r="E68" s="126"/>
    </row>
    <row r="69" spans="1:17" x14ac:dyDescent="0.3">
      <c r="A69"/>
      <c r="B69" s="131" t="s">
        <v>628</v>
      </c>
      <c r="C69" s="126"/>
      <c r="D69" s="126"/>
      <c r="E69" s="126"/>
    </row>
    <row r="70" spans="1:17" x14ac:dyDescent="0.3">
      <c r="A70"/>
      <c r="B70" s="82"/>
      <c r="C70" s="143"/>
      <c r="D70" s="5"/>
      <c r="E70" s="5"/>
      <c r="F70" s="5"/>
      <c r="G70" s="5"/>
    </row>
    <row r="71" spans="1:17" s="33" customFormat="1" x14ac:dyDescent="0.3">
      <c r="A71"/>
      <c r="B71" s="199" t="s">
        <v>2</v>
      </c>
      <c r="C71" s="199" t="s">
        <v>629</v>
      </c>
      <c r="D71" s="199" t="s">
        <v>7</v>
      </c>
      <c r="E71" s="199" t="s">
        <v>607</v>
      </c>
      <c r="F71" s="199" t="s">
        <v>608</v>
      </c>
      <c r="G71" s="199" t="s">
        <v>236</v>
      </c>
      <c r="H71"/>
      <c r="Q71"/>
    </row>
    <row r="72" spans="1:17" x14ac:dyDescent="0.3">
      <c r="A72"/>
      <c r="B72" s="199"/>
      <c r="C72" s="199"/>
      <c r="D72" s="199"/>
      <c r="E72" s="199"/>
      <c r="F72" s="199"/>
      <c r="G72" s="199"/>
    </row>
    <row r="73" spans="1:17" x14ac:dyDescent="0.3">
      <c r="A73"/>
      <c r="B73" s="1">
        <v>1</v>
      </c>
      <c r="C73" s="133" t="s">
        <v>630</v>
      </c>
      <c r="D73" s="1">
        <v>7</v>
      </c>
      <c r="E73" s="1">
        <v>4</v>
      </c>
      <c r="F73" s="1">
        <f>D73*E73</f>
        <v>28</v>
      </c>
      <c r="G73" s="229">
        <v>83</v>
      </c>
    </row>
    <row r="74" spans="1:17" x14ac:dyDescent="0.3">
      <c r="A74"/>
      <c r="B74" s="79">
        <v>2</v>
      </c>
      <c r="C74" s="127" t="s">
        <v>631</v>
      </c>
      <c r="D74" s="79">
        <v>5</v>
      </c>
      <c r="E74" s="79">
        <v>1</v>
      </c>
      <c r="F74" s="79">
        <f>D74*E74</f>
        <v>5</v>
      </c>
      <c r="G74" s="229"/>
    </row>
    <row r="75" spans="1:17" x14ac:dyDescent="0.3">
      <c r="A75"/>
      <c r="B75" s="11">
        <v>3</v>
      </c>
      <c r="C75" s="133" t="s">
        <v>632</v>
      </c>
      <c r="D75" s="11">
        <v>4</v>
      </c>
      <c r="E75" s="11">
        <v>1</v>
      </c>
      <c r="F75" s="11">
        <f>D75*E75</f>
        <v>4</v>
      </c>
      <c r="G75" s="229"/>
    </row>
    <row r="76" spans="1:17" x14ac:dyDescent="0.3">
      <c r="A76"/>
      <c r="B76" s="230" t="s">
        <v>547</v>
      </c>
      <c r="C76" s="230"/>
      <c r="D76" s="230"/>
      <c r="E76" s="230"/>
      <c r="F76" s="2">
        <f>SUM(F73:F75)</f>
        <v>37</v>
      </c>
      <c r="G76" s="229"/>
    </row>
    <row r="77" spans="1:17" x14ac:dyDescent="0.3">
      <c r="A77"/>
      <c r="B77" s="5"/>
      <c r="C77" s="140"/>
      <c r="D77" s="5"/>
      <c r="E77" s="5"/>
      <c r="F77" s="5"/>
      <c r="G77" s="5"/>
    </row>
    <row r="78" spans="1:17" ht="28.8" x14ac:dyDescent="0.3">
      <c r="A78"/>
      <c r="B78" s="133" t="s">
        <v>611</v>
      </c>
      <c r="C78" s="135">
        <v>30</v>
      </c>
      <c r="D78" s="1" t="s">
        <v>177</v>
      </c>
      <c r="E78" s="5"/>
      <c r="F78" s="5"/>
    </row>
    <row r="79" spans="1:17" x14ac:dyDescent="0.3">
      <c r="A79"/>
      <c r="B79" s="32" t="s">
        <v>633</v>
      </c>
      <c r="C79" s="86">
        <f>G73</f>
        <v>83</v>
      </c>
      <c r="D79" s="11" t="s">
        <v>236</v>
      </c>
    </row>
    <row r="80" spans="1:17" x14ac:dyDescent="0.3">
      <c r="A80"/>
      <c r="B80" s="32" t="s">
        <v>612</v>
      </c>
      <c r="C80" s="86">
        <f>C79*C78</f>
        <v>2490</v>
      </c>
      <c r="D80" s="11" t="s">
        <v>237</v>
      </c>
    </row>
    <row r="81" spans="1:17" x14ac:dyDescent="0.3">
      <c r="A81"/>
      <c r="B81" s="32" t="s">
        <v>612</v>
      </c>
      <c r="C81" s="86">
        <f>C80/1000</f>
        <v>2.4900000000000002</v>
      </c>
      <c r="D81" s="11" t="s">
        <v>134</v>
      </c>
    </row>
    <row r="82" spans="1:17" x14ac:dyDescent="0.3">
      <c r="A82"/>
      <c r="B82" s="32" t="s">
        <v>634</v>
      </c>
      <c r="C82" s="86">
        <v>0.2</v>
      </c>
      <c r="D82" s="11" t="s">
        <v>196</v>
      </c>
    </row>
    <row r="83" spans="1:17" x14ac:dyDescent="0.3">
      <c r="A83"/>
      <c r="B83" s="32" t="s">
        <v>635</v>
      </c>
      <c r="C83" s="135">
        <f>C81+C82</f>
        <v>2.6900000000000004</v>
      </c>
      <c r="D83" s="11" t="s">
        <v>134</v>
      </c>
    </row>
    <row r="84" spans="1:17" x14ac:dyDescent="0.3">
      <c r="A84"/>
    </row>
    <row r="85" spans="1:17" s="33" customFormat="1" x14ac:dyDescent="0.3">
      <c r="A85"/>
      <c r="B85" s="189" t="s">
        <v>615</v>
      </c>
      <c r="C85" s="189"/>
      <c r="D85" s="189"/>
      <c r="E85" s="201" t="s">
        <v>616</v>
      </c>
      <c r="F85"/>
      <c r="O85"/>
      <c r="Q85"/>
    </row>
    <row r="86" spans="1:17" x14ac:dyDescent="0.3">
      <c r="A86"/>
      <c r="B86" s="36" t="s">
        <v>617</v>
      </c>
      <c r="C86" s="24" t="s">
        <v>618</v>
      </c>
      <c r="D86" s="36" t="s">
        <v>619</v>
      </c>
      <c r="E86" s="201"/>
    </row>
    <row r="87" spans="1:17" x14ac:dyDescent="0.3">
      <c r="A87"/>
      <c r="B87" s="136">
        <v>2</v>
      </c>
      <c r="C87" s="137">
        <f>(E87)/(B87*D87)</f>
        <v>1.2227272727272729</v>
      </c>
      <c r="D87" s="136">
        <v>1.1000000000000001</v>
      </c>
      <c r="E87" s="136">
        <f>C83</f>
        <v>2.6900000000000004</v>
      </c>
    </row>
    <row r="88" spans="1:17" ht="14.4" customHeight="1" x14ac:dyDescent="0.3">
      <c r="A88"/>
    </row>
    <row r="89" spans="1:17" ht="28.8" x14ac:dyDescent="0.3">
      <c r="A89"/>
      <c r="B89" s="138" t="s">
        <v>620</v>
      </c>
      <c r="C89" s="135">
        <f>C79*2</f>
        <v>166</v>
      </c>
      <c r="D89" s="1" t="s">
        <v>236</v>
      </c>
      <c r="E89" s="26" t="s">
        <v>621</v>
      </c>
      <c r="F89" s="137">
        <v>170</v>
      </c>
      <c r="G89" s="1" t="s">
        <v>236</v>
      </c>
    </row>
    <row r="90" spans="1:17" x14ac:dyDescent="0.3">
      <c r="A90"/>
      <c r="B90" s="35" t="s">
        <v>622</v>
      </c>
      <c r="C90" s="139">
        <f>C107+C118+D120+C125</f>
        <v>14.812604917507462</v>
      </c>
      <c r="D90" s="1" t="s">
        <v>196</v>
      </c>
      <c r="E90" s="26" t="s">
        <v>621</v>
      </c>
      <c r="F90" s="137">
        <v>15</v>
      </c>
      <c r="G90" s="1" t="s">
        <v>196</v>
      </c>
    </row>
    <row r="91" spans="1:17" x14ac:dyDescent="0.3">
      <c r="A91"/>
      <c r="B91" s="36" t="s">
        <v>623</v>
      </c>
      <c r="C91" s="151" t="s">
        <v>624</v>
      </c>
      <c r="D91" s="151"/>
    </row>
    <row r="92" spans="1:17" x14ac:dyDescent="0.3">
      <c r="A92"/>
    </row>
    <row r="93" spans="1:17" x14ac:dyDescent="0.3">
      <c r="A93"/>
    </row>
    <row r="94" spans="1:17" s="33" customFormat="1" x14ac:dyDescent="0.3">
      <c r="A94"/>
      <c r="B94" s="11" t="s">
        <v>625</v>
      </c>
      <c r="C94" s="86">
        <f>C89</f>
        <v>166</v>
      </c>
      <c r="D94" s="11" t="s">
        <v>236</v>
      </c>
      <c r="E94"/>
      <c r="F94"/>
      <c r="P94"/>
      <c r="Q94"/>
    </row>
    <row r="95" spans="1:17" ht="14.4" customHeight="1" x14ac:dyDescent="0.3">
      <c r="A95"/>
      <c r="B95" s="11"/>
      <c r="C95" s="86">
        <f>(C94/1000)/60</f>
        <v>2.7666666666666668E-3</v>
      </c>
      <c r="D95" s="11" t="s">
        <v>194</v>
      </c>
    </row>
    <row r="96" spans="1:17" x14ac:dyDescent="0.3">
      <c r="A96"/>
      <c r="B96" s="11" t="s">
        <v>199</v>
      </c>
      <c r="C96" s="86">
        <v>2</v>
      </c>
      <c r="D96" s="11" t="s">
        <v>198</v>
      </c>
    </row>
    <row r="97" spans="1:17" x14ac:dyDescent="0.3">
      <c r="A97"/>
      <c r="B97" s="11" t="s">
        <v>126</v>
      </c>
      <c r="C97" s="86">
        <f>SQRT((C95*4)/(C96*3.14))</f>
        <v>4.1978662055150731E-2</v>
      </c>
      <c r="D97" s="11" t="s">
        <v>196</v>
      </c>
    </row>
    <row r="98" spans="1:17" x14ac:dyDescent="0.3">
      <c r="A98"/>
      <c r="B98" s="11"/>
      <c r="C98" s="86">
        <f>C97*1000</f>
        <v>41.978662055150728</v>
      </c>
      <c r="D98" s="11" t="s">
        <v>197</v>
      </c>
    </row>
    <row r="99" spans="1:17" x14ac:dyDescent="0.3">
      <c r="A99"/>
      <c r="B99" s="11" t="s">
        <v>235</v>
      </c>
      <c r="C99" s="135">
        <v>50</v>
      </c>
      <c r="D99" s="11" t="s">
        <v>197</v>
      </c>
    </row>
    <row r="100" spans="1:17" s="33" customFormat="1" x14ac:dyDescent="0.3">
      <c r="A100"/>
      <c r="B100"/>
      <c r="C100" s="132"/>
      <c r="D100"/>
      <c r="E100"/>
      <c r="F100"/>
      <c r="J100"/>
      <c r="K100"/>
      <c r="L100"/>
      <c r="M100"/>
      <c r="N100"/>
      <c r="O100"/>
      <c r="P100"/>
      <c r="Q100"/>
    </row>
    <row r="101" spans="1:17" s="33" customFormat="1" x14ac:dyDescent="0.3">
      <c r="A101"/>
      <c r="B101" s="195" t="s">
        <v>242</v>
      </c>
      <c r="C101" s="223"/>
      <c r="D101" s="223"/>
      <c r="E101" s="196"/>
      <c r="F101"/>
      <c r="J101"/>
      <c r="K101"/>
      <c r="L101"/>
      <c r="M101"/>
      <c r="N101"/>
      <c r="O101"/>
      <c r="P101"/>
      <c r="Q101"/>
    </row>
    <row r="102" spans="1:17" s="33" customFormat="1" x14ac:dyDescent="0.3">
      <c r="A102"/>
      <c r="B102" s="176" t="s">
        <v>243</v>
      </c>
      <c r="C102" s="176"/>
      <c r="D102" s="176"/>
      <c r="E102" s="176"/>
      <c r="F102"/>
      <c r="J102"/>
      <c r="K102"/>
      <c r="L102"/>
      <c r="M102"/>
      <c r="N102"/>
      <c r="O102"/>
      <c r="P102"/>
      <c r="Q102"/>
    </row>
    <row r="103" spans="1:17" s="33" customFormat="1" x14ac:dyDescent="0.3">
      <c r="A103"/>
      <c r="B103" s="11" t="s">
        <v>239</v>
      </c>
      <c r="C103" s="151">
        <f>C95</f>
        <v>2.7666666666666668E-3</v>
      </c>
      <c r="D103" s="151"/>
      <c r="E103" s="11" t="s">
        <v>194</v>
      </c>
      <c r="F103"/>
      <c r="J103"/>
      <c r="K103"/>
      <c r="L103"/>
      <c r="M103"/>
      <c r="N103"/>
      <c r="O103"/>
      <c r="P103"/>
      <c r="Q103"/>
    </row>
    <row r="104" spans="1:17" s="33" customFormat="1" x14ac:dyDescent="0.3">
      <c r="A104"/>
      <c r="B104" s="1" t="s">
        <v>125</v>
      </c>
      <c r="C104" s="176">
        <v>150</v>
      </c>
      <c r="D104" s="176"/>
      <c r="E104" s="1"/>
      <c r="F104"/>
      <c r="J104"/>
      <c r="K104"/>
      <c r="L104"/>
      <c r="M104"/>
      <c r="N104"/>
      <c r="O104"/>
      <c r="P104"/>
      <c r="Q104"/>
    </row>
    <row r="105" spans="1:17" s="33" customFormat="1" x14ac:dyDescent="0.3">
      <c r="A105"/>
      <c r="B105" s="11" t="s">
        <v>126</v>
      </c>
      <c r="C105" s="151">
        <f>C97</f>
        <v>4.1978662055150731E-2</v>
      </c>
      <c r="D105" s="151"/>
      <c r="E105" s="11" t="s">
        <v>196</v>
      </c>
      <c r="F105"/>
      <c r="J105"/>
      <c r="K105"/>
      <c r="L105"/>
      <c r="M105"/>
      <c r="N105"/>
      <c r="O105"/>
      <c r="P105"/>
      <c r="Q105"/>
    </row>
    <row r="106" spans="1:17" s="33" customFormat="1" x14ac:dyDescent="0.3">
      <c r="A106"/>
      <c r="B106" s="11" t="s">
        <v>237</v>
      </c>
      <c r="C106" s="225">
        <v>88</v>
      </c>
      <c r="D106" s="225"/>
      <c r="E106" s="11" t="s">
        <v>196</v>
      </c>
      <c r="F106"/>
      <c r="J106"/>
      <c r="K106"/>
      <c r="L106"/>
      <c r="M106"/>
      <c r="N106"/>
      <c r="O106"/>
      <c r="P106"/>
      <c r="Q106"/>
    </row>
    <row r="107" spans="1:17" s="33" customFormat="1" x14ac:dyDescent="0.3">
      <c r="A107"/>
      <c r="B107" s="11" t="s">
        <v>240</v>
      </c>
      <c r="C107" s="203">
        <f>(((10.67)*(C103^1.85))/((C104^1.85)*(C105^4.87)))*C106</f>
        <v>8.3243276494136804</v>
      </c>
      <c r="D107" s="203"/>
      <c r="E107" s="11" t="s">
        <v>196</v>
      </c>
      <c r="F107"/>
      <c r="J107"/>
      <c r="K107"/>
      <c r="L107"/>
      <c r="M107"/>
      <c r="N107"/>
      <c r="O107"/>
      <c r="P107"/>
      <c r="Q107"/>
    </row>
    <row r="108" spans="1:17" s="33" customFormat="1" x14ac:dyDescent="0.3">
      <c r="A108"/>
      <c r="B108" s="151" t="s">
        <v>244</v>
      </c>
      <c r="C108" s="151"/>
      <c r="D108" s="151"/>
      <c r="E108" s="151"/>
      <c r="F108"/>
      <c r="J108"/>
      <c r="K108"/>
      <c r="L108"/>
      <c r="M108"/>
      <c r="N108"/>
      <c r="O108"/>
      <c r="P108"/>
      <c r="Q108"/>
    </row>
    <row r="109" spans="1:17" s="33" customFormat="1" x14ac:dyDescent="0.3">
      <c r="A109"/>
      <c r="B109" s="11" t="s">
        <v>245</v>
      </c>
      <c r="C109" s="11" t="s">
        <v>246</v>
      </c>
      <c r="D109" s="11" t="s">
        <v>247</v>
      </c>
      <c r="E109" s="11" t="s">
        <v>248</v>
      </c>
      <c r="F109"/>
      <c r="J109"/>
      <c r="K109"/>
      <c r="L109"/>
      <c r="M109"/>
      <c r="N109"/>
      <c r="O109"/>
      <c r="P109"/>
      <c r="Q109"/>
    </row>
    <row r="110" spans="1:17" s="33" customFormat="1" x14ac:dyDescent="0.3">
      <c r="A110"/>
      <c r="B110" s="11" t="s">
        <v>249</v>
      </c>
      <c r="C110" s="136">
        <v>9</v>
      </c>
      <c r="D110" s="11">
        <v>0.7</v>
      </c>
      <c r="E110" s="11">
        <f>C110*D110</f>
        <v>6.3</v>
      </c>
      <c r="F110"/>
      <c r="J110"/>
      <c r="K110"/>
      <c r="L110"/>
      <c r="M110"/>
      <c r="N110"/>
      <c r="O110"/>
      <c r="P110"/>
      <c r="Q110"/>
    </row>
    <row r="111" spans="1:17" s="33" customFormat="1" x14ac:dyDescent="0.3">
      <c r="A111"/>
      <c r="B111" s="32"/>
      <c r="C111" s="32"/>
      <c r="D111" s="32"/>
      <c r="E111" s="32"/>
      <c r="F111"/>
      <c r="J111"/>
      <c r="K111"/>
      <c r="L111"/>
      <c r="M111"/>
      <c r="N111"/>
      <c r="O111"/>
      <c r="P111"/>
      <c r="Q111"/>
    </row>
    <row r="112" spans="1:17" s="33" customFormat="1" x14ac:dyDescent="0.3">
      <c r="A112"/>
      <c r="B112" s="151" t="s">
        <v>250</v>
      </c>
      <c r="C112" s="151"/>
      <c r="D112" s="151"/>
      <c r="E112" s="11">
        <f>SUM(E110:E111)</f>
        <v>6.3</v>
      </c>
      <c r="F112"/>
      <c r="J112"/>
      <c r="K112"/>
      <c r="L112"/>
      <c r="M112"/>
      <c r="N112"/>
      <c r="O112"/>
      <c r="P112"/>
      <c r="Q112"/>
    </row>
    <row r="113" spans="1:17" s="33" customFormat="1" x14ac:dyDescent="0.3">
      <c r="A113"/>
      <c r="B113" s="151"/>
      <c r="C113" s="151"/>
      <c r="D113" s="151"/>
      <c r="E113" s="151"/>
      <c r="F113"/>
      <c r="J113"/>
      <c r="K113"/>
      <c r="L113"/>
      <c r="M113"/>
      <c r="N113"/>
      <c r="O113"/>
      <c r="P113"/>
      <c r="Q113"/>
    </row>
    <row r="114" spans="1:17" s="33" customFormat="1" x14ac:dyDescent="0.3">
      <c r="A114"/>
      <c r="B114" s="11" t="s">
        <v>199</v>
      </c>
      <c r="C114" s="176">
        <f>C96</f>
        <v>2</v>
      </c>
      <c r="D114" s="176"/>
      <c r="E114" s="11" t="s">
        <v>198</v>
      </c>
      <c r="F114"/>
      <c r="J114"/>
      <c r="K114"/>
      <c r="L114"/>
      <c r="M114"/>
      <c r="N114"/>
      <c r="O114"/>
      <c r="P114"/>
      <c r="Q114"/>
    </row>
    <row r="115" spans="1:17" s="33" customFormat="1" x14ac:dyDescent="0.3">
      <c r="A115"/>
      <c r="B115" s="11" t="s">
        <v>251</v>
      </c>
      <c r="C115" s="176">
        <f>C114^2</f>
        <v>4</v>
      </c>
      <c r="D115" s="176"/>
      <c r="E115" s="11" t="s">
        <v>252</v>
      </c>
      <c r="F115"/>
      <c r="J115"/>
      <c r="K115"/>
      <c r="L115"/>
      <c r="M115"/>
      <c r="N115"/>
      <c r="O115"/>
      <c r="P115"/>
      <c r="Q115"/>
    </row>
    <row r="116" spans="1:17" s="33" customFormat="1" x14ac:dyDescent="0.3">
      <c r="A116"/>
      <c r="B116" s="11" t="s">
        <v>253</v>
      </c>
      <c r="C116" s="176">
        <v>9.81</v>
      </c>
      <c r="D116" s="176"/>
      <c r="E116" s="11" t="s">
        <v>254</v>
      </c>
      <c r="F116"/>
      <c r="J116"/>
      <c r="K116"/>
      <c r="L116"/>
      <c r="M116"/>
      <c r="N116"/>
      <c r="O116"/>
      <c r="P116"/>
      <c r="Q116"/>
    </row>
    <row r="117" spans="1:17" s="33" customFormat="1" x14ac:dyDescent="0.3">
      <c r="A117"/>
      <c r="B117" s="11" t="s">
        <v>255</v>
      </c>
      <c r="C117" s="151">
        <f>2*C116</f>
        <v>19.62</v>
      </c>
      <c r="D117" s="151"/>
      <c r="E117" s="11" t="s">
        <v>254</v>
      </c>
      <c r="F117"/>
      <c r="J117"/>
      <c r="K117"/>
      <c r="L117"/>
      <c r="M117"/>
      <c r="N117"/>
      <c r="O117"/>
      <c r="P117"/>
      <c r="Q117"/>
    </row>
    <row r="118" spans="1:17" s="33" customFormat="1" x14ac:dyDescent="0.3">
      <c r="A118"/>
      <c r="B118" s="11" t="s">
        <v>240</v>
      </c>
      <c r="C118" s="198">
        <f>(E112)*(C115/C117)</f>
        <v>1.2844036697247705</v>
      </c>
      <c r="D118" s="198"/>
      <c r="E118" s="11" t="s">
        <v>196</v>
      </c>
      <c r="F118"/>
      <c r="J118"/>
      <c r="K118"/>
      <c r="L118"/>
      <c r="M118"/>
      <c r="N118"/>
      <c r="O118"/>
      <c r="P118"/>
      <c r="Q118"/>
    </row>
    <row r="119" spans="1:17" s="33" customFormat="1" x14ac:dyDescent="0.3">
      <c r="A119"/>
      <c r="B119" s="189" t="s">
        <v>256</v>
      </c>
      <c r="C119" s="189"/>
      <c r="D119" s="189"/>
      <c r="E119" s="189"/>
      <c r="F119"/>
      <c r="J119"/>
      <c r="K119"/>
      <c r="L119"/>
      <c r="M119"/>
      <c r="N119"/>
      <c r="O119"/>
      <c r="P119"/>
      <c r="Q119"/>
    </row>
    <row r="120" spans="1:17" s="33" customFormat="1" x14ac:dyDescent="0.3">
      <c r="A120"/>
      <c r="B120" s="151" t="s">
        <v>257</v>
      </c>
      <c r="C120" s="151"/>
      <c r="D120" s="11">
        <f>5000/1000</f>
        <v>5</v>
      </c>
      <c r="E120" s="11" t="s">
        <v>196</v>
      </c>
      <c r="F120"/>
      <c r="J120"/>
      <c r="K120"/>
      <c r="L120"/>
      <c r="M120"/>
      <c r="N120"/>
      <c r="O120"/>
      <c r="P120"/>
      <c r="Q120"/>
    </row>
    <row r="121" spans="1:17" s="33" customFormat="1" x14ac:dyDescent="0.3">
      <c r="A121"/>
      <c r="B121" s="201" t="s">
        <v>258</v>
      </c>
      <c r="C121" s="201"/>
      <c r="D121" s="201"/>
      <c r="E121" s="201"/>
      <c r="F121"/>
      <c r="J121"/>
      <c r="K121"/>
      <c r="L121"/>
      <c r="M121"/>
      <c r="N121"/>
      <c r="O121"/>
      <c r="P121"/>
      <c r="Q121"/>
    </row>
    <row r="122" spans="1:17" s="33" customFormat="1" x14ac:dyDescent="0.3">
      <c r="A122"/>
      <c r="B122" s="11" t="s">
        <v>199</v>
      </c>
      <c r="C122" s="11">
        <f>C114</f>
        <v>2</v>
      </c>
      <c r="D122" s="151" t="s">
        <v>198</v>
      </c>
      <c r="E122" s="151"/>
      <c r="F122"/>
      <c r="J122"/>
      <c r="K122"/>
      <c r="L122"/>
      <c r="M122"/>
      <c r="N122"/>
      <c r="O122"/>
      <c r="P122"/>
      <c r="Q122"/>
    </row>
    <row r="123" spans="1:17" s="33" customFormat="1" x14ac:dyDescent="0.3">
      <c r="A123"/>
      <c r="B123" s="11" t="s">
        <v>251</v>
      </c>
      <c r="C123" s="11">
        <f>C122^2</f>
        <v>4</v>
      </c>
      <c r="D123" s="151" t="s">
        <v>252</v>
      </c>
      <c r="E123" s="151"/>
      <c r="F123"/>
      <c r="J123"/>
      <c r="K123"/>
      <c r="L123"/>
      <c r="M123"/>
      <c r="N123"/>
      <c r="O123"/>
      <c r="P123"/>
      <c r="Q123"/>
    </row>
    <row r="124" spans="1:17" s="33" customFormat="1" x14ac:dyDescent="0.3">
      <c r="A124"/>
      <c r="B124" s="11" t="s">
        <v>253</v>
      </c>
      <c r="C124" s="11">
        <v>9.81</v>
      </c>
      <c r="D124" s="151" t="s">
        <v>254</v>
      </c>
      <c r="E124" s="151"/>
      <c r="F124"/>
      <c r="J124"/>
      <c r="K124"/>
      <c r="L124"/>
      <c r="M124"/>
      <c r="N124"/>
      <c r="O124"/>
      <c r="P124"/>
      <c r="Q124"/>
    </row>
    <row r="125" spans="1:17" s="33" customFormat="1" x14ac:dyDescent="0.3">
      <c r="A125"/>
      <c r="B125" s="86" t="s">
        <v>258</v>
      </c>
      <c r="C125" s="141">
        <f>C123/(2*C124)</f>
        <v>0.2038735983690112</v>
      </c>
      <c r="D125" s="231" t="s">
        <v>196</v>
      </c>
      <c r="E125" s="232"/>
      <c r="F125"/>
      <c r="J125"/>
      <c r="K125"/>
      <c r="L125"/>
      <c r="M125"/>
      <c r="N125"/>
      <c r="O125"/>
      <c r="P125"/>
      <c r="Q125"/>
    </row>
    <row r="126" spans="1:17" x14ac:dyDescent="0.3">
      <c r="A126"/>
      <c r="C126"/>
      <c r="M126"/>
    </row>
    <row r="127" spans="1:17" s="33" customFormat="1" x14ac:dyDescent="0.3">
      <c r="A127"/>
      <c r="B127"/>
      <c r="C127" s="132"/>
      <c r="D127"/>
      <c r="E127"/>
      <c r="F127"/>
      <c r="J127"/>
      <c r="K127"/>
      <c r="L127"/>
      <c r="M127"/>
      <c r="N127"/>
      <c r="O127"/>
      <c r="P127"/>
      <c r="Q127"/>
    </row>
    <row r="128" spans="1:17" x14ac:dyDescent="0.3">
      <c r="A128"/>
      <c r="B128" s="180" t="s">
        <v>636</v>
      </c>
      <c r="C128" s="180"/>
      <c r="D128" s="180"/>
      <c r="E128" s="180"/>
      <c r="M128"/>
    </row>
    <row r="129" spans="1:17" x14ac:dyDescent="0.3">
      <c r="A129"/>
      <c r="B129" s="131" t="s">
        <v>627</v>
      </c>
      <c r="C129" s="126"/>
      <c r="D129" s="126"/>
      <c r="E129" s="126"/>
    </row>
    <row r="130" spans="1:17" x14ac:dyDescent="0.3">
      <c r="A130"/>
      <c r="B130" s="131" t="s">
        <v>628</v>
      </c>
      <c r="C130" s="126"/>
      <c r="D130" s="126"/>
      <c r="E130" s="126"/>
    </row>
    <row r="131" spans="1:17" x14ac:dyDescent="0.3">
      <c r="A131"/>
      <c r="M131"/>
    </row>
    <row r="132" spans="1:17" x14ac:dyDescent="0.3">
      <c r="A132"/>
      <c r="B132" s="201" t="s">
        <v>2</v>
      </c>
      <c r="C132" s="199" t="s">
        <v>629</v>
      </c>
      <c r="D132" s="199" t="s">
        <v>7</v>
      </c>
      <c r="E132" s="199" t="s">
        <v>607</v>
      </c>
      <c r="F132" s="199" t="s">
        <v>608</v>
      </c>
      <c r="G132" s="201" t="s">
        <v>236</v>
      </c>
      <c r="M132"/>
    </row>
    <row r="133" spans="1:17" x14ac:dyDescent="0.3">
      <c r="A133"/>
      <c r="B133" s="201"/>
      <c r="C133" s="199"/>
      <c r="D133" s="199"/>
      <c r="E133" s="199"/>
      <c r="F133" s="199"/>
      <c r="G133" s="201"/>
      <c r="M133"/>
    </row>
    <row r="134" spans="1:17" x14ac:dyDescent="0.3">
      <c r="A134"/>
      <c r="B134" s="11">
        <v>1</v>
      </c>
      <c r="C134" s="133" t="s">
        <v>630</v>
      </c>
      <c r="D134" s="11">
        <v>5</v>
      </c>
      <c r="E134" s="11">
        <v>4</v>
      </c>
      <c r="F134" s="11">
        <f>D134*E134</f>
        <v>20</v>
      </c>
      <c r="G134" s="233">
        <v>70</v>
      </c>
      <c r="M134"/>
    </row>
    <row r="135" spans="1:17" x14ac:dyDescent="0.3">
      <c r="A135"/>
      <c r="B135" s="11">
        <v>2</v>
      </c>
      <c r="C135" s="133" t="s">
        <v>631</v>
      </c>
      <c r="D135" s="11">
        <v>4</v>
      </c>
      <c r="E135" s="11">
        <v>1</v>
      </c>
      <c r="F135" s="11">
        <f t="shared" ref="F135:F137" si="0">D135*E135</f>
        <v>4</v>
      </c>
      <c r="G135" s="234"/>
      <c r="M135"/>
    </row>
    <row r="136" spans="1:17" x14ac:dyDescent="0.3">
      <c r="A136"/>
      <c r="B136" s="11">
        <v>3</v>
      </c>
      <c r="C136" s="133" t="s">
        <v>632</v>
      </c>
      <c r="D136" s="11">
        <v>3</v>
      </c>
      <c r="E136" s="11">
        <v>1</v>
      </c>
      <c r="F136" s="11">
        <f t="shared" si="0"/>
        <v>3</v>
      </c>
      <c r="G136" s="234"/>
      <c r="M136"/>
    </row>
    <row r="137" spans="1:17" x14ac:dyDescent="0.3">
      <c r="A137"/>
      <c r="B137" s="11">
        <v>4</v>
      </c>
      <c r="C137" s="144" t="s">
        <v>637</v>
      </c>
      <c r="D137" s="11">
        <v>1</v>
      </c>
      <c r="E137" s="11">
        <v>2</v>
      </c>
      <c r="F137" s="11">
        <f t="shared" si="0"/>
        <v>2</v>
      </c>
      <c r="G137" s="234"/>
      <c r="M137"/>
    </row>
    <row r="138" spans="1:17" s="33" customFormat="1" x14ac:dyDescent="0.3">
      <c r="A138"/>
      <c r="B138" s="231" t="s">
        <v>109</v>
      </c>
      <c r="C138" s="235"/>
      <c r="D138" s="235"/>
      <c r="E138" s="232"/>
      <c r="F138" s="11">
        <f>SUM(F134:F137)</f>
        <v>29</v>
      </c>
      <c r="G138" s="230"/>
      <c r="H138"/>
      <c r="I138"/>
      <c r="J138"/>
      <c r="K138"/>
      <c r="L138"/>
      <c r="M138"/>
      <c r="N138"/>
      <c r="O138"/>
      <c r="P138"/>
      <c r="Q138"/>
    </row>
    <row r="139" spans="1:17" x14ac:dyDescent="0.3">
      <c r="A139"/>
      <c r="M139"/>
    </row>
    <row r="140" spans="1:17" ht="28.8" x14ac:dyDescent="0.3">
      <c r="A140"/>
      <c r="B140" s="145" t="s">
        <v>611</v>
      </c>
      <c r="C140" s="135">
        <v>30</v>
      </c>
      <c r="D140" s="11" t="s">
        <v>177</v>
      </c>
    </row>
    <row r="141" spans="1:17" x14ac:dyDescent="0.3">
      <c r="A141"/>
      <c r="B141" s="32" t="s">
        <v>239</v>
      </c>
      <c r="C141" s="86">
        <f>G134</f>
        <v>70</v>
      </c>
      <c r="D141" s="11" t="s">
        <v>236</v>
      </c>
    </row>
    <row r="142" spans="1:17" x14ac:dyDescent="0.3">
      <c r="A142"/>
      <c r="B142" s="32" t="s">
        <v>612</v>
      </c>
      <c r="C142" s="86">
        <f>C141*C140</f>
        <v>2100</v>
      </c>
      <c r="D142" s="11" t="s">
        <v>237</v>
      </c>
    </row>
    <row r="143" spans="1:17" x14ac:dyDescent="0.3">
      <c r="A143"/>
      <c r="B143" s="32" t="s">
        <v>612</v>
      </c>
      <c r="C143" s="86">
        <f>C142/1000</f>
        <v>2.1</v>
      </c>
      <c r="D143" s="11" t="s">
        <v>134</v>
      </c>
    </row>
    <row r="144" spans="1:17" x14ac:dyDescent="0.3">
      <c r="A144"/>
      <c r="B144" s="32" t="s">
        <v>634</v>
      </c>
      <c r="C144" s="86">
        <f>20/100</f>
        <v>0.2</v>
      </c>
      <c r="D144" s="11" t="s">
        <v>196</v>
      </c>
    </row>
    <row r="145" spans="1:17" x14ac:dyDescent="0.3">
      <c r="A145"/>
      <c r="B145" s="32" t="s">
        <v>635</v>
      </c>
      <c r="C145" s="135">
        <f>C143+C144</f>
        <v>2.3000000000000003</v>
      </c>
      <c r="D145" s="11" t="s">
        <v>134</v>
      </c>
    </row>
    <row r="146" spans="1:17" s="33" customFormat="1" x14ac:dyDescent="0.3">
      <c r="A146"/>
      <c r="B146"/>
      <c r="C146" s="132"/>
      <c r="D146"/>
      <c r="E146"/>
      <c r="F146"/>
      <c r="O146"/>
      <c r="Q146"/>
    </row>
    <row r="147" spans="1:17" x14ac:dyDescent="0.3">
      <c r="A147"/>
      <c r="B147" s="189" t="s">
        <v>615</v>
      </c>
      <c r="C147" s="189"/>
      <c r="D147" s="189"/>
      <c r="E147" s="201" t="s">
        <v>616</v>
      </c>
    </row>
    <row r="148" spans="1:17" x14ac:dyDescent="0.3">
      <c r="A148"/>
      <c r="B148" s="36" t="s">
        <v>617</v>
      </c>
      <c r="C148" s="24" t="s">
        <v>618</v>
      </c>
      <c r="D148" s="36" t="s">
        <v>619</v>
      </c>
      <c r="E148" s="201"/>
    </row>
    <row r="149" spans="1:17" x14ac:dyDescent="0.3">
      <c r="A149"/>
      <c r="B149" s="136">
        <v>2</v>
      </c>
      <c r="C149" s="137">
        <f>(E149)/(B149*D149)</f>
        <v>0.95833333333333348</v>
      </c>
      <c r="D149" s="136">
        <v>1.2</v>
      </c>
      <c r="E149" s="136">
        <f>C145</f>
        <v>2.3000000000000003</v>
      </c>
    </row>
    <row r="150" spans="1:17" x14ac:dyDescent="0.3">
      <c r="A150"/>
    </row>
    <row r="151" spans="1:17" ht="28.8" x14ac:dyDescent="0.3">
      <c r="A151"/>
      <c r="B151" s="138" t="s">
        <v>620</v>
      </c>
      <c r="C151" s="135">
        <f>C141*2</f>
        <v>140</v>
      </c>
      <c r="D151" s="1" t="s">
        <v>236</v>
      </c>
      <c r="E151" s="26" t="s">
        <v>621</v>
      </c>
      <c r="F151" s="137">
        <v>150</v>
      </c>
      <c r="G151" s="1" t="s">
        <v>236</v>
      </c>
    </row>
    <row r="152" spans="1:17" x14ac:dyDescent="0.3">
      <c r="A152"/>
      <c r="B152" s="35" t="s">
        <v>622</v>
      </c>
      <c r="C152" s="139">
        <f>C168+C179+D181+C186</f>
        <v>23.086878504585293</v>
      </c>
      <c r="D152" s="1" t="s">
        <v>196</v>
      </c>
      <c r="E152" s="26" t="s">
        <v>621</v>
      </c>
      <c r="F152" s="137">
        <v>25</v>
      </c>
      <c r="G152" s="1" t="s">
        <v>196</v>
      </c>
    </row>
    <row r="153" spans="1:17" x14ac:dyDescent="0.3">
      <c r="A153"/>
      <c r="B153" s="36" t="s">
        <v>623</v>
      </c>
      <c r="C153" s="151" t="s">
        <v>624</v>
      </c>
      <c r="D153" s="151"/>
    </row>
    <row r="154" spans="1:17" x14ac:dyDescent="0.3">
      <c r="A154"/>
    </row>
    <row r="155" spans="1:17" x14ac:dyDescent="0.3">
      <c r="A155"/>
      <c r="B155" s="11" t="s">
        <v>625</v>
      </c>
      <c r="C155" s="86">
        <f>C151</f>
        <v>140</v>
      </c>
      <c r="D155" s="11" t="s">
        <v>236</v>
      </c>
    </row>
    <row r="156" spans="1:17" x14ac:dyDescent="0.3">
      <c r="A156"/>
      <c r="B156" s="11"/>
      <c r="C156" s="86">
        <f>(C155/1000)/60</f>
        <v>2.3333333333333335E-3</v>
      </c>
      <c r="D156" s="11" t="s">
        <v>194</v>
      </c>
    </row>
    <row r="157" spans="1:17" s="33" customFormat="1" x14ac:dyDescent="0.3">
      <c r="A157"/>
      <c r="B157" s="11" t="s">
        <v>199</v>
      </c>
      <c r="C157" s="86">
        <v>2</v>
      </c>
      <c r="D157" s="11" t="s">
        <v>198</v>
      </c>
      <c r="P157"/>
      <c r="Q157"/>
    </row>
    <row r="158" spans="1:17" x14ac:dyDescent="0.3">
      <c r="A158"/>
      <c r="B158" s="11" t="s">
        <v>126</v>
      </c>
      <c r="C158" s="86">
        <f>SQRT((C156*4)/(C157*3.14))</f>
        <v>3.855125906337626E-2</v>
      </c>
      <c r="D158" s="11" t="s">
        <v>196</v>
      </c>
    </row>
    <row r="159" spans="1:17" x14ac:dyDescent="0.3">
      <c r="A159"/>
      <c r="B159" s="11"/>
      <c r="C159" s="86">
        <f>C158*1000</f>
        <v>38.551259063376257</v>
      </c>
      <c r="D159" s="11" t="s">
        <v>197</v>
      </c>
    </row>
    <row r="160" spans="1:17" x14ac:dyDescent="0.3">
      <c r="A160"/>
      <c r="B160" s="11" t="s">
        <v>235</v>
      </c>
      <c r="C160" s="135">
        <v>50</v>
      </c>
      <c r="D160" s="11" t="s">
        <v>197</v>
      </c>
    </row>
    <row r="161" spans="1:10" x14ac:dyDescent="0.3">
      <c r="A161"/>
    </row>
    <row r="162" spans="1:10" x14ac:dyDescent="0.3">
      <c r="A162"/>
      <c r="B162" s="189" t="s">
        <v>242</v>
      </c>
      <c r="C162" s="189"/>
      <c r="D162" s="189"/>
      <c r="E162" s="189"/>
      <c r="G162" s="140"/>
      <c r="H162" s="146"/>
      <c r="I162" s="5"/>
      <c r="J162" s="5"/>
    </row>
    <row r="163" spans="1:10" x14ac:dyDescent="0.3">
      <c r="A163"/>
      <c r="B163" s="176" t="s">
        <v>243</v>
      </c>
      <c r="C163" s="176"/>
      <c r="D163" s="176"/>
      <c r="E163" s="176"/>
      <c r="G163" s="140"/>
      <c r="H163" s="146"/>
      <c r="I163" s="5"/>
      <c r="J163" s="5"/>
    </row>
    <row r="164" spans="1:10" x14ac:dyDescent="0.3">
      <c r="A164"/>
      <c r="B164" s="11" t="s">
        <v>239</v>
      </c>
      <c r="C164" s="151">
        <f>C156</f>
        <v>2.3333333333333335E-3</v>
      </c>
      <c r="D164" s="151"/>
      <c r="E164" s="11" t="s">
        <v>194</v>
      </c>
      <c r="G164" s="140"/>
      <c r="H164" s="146"/>
      <c r="I164" s="5"/>
      <c r="J164" s="5"/>
    </row>
    <row r="165" spans="1:10" x14ac:dyDescent="0.3">
      <c r="A165"/>
      <c r="B165" s="1" t="s">
        <v>125</v>
      </c>
      <c r="C165" s="176">
        <v>150</v>
      </c>
      <c r="D165" s="176"/>
      <c r="E165" s="1"/>
      <c r="G165" s="140"/>
      <c r="H165" s="146"/>
      <c r="I165" s="5"/>
      <c r="J165" s="5"/>
    </row>
    <row r="166" spans="1:10" x14ac:dyDescent="0.3">
      <c r="A166"/>
      <c r="B166" s="11" t="s">
        <v>126</v>
      </c>
      <c r="C166" s="151">
        <f>C158</f>
        <v>3.855125906337626E-2</v>
      </c>
      <c r="D166" s="151"/>
      <c r="E166" s="11" t="s">
        <v>196</v>
      </c>
      <c r="G166" s="140"/>
      <c r="H166" s="146"/>
      <c r="I166" s="5"/>
      <c r="J166" s="5"/>
    </row>
    <row r="167" spans="1:10" x14ac:dyDescent="0.3">
      <c r="A167"/>
      <c r="B167" s="11" t="s">
        <v>237</v>
      </c>
      <c r="C167" s="225">
        <v>152</v>
      </c>
      <c r="D167" s="225"/>
      <c r="E167" s="11" t="s">
        <v>196</v>
      </c>
      <c r="G167" s="140"/>
      <c r="H167" s="146"/>
      <c r="I167" s="5"/>
      <c r="J167" s="5"/>
    </row>
    <row r="168" spans="1:10" x14ac:dyDescent="0.3">
      <c r="A168"/>
      <c r="B168" s="11" t="s">
        <v>240</v>
      </c>
      <c r="C168" s="203">
        <f>(((10.67)*(C164^1.85))/((C165^1.85)*(C166^4.87)))*C167</f>
        <v>15.885043642199971</v>
      </c>
      <c r="D168" s="203"/>
      <c r="E168" s="11" t="s">
        <v>196</v>
      </c>
      <c r="G168" s="140"/>
      <c r="H168" s="146"/>
      <c r="I168" s="5"/>
      <c r="J168" s="5"/>
    </row>
    <row r="169" spans="1:10" x14ac:dyDescent="0.3">
      <c r="A169"/>
      <c r="B169" s="151" t="s">
        <v>638</v>
      </c>
      <c r="C169" s="151"/>
      <c r="D169" s="151"/>
      <c r="E169" s="151"/>
      <c r="G169" s="140"/>
      <c r="H169" s="146"/>
      <c r="I169" s="5"/>
      <c r="J169" s="5"/>
    </row>
    <row r="170" spans="1:10" x14ac:dyDescent="0.3">
      <c r="A170"/>
      <c r="B170" s="11" t="s">
        <v>245</v>
      </c>
      <c r="C170" s="11" t="s">
        <v>246</v>
      </c>
      <c r="D170" s="11" t="s">
        <v>247</v>
      </c>
      <c r="E170" s="11" t="s">
        <v>248</v>
      </c>
      <c r="G170" s="140"/>
      <c r="H170" s="146"/>
      <c r="I170" s="5"/>
      <c r="J170" s="5"/>
    </row>
    <row r="171" spans="1:10" x14ac:dyDescent="0.3">
      <c r="A171"/>
      <c r="B171" s="11" t="s">
        <v>249</v>
      </c>
      <c r="C171" s="136">
        <v>14</v>
      </c>
      <c r="D171" s="11">
        <v>0.7</v>
      </c>
      <c r="E171" s="11">
        <f>C171*D171</f>
        <v>9.7999999999999989</v>
      </c>
      <c r="G171" s="140"/>
      <c r="H171" s="146"/>
      <c r="I171" s="5"/>
      <c r="J171" s="5"/>
    </row>
    <row r="172" spans="1:10" x14ac:dyDescent="0.3">
      <c r="A172"/>
      <c r="B172" s="32"/>
      <c r="C172" s="32"/>
      <c r="D172" s="32"/>
      <c r="E172" s="11"/>
      <c r="G172" s="140"/>
      <c r="H172" s="146"/>
      <c r="I172" s="5"/>
      <c r="J172" s="5"/>
    </row>
    <row r="173" spans="1:10" x14ac:dyDescent="0.3">
      <c r="A173"/>
      <c r="B173" s="151" t="s">
        <v>250</v>
      </c>
      <c r="C173" s="151"/>
      <c r="D173" s="151"/>
      <c r="E173" s="11">
        <f>SUM(E171:E172)</f>
        <v>9.7999999999999989</v>
      </c>
      <c r="G173" s="140"/>
      <c r="H173" s="146"/>
      <c r="I173" s="5"/>
      <c r="J173" s="5"/>
    </row>
    <row r="174" spans="1:10" x14ac:dyDescent="0.3">
      <c r="A174"/>
      <c r="B174" s="151"/>
      <c r="C174" s="151"/>
      <c r="D174" s="151"/>
      <c r="E174" s="151"/>
      <c r="G174" s="140"/>
      <c r="H174" s="146"/>
      <c r="I174" s="5"/>
      <c r="J174" s="5"/>
    </row>
    <row r="175" spans="1:10" x14ac:dyDescent="0.3">
      <c r="A175"/>
      <c r="B175" s="11" t="s">
        <v>199</v>
      </c>
      <c r="C175" s="176">
        <f>C157</f>
        <v>2</v>
      </c>
      <c r="D175" s="176"/>
      <c r="E175" s="11" t="s">
        <v>198</v>
      </c>
      <c r="G175" s="140"/>
      <c r="H175" s="146"/>
      <c r="I175" s="5"/>
      <c r="J175" s="5"/>
    </row>
    <row r="176" spans="1:10" x14ac:dyDescent="0.3">
      <c r="A176"/>
      <c r="B176" s="11" t="s">
        <v>251</v>
      </c>
      <c r="C176" s="176">
        <f>C157^2</f>
        <v>4</v>
      </c>
      <c r="D176" s="176"/>
      <c r="E176" s="11" t="s">
        <v>252</v>
      </c>
      <c r="G176" s="140"/>
      <c r="H176" s="146"/>
      <c r="I176" s="5"/>
      <c r="J176" s="5"/>
    </row>
    <row r="177" spans="1:13" x14ac:dyDescent="0.3">
      <c r="A177"/>
      <c r="B177" s="11" t="s">
        <v>253</v>
      </c>
      <c r="C177" s="176">
        <v>9.81</v>
      </c>
      <c r="D177" s="176"/>
      <c r="E177" s="11" t="s">
        <v>254</v>
      </c>
      <c r="G177" s="140"/>
      <c r="H177" s="146"/>
      <c r="I177" s="5"/>
      <c r="J177" s="5"/>
    </row>
    <row r="178" spans="1:13" x14ac:dyDescent="0.3">
      <c r="A178"/>
      <c r="B178" s="11" t="s">
        <v>255</v>
      </c>
      <c r="C178" s="151">
        <f>2*C177</f>
        <v>19.62</v>
      </c>
      <c r="D178" s="151"/>
      <c r="E178" s="11" t="s">
        <v>254</v>
      </c>
      <c r="G178" s="140"/>
      <c r="H178" s="146"/>
      <c r="I178" s="5"/>
      <c r="J178" s="5"/>
    </row>
    <row r="179" spans="1:13" x14ac:dyDescent="0.3">
      <c r="A179"/>
      <c r="B179" s="11" t="s">
        <v>240</v>
      </c>
      <c r="C179" s="198">
        <f>(E173)*(C176/C178)</f>
        <v>1.9979612640163096</v>
      </c>
      <c r="D179" s="198"/>
      <c r="E179" s="11" t="s">
        <v>196</v>
      </c>
      <c r="G179" s="140"/>
      <c r="H179" s="146"/>
      <c r="I179" s="5"/>
      <c r="J179" s="5"/>
    </row>
    <row r="180" spans="1:13" x14ac:dyDescent="0.3">
      <c r="A180"/>
      <c r="B180" s="189" t="s">
        <v>256</v>
      </c>
      <c r="C180" s="189"/>
      <c r="D180" s="189"/>
      <c r="E180" s="189"/>
      <c r="G180" s="140"/>
      <c r="H180" s="146"/>
      <c r="I180" s="5"/>
      <c r="J180" s="5"/>
    </row>
    <row r="181" spans="1:13" x14ac:dyDescent="0.3">
      <c r="A181"/>
      <c r="B181" s="151" t="s">
        <v>257</v>
      </c>
      <c r="C181" s="151"/>
      <c r="D181" s="11">
        <f>5000/1000</f>
        <v>5</v>
      </c>
      <c r="E181" s="11" t="s">
        <v>196</v>
      </c>
      <c r="G181" s="140"/>
      <c r="H181" s="146"/>
      <c r="I181" s="5"/>
      <c r="J181" s="5"/>
    </row>
    <row r="182" spans="1:13" x14ac:dyDescent="0.3">
      <c r="A182"/>
      <c r="B182" s="201" t="s">
        <v>258</v>
      </c>
      <c r="C182" s="201"/>
      <c r="D182" s="201"/>
      <c r="E182" s="201"/>
      <c r="G182" s="140"/>
      <c r="H182" s="146"/>
      <c r="I182" s="5"/>
      <c r="J182" s="5"/>
    </row>
    <row r="183" spans="1:13" x14ac:dyDescent="0.3">
      <c r="A183"/>
      <c r="B183" s="11" t="s">
        <v>199</v>
      </c>
      <c r="C183" s="11">
        <f>C157</f>
        <v>2</v>
      </c>
      <c r="D183" s="151" t="s">
        <v>198</v>
      </c>
      <c r="E183" s="151"/>
      <c r="G183" s="140"/>
      <c r="H183" s="146"/>
      <c r="I183" s="5"/>
      <c r="J183" s="5"/>
    </row>
    <row r="184" spans="1:13" x14ac:dyDescent="0.3">
      <c r="A184"/>
      <c r="B184" s="11" t="s">
        <v>251</v>
      </c>
      <c r="C184" s="11">
        <f>C183^2</f>
        <v>4</v>
      </c>
      <c r="D184" s="151" t="s">
        <v>252</v>
      </c>
      <c r="E184" s="151"/>
      <c r="G184" s="140"/>
      <c r="H184" s="146"/>
      <c r="I184" s="5"/>
      <c r="J184" s="5"/>
    </row>
    <row r="185" spans="1:13" x14ac:dyDescent="0.3">
      <c r="A185"/>
      <c r="B185" s="11" t="s">
        <v>253</v>
      </c>
      <c r="C185" s="11">
        <v>9.81</v>
      </c>
      <c r="D185" s="151" t="s">
        <v>254</v>
      </c>
      <c r="E185" s="151"/>
      <c r="G185" s="140"/>
      <c r="H185" s="146"/>
      <c r="I185" s="5"/>
      <c r="J185" s="5"/>
    </row>
    <row r="186" spans="1:13" x14ac:dyDescent="0.3">
      <c r="A186"/>
      <c r="B186" s="86" t="s">
        <v>258</v>
      </c>
      <c r="C186" s="141">
        <f>(C184/(2*C185))</f>
        <v>0.2038735983690112</v>
      </c>
      <c r="D186" s="231" t="s">
        <v>196</v>
      </c>
      <c r="E186" s="232"/>
      <c r="G186" s="140"/>
      <c r="H186" s="146"/>
      <c r="I186" s="5"/>
      <c r="J186" s="5"/>
    </row>
    <row r="187" spans="1:13" x14ac:dyDescent="0.3">
      <c r="A187"/>
      <c r="M187"/>
    </row>
    <row r="188" spans="1:13" x14ac:dyDescent="0.3">
      <c r="A188"/>
      <c r="B188" s="180" t="s">
        <v>639</v>
      </c>
      <c r="C188" s="180"/>
      <c r="D188" s="180"/>
      <c r="E188" s="180"/>
      <c r="M188"/>
    </row>
    <row r="189" spans="1:13" x14ac:dyDescent="0.3">
      <c r="A189"/>
      <c r="B189" s="131" t="s">
        <v>628</v>
      </c>
      <c r="C189" s="126"/>
      <c r="D189" s="126"/>
      <c r="E189" s="126"/>
    </row>
    <row r="190" spans="1:13" x14ac:dyDescent="0.3">
      <c r="A190"/>
      <c r="B190" s="131" t="s">
        <v>640</v>
      </c>
      <c r="C190" s="126"/>
      <c r="D190" s="126"/>
      <c r="E190" s="126"/>
    </row>
    <row r="191" spans="1:13" x14ac:dyDescent="0.3">
      <c r="A191"/>
      <c r="B191" s="131" t="s">
        <v>641</v>
      </c>
      <c r="C191" s="126"/>
      <c r="D191" s="126"/>
      <c r="E191" s="126"/>
    </row>
    <row r="192" spans="1:13" x14ac:dyDescent="0.3">
      <c r="A192"/>
      <c r="M192"/>
    </row>
    <row r="193" spans="1:17" x14ac:dyDescent="0.3">
      <c r="A193"/>
      <c r="B193" s="201" t="s">
        <v>2</v>
      </c>
      <c r="C193" s="199" t="s">
        <v>629</v>
      </c>
      <c r="D193" s="199" t="s">
        <v>7</v>
      </c>
      <c r="E193" s="199" t="s">
        <v>607</v>
      </c>
      <c r="F193" s="199" t="s">
        <v>608</v>
      </c>
      <c r="G193" s="201" t="s">
        <v>236</v>
      </c>
      <c r="M193"/>
    </row>
    <row r="194" spans="1:17" s="33" customFormat="1" x14ac:dyDescent="0.3">
      <c r="A194"/>
      <c r="B194" s="201"/>
      <c r="C194" s="199"/>
      <c r="D194" s="199"/>
      <c r="E194" s="199"/>
      <c r="F194" s="199"/>
      <c r="G194" s="201"/>
      <c r="H194"/>
      <c r="I194"/>
      <c r="J194"/>
      <c r="K194"/>
      <c r="L194"/>
      <c r="M194"/>
      <c r="N194"/>
      <c r="O194"/>
      <c r="P194"/>
      <c r="Q194"/>
    </row>
    <row r="195" spans="1:17" x14ac:dyDescent="0.3">
      <c r="A195"/>
      <c r="B195" s="1">
        <v>1</v>
      </c>
      <c r="C195" s="133" t="s">
        <v>630</v>
      </c>
      <c r="D195" s="11">
        <f>5+7</f>
        <v>12</v>
      </c>
      <c r="E195" s="11">
        <v>4</v>
      </c>
      <c r="F195" s="11">
        <f>D195*E195</f>
        <v>48</v>
      </c>
      <c r="G195" s="233">
        <f>156</f>
        <v>156</v>
      </c>
      <c r="M195"/>
    </row>
    <row r="196" spans="1:17" x14ac:dyDescent="0.3">
      <c r="A196"/>
      <c r="B196" s="1">
        <v>2</v>
      </c>
      <c r="C196" s="133" t="s">
        <v>631</v>
      </c>
      <c r="D196" s="11">
        <f>12+7</f>
        <v>19</v>
      </c>
      <c r="E196" s="11">
        <v>1</v>
      </c>
      <c r="F196" s="11">
        <f t="shared" ref="F196:F197" si="1">D196*E196</f>
        <v>19</v>
      </c>
      <c r="G196" s="234"/>
      <c r="M196"/>
    </row>
    <row r="197" spans="1:17" x14ac:dyDescent="0.3">
      <c r="A197"/>
      <c r="B197" s="11">
        <v>3</v>
      </c>
      <c r="C197" s="133" t="s">
        <v>632</v>
      </c>
      <c r="D197" s="11">
        <f>9+13</f>
        <v>22</v>
      </c>
      <c r="E197" s="11">
        <v>1</v>
      </c>
      <c r="F197" s="11">
        <f t="shared" si="1"/>
        <v>22</v>
      </c>
      <c r="G197" s="234"/>
      <c r="M197"/>
    </row>
    <row r="198" spans="1:17" x14ac:dyDescent="0.3">
      <c r="A198"/>
      <c r="B198" s="151" t="s">
        <v>109</v>
      </c>
      <c r="C198" s="151"/>
      <c r="D198" s="151"/>
      <c r="E198" s="151"/>
      <c r="F198" s="11">
        <f>SUM(F195:F197)</f>
        <v>89</v>
      </c>
      <c r="G198" s="230"/>
      <c r="M198"/>
    </row>
    <row r="199" spans="1:17" x14ac:dyDescent="0.3">
      <c r="A199"/>
      <c r="B199" s="26"/>
      <c r="C199" s="26"/>
      <c r="D199" s="26"/>
      <c r="E199" s="26"/>
      <c r="F199" s="11" t="s">
        <v>642</v>
      </c>
      <c r="G199" s="1">
        <f>G73</f>
        <v>83</v>
      </c>
      <c r="M199"/>
    </row>
    <row r="200" spans="1:17" x14ac:dyDescent="0.3">
      <c r="A200"/>
      <c r="F200" s="11" t="s">
        <v>643</v>
      </c>
      <c r="G200" s="11">
        <f>G134</f>
        <v>70</v>
      </c>
      <c r="M200"/>
    </row>
    <row r="201" spans="1:17" x14ac:dyDescent="0.3">
      <c r="A201"/>
      <c r="F201" s="36" t="s">
        <v>1</v>
      </c>
      <c r="G201" s="36">
        <f>SUM(G195:G200)</f>
        <v>309</v>
      </c>
      <c r="M201"/>
    </row>
    <row r="202" spans="1:17" ht="28.8" x14ac:dyDescent="0.3">
      <c r="A202"/>
      <c r="B202" s="128" t="s">
        <v>611</v>
      </c>
      <c r="C202" s="135">
        <v>30</v>
      </c>
      <c r="D202" s="11" t="s">
        <v>177</v>
      </c>
      <c r="K202" s="142"/>
      <c r="L202" s="142"/>
      <c r="N202" s="142"/>
      <c r="O202" s="142"/>
      <c r="P202" s="142"/>
    </row>
    <row r="203" spans="1:17" x14ac:dyDescent="0.3">
      <c r="A203"/>
      <c r="B203" s="32" t="s">
        <v>239</v>
      </c>
      <c r="C203" s="86">
        <f>G201</f>
        <v>309</v>
      </c>
      <c r="D203" s="11" t="s">
        <v>236</v>
      </c>
    </row>
    <row r="204" spans="1:17" x14ac:dyDescent="0.3">
      <c r="A204"/>
      <c r="B204" s="32" t="s">
        <v>612</v>
      </c>
      <c r="C204" s="86">
        <f>C203*C202</f>
        <v>9270</v>
      </c>
      <c r="D204" s="11" t="s">
        <v>237</v>
      </c>
    </row>
    <row r="205" spans="1:17" x14ac:dyDescent="0.3">
      <c r="A205"/>
      <c r="B205" s="32" t="s">
        <v>612</v>
      </c>
      <c r="C205" s="86">
        <f>C204/1000</f>
        <v>9.27</v>
      </c>
      <c r="D205" s="11" t="s">
        <v>134</v>
      </c>
    </row>
    <row r="206" spans="1:17" x14ac:dyDescent="0.3">
      <c r="A206"/>
      <c r="B206" s="32" t="s">
        <v>634</v>
      </c>
      <c r="C206" s="86">
        <f>20/100</f>
        <v>0.2</v>
      </c>
      <c r="D206" s="11" t="s">
        <v>196</v>
      </c>
    </row>
    <row r="207" spans="1:17" x14ac:dyDescent="0.3">
      <c r="A207"/>
      <c r="B207" s="32" t="s">
        <v>635</v>
      </c>
      <c r="C207" s="135">
        <f>C205+C206</f>
        <v>9.4699999999999989</v>
      </c>
      <c r="D207" s="11" t="s">
        <v>134</v>
      </c>
    </row>
    <row r="208" spans="1:17" x14ac:dyDescent="0.3">
      <c r="A208"/>
    </row>
    <row r="209" spans="1:7" x14ac:dyDescent="0.3">
      <c r="A209"/>
      <c r="B209" s="189" t="s">
        <v>615</v>
      </c>
      <c r="C209" s="189"/>
      <c r="D209" s="189"/>
      <c r="E209" s="201" t="s">
        <v>616</v>
      </c>
    </row>
    <row r="210" spans="1:7" x14ac:dyDescent="0.3">
      <c r="A210"/>
      <c r="B210" s="36" t="s">
        <v>617</v>
      </c>
      <c r="C210" s="24" t="s">
        <v>618</v>
      </c>
      <c r="D210" s="36" t="s">
        <v>619</v>
      </c>
      <c r="E210" s="201"/>
    </row>
    <row r="211" spans="1:7" x14ac:dyDescent="0.3">
      <c r="A211"/>
      <c r="B211" s="136">
        <v>4</v>
      </c>
      <c r="C211" s="137">
        <f>(E211)/(B211*D211)</f>
        <v>1.8211538461538459</v>
      </c>
      <c r="D211" s="136">
        <v>1.3</v>
      </c>
      <c r="E211" s="136">
        <f>C207</f>
        <v>9.4699999999999989</v>
      </c>
    </row>
    <row r="212" spans="1:7" x14ac:dyDescent="0.3">
      <c r="A212"/>
    </row>
    <row r="213" spans="1:7" ht="28.8" x14ac:dyDescent="0.3">
      <c r="A213"/>
      <c r="B213" s="138" t="s">
        <v>620</v>
      </c>
      <c r="C213" s="135">
        <f>C203*2</f>
        <v>618</v>
      </c>
      <c r="D213" s="1" t="s">
        <v>236</v>
      </c>
      <c r="E213" s="26" t="s">
        <v>621</v>
      </c>
      <c r="F213" s="137">
        <v>620</v>
      </c>
      <c r="G213" s="1" t="s">
        <v>236</v>
      </c>
    </row>
    <row r="214" spans="1:7" x14ac:dyDescent="0.3">
      <c r="A214"/>
      <c r="B214" s="35" t="s">
        <v>622</v>
      </c>
      <c r="C214" s="139">
        <f>C230+C241+D243+C248</f>
        <v>11.31102063621907</v>
      </c>
      <c r="D214" s="1" t="s">
        <v>196</v>
      </c>
      <c r="E214" s="26" t="s">
        <v>621</v>
      </c>
      <c r="F214" s="137">
        <v>15</v>
      </c>
      <c r="G214" s="1" t="s">
        <v>196</v>
      </c>
    </row>
    <row r="215" spans="1:7" x14ac:dyDescent="0.3">
      <c r="A215"/>
      <c r="B215" s="36" t="s">
        <v>623</v>
      </c>
      <c r="C215" s="151" t="s">
        <v>624</v>
      </c>
      <c r="D215" s="151"/>
    </row>
    <row r="216" spans="1:7" x14ac:dyDescent="0.3">
      <c r="A216"/>
    </row>
    <row r="217" spans="1:7" x14ac:dyDescent="0.3">
      <c r="A217"/>
      <c r="B217" s="11" t="s">
        <v>625</v>
      </c>
      <c r="C217" s="86">
        <f>C213</f>
        <v>618</v>
      </c>
      <c r="D217" s="11" t="s">
        <v>236</v>
      </c>
    </row>
    <row r="218" spans="1:7" x14ac:dyDescent="0.3">
      <c r="A218"/>
      <c r="B218" s="11"/>
      <c r="C218" s="86">
        <f>(C217/1000)/60</f>
        <v>1.03E-2</v>
      </c>
      <c r="D218" s="11" t="s">
        <v>194</v>
      </c>
    </row>
    <row r="219" spans="1:7" x14ac:dyDescent="0.3">
      <c r="A219"/>
      <c r="B219" s="11" t="s">
        <v>199</v>
      </c>
      <c r="C219" s="86">
        <v>2</v>
      </c>
      <c r="D219" s="11" t="s">
        <v>198</v>
      </c>
    </row>
    <row r="220" spans="1:7" x14ac:dyDescent="0.3">
      <c r="A220"/>
      <c r="B220" s="11" t="s">
        <v>126</v>
      </c>
      <c r="C220" s="86">
        <f>SQRT((C218*4)/(C219*3.14))</f>
        <v>8.0996972499841793E-2</v>
      </c>
      <c r="D220" s="11" t="s">
        <v>196</v>
      </c>
    </row>
    <row r="221" spans="1:7" x14ac:dyDescent="0.3">
      <c r="A221"/>
      <c r="B221" s="11"/>
      <c r="C221" s="86">
        <f>C220*1000</f>
        <v>80.996972499841789</v>
      </c>
      <c r="D221" s="11" t="s">
        <v>197</v>
      </c>
    </row>
    <row r="222" spans="1:7" x14ac:dyDescent="0.3">
      <c r="A222"/>
      <c r="B222" s="11" t="s">
        <v>235</v>
      </c>
      <c r="C222" s="135">
        <v>100</v>
      </c>
      <c r="D222" s="11" t="s">
        <v>197</v>
      </c>
    </row>
    <row r="223" spans="1:7" x14ac:dyDescent="0.3">
      <c r="A223"/>
    </row>
    <row r="224" spans="1:7" x14ac:dyDescent="0.3">
      <c r="A224"/>
      <c r="B224" s="189" t="s">
        <v>242</v>
      </c>
      <c r="C224" s="189"/>
      <c r="D224" s="189"/>
      <c r="E224" s="189"/>
    </row>
    <row r="225" spans="1:13" x14ac:dyDescent="0.3">
      <c r="A225"/>
      <c r="B225" s="176" t="s">
        <v>243</v>
      </c>
      <c r="C225" s="176"/>
      <c r="D225" s="176"/>
      <c r="E225" s="176"/>
    </row>
    <row r="226" spans="1:13" x14ac:dyDescent="0.3">
      <c r="A226"/>
      <c r="B226" s="11" t="s">
        <v>239</v>
      </c>
      <c r="C226" s="151">
        <f>C218</f>
        <v>1.03E-2</v>
      </c>
      <c r="D226" s="151"/>
      <c r="E226" s="11" t="s">
        <v>194</v>
      </c>
    </row>
    <row r="227" spans="1:13" ht="14.4" customHeight="1" x14ac:dyDescent="0.3">
      <c r="A227"/>
      <c r="B227" s="1" t="s">
        <v>125</v>
      </c>
      <c r="C227" s="176">
        <v>150</v>
      </c>
      <c r="D227" s="176"/>
      <c r="E227" s="1"/>
      <c r="M227"/>
    </row>
    <row r="228" spans="1:13" x14ac:dyDescent="0.3">
      <c r="A228"/>
      <c r="B228" s="11" t="s">
        <v>126</v>
      </c>
      <c r="C228" s="151">
        <f>C220</f>
        <v>8.0996972499841793E-2</v>
      </c>
      <c r="D228" s="151"/>
      <c r="E228" s="11" t="s">
        <v>196</v>
      </c>
      <c r="M228"/>
    </row>
    <row r="229" spans="1:13" x14ac:dyDescent="0.3">
      <c r="A229"/>
      <c r="B229" s="11" t="s">
        <v>237</v>
      </c>
      <c r="C229" s="225">
        <v>110</v>
      </c>
      <c r="D229" s="225"/>
      <c r="E229" s="11" t="s">
        <v>196</v>
      </c>
      <c r="M229"/>
    </row>
    <row r="230" spans="1:13" x14ac:dyDescent="0.3">
      <c r="A230"/>
      <c r="B230" s="11" t="s">
        <v>240</v>
      </c>
      <c r="C230" s="203">
        <f>(((10.67)*(C226^1.85))/((C227^1.85)*(C228^4.87)))*C229</f>
        <v>4.8227433681252876</v>
      </c>
      <c r="D230" s="203"/>
      <c r="E230" s="11" t="s">
        <v>196</v>
      </c>
      <c r="M230"/>
    </row>
    <row r="231" spans="1:13" x14ac:dyDescent="0.3">
      <c r="A231"/>
      <c r="B231" s="151" t="s">
        <v>638</v>
      </c>
      <c r="C231" s="151"/>
      <c r="D231" s="151"/>
      <c r="E231" s="151"/>
      <c r="M231"/>
    </row>
    <row r="232" spans="1:13" x14ac:dyDescent="0.3">
      <c r="A232"/>
      <c r="B232" s="11" t="s">
        <v>245</v>
      </c>
      <c r="C232" s="11" t="s">
        <v>246</v>
      </c>
      <c r="D232" s="11" t="s">
        <v>247</v>
      </c>
      <c r="E232" s="11" t="s">
        <v>248</v>
      </c>
      <c r="M232"/>
    </row>
    <row r="233" spans="1:13" x14ac:dyDescent="0.3">
      <c r="A233"/>
      <c r="B233" s="11" t="s">
        <v>249</v>
      </c>
      <c r="C233" s="136">
        <v>9</v>
      </c>
      <c r="D233" s="11">
        <v>0.7</v>
      </c>
      <c r="E233" s="11">
        <f>C233*D233</f>
        <v>6.3</v>
      </c>
      <c r="M233"/>
    </row>
    <row r="234" spans="1:13" x14ac:dyDescent="0.3">
      <c r="A234"/>
      <c r="B234" s="32"/>
      <c r="C234" s="32"/>
      <c r="D234" s="32"/>
      <c r="E234" s="32"/>
      <c r="M234"/>
    </row>
    <row r="235" spans="1:13" x14ac:dyDescent="0.3">
      <c r="A235"/>
      <c r="B235" s="151" t="s">
        <v>250</v>
      </c>
      <c r="C235" s="151"/>
      <c r="D235" s="151"/>
      <c r="E235" s="11">
        <f>SUM(E233:E234)</f>
        <v>6.3</v>
      </c>
      <c r="M235"/>
    </row>
    <row r="236" spans="1:13" x14ac:dyDescent="0.3">
      <c r="A236"/>
      <c r="B236" s="151"/>
      <c r="C236" s="151"/>
      <c r="D236" s="151"/>
      <c r="E236" s="151"/>
      <c r="M236"/>
    </row>
    <row r="237" spans="1:13" x14ac:dyDescent="0.3">
      <c r="A237"/>
      <c r="B237" s="11" t="s">
        <v>199</v>
      </c>
      <c r="C237" s="176">
        <f>C219</f>
        <v>2</v>
      </c>
      <c r="D237" s="176"/>
      <c r="E237" s="11" t="s">
        <v>198</v>
      </c>
      <c r="M237"/>
    </row>
    <row r="238" spans="1:13" x14ac:dyDescent="0.3">
      <c r="A238"/>
      <c r="B238" s="11" t="s">
        <v>251</v>
      </c>
      <c r="C238" s="176">
        <f>C237^2</f>
        <v>4</v>
      </c>
      <c r="D238" s="176"/>
      <c r="E238" s="11" t="s">
        <v>252</v>
      </c>
      <c r="M238"/>
    </row>
    <row r="239" spans="1:13" x14ac:dyDescent="0.3">
      <c r="A239"/>
      <c r="B239" s="11" t="s">
        <v>253</v>
      </c>
      <c r="C239" s="176">
        <v>9.81</v>
      </c>
      <c r="D239" s="176"/>
      <c r="E239" s="11" t="s">
        <v>254</v>
      </c>
      <c r="M239"/>
    </row>
    <row r="240" spans="1:13" x14ac:dyDescent="0.3">
      <c r="A240"/>
      <c r="B240" s="11" t="s">
        <v>255</v>
      </c>
      <c r="C240" s="151">
        <f>C239*2</f>
        <v>19.62</v>
      </c>
      <c r="D240" s="151"/>
      <c r="E240" s="11" t="s">
        <v>254</v>
      </c>
      <c r="M240"/>
    </row>
    <row r="241" spans="1:13" x14ac:dyDescent="0.3">
      <c r="A241"/>
      <c r="B241" s="11" t="s">
        <v>240</v>
      </c>
      <c r="C241" s="198">
        <f>(E235)*(C238/C240)</f>
        <v>1.2844036697247705</v>
      </c>
      <c r="D241" s="198"/>
      <c r="E241" s="11" t="s">
        <v>196</v>
      </c>
      <c r="M241"/>
    </row>
    <row r="242" spans="1:13" x14ac:dyDescent="0.3">
      <c r="A242"/>
      <c r="B242" s="189" t="s">
        <v>256</v>
      </c>
      <c r="C242" s="189"/>
      <c r="D242" s="189"/>
      <c r="E242" s="189"/>
      <c r="M242"/>
    </row>
    <row r="243" spans="1:13" x14ac:dyDescent="0.3">
      <c r="A243"/>
      <c r="B243" s="151" t="s">
        <v>257</v>
      </c>
      <c r="C243" s="151"/>
      <c r="D243" s="11">
        <f>5000/1000</f>
        <v>5</v>
      </c>
      <c r="E243" s="11" t="s">
        <v>196</v>
      </c>
      <c r="M243"/>
    </row>
    <row r="244" spans="1:13" x14ac:dyDescent="0.3">
      <c r="A244"/>
      <c r="B244" s="201" t="s">
        <v>258</v>
      </c>
      <c r="C244" s="201"/>
      <c r="D244" s="201"/>
      <c r="E244" s="201"/>
      <c r="M244"/>
    </row>
    <row r="245" spans="1:13" x14ac:dyDescent="0.3">
      <c r="A245"/>
      <c r="B245" s="11" t="s">
        <v>199</v>
      </c>
      <c r="C245" s="11">
        <f>C219</f>
        <v>2</v>
      </c>
      <c r="D245" s="151" t="s">
        <v>198</v>
      </c>
      <c r="E245" s="151"/>
      <c r="M245"/>
    </row>
    <row r="246" spans="1:13" x14ac:dyDescent="0.3">
      <c r="A246"/>
      <c r="B246" s="11" t="s">
        <v>251</v>
      </c>
      <c r="C246" s="11">
        <f>C245^2</f>
        <v>4</v>
      </c>
      <c r="D246" s="151" t="s">
        <v>252</v>
      </c>
      <c r="E246" s="151"/>
      <c r="M246"/>
    </row>
    <row r="247" spans="1:13" x14ac:dyDescent="0.3">
      <c r="A247"/>
      <c r="B247" s="11" t="s">
        <v>253</v>
      </c>
      <c r="C247" s="11">
        <v>9.81</v>
      </c>
      <c r="D247" s="151" t="s">
        <v>254</v>
      </c>
      <c r="E247" s="151"/>
      <c r="M247"/>
    </row>
    <row r="248" spans="1:13" x14ac:dyDescent="0.3">
      <c r="A248"/>
      <c r="B248" s="86" t="s">
        <v>258</v>
      </c>
      <c r="C248" s="141">
        <f>(C246/(2*C247))</f>
        <v>0.2038735983690112</v>
      </c>
      <c r="D248" s="176" t="s">
        <v>196</v>
      </c>
      <c r="E248" s="176"/>
      <c r="M248"/>
    </row>
    <row r="249" spans="1:13" x14ac:dyDescent="0.3">
      <c r="A249"/>
      <c r="B249" s="77"/>
      <c r="D249" s="77"/>
      <c r="M249"/>
    </row>
    <row r="250" spans="1:13" x14ac:dyDescent="0.3">
      <c r="A250"/>
      <c r="B250" s="181" t="s">
        <v>644</v>
      </c>
      <c r="C250" s="181"/>
      <c r="D250" s="181"/>
      <c r="M250"/>
    </row>
    <row r="251" spans="1:13" x14ac:dyDescent="0.3">
      <c r="A251"/>
      <c r="B251" s="181" t="s">
        <v>645</v>
      </c>
      <c r="C251" s="181"/>
      <c r="D251" s="181"/>
      <c r="M251"/>
    </row>
    <row r="252" spans="1:13" x14ac:dyDescent="0.3">
      <c r="A252"/>
      <c r="B252" s="181" t="s">
        <v>646</v>
      </c>
      <c r="C252" s="181"/>
      <c r="D252" s="181"/>
      <c r="M252"/>
    </row>
    <row r="253" spans="1:13" x14ac:dyDescent="0.3">
      <c r="A253"/>
      <c r="B253" s="236" t="s">
        <v>647</v>
      </c>
      <c r="C253" s="236"/>
      <c r="D253" s="236"/>
      <c r="M253"/>
    </row>
    <row r="254" spans="1:13" x14ac:dyDescent="0.3">
      <c r="A254"/>
      <c r="B254" s="236"/>
      <c r="C254" s="236"/>
      <c r="D254" s="236"/>
      <c r="M254"/>
    </row>
    <row r="255" spans="1:13" x14ac:dyDescent="0.3">
      <c r="A255"/>
      <c r="B255" s="147"/>
      <c r="C255" s="147"/>
      <c r="D255" s="147"/>
      <c r="M255"/>
    </row>
    <row r="256" spans="1:13" x14ac:dyDescent="0.3">
      <c r="A256"/>
      <c r="M256"/>
    </row>
    <row r="257" spans="1:13" x14ac:dyDescent="0.3">
      <c r="A257"/>
      <c r="C257"/>
    </row>
    <row r="258" spans="1:13" x14ac:dyDescent="0.3">
      <c r="A258"/>
      <c r="C258"/>
    </row>
    <row r="259" spans="1:13" x14ac:dyDescent="0.3">
      <c r="A259"/>
      <c r="C259"/>
    </row>
    <row r="260" spans="1:13" x14ac:dyDescent="0.3">
      <c r="A260"/>
      <c r="C260"/>
    </row>
    <row r="261" spans="1:13" x14ac:dyDescent="0.3">
      <c r="A261"/>
      <c r="C261"/>
      <c r="M261"/>
    </row>
    <row r="262" spans="1:13" x14ac:dyDescent="0.3">
      <c r="A262"/>
      <c r="C262"/>
      <c r="M262"/>
    </row>
    <row r="263" spans="1:13" x14ac:dyDescent="0.3">
      <c r="A263"/>
      <c r="C263"/>
      <c r="M263"/>
    </row>
    <row r="264" spans="1:13" x14ac:dyDescent="0.3">
      <c r="A264"/>
      <c r="C264"/>
      <c r="M264"/>
    </row>
    <row r="265" spans="1:13" x14ac:dyDescent="0.3">
      <c r="A265"/>
      <c r="C265"/>
      <c r="M265"/>
    </row>
    <row r="266" spans="1:13" x14ac:dyDescent="0.3">
      <c r="A266"/>
      <c r="C266"/>
      <c r="M266"/>
    </row>
    <row r="267" spans="1:13" x14ac:dyDescent="0.3">
      <c r="A267"/>
      <c r="C267"/>
      <c r="M267"/>
    </row>
    <row r="268" spans="1:13" x14ac:dyDescent="0.3">
      <c r="A268"/>
      <c r="C268"/>
      <c r="M268"/>
    </row>
    <row r="269" spans="1:13" x14ac:dyDescent="0.3">
      <c r="A269"/>
      <c r="C269"/>
      <c r="M269"/>
    </row>
    <row r="270" spans="1:13" x14ac:dyDescent="0.3">
      <c r="A270"/>
      <c r="C270"/>
      <c r="M270"/>
    </row>
    <row r="271" spans="1:13" x14ac:dyDescent="0.3">
      <c r="A271"/>
    </row>
    <row r="272" spans="1:13" x14ac:dyDescent="0.3">
      <c r="A272"/>
    </row>
    <row r="273" spans="1:13" x14ac:dyDescent="0.3">
      <c r="A273"/>
    </row>
    <row r="274" spans="1:13" x14ac:dyDescent="0.3">
      <c r="A274"/>
    </row>
    <row r="275" spans="1:13" x14ac:dyDescent="0.3">
      <c r="A275"/>
    </row>
    <row r="276" spans="1:13" x14ac:dyDescent="0.3">
      <c r="A276"/>
    </row>
    <row r="277" spans="1:13" x14ac:dyDescent="0.3">
      <c r="A277"/>
    </row>
    <row r="278" spans="1:13" x14ac:dyDescent="0.3">
      <c r="A278"/>
      <c r="M278"/>
    </row>
    <row r="279" spans="1:13" x14ac:dyDescent="0.3">
      <c r="A279"/>
    </row>
    <row r="280" spans="1:13" x14ac:dyDescent="0.3">
      <c r="A280"/>
    </row>
    <row r="281" spans="1:13" x14ac:dyDescent="0.3">
      <c r="A281"/>
    </row>
    <row r="282" spans="1:13" x14ac:dyDescent="0.3">
      <c r="A282"/>
    </row>
    <row r="283" spans="1:13" x14ac:dyDescent="0.3">
      <c r="A283"/>
    </row>
    <row r="284" spans="1:13" x14ac:dyDescent="0.3">
      <c r="A284"/>
    </row>
    <row r="285" spans="1:13" x14ac:dyDescent="0.3">
      <c r="A285"/>
    </row>
  </sheetData>
  <mergeCells count="140">
    <mergeCell ref="B251:D251"/>
    <mergeCell ref="B252:D252"/>
    <mergeCell ref="B253:D254"/>
    <mergeCell ref="B244:E244"/>
    <mergeCell ref="D245:E245"/>
    <mergeCell ref="D246:E246"/>
    <mergeCell ref="D247:E247"/>
    <mergeCell ref="D248:E248"/>
    <mergeCell ref="B250:D250"/>
    <mergeCell ref="C238:D238"/>
    <mergeCell ref="C239:D239"/>
    <mergeCell ref="C240:D240"/>
    <mergeCell ref="C241:D241"/>
    <mergeCell ref="B242:E242"/>
    <mergeCell ref="B243:C243"/>
    <mergeCell ref="C229:D229"/>
    <mergeCell ref="C230:D230"/>
    <mergeCell ref="B231:E231"/>
    <mergeCell ref="B235:D235"/>
    <mergeCell ref="B236:E236"/>
    <mergeCell ref="C237:D237"/>
    <mergeCell ref="C215:D215"/>
    <mergeCell ref="B224:E224"/>
    <mergeCell ref="B225:E225"/>
    <mergeCell ref="C226:D226"/>
    <mergeCell ref="C227:D227"/>
    <mergeCell ref="C228:D228"/>
    <mergeCell ref="F193:F194"/>
    <mergeCell ref="G193:G194"/>
    <mergeCell ref="G195:G198"/>
    <mergeCell ref="B198:E198"/>
    <mergeCell ref="B209:D209"/>
    <mergeCell ref="E209:E210"/>
    <mergeCell ref="D184:E184"/>
    <mergeCell ref="D185:E185"/>
    <mergeCell ref="D186:E186"/>
    <mergeCell ref="B188:E188"/>
    <mergeCell ref="B193:B194"/>
    <mergeCell ref="C193:C194"/>
    <mergeCell ref="D193:D194"/>
    <mergeCell ref="E193:E194"/>
    <mergeCell ref="C178:D178"/>
    <mergeCell ref="C179:D179"/>
    <mergeCell ref="B180:E180"/>
    <mergeCell ref="B181:C181"/>
    <mergeCell ref="B182:E182"/>
    <mergeCell ref="D183:E183"/>
    <mergeCell ref="B169:E169"/>
    <mergeCell ref="B173:D173"/>
    <mergeCell ref="B174:E174"/>
    <mergeCell ref="C175:D175"/>
    <mergeCell ref="C176:D176"/>
    <mergeCell ref="C177:D177"/>
    <mergeCell ref="B163:E163"/>
    <mergeCell ref="C164:D164"/>
    <mergeCell ref="C165:D165"/>
    <mergeCell ref="C166:D166"/>
    <mergeCell ref="C167:D167"/>
    <mergeCell ref="C168:D168"/>
    <mergeCell ref="G134:G138"/>
    <mergeCell ref="B138:E138"/>
    <mergeCell ref="B147:D147"/>
    <mergeCell ref="E147:E148"/>
    <mergeCell ref="C153:D153"/>
    <mergeCell ref="B162:E162"/>
    <mergeCell ref="B132:B133"/>
    <mergeCell ref="C132:C133"/>
    <mergeCell ref="D132:D133"/>
    <mergeCell ref="E132:E133"/>
    <mergeCell ref="F132:F133"/>
    <mergeCell ref="G132:G133"/>
    <mergeCell ref="B121:E121"/>
    <mergeCell ref="D122:E122"/>
    <mergeCell ref="D123:E123"/>
    <mergeCell ref="D124:E124"/>
    <mergeCell ref="D125:E125"/>
    <mergeCell ref="B128:E128"/>
    <mergeCell ref="C115:D115"/>
    <mergeCell ref="C116:D116"/>
    <mergeCell ref="C117:D117"/>
    <mergeCell ref="C118:D118"/>
    <mergeCell ref="B119:E119"/>
    <mergeCell ref="B120:C120"/>
    <mergeCell ref="C106:D106"/>
    <mergeCell ref="C107:D107"/>
    <mergeCell ref="B108:E108"/>
    <mergeCell ref="B112:D112"/>
    <mergeCell ref="B113:E113"/>
    <mergeCell ref="C114:D114"/>
    <mergeCell ref="C91:D91"/>
    <mergeCell ref="B101:E101"/>
    <mergeCell ref="B102:E102"/>
    <mergeCell ref="C103:D103"/>
    <mergeCell ref="C104:D104"/>
    <mergeCell ref="C105:D105"/>
    <mergeCell ref="F71:F72"/>
    <mergeCell ref="G71:G72"/>
    <mergeCell ref="G73:G76"/>
    <mergeCell ref="B76:E76"/>
    <mergeCell ref="B85:D85"/>
    <mergeCell ref="E85:E86"/>
    <mergeCell ref="D63:E63"/>
    <mergeCell ref="D64:E64"/>
    <mergeCell ref="D65:E65"/>
    <mergeCell ref="B67:E67"/>
    <mergeCell ref="B71:B72"/>
    <mergeCell ref="C71:C72"/>
    <mergeCell ref="D71:D72"/>
    <mergeCell ref="E71:E72"/>
    <mergeCell ref="C57:D57"/>
    <mergeCell ref="C58:D58"/>
    <mergeCell ref="B59:E59"/>
    <mergeCell ref="B60:C60"/>
    <mergeCell ref="B61:E61"/>
    <mergeCell ref="D62:E62"/>
    <mergeCell ref="B48:E48"/>
    <mergeCell ref="B52:D52"/>
    <mergeCell ref="B53:E53"/>
    <mergeCell ref="C54:D54"/>
    <mergeCell ref="C55:D55"/>
    <mergeCell ref="C56:D56"/>
    <mergeCell ref="C44:D44"/>
    <mergeCell ref="C45:D45"/>
    <mergeCell ref="C46:D46"/>
    <mergeCell ref="C47:D47"/>
    <mergeCell ref="G14:G17"/>
    <mergeCell ref="B17:E17"/>
    <mergeCell ref="B26:D26"/>
    <mergeCell ref="E26:E27"/>
    <mergeCell ref="C32:D32"/>
    <mergeCell ref="B41:E41"/>
    <mergeCell ref="A6:G7"/>
    <mergeCell ref="B12:B13"/>
    <mergeCell ref="C12:C13"/>
    <mergeCell ref="D12:D13"/>
    <mergeCell ref="E12:E13"/>
    <mergeCell ref="F12:F13"/>
    <mergeCell ref="G12:G13"/>
    <mergeCell ref="B42:E42"/>
    <mergeCell ref="C43:D4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4" fitToWidth="0" orientation="portrait" r:id="rId1"/>
  <rowBreaks count="2" manualBreakCount="2">
    <brk id="125" max="6" man="1"/>
    <brk id="186" max="6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1F03B-C80F-4820-AA57-E97141FFD062}">
  <sheetPr>
    <tabColor rgb="FF00B0F0"/>
  </sheetPr>
  <dimension ref="A6:Q186"/>
  <sheetViews>
    <sheetView view="pageBreakPreview" topLeftCell="A127" zoomScale="85" zoomScaleNormal="55" zoomScaleSheetLayoutView="85" workbookViewId="0">
      <selection activeCell="C138" sqref="C138:D138"/>
    </sheetView>
  </sheetViews>
  <sheetFormatPr defaultRowHeight="14.4" x14ac:dyDescent="0.3"/>
  <cols>
    <col min="1" max="1" width="4.6640625" style="9" bestFit="1" customWidth="1"/>
    <col min="2" max="2" width="15" customWidth="1"/>
    <col min="3" max="3" width="22" style="132" customWidth="1"/>
    <col min="4" max="4" width="16.88671875" customWidth="1"/>
    <col min="5" max="5" width="21.33203125" customWidth="1"/>
    <col min="6" max="6" width="17.33203125" customWidth="1"/>
    <col min="7" max="7" width="20.6640625" customWidth="1"/>
    <col min="8" max="8" width="17.5546875" customWidth="1"/>
    <col min="9" max="9" width="19.88671875" customWidth="1"/>
    <col min="10" max="10" width="9.109375" customWidth="1"/>
    <col min="11" max="11" width="19.5546875" hidden="1" customWidth="1"/>
    <col min="12" max="12" width="10.109375" hidden="1" customWidth="1"/>
    <col min="13" max="13" width="9.109375" style="5" hidden="1" customWidth="1"/>
    <col min="14" max="14" width="11.33203125" hidden="1" customWidth="1"/>
    <col min="15" max="15" width="8.88671875" hidden="1" customWidth="1"/>
    <col min="16" max="16" width="8.88671875" customWidth="1"/>
    <col min="17" max="17" width="10.88671875" customWidth="1"/>
  </cols>
  <sheetData>
    <row r="6" spans="1:17" ht="14.4" customHeight="1" x14ac:dyDescent="0.3">
      <c r="A6" s="224" t="s">
        <v>603</v>
      </c>
      <c r="B6" s="224"/>
      <c r="C6" s="224"/>
      <c r="D6" s="224"/>
      <c r="E6" s="224"/>
      <c r="F6" s="224"/>
      <c r="G6" s="224"/>
      <c r="H6" s="129"/>
      <c r="I6" s="129"/>
      <c r="J6" s="129"/>
      <c r="K6" s="129"/>
      <c r="L6" s="129"/>
      <c r="M6" s="129"/>
      <c r="N6" s="129"/>
      <c r="O6" s="129"/>
      <c r="P6" s="129"/>
      <c r="Q6" s="129"/>
    </row>
    <row r="7" spans="1:17" ht="14.4" customHeight="1" x14ac:dyDescent="0.3">
      <c r="A7" s="224"/>
      <c r="B7" s="224"/>
      <c r="C7" s="224"/>
      <c r="D7" s="224"/>
      <c r="E7" s="224"/>
      <c r="F7" s="224"/>
      <c r="G7" s="224"/>
      <c r="H7" s="129"/>
      <c r="I7" s="129"/>
      <c r="J7" s="129"/>
      <c r="K7" s="129"/>
      <c r="L7" s="129"/>
      <c r="M7" s="129"/>
      <c r="N7" s="129"/>
      <c r="O7" s="129"/>
      <c r="P7" s="129"/>
      <c r="Q7" s="129"/>
    </row>
    <row r="8" spans="1:17" ht="14.4" customHeight="1" x14ac:dyDescent="0.3">
      <c r="A8" s="130"/>
      <c r="B8" s="130"/>
      <c r="C8" s="130"/>
      <c r="D8" s="130"/>
      <c r="E8" s="130"/>
      <c r="F8" s="130"/>
      <c r="G8" s="130"/>
      <c r="H8" s="129"/>
      <c r="I8" s="129"/>
      <c r="J8" s="129"/>
      <c r="K8" s="129"/>
      <c r="L8" s="129"/>
      <c r="M8" s="129"/>
      <c r="N8" s="129"/>
      <c r="O8" s="129"/>
      <c r="P8" s="129"/>
      <c r="Q8" s="129"/>
    </row>
    <row r="9" spans="1:17" x14ac:dyDescent="0.3">
      <c r="A9"/>
      <c r="B9" s="33" t="s">
        <v>648</v>
      </c>
      <c r="C9" s="33"/>
      <c r="M9"/>
    </row>
    <row r="10" spans="1:17" x14ac:dyDescent="0.3">
      <c r="A10"/>
      <c r="B10" s="131" t="s">
        <v>649</v>
      </c>
      <c r="C10" s="126"/>
      <c r="D10" s="126"/>
      <c r="E10" s="126"/>
    </row>
    <row r="11" spans="1:17" x14ac:dyDescent="0.3">
      <c r="A11"/>
      <c r="B11" s="131" t="s">
        <v>650</v>
      </c>
      <c r="C11" s="126"/>
      <c r="D11" s="126"/>
      <c r="E11" s="126"/>
    </row>
    <row r="12" spans="1:17" x14ac:dyDescent="0.3">
      <c r="A12"/>
      <c r="M12"/>
    </row>
    <row r="13" spans="1:17" x14ac:dyDescent="0.3">
      <c r="A13"/>
      <c r="B13" s="201" t="s">
        <v>2</v>
      </c>
      <c r="C13" s="199" t="s">
        <v>606</v>
      </c>
      <c r="D13" s="199" t="s">
        <v>7</v>
      </c>
      <c r="E13" s="199" t="s">
        <v>607</v>
      </c>
      <c r="F13" s="199" t="s">
        <v>608</v>
      </c>
      <c r="M13"/>
    </row>
    <row r="14" spans="1:17" x14ac:dyDescent="0.3">
      <c r="A14"/>
      <c r="B14" s="201"/>
      <c r="C14" s="199"/>
      <c r="D14" s="199"/>
      <c r="E14" s="199"/>
      <c r="F14" s="199"/>
      <c r="M14"/>
    </row>
    <row r="15" spans="1:17" x14ac:dyDescent="0.3">
      <c r="A15"/>
      <c r="B15" s="158" t="s">
        <v>387</v>
      </c>
      <c r="C15" s="159"/>
      <c r="D15" s="159"/>
      <c r="E15" s="159"/>
      <c r="F15" s="160"/>
      <c r="G15" s="82"/>
      <c r="M15"/>
    </row>
    <row r="16" spans="1:17" x14ac:dyDescent="0.3">
      <c r="A16"/>
      <c r="B16" s="158" t="s">
        <v>651</v>
      </c>
      <c r="C16" s="159"/>
      <c r="D16" s="159"/>
      <c r="E16" s="159"/>
      <c r="F16" s="160"/>
      <c r="G16" s="82"/>
      <c r="M16"/>
    </row>
    <row r="17" spans="1:13" x14ac:dyDescent="0.3">
      <c r="A17"/>
      <c r="B17" s="1">
        <v>1</v>
      </c>
      <c r="C17" s="32" t="s">
        <v>630</v>
      </c>
      <c r="D17" s="11">
        <v>8</v>
      </c>
      <c r="E17" s="11">
        <v>4</v>
      </c>
      <c r="F17" s="11">
        <f>D17*E17</f>
        <v>32</v>
      </c>
      <c r="G17" s="82"/>
      <c r="M17"/>
    </row>
    <row r="18" spans="1:13" x14ac:dyDescent="0.3">
      <c r="A18"/>
      <c r="B18" s="1">
        <v>2</v>
      </c>
      <c r="C18" s="32" t="s">
        <v>631</v>
      </c>
      <c r="D18" s="11">
        <v>8</v>
      </c>
      <c r="E18" s="11">
        <v>1</v>
      </c>
      <c r="F18" s="11">
        <f t="shared" ref="F18:F19" si="0">D18*E18</f>
        <v>8</v>
      </c>
      <c r="G18" s="82"/>
      <c r="M18"/>
    </row>
    <row r="19" spans="1:13" x14ac:dyDescent="0.3">
      <c r="A19"/>
      <c r="B19" s="1">
        <v>3</v>
      </c>
      <c r="C19" s="32" t="s">
        <v>10</v>
      </c>
      <c r="D19" s="11">
        <v>8</v>
      </c>
      <c r="E19" s="11">
        <v>2</v>
      </c>
      <c r="F19" s="11">
        <f t="shared" si="0"/>
        <v>16</v>
      </c>
      <c r="G19" s="82"/>
      <c r="M19"/>
    </row>
    <row r="20" spans="1:13" x14ac:dyDescent="0.3">
      <c r="A20"/>
      <c r="B20" s="158" t="s">
        <v>390</v>
      </c>
      <c r="C20" s="159"/>
      <c r="D20" s="159"/>
      <c r="E20" s="159"/>
      <c r="F20" s="160"/>
      <c r="G20" s="82"/>
      <c r="M20"/>
    </row>
    <row r="21" spans="1:13" x14ac:dyDescent="0.3">
      <c r="A21"/>
      <c r="B21" s="158" t="s">
        <v>652</v>
      </c>
      <c r="C21" s="159"/>
      <c r="D21" s="159"/>
      <c r="E21" s="159"/>
      <c r="F21" s="160"/>
      <c r="G21" s="82"/>
      <c r="M21"/>
    </row>
    <row r="22" spans="1:13" x14ac:dyDescent="0.3">
      <c r="A22"/>
      <c r="B22" s="1">
        <v>1</v>
      </c>
      <c r="C22" s="32" t="s">
        <v>630</v>
      </c>
      <c r="D22" s="11">
        <v>8</v>
      </c>
      <c r="E22" s="11">
        <v>4</v>
      </c>
      <c r="F22" s="11">
        <f>D22*E22</f>
        <v>32</v>
      </c>
      <c r="G22" s="82"/>
      <c r="M22"/>
    </row>
    <row r="23" spans="1:13" x14ac:dyDescent="0.3">
      <c r="A23"/>
      <c r="B23" s="82"/>
      <c r="C23" s="143"/>
      <c r="D23" s="143"/>
      <c r="E23" s="143"/>
      <c r="F23" s="143"/>
      <c r="G23" s="82"/>
      <c r="M23"/>
    </row>
    <row r="24" spans="1:13" x14ac:dyDescent="0.3">
      <c r="A24"/>
      <c r="B24" s="35" t="s">
        <v>653</v>
      </c>
      <c r="C24" s="24" t="s">
        <v>654</v>
      </c>
      <c r="D24" s="36" t="s">
        <v>363</v>
      </c>
      <c r="E24" s="143"/>
      <c r="F24" s="143"/>
      <c r="G24" s="82"/>
      <c r="M24"/>
    </row>
    <row r="25" spans="1:13" x14ac:dyDescent="0.3">
      <c r="A25"/>
      <c r="B25" s="35">
        <f>SUM(D17:D19,D22)</f>
        <v>32</v>
      </c>
      <c r="C25" s="86">
        <f>SUM(F17:F19,F22)</f>
        <v>88</v>
      </c>
      <c r="D25" s="11">
        <v>160</v>
      </c>
      <c r="E25" s="143"/>
      <c r="F25" s="143"/>
      <c r="G25" s="82"/>
      <c r="M25"/>
    </row>
    <row r="26" spans="1:13" x14ac:dyDescent="0.3">
      <c r="A26"/>
      <c r="M26"/>
    </row>
    <row r="27" spans="1:13" ht="28.95" customHeight="1" x14ac:dyDescent="0.3">
      <c r="A27"/>
      <c r="B27" s="133" t="s">
        <v>611</v>
      </c>
      <c r="C27" s="135">
        <v>30</v>
      </c>
      <c r="D27" s="1" t="s">
        <v>177</v>
      </c>
    </row>
    <row r="28" spans="1:13" x14ac:dyDescent="0.3">
      <c r="A28"/>
      <c r="B28" s="32" t="s">
        <v>239</v>
      </c>
      <c r="C28" s="86">
        <f>D25</f>
        <v>160</v>
      </c>
      <c r="D28" s="11" t="s">
        <v>236</v>
      </c>
    </row>
    <row r="29" spans="1:13" x14ac:dyDescent="0.3">
      <c r="A29"/>
      <c r="B29" s="32" t="s">
        <v>612</v>
      </c>
      <c r="C29" s="86">
        <f>C28*C27</f>
        <v>4800</v>
      </c>
      <c r="D29" s="11" t="s">
        <v>237</v>
      </c>
    </row>
    <row r="30" spans="1:13" x14ac:dyDescent="0.3">
      <c r="A30"/>
      <c r="B30" s="32" t="s">
        <v>612</v>
      </c>
      <c r="C30" s="86">
        <f>C29/1000</f>
        <v>4.8</v>
      </c>
      <c r="D30" s="11" t="s">
        <v>134</v>
      </c>
    </row>
    <row r="31" spans="1:13" x14ac:dyDescent="0.3">
      <c r="A31"/>
      <c r="B31" s="32" t="s">
        <v>613</v>
      </c>
      <c r="C31" s="86">
        <f>20/100</f>
        <v>0.2</v>
      </c>
      <c r="D31" s="11" t="s">
        <v>196</v>
      </c>
    </row>
    <row r="32" spans="1:13" x14ac:dyDescent="0.3">
      <c r="A32"/>
      <c r="B32" s="32" t="s">
        <v>614</v>
      </c>
      <c r="C32" s="135">
        <f>C30+C31</f>
        <v>5</v>
      </c>
      <c r="D32" s="11" t="s">
        <v>134</v>
      </c>
    </row>
    <row r="33" spans="1:17" s="33" customFormat="1" x14ac:dyDescent="0.3">
      <c r="A33"/>
      <c r="B33"/>
      <c r="C33" s="132"/>
      <c r="D33"/>
      <c r="E33"/>
      <c r="F33"/>
      <c r="O33"/>
      <c r="Q33"/>
    </row>
    <row r="34" spans="1:17" x14ac:dyDescent="0.3">
      <c r="A34"/>
      <c r="B34" s="189" t="s">
        <v>615</v>
      </c>
      <c r="C34" s="189"/>
      <c r="D34" s="189"/>
      <c r="E34" s="201" t="s">
        <v>616</v>
      </c>
    </row>
    <row r="35" spans="1:17" x14ac:dyDescent="0.3">
      <c r="A35"/>
      <c r="B35" s="36" t="s">
        <v>617</v>
      </c>
      <c r="C35" s="24" t="s">
        <v>618</v>
      </c>
      <c r="D35" s="36" t="s">
        <v>619</v>
      </c>
      <c r="E35" s="201"/>
    </row>
    <row r="36" spans="1:17" x14ac:dyDescent="0.3">
      <c r="A36"/>
      <c r="B36" s="136">
        <v>2</v>
      </c>
      <c r="C36" s="137">
        <f>(E36)/(B36*D36)</f>
        <v>2.0833333333333335</v>
      </c>
      <c r="D36" s="136">
        <v>1.2</v>
      </c>
      <c r="E36" s="136">
        <f>C32</f>
        <v>5</v>
      </c>
    </row>
    <row r="37" spans="1:17" s="33" customFormat="1" x14ac:dyDescent="0.3">
      <c r="A37"/>
      <c r="B37"/>
      <c r="C37" s="132"/>
      <c r="D37"/>
      <c r="E37"/>
      <c r="F37"/>
      <c r="Q37"/>
    </row>
    <row r="38" spans="1:17" ht="27.6" customHeight="1" x14ac:dyDescent="0.3">
      <c r="A38"/>
      <c r="B38" s="138" t="s">
        <v>620</v>
      </c>
      <c r="C38" s="135">
        <f>C28*2</f>
        <v>320</v>
      </c>
      <c r="D38" s="1" t="s">
        <v>236</v>
      </c>
      <c r="E38" s="26" t="s">
        <v>621</v>
      </c>
      <c r="F38" s="137">
        <v>320</v>
      </c>
      <c r="G38" s="1" t="s">
        <v>196</v>
      </c>
    </row>
    <row r="39" spans="1:17" x14ac:dyDescent="0.3">
      <c r="A39"/>
      <c r="B39" s="35" t="s">
        <v>622</v>
      </c>
      <c r="C39" s="139">
        <f>C55+C66+D68+C73</f>
        <v>7.8137112598533047</v>
      </c>
      <c r="D39" s="1" t="s">
        <v>196</v>
      </c>
      <c r="E39" s="26" t="s">
        <v>621</v>
      </c>
      <c r="F39" s="137">
        <v>10</v>
      </c>
      <c r="G39" s="1" t="s">
        <v>196</v>
      </c>
    </row>
    <row r="40" spans="1:17" x14ac:dyDescent="0.3">
      <c r="A40"/>
      <c r="B40" s="36" t="s">
        <v>623</v>
      </c>
      <c r="C40" s="151" t="s">
        <v>624</v>
      </c>
      <c r="D40" s="151"/>
    </row>
    <row r="41" spans="1:17" x14ac:dyDescent="0.3">
      <c r="A41"/>
    </row>
    <row r="42" spans="1:17" x14ac:dyDescent="0.3">
      <c r="A42"/>
      <c r="B42" s="11" t="s">
        <v>625</v>
      </c>
      <c r="C42" s="86">
        <f>C38</f>
        <v>320</v>
      </c>
      <c r="D42" s="11" t="s">
        <v>236</v>
      </c>
    </row>
    <row r="43" spans="1:17" x14ac:dyDescent="0.3">
      <c r="A43"/>
      <c r="B43" s="11"/>
      <c r="C43" s="86">
        <f>(C42/1000)/60</f>
        <v>5.3333333333333332E-3</v>
      </c>
      <c r="D43" s="11" t="s">
        <v>194</v>
      </c>
    </row>
    <row r="44" spans="1:17" x14ac:dyDescent="0.3">
      <c r="A44"/>
      <c r="B44" s="11" t="s">
        <v>199</v>
      </c>
      <c r="C44" s="86">
        <v>2</v>
      </c>
      <c r="D44" s="11" t="s">
        <v>198</v>
      </c>
    </row>
    <row r="45" spans="1:17" s="33" customFormat="1" x14ac:dyDescent="0.3">
      <c r="A45"/>
      <c r="B45" s="11" t="s">
        <v>126</v>
      </c>
      <c r="C45" s="86">
        <f>SQRT((C43*4)/(C44*3.14))</f>
        <v>5.8284025262924803E-2</v>
      </c>
      <c r="D45" s="11" t="s">
        <v>196</v>
      </c>
      <c r="E45"/>
      <c r="F45"/>
      <c r="Q45"/>
    </row>
    <row r="46" spans="1:17" x14ac:dyDescent="0.3">
      <c r="A46"/>
      <c r="B46" s="11"/>
      <c r="C46" s="86">
        <f>C45*1000</f>
        <v>58.2840252629248</v>
      </c>
      <c r="D46" s="11" t="s">
        <v>197</v>
      </c>
    </row>
    <row r="47" spans="1:17" x14ac:dyDescent="0.3">
      <c r="A47"/>
      <c r="B47" s="11" t="s">
        <v>235</v>
      </c>
      <c r="C47" s="135">
        <v>65</v>
      </c>
      <c r="D47" s="11" t="s">
        <v>197</v>
      </c>
    </row>
    <row r="48" spans="1:17" x14ac:dyDescent="0.3">
      <c r="A48"/>
      <c r="B48" s="26"/>
      <c r="C48" s="140"/>
      <c r="D48" s="26"/>
      <c r="G48" s="140"/>
      <c r="H48" s="5"/>
      <c r="I48" s="5"/>
      <c r="J48" s="5"/>
    </row>
    <row r="49" spans="1:10" x14ac:dyDescent="0.3">
      <c r="A49"/>
      <c r="B49" s="199" t="s">
        <v>242</v>
      </c>
      <c r="C49" s="199"/>
      <c r="D49" s="199"/>
      <c r="E49" s="199"/>
      <c r="G49" s="140"/>
      <c r="H49" s="5"/>
      <c r="I49" s="5"/>
      <c r="J49" s="5"/>
    </row>
    <row r="50" spans="1:10" x14ac:dyDescent="0.3">
      <c r="A50"/>
      <c r="B50" s="176" t="s">
        <v>243</v>
      </c>
      <c r="C50" s="176"/>
      <c r="D50" s="176"/>
      <c r="E50" s="176"/>
      <c r="G50" s="140"/>
      <c r="H50" s="5"/>
      <c r="I50" s="5"/>
      <c r="J50" s="5"/>
    </row>
    <row r="51" spans="1:10" x14ac:dyDescent="0.3">
      <c r="A51"/>
      <c r="B51" s="11" t="s">
        <v>239</v>
      </c>
      <c r="C51" s="151">
        <f>C43</f>
        <v>5.3333333333333332E-3</v>
      </c>
      <c r="D51" s="151"/>
      <c r="E51" s="11" t="s">
        <v>194</v>
      </c>
      <c r="G51" s="140"/>
      <c r="H51" s="5"/>
      <c r="I51" s="5"/>
      <c r="J51" s="5"/>
    </row>
    <row r="52" spans="1:10" x14ac:dyDescent="0.3">
      <c r="A52"/>
      <c r="B52" s="1" t="s">
        <v>125</v>
      </c>
      <c r="C52" s="176">
        <v>150</v>
      </c>
      <c r="D52" s="176"/>
      <c r="E52" s="1"/>
      <c r="G52" s="140"/>
      <c r="H52" s="5"/>
      <c r="I52" s="5"/>
      <c r="J52" s="5"/>
    </row>
    <row r="53" spans="1:10" x14ac:dyDescent="0.3">
      <c r="A53"/>
      <c r="B53" s="11" t="s">
        <v>126</v>
      </c>
      <c r="C53" s="151">
        <f>C45</f>
        <v>5.8284025262924803E-2</v>
      </c>
      <c r="D53" s="151"/>
      <c r="E53" s="11" t="s">
        <v>196</v>
      </c>
      <c r="G53" s="140"/>
      <c r="H53" s="5"/>
      <c r="I53" s="5"/>
      <c r="J53" s="5"/>
    </row>
    <row r="54" spans="1:10" x14ac:dyDescent="0.3">
      <c r="A54"/>
      <c r="B54" s="11" t="s">
        <v>237</v>
      </c>
      <c r="C54" s="151">
        <v>25</v>
      </c>
      <c r="D54" s="151"/>
      <c r="E54" s="11" t="s">
        <v>196</v>
      </c>
      <c r="G54" s="140"/>
      <c r="H54" s="5"/>
      <c r="I54" s="5"/>
      <c r="J54" s="5"/>
    </row>
    <row r="55" spans="1:10" x14ac:dyDescent="0.3">
      <c r="A55"/>
      <c r="B55" s="11" t="s">
        <v>240</v>
      </c>
      <c r="C55" s="203">
        <f>(((10.67)*(C51^1.85))/((C52^1.85)*(C53^4.87)))*C54</f>
        <v>1.6108570294761388</v>
      </c>
      <c r="D55" s="203"/>
      <c r="E55" s="11" t="s">
        <v>196</v>
      </c>
      <c r="G55" s="140"/>
      <c r="H55" s="5"/>
      <c r="I55" s="5"/>
      <c r="J55" s="5"/>
    </row>
    <row r="56" spans="1:10" x14ac:dyDescent="0.3">
      <c r="A56"/>
      <c r="B56" s="151" t="s">
        <v>244</v>
      </c>
      <c r="C56" s="151"/>
      <c r="D56" s="151"/>
      <c r="E56" s="151"/>
      <c r="G56" s="140"/>
      <c r="H56" s="5"/>
      <c r="I56" s="5"/>
      <c r="J56" s="5"/>
    </row>
    <row r="57" spans="1:10" x14ac:dyDescent="0.3">
      <c r="A57"/>
      <c r="B57" s="11" t="s">
        <v>245</v>
      </c>
      <c r="C57" s="11" t="s">
        <v>246</v>
      </c>
      <c r="D57" s="11" t="s">
        <v>247</v>
      </c>
      <c r="E57" s="11" t="s">
        <v>248</v>
      </c>
      <c r="G57" s="140"/>
      <c r="H57" s="5"/>
      <c r="I57" s="5"/>
      <c r="J57" s="5"/>
    </row>
    <row r="58" spans="1:10" x14ac:dyDescent="0.3">
      <c r="A58"/>
      <c r="B58" s="11" t="s">
        <v>249</v>
      </c>
      <c r="C58" s="11">
        <v>7</v>
      </c>
      <c r="D58" s="11">
        <v>0.7</v>
      </c>
      <c r="E58" s="11">
        <f>C58*D58</f>
        <v>4.8999999999999995</v>
      </c>
      <c r="G58" s="140"/>
      <c r="H58" s="5"/>
      <c r="I58" s="5"/>
      <c r="J58" s="5"/>
    </row>
    <row r="59" spans="1:10" x14ac:dyDescent="0.3">
      <c r="A59"/>
      <c r="B59" s="11"/>
      <c r="C59" s="11"/>
      <c r="D59" s="11"/>
      <c r="E59" s="11"/>
      <c r="G59" s="140"/>
      <c r="H59" s="5"/>
      <c r="I59" s="5"/>
      <c r="J59" s="5"/>
    </row>
    <row r="60" spans="1:10" x14ac:dyDescent="0.3">
      <c r="A60"/>
      <c r="B60" s="151" t="s">
        <v>250</v>
      </c>
      <c r="C60" s="151"/>
      <c r="D60" s="151"/>
      <c r="E60" s="11">
        <f>SUM(E58:E59)</f>
        <v>4.8999999999999995</v>
      </c>
      <c r="G60" s="140"/>
      <c r="H60" s="5"/>
      <c r="I60" s="5"/>
      <c r="J60" s="5"/>
    </row>
    <row r="61" spans="1:10" x14ac:dyDescent="0.3">
      <c r="A61"/>
      <c r="B61" s="151"/>
      <c r="C61" s="151"/>
      <c r="D61" s="151"/>
      <c r="E61" s="151"/>
      <c r="G61" s="140"/>
      <c r="H61" s="5"/>
      <c r="I61" s="5"/>
      <c r="J61" s="5"/>
    </row>
    <row r="62" spans="1:10" x14ac:dyDescent="0.3">
      <c r="A62"/>
      <c r="B62" s="11" t="s">
        <v>199</v>
      </c>
      <c r="C62" s="176">
        <f>C44</f>
        <v>2</v>
      </c>
      <c r="D62" s="176"/>
      <c r="E62" s="11" t="s">
        <v>198</v>
      </c>
      <c r="G62" s="140"/>
      <c r="H62" s="5"/>
      <c r="I62" s="5"/>
      <c r="J62" s="5"/>
    </row>
    <row r="63" spans="1:10" x14ac:dyDescent="0.3">
      <c r="A63"/>
      <c r="B63" s="11" t="s">
        <v>251</v>
      </c>
      <c r="C63" s="176">
        <f>C62^2</f>
        <v>4</v>
      </c>
      <c r="D63" s="176"/>
      <c r="E63" s="11" t="s">
        <v>252</v>
      </c>
      <c r="G63" s="140"/>
      <c r="H63" s="5"/>
      <c r="I63" s="5"/>
      <c r="J63" s="5"/>
    </row>
    <row r="64" spans="1:10" x14ac:dyDescent="0.3">
      <c r="A64"/>
      <c r="B64" s="11" t="s">
        <v>253</v>
      </c>
      <c r="C64" s="176">
        <v>9.81</v>
      </c>
      <c r="D64" s="176"/>
      <c r="E64" s="11" t="s">
        <v>254</v>
      </c>
      <c r="G64" s="140"/>
      <c r="H64" s="5"/>
      <c r="I64" s="5"/>
      <c r="J64" s="5"/>
    </row>
    <row r="65" spans="1:17" x14ac:dyDescent="0.3">
      <c r="A65"/>
      <c r="B65" s="11" t="s">
        <v>255</v>
      </c>
      <c r="C65" s="151">
        <f>2*C64</f>
        <v>19.62</v>
      </c>
      <c r="D65" s="151"/>
      <c r="E65" s="11" t="s">
        <v>254</v>
      </c>
      <c r="G65" s="140"/>
      <c r="H65" s="5"/>
      <c r="I65" s="5"/>
      <c r="J65" s="5"/>
    </row>
    <row r="66" spans="1:17" x14ac:dyDescent="0.3">
      <c r="A66"/>
      <c r="B66" s="11" t="s">
        <v>240</v>
      </c>
      <c r="C66" s="198">
        <f>(E60)*(C63/C65)</f>
        <v>0.99898063200815479</v>
      </c>
      <c r="D66" s="198"/>
      <c r="E66" s="11" t="s">
        <v>196</v>
      </c>
      <c r="G66" s="140"/>
      <c r="H66" s="5"/>
      <c r="I66" s="5"/>
      <c r="J66" s="5"/>
    </row>
    <row r="67" spans="1:17" x14ac:dyDescent="0.3">
      <c r="A67"/>
      <c r="B67" s="199" t="s">
        <v>256</v>
      </c>
      <c r="C67" s="199"/>
      <c r="D67" s="199"/>
      <c r="E67" s="199"/>
      <c r="G67" s="140"/>
      <c r="H67" s="5"/>
      <c r="I67" s="5"/>
      <c r="J67" s="5"/>
    </row>
    <row r="68" spans="1:17" x14ac:dyDescent="0.3">
      <c r="A68"/>
      <c r="B68" s="151" t="s">
        <v>257</v>
      </c>
      <c r="C68" s="151"/>
      <c r="D68" s="11">
        <f>5000/1000</f>
        <v>5</v>
      </c>
      <c r="E68" s="11" t="s">
        <v>196</v>
      </c>
      <c r="G68" s="140"/>
      <c r="H68" s="5"/>
      <c r="I68" s="5"/>
      <c r="J68" s="5"/>
    </row>
    <row r="69" spans="1:17" x14ac:dyDescent="0.3">
      <c r="A69"/>
      <c r="B69" s="201" t="s">
        <v>258</v>
      </c>
      <c r="C69" s="201"/>
      <c r="D69" s="201"/>
      <c r="E69" s="201"/>
      <c r="G69" s="140"/>
      <c r="H69" s="5"/>
      <c r="I69" s="5"/>
      <c r="J69" s="5"/>
    </row>
    <row r="70" spans="1:17" x14ac:dyDescent="0.3">
      <c r="A70"/>
      <c r="B70" s="11" t="s">
        <v>199</v>
      </c>
      <c r="C70" s="11">
        <f>C44</f>
        <v>2</v>
      </c>
      <c r="D70" s="151" t="s">
        <v>198</v>
      </c>
      <c r="E70" s="151"/>
      <c r="G70" s="140"/>
      <c r="H70" s="5"/>
      <c r="I70" s="5"/>
      <c r="J70" s="5"/>
    </row>
    <row r="71" spans="1:17" x14ac:dyDescent="0.3">
      <c r="A71"/>
      <c r="B71" s="11" t="s">
        <v>251</v>
      </c>
      <c r="C71" s="11">
        <f>C70^2</f>
        <v>4</v>
      </c>
      <c r="D71" s="151" t="s">
        <v>252</v>
      </c>
      <c r="E71" s="151"/>
      <c r="G71" s="140"/>
      <c r="H71" s="5"/>
      <c r="I71" s="5"/>
      <c r="J71" s="5"/>
    </row>
    <row r="72" spans="1:17" x14ac:dyDescent="0.3">
      <c r="A72"/>
      <c r="B72" s="11" t="s">
        <v>253</v>
      </c>
      <c r="C72" s="11">
        <v>9.81</v>
      </c>
      <c r="D72" s="151" t="s">
        <v>254</v>
      </c>
      <c r="E72" s="151"/>
      <c r="G72" s="140"/>
      <c r="H72" s="5"/>
      <c r="I72" s="5"/>
      <c r="J72" s="5"/>
    </row>
    <row r="73" spans="1:17" x14ac:dyDescent="0.3">
      <c r="A73"/>
      <c r="B73" s="86" t="s">
        <v>258</v>
      </c>
      <c r="C73" s="141">
        <f>C71/(2*C72)</f>
        <v>0.2038735983690112</v>
      </c>
      <c r="D73" s="231" t="s">
        <v>196</v>
      </c>
      <c r="E73" s="232"/>
      <c r="G73" s="140"/>
      <c r="H73" s="5"/>
      <c r="I73" s="5"/>
      <c r="J73" s="5"/>
    </row>
    <row r="74" spans="1:17" x14ac:dyDescent="0.3">
      <c r="A74"/>
      <c r="B74" s="132"/>
      <c r="C74" s="142"/>
      <c r="D74" s="5"/>
      <c r="E74" s="5"/>
      <c r="G74" s="140"/>
      <c r="H74" s="5"/>
      <c r="I74" s="5"/>
      <c r="J74" s="5"/>
    </row>
    <row r="75" spans="1:17" x14ac:dyDescent="0.3">
      <c r="A75"/>
      <c r="B75" s="180" t="s">
        <v>655</v>
      </c>
      <c r="C75" s="180"/>
      <c r="D75" s="180"/>
      <c r="E75" s="180"/>
    </row>
    <row r="76" spans="1:17" x14ac:dyDescent="0.3">
      <c r="A76"/>
      <c r="B76" s="131" t="s">
        <v>656</v>
      </c>
      <c r="C76" s="126"/>
      <c r="D76" s="126"/>
      <c r="E76" s="126"/>
    </row>
    <row r="77" spans="1:17" x14ac:dyDescent="0.3">
      <c r="A77"/>
      <c r="B77" s="82"/>
      <c r="C77" s="143"/>
      <c r="D77" s="5"/>
      <c r="E77" s="5"/>
      <c r="F77" s="5"/>
      <c r="G77" s="5"/>
    </row>
    <row r="78" spans="1:17" s="33" customFormat="1" x14ac:dyDescent="0.3">
      <c r="A78"/>
      <c r="B78" s="199" t="s">
        <v>2</v>
      </c>
      <c r="C78" s="199" t="s">
        <v>629</v>
      </c>
      <c r="D78" s="199" t="s">
        <v>7</v>
      </c>
      <c r="E78" s="199" t="s">
        <v>607</v>
      </c>
      <c r="F78" s="199" t="s">
        <v>608</v>
      </c>
      <c r="G78"/>
      <c r="H78"/>
      <c r="Q78"/>
    </row>
    <row r="79" spans="1:17" x14ac:dyDescent="0.3">
      <c r="A79"/>
      <c r="B79" s="199"/>
      <c r="C79" s="199"/>
      <c r="D79" s="199"/>
      <c r="E79" s="199"/>
      <c r="F79" s="199"/>
    </row>
    <row r="80" spans="1:17" x14ac:dyDescent="0.3">
      <c r="A80"/>
      <c r="B80" s="219" t="s">
        <v>387</v>
      </c>
      <c r="C80" s="219"/>
      <c r="D80" s="219"/>
      <c r="E80" s="219"/>
      <c r="F80" s="219"/>
      <c r="G80" s="143"/>
    </row>
    <row r="81" spans="1:7" x14ac:dyDescent="0.3">
      <c r="A81"/>
      <c r="B81" s="219" t="s">
        <v>657</v>
      </c>
      <c r="C81" s="219"/>
      <c r="D81" s="219"/>
      <c r="E81" s="219"/>
      <c r="F81" s="219"/>
      <c r="G81" s="143"/>
    </row>
    <row r="82" spans="1:7" x14ac:dyDescent="0.3">
      <c r="A82"/>
      <c r="B82" s="32"/>
      <c r="C82" s="32" t="s">
        <v>610</v>
      </c>
      <c r="D82" s="1">
        <v>2</v>
      </c>
      <c r="E82" s="11">
        <v>6</v>
      </c>
      <c r="F82" s="11">
        <f>D82*E82</f>
        <v>12</v>
      </c>
      <c r="G82" s="143"/>
    </row>
    <row r="83" spans="1:7" x14ac:dyDescent="0.3">
      <c r="A83"/>
      <c r="B83" s="219" t="s">
        <v>658</v>
      </c>
      <c r="C83" s="219"/>
      <c r="D83" s="219"/>
      <c r="E83" s="219"/>
      <c r="F83" s="219"/>
      <c r="G83" s="143"/>
    </row>
    <row r="84" spans="1:7" x14ac:dyDescent="0.3">
      <c r="A84"/>
      <c r="B84" s="32"/>
      <c r="C84" s="32" t="s">
        <v>610</v>
      </c>
      <c r="D84" s="1">
        <v>1</v>
      </c>
      <c r="E84" s="11">
        <v>6</v>
      </c>
      <c r="F84" s="11">
        <f>D84*E84</f>
        <v>6</v>
      </c>
      <c r="G84" s="143"/>
    </row>
    <row r="85" spans="1:7" x14ac:dyDescent="0.3">
      <c r="A85"/>
      <c r="B85" s="219" t="s">
        <v>659</v>
      </c>
      <c r="C85" s="219"/>
      <c r="D85" s="219"/>
      <c r="E85" s="219"/>
      <c r="F85" s="219"/>
      <c r="G85" s="143"/>
    </row>
    <row r="86" spans="1:7" x14ac:dyDescent="0.3">
      <c r="A86"/>
      <c r="B86" s="32"/>
      <c r="C86" s="32" t="s">
        <v>610</v>
      </c>
      <c r="D86" s="1">
        <v>2</v>
      </c>
      <c r="E86" s="11">
        <v>6</v>
      </c>
      <c r="F86" s="11">
        <f>D86*E86</f>
        <v>12</v>
      </c>
      <c r="G86" s="143"/>
    </row>
    <row r="87" spans="1:7" x14ac:dyDescent="0.3">
      <c r="A87"/>
      <c r="B87" s="219" t="s">
        <v>660</v>
      </c>
      <c r="C87" s="219"/>
      <c r="D87" s="219"/>
      <c r="E87" s="219"/>
      <c r="F87" s="219"/>
      <c r="G87" s="143"/>
    </row>
    <row r="88" spans="1:7" x14ac:dyDescent="0.3">
      <c r="A88"/>
      <c r="B88" s="32"/>
      <c r="C88" s="32" t="s">
        <v>610</v>
      </c>
      <c r="D88" s="1">
        <v>7</v>
      </c>
      <c r="E88" s="11">
        <v>6</v>
      </c>
      <c r="F88" s="11">
        <f>D88*E88</f>
        <v>42</v>
      </c>
      <c r="G88" s="143"/>
    </row>
    <row r="89" spans="1:7" x14ac:dyDescent="0.3">
      <c r="A89"/>
      <c r="B89" s="219" t="s">
        <v>661</v>
      </c>
      <c r="C89" s="219"/>
      <c r="D89" s="219"/>
      <c r="E89" s="219"/>
      <c r="F89" s="219"/>
      <c r="G89" s="143"/>
    </row>
    <row r="90" spans="1:7" x14ac:dyDescent="0.3">
      <c r="A90"/>
      <c r="B90" s="32"/>
      <c r="C90" s="32" t="s">
        <v>610</v>
      </c>
      <c r="D90" s="1">
        <v>2</v>
      </c>
      <c r="E90" s="11">
        <v>6</v>
      </c>
      <c r="F90" s="11">
        <f>D90*E90</f>
        <v>12</v>
      </c>
      <c r="G90" s="143"/>
    </row>
    <row r="91" spans="1:7" x14ac:dyDescent="0.3">
      <c r="A91"/>
      <c r="B91" s="219" t="s">
        <v>662</v>
      </c>
      <c r="C91" s="219"/>
      <c r="D91" s="219"/>
      <c r="E91" s="219"/>
      <c r="F91" s="219"/>
      <c r="G91" s="143"/>
    </row>
    <row r="92" spans="1:7" x14ac:dyDescent="0.3">
      <c r="A92"/>
      <c r="B92" s="32"/>
      <c r="C92" s="32" t="s">
        <v>610</v>
      </c>
      <c r="D92" s="1">
        <v>2</v>
      </c>
      <c r="E92" s="11">
        <v>6</v>
      </c>
      <c r="F92" s="11">
        <f>D92*E92</f>
        <v>12</v>
      </c>
      <c r="G92" s="143"/>
    </row>
    <row r="93" spans="1:7" x14ac:dyDescent="0.3">
      <c r="A93"/>
      <c r="B93" s="219" t="s">
        <v>663</v>
      </c>
      <c r="C93" s="219"/>
      <c r="D93" s="219"/>
      <c r="E93" s="219"/>
      <c r="F93" s="219"/>
      <c r="G93" s="143"/>
    </row>
    <row r="94" spans="1:7" x14ac:dyDescent="0.3">
      <c r="A94"/>
      <c r="B94" s="32"/>
      <c r="C94" s="32" t="s">
        <v>610</v>
      </c>
      <c r="D94" s="1">
        <v>2</v>
      </c>
      <c r="E94" s="11">
        <v>6</v>
      </c>
      <c r="F94" s="11">
        <f>D94*E94</f>
        <v>12</v>
      </c>
      <c r="G94" s="143"/>
    </row>
    <row r="95" spans="1:7" x14ac:dyDescent="0.3">
      <c r="A95"/>
      <c r="B95" s="219" t="s">
        <v>664</v>
      </c>
      <c r="C95" s="219"/>
      <c r="D95" s="219"/>
      <c r="E95" s="219"/>
      <c r="F95" s="219"/>
      <c r="G95" s="143"/>
    </row>
    <row r="96" spans="1:7" x14ac:dyDescent="0.3">
      <c r="A96"/>
      <c r="B96" s="32"/>
      <c r="C96" s="32" t="s">
        <v>610</v>
      </c>
      <c r="D96" s="1">
        <v>18</v>
      </c>
      <c r="E96" s="11">
        <v>6</v>
      </c>
      <c r="F96" s="11">
        <f>D96*E96</f>
        <v>108</v>
      </c>
      <c r="G96" s="143"/>
    </row>
    <row r="97" spans="1:17" x14ac:dyDescent="0.3">
      <c r="A97"/>
      <c r="B97" s="143"/>
      <c r="C97" s="143"/>
      <c r="D97" s="143"/>
      <c r="E97" s="143"/>
      <c r="F97" s="143"/>
      <c r="G97" s="143"/>
    </row>
    <row r="98" spans="1:17" x14ac:dyDescent="0.3">
      <c r="A98"/>
      <c r="B98" s="35" t="s">
        <v>653</v>
      </c>
      <c r="C98" s="24" t="s">
        <v>654</v>
      </c>
      <c r="D98" s="36" t="s">
        <v>363</v>
      </c>
      <c r="E98" s="143"/>
      <c r="F98" s="143"/>
      <c r="G98" s="143"/>
    </row>
    <row r="99" spans="1:17" x14ac:dyDescent="0.3">
      <c r="A99"/>
      <c r="B99" s="35">
        <f>SUM(D82,D84,D86,D88,D90,D92,D94,D96)</f>
        <v>36</v>
      </c>
      <c r="C99" s="86">
        <f>SUM(F82,F84,F86,F88,F90,F92,F94,F96)</f>
        <v>216</v>
      </c>
      <c r="D99" s="11">
        <v>250</v>
      </c>
      <c r="E99" s="143"/>
      <c r="F99" s="143"/>
      <c r="G99" s="143"/>
    </row>
    <row r="100" spans="1:17" x14ac:dyDescent="0.3">
      <c r="A100"/>
      <c r="B100" s="5"/>
      <c r="C100" s="140"/>
      <c r="D100" s="5"/>
      <c r="E100" s="5"/>
      <c r="F100" s="5"/>
      <c r="G100" s="5"/>
    </row>
    <row r="101" spans="1:17" ht="28.8" x14ac:dyDescent="0.3">
      <c r="A101"/>
      <c r="B101" s="133" t="s">
        <v>611</v>
      </c>
      <c r="C101" s="135">
        <v>30</v>
      </c>
      <c r="D101" s="1" t="s">
        <v>177</v>
      </c>
      <c r="E101" s="5"/>
      <c r="F101" s="5"/>
    </row>
    <row r="102" spans="1:17" x14ac:dyDescent="0.3">
      <c r="A102"/>
      <c r="B102" s="32" t="s">
        <v>633</v>
      </c>
      <c r="C102" s="86">
        <f>D99</f>
        <v>250</v>
      </c>
      <c r="D102" s="11" t="s">
        <v>236</v>
      </c>
    </row>
    <row r="103" spans="1:17" x14ac:dyDescent="0.3">
      <c r="A103"/>
      <c r="B103" s="32" t="s">
        <v>612</v>
      </c>
      <c r="C103" s="86">
        <f>C102*C101</f>
        <v>7500</v>
      </c>
      <c r="D103" s="11" t="s">
        <v>237</v>
      </c>
    </row>
    <row r="104" spans="1:17" x14ac:dyDescent="0.3">
      <c r="A104"/>
      <c r="B104" s="32" t="s">
        <v>612</v>
      </c>
      <c r="C104" s="86">
        <f>C103/1000</f>
        <v>7.5</v>
      </c>
      <c r="D104" s="11" t="s">
        <v>134</v>
      </c>
    </row>
    <row r="105" spans="1:17" x14ac:dyDescent="0.3">
      <c r="A105"/>
      <c r="B105" s="32" t="s">
        <v>634</v>
      </c>
      <c r="C105" s="86">
        <v>0.2</v>
      </c>
      <c r="D105" s="11" t="s">
        <v>196</v>
      </c>
    </row>
    <row r="106" spans="1:17" x14ac:dyDescent="0.3">
      <c r="A106"/>
      <c r="B106" s="32" t="s">
        <v>635</v>
      </c>
      <c r="C106" s="135">
        <f>C104+C105</f>
        <v>7.7</v>
      </c>
      <c r="D106" s="11" t="s">
        <v>134</v>
      </c>
    </row>
    <row r="107" spans="1:17" x14ac:dyDescent="0.3">
      <c r="A107"/>
    </row>
    <row r="108" spans="1:17" s="33" customFormat="1" x14ac:dyDescent="0.3">
      <c r="A108"/>
      <c r="B108" s="189" t="s">
        <v>665</v>
      </c>
      <c r="C108" s="189"/>
      <c r="D108" s="189"/>
      <c r="E108" s="201" t="s">
        <v>616</v>
      </c>
      <c r="F108"/>
      <c r="O108"/>
      <c r="Q108"/>
    </row>
    <row r="109" spans="1:17" x14ac:dyDescent="0.3">
      <c r="A109"/>
      <c r="B109" s="36" t="s">
        <v>617</v>
      </c>
      <c r="C109" s="24" t="s">
        <v>618</v>
      </c>
      <c r="D109" s="36" t="s">
        <v>619</v>
      </c>
      <c r="E109" s="201"/>
    </row>
    <row r="110" spans="1:17" x14ac:dyDescent="0.3">
      <c r="A110"/>
      <c r="B110" s="136">
        <v>2</v>
      </c>
      <c r="C110" s="137">
        <f>(E110)/(B110*D110)</f>
        <v>3.2083333333333335</v>
      </c>
      <c r="D110" s="136">
        <v>1.2</v>
      </c>
      <c r="E110" s="136">
        <f>C106</f>
        <v>7.7</v>
      </c>
    </row>
    <row r="111" spans="1:17" ht="14.4" customHeight="1" x14ac:dyDescent="0.3">
      <c r="A111"/>
    </row>
    <row r="112" spans="1:17" ht="14.4" customHeight="1" x14ac:dyDescent="0.3">
      <c r="A112"/>
      <c r="B112" s="138" t="s">
        <v>620</v>
      </c>
      <c r="C112" s="135">
        <f>C102*2</f>
        <v>500</v>
      </c>
      <c r="D112" s="1" t="s">
        <v>236</v>
      </c>
      <c r="E112" s="26" t="s">
        <v>621</v>
      </c>
      <c r="F112" s="137">
        <v>500</v>
      </c>
      <c r="G112" s="1" t="s">
        <v>196</v>
      </c>
    </row>
    <row r="113" spans="1:7" ht="14.4" customHeight="1" x14ac:dyDescent="0.3">
      <c r="A113"/>
      <c r="B113" s="35" t="s">
        <v>622</v>
      </c>
      <c r="C113" s="139">
        <f>C130+C141+D143+C148</f>
        <v>6.5426248225142833</v>
      </c>
      <c r="D113" s="1" t="s">
        <v>196</v>
      </c>
      <c r="E113" s="26" t="s">
        <v>621</v>
      </c>
      <c r="F113" s="137">
        <v>10</v>
      </c>
      <c r="G113" s="1" t="s">
        <v>196</v>
      </c>
    </row>
    <row r="114" spans="1:7" ht="14.4" customHeight="1" x14ac:dyDescent="0.3">
      <c r="A114"/>
      <c r="B114" s="36" t="s">
        <v>623</v>
      </c>
      <c r="C114" s="151" t="s">
        <v>624</v>
      </c>
      <c r="D114" s="151"/>
    </row>
    <row r="115" spans="1:7" ht="14.4" customHeight="1" x14ac:dyDescent="0.3">
      <c r="A115"/>
    </row>
    <row r="116" spans="1:7" ht="14.4" customHeight="1" x14ac:dyDescent="0.3">
      <c r="A116"/>
    </row>
    <row r="117" spans="1:7" ht="14.4" customHeight="1" x14ac:dyDescent="0.3">
      <c r="A117"/>
      <c r="B117" s="11" t="s">
        <v>625</v>
      </c>
      <c r="C117" s="86">
        <f>C112</f>
        <v>500</v>
      </c>
      <c r="D117" s="11" t="s">
        <v>236</v>
      </c>
      <c r="G117" s="33"/>
    </row>
    <row r="118" spans="1:7" ht="14.4" customHeight="1" x14ac:dyDescent="0.3">
      <c r="A118"/>
      <c r="B118" s="11"/>
      <c r="C118" s="86">
        <f>(C117/1000)/60</f>
        <v>8.3333333333333332E-3</v>
      </c>
      <c r="D118" s="11" t="s">
        <v>194</v>
      </c>
    </row>
    <row r="119" spans="1:7" ht="14.4" customHeight="1" x14ac:dyDescent="0.3">
      <c r="A119"/>
      <c r="B119" s="11" t="s">
        <v>199</v>
      </c>
      <c r="C119" s="86">
        <v>1.5</v>
      </c>
      <c r="D119" s="11" t="s">
        <v>198</v>
      </c>
    </row>
    <row r="120" spans="1:7" ht="14.4" customHeight="1" x14ac:dyDescent="0.3">
      <c r="A120"/>
      <c r="B120" s="11" t="s">
        <v>126</v>
      </c>
      <c r="C120" s="86">
        <f>SQRT((C118*4)/(C119*3.14))</f>
        <v>8.4125744187511453E-2</v>
      </c>
      <c r="D120" s="11" t="s">
        <v>196</v>
      </c>
    </row>
    <row r="121" spans="1:7" ht="14.4" customHeight="1" x14ac:dyDescent="0.3">
      <c r="A121"/>
      <c r="B121" s="11"/>
      <c r="C121" s="86">
        <f>C120*1000</f>
        <v>84.125744187511458</v>
      </c>
      <c r="D121" s="11" t="s">
        <v>197</v>
      </c>
    </row>
    <row r="122" spans="1:7" ht="14.4" customHeight="1" x14ac:dyDescent="0.3">
      <c r="A122"/>
      <c r="B122" s="11" t="s">
        <v>235</v>
      </c>
      <c r="C122" s="135">
        <v>85</v>
      </c>
      <c r="D122" s="11" t="s">
        <v>197</v>
      </c>
    </row>
    <row r="123" spans="1:7" ht="14.4" customHeight="1" x14ac:dyDescent="0.3">
      <c r="A123"/>
      <c r="G123" s="33"/>
    </row>
    <row r="124" spans="1:7" ht="14.4" customHeight="1" x14ac:dyDescent="0.3">
      <c r="A124"/>
      <c r="B124" s="195" t="s">
        <v>242</v>
      </c>
      <c r="C124" s="223"/>
      <c r="D124" s="223"/>
      <c r="E124" s="196"/>
      <c r="G124" s="33"/>
    </row>
    <row r="125" spans="1:7" ht="14.4" customHeight="1" x14ac:dyDescent="0.3">
      <c r="A125"/>
      <c r="B125" s="176" t="s">
        <v>243</v>
      </c>
      <c r="C125" s="176"/>
      <c r="D125" s="176"/>
      <c r="E125" s="176"/>
      <c r="G125" s="33"/>
    </row>
    <row r="126" spans="1:7" ht="14.4" customHeight="1" x14ac:dyDescent="0.3">
      <c r="A126"/>
      <c r="B126" s="11" t="s">
        <v>239</v>
      </c>
      <c r="C126" s="151">
        <f>C118</f>
        <v>8.3333333333333332E-3</v>
      </c>
      <c r="D126" s="151"/>
      <c r="E126" s="11" t="s">
        <v>194</v>
      </c>
      <c r="G126" s="33"/>
    </row>
    <row r="127" spans="1:7" ht="14.4" customHeight="1" x14ac:dyDescent="0.3">
      <c r="A127"/>
      <c r="B127" s="1" t="s">
        <v>125</v>
      </c>
      <c r="C127" s="176">
        <v>150</v>
      </c>
      <c r="D127" s="176"/>
      <c r="E127" s="1"/>
      <c r="G127" s="33"/>
    </row>
    <row r="128" spans="1:7" ht="14.4" customHeight="1" x14ac:dyDescent="0.3">
      <c r="A128"/>
      <c r="B128" s="11" t="s">
        <v>126</v>
      </c>
      <c r="C128" s="151">
        <f>C120</f>
        <v>8.4125744187511453E-2</v>
      </c>
      <c r="D128" s="151"/>
      <c r="E128" s="11" t="s">
        <v>196</v>
      </c>
      <c r="G128" s="33"/>
    </row>
    <row r="129" spans="1:17" ht="14.4" customHeight="1" x14ac:dyDescent="0.3">
      <c r="A129"/>
      <c r="B129" s="11" t="s">
        <v>237</v>
      </c>
      <c r="C129" s="225">
        <v>8</v>
      </c>
      <c r="D129" s="225"/>
      <c r="E129" s="11" t="s">
        <v>196</v>
      </c>
      <c r="G129" s="33"/>
    </row>
    <row r="130" spans="1:17" ht="14.4" customHeight="1" x14ac:dyDescent="0.3">
      <c r="A130"/>
      <c r="B130" s="11" t="s">
        <v>240</v>
      </c>
      <c r="C130" s="203">
        <f>(((10.67)*(C126^1.85))/((C127^1.85)*(C128^4.87)))*C129</f>
        <v>0.19705907327881006</v>
      </c>
      <c r="D130" s="203"/>
      <c r="E130" s="11" t="s">
        <v>196</v>
      </c>
      <c r="G130" s="33"/>
    </row>
    <row r="131" spans="1:17" ht="14.4" customHeight="1" x14ac:dyDescent="0.3">
      <c r="A131"/>
      <c r="B131" s="151" t="s">
        <v>244</v>
      </c>
      <c r="C131" s="151"/>
      <c r="D131" s="151"/>
      <c r="E131" s="151"/>
      <c r="G131" s="33"/>
    </row>
    <row r="132" spans="1:17" ht="14.4" customHeight="1" x14ac:dyDescent="0.3">
      <c r="A132"/>
      <c r="B132" s="11" t="s">
        <v>245</v>
      </c>
      <c r="C132" s="11" t="s">
        <v>246</v>
      </c>
      <c r="D132" s="11" t="s">
        <v>247</v>
      </c>
      <c r="E132" s="11" t="s">
        <v>248</v>
      </c>
      <c r="G132" s="33"/>
    </row>
    <row r="133" spans="1:17" ht="14.4" customHeight="1" x14ac:dyDescent="0.3">
      <c r="A133"/>
      <c r="B133" s="11" t="s">
        <v>249</v>
      </c>
      <c r="C133" s="136">
        <v>8</v>
      </c>
      <c r="D133" s="11">
        <v>0.7</v>
      </c>
      <c r="E133" s="11">
        <f>C133*D133</f>
        <v>5.6</v>
      </c>
      <c r="G133" s="33"/>
    </row>
    <row r="134" spans="1:17" ht="14.4" customHeight="1" x14ac:dyDescent="0.3">
      <c r="A134"/>
      <c r="B134" s="32"/>
      <c r="C134" s="32"/>
      <c r="D134" s="32"/>
      <c r="E134" s="32"/>
      <c r="G134" s="33"/>
    </row>
    <row r="135" spans="1:17" ht="14.4" customHeight="1" x14ac:dyDescent="0.3">
      <c r="A135"/>
      <c r="B135" s="151" t="s">
        <v>250</v>
      </c>
      <c r="C135" s="151"/>
      <c r="D135" s="151"/>
      <c r="E135" s="11">
        <f>SUM(E133:E134)</f>
        <v>5.6</v>
      </c>
      <c r="G135" s="33"/>
    </row>
    <row r="136" spans="1:17" x14ac:dyDescent="0.3">
      <c r="A136"/>
      <c r="B136" s="151"/>
      <c r="C136" s="151"/>
      <c r="D136" s="151"/>
      <c r="E136" s="151"/>
      <c r="G136" s="33"/>
    </row>
    <row r="137" spans="1:17" x14ac:dyDescent="0.3">
      <c r="A137"/>
      <c r="B137" s="11" t="s">
        <v>199</v>
      </c>
      <c r="C137" s="176">
        <v>2</v>
      </c>
      <c r="D137" s="176"/>
      <c r="E137" s="11" t="s">
        <v>198</v>
      </c>
      <c r="G137" s="33"/>
    </row>
    <row r="138" spans="1:17" x14ac:dyDescent="0.3">
      <c r="A138"/>
      <c r="B138" s="11" t="s">
        <v>251</v>
      </c>
      <c r="C138" s="176">
        <f>C137^2</f>
        <v>4</v>
      </c>
      <c r="D138" s="176"/>
      <c r="E138" s="11" t="s">
        <v>252</v>
      </c>
      <c r="G138" s="33"/>
    </row>
    <row r="139" spans="1:17" x14ac:dyDescent="0.3">
      <c r="A139"/>
      <c r="B139" s="11" t="s">
        <v>253</v>
      </c>
      <c r="C139" s="176">
        <v>9.81</v>
      </c>
      <c r="D139" s="176"/>
      <c r="E139" s="11" t="s">
        <v>254</v>
      </c>
      <c r="G139" s="33"/>
    </row>
    <row r="140" spans="1:17" x14ac:dyDescent="0.3">
      <c r="A140"/>
      <c r="B140" s="11" t="s">
        <v>255</v>
      </c>
      <c r="C140" s="151">
        <f>2*C139</f>
        <v>19.62</v>
      </c>
      <c r="D140" s="151"/>
      <c r="E140" s="11" t="s">
        <v>254</v>
      </c>
      <c r="G140" s="33"/>
    </row>
    <row r="141" spans="1:17" s="33" customFormat="1" x14ac:dyDescent="0.3">
      <c r="A141"/>
      <c r="B141" s="11" t="s">
        <v>240</v>
      </c>
      <c r="C141" s="198">
        <f>(E135)*(C138/C140)</f>
        <v>1.1416921508664626</v>
      </c>
      <c r="D141" s="198"/>
      <c r="E141" s="11" t="s">
        <v>196</v>
      </c>
      <c r="F141"/>
      <c r="P141"/>
      <c r="Q141"/>
    </row>
    <row r="142" spans="1:17" ht="14.4" customHeight="1" x14ac:dyDescent="0.3">
      <c r="A142"/>
      <c r="B142" s="189" t="s">
        <v>256</v>
      </c>
      <c r="C142" s="189"/>
      <c r="D142" s="189"/>
      <c r="E142" s="189"/>
      <c r="G142" s="33"/>
    </row>
    <row r="143" spans="1:17" ht="14.4" customHeight="1" x14ac:dyDescent="0.3">
      <c r="A143"/>
      <c r="B143" s="151" t="s">
        <v>257</v>
      </c>
      <c r="C143" s="151"/>
      <c r="D143" s="11">
        <f>5000/1000</f>
        <v>5</v>
      </c>
      <c r="E143" s="11" t="s">
        <v>196</v>
      </c>
      <c r="G143" s="33"/>
    </row>
    <row r="144" spans="1:17" ht="14.4" customHeight="1" x14ac:dyDescent="0.3">
      <c r="A144"/>
      <c r="B144" s="201" t="s">
        <v>258</v>
      </c>
      <c r="C144" s="201"/>
      <c r="D144" s="201"/>
      <c r="E144" s="201"/>
      <c r="G144" s="33"/>
    </row>
    <row r="145" spans="1:17" ht="14.4" customHeight="1" x14ac:dyDescent="0.3">
      <c r="A145"/>
      <c r="B145" s="11" t="s">
        <v>199</v>
      </c>
      <c r="C145" s="11">
        <f>C137</f>
        <v>2</v>
      </c>
      <c r="D145" s="151" t="s">
        <v>198</v>
      </c>
      <c r="E145" s="151"/>
      <c r="G145" s="33"/>
    </row>
    <row r="146" spans="1:17" x14ac:dyDescent="0.3">
      <c r="A146"/>
      <c r="B146" s="11" t="s">
        <v>251</v>
      </c>
      <c r="C146" s="11">
        <f>C145^2</f>
        <v>4</v>
      </c>
      <c r="D146" s="151" t="s">
        <v>252</v>
      </c>
      <c r="E146" s="151"/>
      <c r="G146" s="33"/>
    </row>
    <row r="147" spans="1:17" x14ac:dyDescent="0.3">
      <c r="A147"/>
      <c r="B147" s="11" t="s">
        <v>253</v>
      </c>
      <c r="C147" s="11">
        <v>9.81</v>
      </c>
      <c r="D147" s="151" t="s">
        <v>254</v>
      </c>
      <c r="E147" s="151"/>
      <c r="G147" s="33"/>
    </row>
    <row r="148" spans="1:17" x14ac:dyDescent="0.3">
      <c r="A148"/>
      <c r="B148" s="86" t="s">
        <v>258</v>
      </c>
      <c r="C148" s="141">
        <f>C146/(2*C147)</f>
        <v>0.2038735983690112</v>
      </c>
      <c r="D148" s="231" t="s">
        <v>196</v>
      </c>
      <c r="E148" s="232"/>
      <c r="G148" s="33"/>
    </row>
    <row r="149" spans="1:17" x14ac:dyDescent="0.3">
      <c r="A149"/>
      <c r="C149"/>
    </row>
    <row r="150" spans="1:17" s="33" customFormat="1" x14ac:dyDescent="0.3">
      <c r="A150"/>
      <c r="B150"/>
      <c r="C150"/>
      <c r="D150"/>
      <c r="E150"/>
      <c r="F150"/>
      <c r="G150"/>
      <c r="J150"/>
      <c r="K150"/>
      <c r="L150"/>
      <c r="M150"/>
      <c r="N150"/>
      <c r="O150"/>
      <c r="P150"/>
      <c r="Q150"/>
    </row>
    <row r="151" spans="1:17" x14ac:dyDescent="0.3">
      <c r="A151"/>
      <c r="B151" s="181" t="s">
        <v>644</v>
      </c>
      <c r="C151" s="181"/>
      <c r="D151" s="181"/>
      <c r="M151"/>
    </row>
    <row r="152" spans="1:17" x14ac:dyDescent="0.3">
      <c r="A152"/>
      <c r="B152" s="181" t="s">
        <v>645</v>
      </c>
      <c r="C152" s="181"/>
      <c r="D152" s="181"/>
      <c r="M152"/>
    </row>
    <row r="153" spans="1:17" x14ac:dyDescent="0.3">
      <c r="A153"/>
      <c r="B153" s="181" t="s">
        <v>646</v>
      </c>
      <c r="C153" s="181"/>
      <c r="D153" s="181"/>
      <c r="M153"/>
    </row>
    <row r="154" spans="1:17" x14ac:dyDescent="0.3">
      <c r="A154"/>
      <c r="B154" s="236" t="s">
        <v>647</v>
      </c>
      <c r="C154" s="236"/>
      <c r="D154" s="236"/>
      <c r="M154"/>
    </row>
    <row r="155" spans="1:17" x14ac:dyDescent="0.3">
      <c r="A155"/>
      <c r="B155" s="236"/>
      <c r="C155" s="236"/>
      <c r="D155" s="236"/>
      <c r="M155"/>
    </row>
    <row r="156" spans="1:17" x14ac:dyDescent="0.3">
      <c r="A156"/>
      <c r="B156" s="147"/>
      <c r="C156" s="147"/>
      <c r="D156" s="147"/>
      <c r="M156"/>
    </row>
    <row r="157" spans="1:17" x14ac:dyDescent="0.3">
      <c r="A157"/>
      <c r="M157"/>
    </row>
    <row r="158" spans="1:17" x14ac:dyDescent="0.3">
      <c r="A158"/>
      <c r="C158"/>
    </row>
    <row r="159" spans="1:17" x14ac:dyDescent="0.3">
      <c r="A159"/>
      <c r="C159"/>
    </row>
    <row r="160" spans="1:17" x14ac:dyDescent="0.3">
      <c r="A160"/>
      <c r="C160"/>
    </row>
    <row r="161" spans="1:13" x14ac:dyDescent="0.3">
      <c r="A161"/>
      <c r="C161"/>
    </row>
    <row r="162" spans="1:13" x14ac:dyDescent="0.3">
      <c r="A162"/>
      <c r="C162"/>
      <c r="M162"/>
    </row>
    <row r="163" spans="1:13" x14ac:dyDescent="0.3">
      <c r="A163"/>
      <c r="C163"/>
      <c r="M163"/>
    </row>
    <row r="164" spans="1:13" x14ac:dyDescent="0.3">
      <c r="A164"/>
      <c r="C164"/>
      <c r="M164"/>
    </row>
    <row r="165" spans="1:13" x14ac:dyDescent="0.3">
      <c r="A165"/>
      <c r="C165"/>
      <c r="M165"/>
    </row>
    <row r="166" spans="1:13" x14ac:dyDescent="0.3">
      <c r="A166"/>
      <c r="C166"/>
      <c r="M166"/>
    </row>
    <row r="167" spans="1:13" x14ac:dyDescent="0.3">
      <c r="A167"/>
      <c r="C167"/>
      <c r="M167"/>
    </row>
    <row r="168" spans="1:13" x14ac:dyDescent="0.3">
      <c r="A168"/>
      <c r="C168"/>
      <c r="M168"/>
    </row>
    <row r="169" spans="1:13" x14ac:dyDescent="0.3">
      <c r="A169"/>
      <c r="C169"/>
      <c r="M169"/>
    </row>
    <row r="170" spans="1:13" x14ac:dyDescent="0.3">
      <c r="A170"/>
      <c r="C170"/>
      <c r="M170"/>
    </row>
    <row r="171" spans="1:13" x14ac:dyDescent="0.3">
      <c r="A171"/>
      <c r="C171"/>
      <c r="M171"/>
    </row>
    <row r="172" spans="1:13" x14ac:dyDescent="0.3">
      <c r="A172"/>
    </row>
    <row r="173" spans="1:13" x14ac:dyDescent="0.3">
      <c r="A173"/>
    </row>
    <row r="174" spans="1:13" x14ac:dyDescent="0.3">
      <c r="A174"/>
    </row>
    <row r="175" spans="1:13" x14ac:dyDescent="0.3">
      <c r="A175"/>
    </row>
    <row r="176" spans="1:13" x14ac:dyDescent="0.3">
      <c r="A176"/>
    </row>
    <row r="177" spans="1:13" x14ac:dyDescent="0.3">
      <c r="A177"/>
    </row>
    <row r="178" spans="1:13" x14ac:dyDescent="0.3">
      <c r="A178"/>
    </row>
    <row r="179" spans="1:13" x14ac:dyDescent="0.3">
      <c r="A179"/>
      <c r="M179"/>
    </row>
    <row r="180" spans="1:13" x14ac:dyDescent="0.3">
      <c r="A180"/>
    </row>
    <row r="181" spans="1:13" x14ac:dyDescent="0.3">
      <c r="A181"/>
    </row>
    <row r="182" spans="1:13" x14ac:dyDescent="0.3">
      <c r="A182"/>
    </row>
    <row r="183" spans="1:13" x14ac:dyDescent="0.3">
      <c r="A183"/>
    </row>
    <row r="184" spans="1:13" x14ac:dyDescent="0.3">
      <c r="A184"/>
    </row>
    <row r="185" spans="1:13" x14ac:dyDescent="0.3">
      <c r="A185"/>
    </row>
    <row r="186" spans="1:13" x14ac:dyDescent="0.3">
      <c r="A186"/>
    </row>
  </sheetData>
  <mergeCells count="79">
    <mergeCell ref="B154:D155"/>
    <mergeCell ref="D146:E146"/>
    <mergeCell ref="D147:E147"/>
    <mergeCell ref="D148:E148"/>
    <mergeCell ref="B151:D151"/>
    <mergeCell ref="B152:D152"/>
    <mergeCell ref="B153:D153"/>
    <mergeCell ref="D145:E145"/>
    <mergeCell ref="B131:E131"/>
    <mergeCell ref="B135:D135"/>
    <mergeCell ref="B136:E136"/>
    <mergeCell ref="C137:D137"/>
    <mergeCell ref="C138:D138"/>
    <mergeCell ref="C139:D139"/>
    <mergeCell ref="C140:D140"/>
    <mergeCell ref="C141:D141"/>
    <mergeCell ref="B142:E142"/>
    <mergeCell ref="B143:C143"/>
    <mergeCell ref="B144:E144"/>
    <mergeCell ref="C130:D130"/>
    <mergeCell ref="B93:F93"/>
    <mergeCell ref="B95:F95"/>
    <mergeCell ref="B108:D108"/>
    <mergeCell ref="E108:E109"/>
    <mergeCell ref="C114:D114"/>
    <mergeCell ref="B124:E124"/>
    <mergeCell ref="B125:E125"/>
    <mergeCell ref="C126:D126"/>
    <mergeCell ref="C127:D127"/>
    <mergeCell ref="C128:D128"/>
    <mergeCell ref="C129:D129"/>
    <mergeCell ref="B91:F91"/>
    <mergeCell ref="B78:B79"/>
    <mergeCell ref="C78:C79"/>
    <mergeCell ref="D78:D79"/>
    <mergeCell ref="E78:E79"/>
    <mergeCell ref="F78:F79"/>
    <mergeCell ref="B80:F80"/>
    <mergeCell ref="B81:F81"/>
    <mergeCell ref="B83:F83"/>
    <mergeCell ref="B85:F85"/>
    <mergeCell ref="B87:F87"/>
    <mergeCell ref="B89:F89"/>
    <mergeCell ref="B75:E75"/>
    <mergeCell ref="C63:D63"/>
    <mergeCell ref="C64:D64"/>
    <mergeCell ref="C65:D65"/>
    <mergeCell ref="C66:D66"/>
    <mergeCell ref="B67:E67"/>
    <mergeCell ref="B68:C68"/>
    <mergeCell ref="B69:E69"/>
    <mergeCell ref="D70:E70"/>
    <mergeCell ref="D71:E71"/>
    <mergeCell ref="D72:E72"/>
    <mergeCell ref="D73:E73"/>
    <mergeCell ref="C62:D62"/>
    <mergeCell ref="C40:D40"/>
    <mergeCell ref="B49:E49"/>
    <mergeCell ref="B50:E50"/>
    <mergeCell ref="C51:D51"/>
    <mergeCell ref="C52:D52"/>
    <mergeCell ref="C53:D53"/>
    <mergeCell ref="C54:D54"/>
    <mergeCell ref="C55:D55"/>
    <mergeCell ref="B56:E56"/>
    <mergeCell ref="B60:D60"/>
    <mergeCell ref="B61:E61"/>
    <mergeCell ref="B15:F15"/>
    <mergeCell ref="B16:F16"/>
    <mergeCell ref="B20:F20"/>
    <mergeCell ref="B21:F21"/>
    <mergeCell ref="B34:D34"/>
    <mergeCell ref="E34:E35"/>
    <mergeCell ref="A6:G7"/>
    <mergeCell ref="B13:B14"/>
    <mergeCell ref="C13:C14"/>
    <mergeCell ref="D13:D14"/>
    <mergeCell ref="E13:E14"/>
    <mergeCell ref="F13:F1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4" fitToWidth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BBCDE-C317-4177-A530-773447FBE7E7}">
  <sheetPr>
    <tabColor rgb="FF00B0F0"/>
  </sheetPr>
  <dimension ref="A6:Q262"/>
  <sheetViews>
    <sheetView view="pageBreakPreview" topLeftCell="A212" zoomScale="85" zoomScaleNormal="55" zoomScaleSheetLayoutView="85" workbookViewId="0">
      <selection activeCell="B79" sqref="B79:E81"/>
    </sheetView>
  </sheetViews>
  <sheetFormatPr defaultRowHeight="14.4" x14ac:dyDescent="0.3"/>
  <cols>
    <col min="1" max="1" width="4.6640625" style="9" bestFit="1" customWidth="1"/>
    <col min="2" max="2" width="11.88671875" customWidth="1"/>
    <col min="3" max="3" width="23.5546875" style="132" customWidth="1"/>
    <col min="4" max="4" width="16.88671875" customWidth="1"/>
    <col min="5" max="5" width="21.33203125" customWidth="1"/>
    <col min="6" max="6" width="17.33203125" customWidth="1"/>
    <col min="7" max="7" width="20.6640625" customWidth="1"/>
    <col min="8" max="8" width="17.5546875" customWidth="1"/>
    <col min="9" max="9" width="19.88671875" customWidth="1"/>
    <col min="10" max="10" width="9.109375" customWidth="1"/>
    <col min="11" max="11" width="19.5546875" hidden="1" customWidth="1"/>
    <col min="12" max="12" width="10.109375" hidden="1" customWidth="1"/>
    <col min="13" max="13" width="9.109375" style="5" hidden="1" customWidth="1"/>
    <col min="14" max="14" width="11.33203125" hidden="1" customWidth="1"/>
    <col min="15" max="15" width="8.88671875" hidden="1" customWidth="1"/>
    <col min="16" max="16" width="8.88671875" customWidth="1"/>
    <col min="17" max="17" width="10.88671875" customWidth="1"/>
  </cols>
  <sheetData>
    <row r="6" spans="1:17" ht="14.4" customHeight="1" x14ac:dyDescent="0.3">
      <c r="A6" s="224" t="s">
        <v>603</v>
      </c>
      <c r="B6" s="224"/>
      <c r="C6" s="224"/>
      <c r="D6" s="224"/>
      <c r="E6" s="224"/>
      <c r="F6" s="224"/>
      <c r="G6" s="224"/>
      <c r="H6" s="129"/>
      <c r="I6" s="129"/>
      <c r="J6" s="129"/>
      <c r="K6" s="129"/>
      <c r="L6" s="129"/>
      <c r="M6" s="129"/>
      <c r="N6" s="129"/>
      <c r="O6" s="129"/>
      <c r="P6" s="129"/>
      <c r="Q6" s="129"/>
    </row>
    <row r="7" spans="1:17" ht="14.4" customHeight="1" x14ac:dyDescent="0.3">
      <c r="A7" s="224"/>
      <c r="B7" s="224"/>
      <c r="C7" s="224"/>
      <c r="D7" s="224"/>
      <c r="E7" s="224"/>
      <c r="F7" s="224"/>
      <c r="G7" s="224"/>
      <c r="H7" s="129"/>
      <c r="I7" s="129"/>
      <c r="J7" s="129"/>
      <c r="K7" s="129"/>
      <c r="L7" s="129"/>
      <c r="M7" s="129"/>
      <c r="N7" s="129"/>
      <c r="O7" s="129"/>
      <c r="P7" s="129"/>
      <c r="Q7" s="129"/>
    </row>
    <row r="8" spans="1:17" ht="14.4" customHeight="1" x14ac:dyDescent="0.3">
      <c r="A8" s="130"/>
      <c r="B8" s="130"/>
      <c r="C8" s="130"/>
      <c r="D8" s="130"/>
      <c r="E8" s="130"/>
      <c r="F8" s="130"/>
      <c r="G8" s="130"/>
      <c r="H8" s="129"/>
      <c r="I8" s="129"/>
      <c r="J8" s="129"/>
      <c r="K8" s="129"/>
      <c r="L8" s="129"/>
      <c r="M8" s="129"/>
      <c r="N8" s="129"/>
      <c r="O8" s="129"/>
      <c r="P8" s="129"/>
      <c r="Q8" s="129"/>
    </row>
    <row r="9" spans="1:17" x14ac:dyDescent="0.3">
      <c r="A9"/>
      <c r="B9" s="180" t="s">
        <v>666</v>
      </c>
      <c r="C9" s="180"/>
      <c r="D9" s="180"/>
      <c r="E9" s="180"/>
      <c r="M9"/>
    </row>
    <row r="10" spans="1:17" x14ac:dyDescent="0.3">
      <c r="A10"/>
      <c r="B10" s="131" t="s">
        <v>667</v>
      </c>
      <c r="C10" s="126"/>
      <c r="D10" s="126"/>
      <c r="E10" s="126"/>
    </row>
    <row r="11" spans="1:17" x14ac:dyDescent="0.3">
      <c r="A11"/>
      <c r="B11" s="131" t="s">
        <v>668</v>
      </c>
      <c r="C11" s="126"/>
      <c r="D11" s="126"/>
      <c r="E11" s="126"/>
    </row>
    <row r="12" spans="1:17" x14ac:dyDescent="0.3">
      <c r="A12"/>
      <c r="B12" s="78" t="s">
        <v>669</v>
      </c>
      <c r="M12"/>
    </row>
    <row r="13" spans="1:17" x14ac:dyDescent="0.3">
      <c r="A13"/>
      <c r="B13" s="78"/>
      <c r="M13"/>
    </row>
    <row r="14" spans="1:17" x14ac:dyDescent="0.3">
      <c r="A14"/>
      <c r="B14" s="237" t="s">
        <v>2</v>
      </c>
      <c r="C14" s="239" t="s">
        <v>606</v>
      </c>
      <c r="D14" s="239" t="s">
        <v>7</v>
      </c>
      <c r="E14" s="239" t="s">
        <v>607</v>
      </c>
      <c r="F14" s="239" t="s">
        <v>608</v>
      </c>
      <c r="M14"/>
    </row>
    <row r="15" spans="1:17" x14ac:dyDescent="0.3">
      <c r="A15"/>
      <c r="B15" s="238"/>
      <c r="C15" s="240"/>
      <c r="D15" s="240"/>
      <c r="E15" s="240"/>
      <c r="F15" s="240"/>
      <c r="M15"/>
    </row>
    <row r="16" spans="1:17" x14ac:dyDescent="0.3">
      <c r="A16"/>
      <c r="B16" s="158" t="s">
        <v>386</v>
      </c>
      <c r="C16" s="159"/>
      <c r="D16" s="159"/>
      <c r="E16" s="159"/>
      <c r="F16" s="160"/>
      <c r="M16"/>
    </row>
    <row r="17" spans="1:13" x14ac:dyDescent="0.3">
      <c r="A17"/>
      <c r="B17" s="158" t="s">
        <v>378</v>
      </c>
      <c r="C17" s="159"/>
      <c r="D17" s="159"/>
      <c r="E17" s="159"/>
      <c r="F17" s="160"/>
      <c r="M17"/>
    </row>
    <row r="18" spans="1:13" x14ac:dyDescent="0.3">
      <c r="A18"/>
      <c r="B18" s="1">
        <v>1</v>
      </c>
      <c r="C18" s="32" t="s">
        <v>630</v>
      </c>
      <c r="D18" s="11">
        <v>13</v>
      </c>
      <c r="E18" s="11">
        <v>4</v>
      </c>
      <c r="F18" s="11">
        <f>D18*E18</f>
        <v>52</v>
      </c>
      <c r="M18"/>
    </row>
    <row r="19" spans="1:13" x14ac:dyDescent="0.3">
      <c r="A19"/>
      <c r="B19" s="1">
        <v>2</v>
      </c>
      <c r="C19" s="32" t="s">
        <v>670</v>
      </c>
      <c r="D19" s="11">
        <v>2</v>
      </c>
      <c r="E19" s="11">
        <v>8</v>
      </c>
      <c r="F19" s="11">
        <f t="shared" ref="F19:F25" si="0">D19*E19</f>
        <v>16</v>
      </c>
      <c r="M19"/>
    </row>
    <row r="20" spans="1:13" x14ac:dyDescent="0.3">
      <c r="A20"/>
      <c r="B20" s="1">
        <v>3</v>
      </c>
      <c r="C20" s="32" t="s">
        <v>15</v>
      </c>
      <c r="D20" s="11">
        <v>15</v>
      </c>
      <c r="E20" s="11">
        <v>2</v>
      </c>
      <c r="F20" s="11">
        <f t="shared" si="0"/>
        <v>30</v>
      </c>
      <c r="M20"/>
    </row>
    <row r="21" spans="1:13" x14ac:dyDescent="0.3">
      <c r="A21"/>
      <c r="B21" s="1">
        <v>4</v>
      </c>
      <c r="C21" s="32" t="s">
        <v>631</v>
      </c>
      <c r="D21" s="11">
        <v>14</v>
      </c>
      <c r="E21" s="11">
        <v>1</v>
      </c>
      <c r="F21" s="11">
        <f t="shared" si="0"/>
        <v>14</v>
      </c>
      <c r="M21"/>
    </row>
    <row r="22" spans="1:13" x14ac:dyDescent="0.3">
      <c r="A22"/>
      <c r="B22" s="1">
        <v>5</v>
      </c>
      <c r="C22" s="32" t="s">
        <v>671</v>
      </c>
      <c r="D22" s="11">
        <v>3</v>
      </c>
      <c r="E22" s="11">
        <v>4</v>
      </c>
      <c r="F22" s="11">
        <f t="shared" si="0"/>
        <v>12</v>
      </c>
      <c r="M22"/>
    </row>
    <row r="23" spans="1:13" x14ac:dyDescent="0.3">
      <c r="A23"/>
      <c r="B23" s="1">
        <v>6</v>
      </c>
      <c r="C23" s="32" t="s">
        <v>637</v>
      </c>
      <c r="D23" s="11">
        <v>2</v>
      </c>
      <c r="E23" s="11">
        <v>2</v>
      </c>
      <c r="F23" s="11">
        <f t="shared" si="0"/>
        <v>4</v>
      </c>
      <c r="M23"/>
    </row>
    <row r="24" spans="1:13" x14ac:dyDescent="0.3">
      <c r="A24"/>
      <c r="B24" s="1">
        <v>7</v>
      </c>
      <c r="C24" s="32" t="s">
        <v>10</v>
      </c>
      <c r="D24" s="11">
        <v>3</v>
      </c>
      <c r="E24" s="11">
        <v>2</v>
      </c>
      <c r="F24" s="11">
        <f t="shared" si="0"/>
        <v>6</v>
      </c>
      <c r="M24"/>
    </row>
    <row r="25" spans="1:13" x14ac:dyDescent="0.3">
      <c r="A25"/>
      <c r="B25" s="1">
        <v>8</v>
      </c>
      <c r="C25" s="32" t="s">
        <v>672</v>
      </c>
      <c r="D25" s="11">
        <v>1</v>
      </c>
      <c r="E25" s="11">
        <v>1</v>
      </c>
      <c r="F25" s="11">
        <f t="shared" si="0"/>
        <v>1</v>
      </c>
      <c r="M25"/>
    </row>
    <row r="26" spans="1:13" x14ac:dyDescent="0.3">
      <c r="A26"/>
      <c r="B26" s="158" t="s">
        <v>379</v>
      </c>
      <c r="C26" s="159"/>
      <c r="D26" s="159"/>
      <c r="E26" s="159"/>
      <c r="F26" s="160"/>
      <c r="M26"/>
    </row>
    <row r="27" spans="1:13" x14ac:dyDescent="0.3">
      <c r="A27"/>
      <c r="B27" s="1">
        <v>1</v>
      </c>
      <c r="C27" s="7" t="s">
        <v>5</v>
      </c>
      <c r="D27" s="1">
        <v>21</v>
      </c>
      <c r="E27" s="1">
        <v>4</v>
      </c>
      <c r="F27" s="1">
        <f>D27*E27</f>
        <v>84</v>
      </c>
      <c r="M27"/>
    </row>
    <row r="28" spans="1:13" x14ac:dyDescent="0.3">
      <c r="A28"/>
      <c r="B28" s="1">
        <v>2</v>
      </c>
      <c r="C28" s="7" t="s">
        <v>9</v>
      </c>
      <c r="D28" s="1">
        <v>21</v>
      </c>
      <c r="E28" s="1">
        <v>2</v>
      </c>
      <c r="F28" s="1">
        <f t="shared" ref="F28:F31" si="1">D28*E28</f>
        <v>42</v>
      </c>
      <c r="M28"/>
    </row>
    <row r="29" spans="1:13" x14ac:dyDescent="0.3">
      <c r="A29"/>
      <c r="B29" s="1">
        <v>3</v>
      </c>
      <c r="C29" s="7" t="s">
        <v>4</v>
      </c>
      <c r="D29" s="1">
        <v>52</v>
      </c>
      <c r="E29" s="1">
        <v>1</v>
      </c>
      <c r="F29" s="1">
        <f t="shared" si="1"/>
        <v>52</v>
      </c>
      <c r="M29"/>
    </row>
    <row r="30" spans="1:13" x14ac:dyDescent="0.3">
      <c r="A30"/>
      <c r="B30" s="1">
        <v>4</v>
      </c>
      <c r="C30" s="7" t="s">
        <v>16</v>
      </c>
      <c r="D30" s="1">
        <v>4</v>
      </c>
      <c r="E30" s="1">
        <v>4</v>
      </c>
      <c r="F30" s="1">
        <f t="shared" si="1"/>
        <v>16</v>
      </c>
      <c r="M30"/>
    </row>
    <row r="31" spans="1:13" x14ac:dyDescent="0.3">
      <c r="A31"/>
      <c r="B31" s="1">
        <v>5</v>
      </c>
      <c r="C31" s="7" t="s">
        <v>10</v>
      </c>
      <c r="D31" s="1">
        <v>4</v>
      </c>
      <c r="E31" s="1">
        <v>2</v>
      </c>
      <c r="F31" s="1">
        <f t="shared" si="1"/>
        <v>8</v>
      </c>
      <c r="M31"/>
    </row>
    <row r="32" spans="1:13" x14ac:dyDescent="0.3">
      <c r="A32"/>
      <c r="B32" s="158" t="s">
        <v>380</v>
      </c>
      <c r="C32" s="159"/>
      <c r="D32" s="159"/>
      <c r="E32" s="159"/>
      <c r="F32" s="160"/>
      <c r="M32"/>
    </row>
    <row r="33" spans="1:13" x14ac:dyDescent="0.3">
      <c r="A33"/>
      <c r="B33" s="1">
        <v>1</v>
      </c>
      <c r="C33" s="7" t="s">
        <v>5</v>
      </c>
      <c r="D33" s="1">
        <v>14</v>
      </c>
      <c r="E33" s="1">
        <v>4</v>
      </c>
      <c r="F33" s="1">
        <f>D33*E33</f>
        <v>56</v>
      </c>
      <c r="M33"/>
    </row>
    <row r="34" spans="1:13" x14ac:dyDescent="0.3">
      <c r="A34"/>
      <c r="B34" s="1">
        <v>2</v>
      </c>
      <c r="C34" s="7" t="s">
        <v>9</v>
      </c>
      <c r="D34" s="1">
        <v>14</v>
      </c>
      <c r="E34" s="1">
        <v>2</v>
      </c>
      <c r="F34" s="1">
        <f t="shared" ref="F34:F36" si="2">D34*E34</f>
        <v>28</v>
      </c>
      <c r="M34"/>
    </row>
    <row r="35" spans="1:13" x14ac:dyDescent="0.3">
      <c r="A35"/>
      <c r="B35" s="1">
        <v>3</v>
      </c>
      <c r="C35" s="7" t="s">
        <v>4</v>
      </c>
      <c r="D35" s="1">
        <v>61</v>
      </c>
      <c r="E35" s="1">
        <v>1</v>
      </c>
      <c r="F35" s="1">
        <f t="shared" si="2"/>
        <v>61</v>
      </c>
      <c r="M35"/>
    </row>
    <row r="36" spans="1:13" x14ac:dyDescent="0.3">
      <c r="A36"/>
      <c r="B36" s="1">
        <v>4</v>
      </c>
      <c r="C36" s="7" t="s">
        <v>16</v>
      </c>
      <c r="D36" s="1">
        <v>4</v>
      </c>
      <c r="E36" s="1">
        <v>4</v>
      </c>
      <c r="F36" s="1">
        <f t="shared" si="2"/>
        <v>16</v>
      </c>
      <c r="M36"/>
    </row>
    <row r="37" spans="1:13" x14ac:dyDescent="0.3">
      <c r="A37"/>
      <c r="B37" s="158" t="s">
        <v>381</v>
      </c>
      <c r="C37" s="159"/>
      <c r="D37" s="159"/>
      <c r="E37" s="159"/>
      <c r="F37" s="160"/>
      <c r="M37"/>
    </row>
    <row r="38" spans="1:13" x14ac:dyDescent="0.3">
      <c r="A38"/>
      <c r="B38" s="1">
        <v>1</v>
      </c>
      <c r="C38" s="7" t="s">
        <v>5</v>
      </c>
      <c r="D38" s="1">
        <v>14</v>
      </c>
      <c r="E38" s="1">
        <v>4</v>
      </c>
      <c r="F38" s="1">
        <f>D38*E38</f>
        <v>56</v>
      </c>
      <c r="M38"/>
    </row>
    <row r="39" spans="1:13" x14ac:dyDescent="0.3">
      <c r="A39"/>
      <c r="B39" s="1">
        <v>2</v>
      </c>
      <c r="C39" s="7" t="s">
        <v>9</v>
      </c>
      <c r="D39" s="1">
        <v>14</v>
      </c>
      <c r="E39" s="1">
        <v>2</v>
      </c>
      <c r="F39" s="1">
        <f t="shared" ref="F39:F42" si="3">D39*E39</f>
        <v>28</v>
      </c>
      <c r="M39"/>
    </row>
    <row r="40" spans="1:13" x14ac:dyDescent="0.3">
      <c r="A40"/>
      <c r="B40" s="1">
        <v>3</v>
      </c>
      <c r="C40" s="7" t="s">
        <v>4</v>
      </c>
      <c r="D40" s="1">
        <v>8</v>
      </c>
      <c r="E40" s="1">
        <v>1</v>
      </c>
      <c r="F40" s="1">
        <f t="shared" si="3"/>
        <v>8</v>
      </c>
      <c r="M40"/>
    </row>
    <row r="41" spans="1:13" x14ac:dyDescent="0.3">
      <c r="A41"/>
      <c r="B41" s="1">
        <v>4</v>
      </c>
      <c r="C41" s="7" t="s">
        <v>16</v>
      </c>
      <c r="D41" s="1">
        <v>4</v>
      </c>
      <c r="E41" s="1">
        <v>4</v>
      </c>
      <c r="F41" s="1">
        <f t="shared" si="3"/>
        <v>16</v>
      </c>
      <c r="M41"/>
    </row>
    <row r="42" spans="1:13" x14ac:dyDescent="0.3">
      <c r="A42"/>
      <c r="B42" s="1">
        <v>5</v>
      </c>
      <c r="C42" s="7" t="s">
        <v>3</v>
      </c>
      <c r="D42" s="1">
        <v>2</v>
      </c>
      <c r="E42" s="1">
        <v>2</v>
      </c>
      <c r="F42" s="1">
        <f t="shared" si="3"/>
        <v>4</v>
      </c>
      <c r="M42"/>
    </row>
    <row r="43" spans="1:13" x14ac:dyDescent="0.3">
      <c r="A43"/>
      <c r="B43" s="158" t="s">
        <v>382</v>
      </c>
      <c r="C43" s="159"/>
      <c r="D43" s="159"/>
      <c r="E43" s="159"/>
      <c r="F43" s="160"/>
      <c r="M43"/>
    </row>
    <row r="44" spans="1:13" x14ac:dyDescent="0.3">
      <c r="A44"/>
      <c r="B44" s="1">
        <v>1</v>
      </c>
      <c r="C44" s="7" t="s">
        <v>5</v>
      </c>
      <c r="D44" s="1">
        <v>14</v>
      </c>
      <c r="E44" s="1">
        <v>4</v>
      </c>
      <c r="F44" s="1">
        <f>D44*E44</f>
        <v>56</v>
      </c>
      <c r="M44"/>
    </row>
    <row r="45" spans="1:13" x14ac:dyDescent="0.3">
      <c r="A45"/>
      <c r="B45" s="1">
        <v>2</v>
      </c>
      <c r="C45" s="7" t="s">
        <v>9</v>
      </c>
      <c r="D45" s="1">
        <v>14</v>
      </c>
      <c r="E45" s="1">
        <v>2</v>
      </c>
      <c r="F45" s="1">
        <f t="shared" ref="F45:F47" si="4">D45*E45</f>
        <v>28</v>
      </c>
      <c r="M45"/>
    </row>
    <row r="46" spans="1:13" x14ac:dyDescent="0.3">
      <c r="A46"/>
      <c r="B46" s="1">
        <v>3</v>
      </c>
      <c r="C46" s="7" t="s">
        <v>4</v>
      </c>
      <c r="D46" s="1">
        <v>8</v>
      </c>
      <c r="E46" s="1">
        <v>1</v>
      </c>
      <c r="F46" s="1">
        <f t="shared" si="4"/>
        <v>8</v>
      </c>
      <c r="M46"/>
    </row>
    <row r="47" spans="1:13" x14ac:dyDescent="0.3">
      <c r="A47"/>
      <c r="B47" s="1">
        <v>4</v>
      </c>
      <c r="C47" s="7" t="s">
        <v>16</v>
      </c>
      <c r="D47" s="1">
        <v>4</v>
      </c>
      <c r="E47" s="1">
        <v>4</v>
      </c>
      <c r="F47" s="1">
        <f t="shared" si="4"/>
        <v>16</v>
      </c>
      <c r="M47"/>
    </row>
    <row r="48" spans="1:13" x14ac:dyDescent="0.3">
      <c r="A48"/>
      <c r="B48" s="158" t="s">
        <v>388</v>
      </c>
      <c r="C48" s="159"/>
      <c r="D48" s="159"/>
      <c r="E48" s="159"/>
      <c r="F48" s="160"/>
      <c r="M48"/>
    </row>
    <row r="49" spans="1:13" x14ac:dyDescent="0.3">
      <c r="A49"/>
      <c r="B49" s="158" t="s">
        <v>673</v>
      </c>
      <c r="C49" s="159"/>
      <c r="D49" s="159"/>
      <c r="E49" s="159"/>
      <c r="F49" s="160"/>
      <c r="M49"/>
    </row>
    <row r="50" spans="1:13" x14ac:dyDescent="0.3">
      <c r="A50"/>
      <c r="B50" s="1">
        <v>1</v>
      </c>
      <c r="C50" s="52" t="s">
        <v>630</v>
      </c>
      <c r="D50" s="1">
        <v>7</v>
      </c>
      <c r="E50" s="1">
        <v>4</v>
      </c>
      <c r="F50" s="1">
        <f>D50*E50</f>
        <v>28</v>
      </c>
      <c r="M50"/>
    </row>
    <row r="51" spans="1:13" x14ac:dyDescent="0.3">
      <c r="A51"/>
      <c r="B51" s="1">
        <v>2</v>
      </c>
      <c r="C51" s="52" t="s">
        <v>670</v>
      </c>
      <c r="D51" s="1">
        <v>2</v>
      </c>
      <c r="E51" s="1">
        <v>8</v>
      </c>
      <c r="F51" s="1">
        <f t="shared" ref="F51:F54" si="5">D51*E51</f>
        <v>16</v>
      </c>
      <c r="M51"/>
    </row>
    <row r="52" spans="1:13" x14ac:dyDescent="0.3">
      <c r="A52"/>
      <c r="B52" s="1">
        <v>3</v>
      </c>
      <c r="C52" s="52" t="s">
        <v>631</v>
      </c>
      <c r="D52" s="1">
        <v>5</v>
      </c>
      <c r="E52" s="26">
        <v>1</v>
      </c>
      <c r="F52" s="1">
        <f t="shared" si="5"/>
        <v>5</v>
      </c>
      <c r="M52"/>
    </row>
    <row r="53" spans="1:13" x14ac:dyDescent="0.3">
      <c r="A53"/>
      <c r="B53" s="1">
        <v>4</v>
      </c>
      <c r="C53" s="52" t="s">
        <v>671</v>
      </c>
      <c r="D53" s="1">
        <v>2</v>
      </c>
      <c r="E53" s="1">
        <v>4</v>
      </c>
      <c r="F53" s="1">
        <f t="shared" si="5"/>
        <v>8</v>
      </c>
      <c r="M53"/>
    </row>
    <row r="54" spans="1:13" x14ac:dyDescent="0.3">
      <c r="A54"/>
      <c r="B54" s="1">
        <v>5</v>
      </c>
      <c r="C54" s="52" t="s">
        <v>15</v>
      </c>
      <c r="D54" s="1">
        <v>2</v>
      </c>
      <c r="E54" s="1">
        <v>2</v>
      </c>
      <c r="F54" s="1">
        <f t="shared" si="5"/>
        <v>4</v>
      </c>
      <c r="M54"/>
    </row>
    <row r="55" spans="1:13" x14ac:dyDescent="0.3">
      <c r="A55"/>
      <c r="B55" s="158" t="s">
        <v>652</v>
      </c>
      <c r="C55" s="159"/>
      <c r="D55" s="159"/>
      <c r="E55" s="159"/>
      <c r="F55" s="160"/>
      <c r="M55"/>
    </row>
    <row r="56" spans="1:13" x14ac:dyDescent="0.3">
      <c r="A56"/>
      <c r="B56" s="1">
        <v>1</v>
      </c>
      <c r="C56" s="7" t="s">
        <v>5</v>
      </c>
      <c r="D56" s="1">
        <v>5</v>
      </c>
      <c r="E56" s="1">
        <v>4</v>
      </c>
      <c r="F56" s="1">
        <f>D56*E56</f>
        <v>20</v>
      </c>
      <c r="M56"/>
    </row>
    <row r="57" spans="1:13" x14ac:dyDescent="0.3">
      <c r="A57"/>
      <c r="B57" s="1">
        <v>2</v>
      </c>
      <c r="C57" s="7" t="s">
        <v>24</v>
      </c>
      <c r="D57" s="1">
        <v>2</v>
      </c>
      <c r="E57" s="1">
        <v>8</v>
      </c>
      <c r="F57" s="1">
        <f t="shared" ref="F57:F62" si="6">D57*E57</f>
        <v>16</v>
      </c>
      <c r="M57"/>
    </row>
    <row r="58" spans="1:13" x14ac:dyDescent="0.3">
      <c r="A58"/>
      <c r="B58" s="1">
        <v>3</v>
      </c>
      <c r="C58" s="7" t="s">
        <v>9</v>
      </c>
      <c r="D58" s="1">
        <v>11</v>
      </c>
      <c r="E58" s="1">
        <v>2</v>
      </c>
      <c r="F58" s="1">
        <f t="shared" si="6"/>
        <v>22</v>
      </c>
      <c r="M58"/>
    </row>
    <row r="59" spans="1:13" x14ac:dyDescent="0.3">
      <c r="A59"/>
      <c r="B59" s="1">
        <v>4</v>
      </c>
      <c r="C59" s="7" t="s">
        <v>4</v>
      </c>
      <c r="D59" s="1">
        <v>6</v>
      </c>
      <c r="E59" s="1">
        <v>1</v>
      </c>
      <c r="F59" s="1">
        <f t="shared" si="6"/>
        <v>6</v>
      </c>
      <c r="M59"/>
    </row>
    <row r="60" spans="1:13" x14ac:dyDescent="0.3">
      <c r="A60"/>
      <c r="B60" s="1">
        <v>5</v>
      </c>
      <c r="C60" s="7" t="s">
        <v>16</v>
      </c>
      <c r="D60" s="11">
        <v>1</v>
      </c>
      <c r="E60" s="11">
        <v>4</v>
      </c>
      <c r="F60" s="1">
        <f t="shared" si="6"/>
        <v>4</v>
      </c>
      <c r="M60"/>
    </row>
    <row r="61" spans="1:13" x14ac:dyDescent="0.3">
      <c r="A61"/>
      <c r="B61" s="1">
        <v>6</v>
      </c>
      <c r="C61" s="7" t="s">
        <v>3</v>
      </c>
      <c r="D61" s="11">
        <v>1</v>
      </c>
      <c r="E61" s="11">
        <v>2</v>
      </c>
      <c r="F61" s="1">
        <f t="shared" si="6"/>
        <v>2</v>
      </c>
      <c r="M61"/>
    </row>
    <row r="62" spans="1:13" x14ac:dyDescent="0.3">
      <c r="A62"/>
      <c r="B62" s="1">
        <v>7</v>
      </c>
      <c r="C62" s="7" t="s">
        <v>21</v>
      </c>
      <c r="D62" s="11">
        <v>1</v>
      </c>
      <c r="E62" s="11">
        <v>3</v>
      </c>
      <c r="F62" s="1">
        <f t="shared" si="6"/>
        <v>3</v>
      </c>
      <c r="M62"/>
    </row>
    <row r="63" spans="1:13" x14ac:dyDescent="0.3">
      <c r="A63"/>
      <c r="B63" s="158" t="s">
        <v>387</v>
      </c>
      <c r="C63" s="159"/>
      <c r="D63" s="159"/>
      <c r="E63" s="159"/>
      <c r="F63" s="160"/>
      <c r="M63"/>
    </row>
    <row r="64" spans="1:13" x14ac:dyDescent="0.3">
      <c r="A64"/>
      <c r="B64" s="158" t="s">
        <v>674</v>
      </c>
      <c r="C64" s="159"/>
      <c r="D64" s="159"/>
      <c r="E64" s="159"/>
      <c r="F64" s="160"/>
      <c r="M64"/>
    </row>
    <row r="65" spans="1:17" x14ac:dyDescent="0.3">
      <c r="A65"/>
      <c r="B65" s="1">
        <v>1</v>
      </c>
      <c r="C65" s="7" t="s">
        <v>15</v>
      </c>
      <c r="D65" s="1">
        <v>6</v>
      </c>
      <c r="E65" s="1">
        <v>2</v>
      </c>
      <c r="F65" s="1">
        <f>D65*E65</f>
        <v>12</v>
      </c>
      <c r="M65"/>
    </row>
    <row r="66" spans="1:17" x14ac:dyDescent="0.3">
      <c r="A66"/>
      <c r="B66" s="82"/>
      <c r="C66" s="143"/>
      <c r="D66" s="143"/>
      <c r="E66" s="143"/>
      <c r="F66" s="143"/>
      <c r="M66"/>
    </row>
    <row r="67" spans="1:17" x14ac:dyDescent="0.3">
      <c r="A67"/>
      <c r="B67" s="82"/>
      <c r="C67" s="143"/>
      <c r="D67" s="143"/>
      <c r="E67" s="143"/>
      <c r="F67" s="143"/>
      <c r="M67"/>
    </row>
    <row r="68" spans="1:17" x14ac:dyDescent="0.3">
      <c r="A68"/>
      <c r="B68" s="82"/>
      <c r="C68" s="143"/>
      <c r="D68" s="143"/>
      <c r="E68" s="143"/>
      <c r="F68" s="143"/>
      <c r="G68" s="82"/>
      <c r="M68"/>
    </row>
    <row r="69" spans="1:17" x14ac:dyDescent="0.3">
      <c r="A69"/>
      <c r="B69" s="35" t="s">
        <v>653</v>
      </c>
      <c r="C69" s="24" t="s">
        <v>654</v>
      </c>
      <c r="D69" s="36" t="s">
        <v>363</v>
      </c>
      <c r="E69" s="143"/>
      <c r="F69" s="143"/>
      <c r="G69" s="82"/>
      <c r="M69"/>
    </row>
    <row r="70" spans="1:17" x14ac:dyDescent="0.3">
      <c r="A70"/>
      <c r="B70" s="35">
        <f>SUM(D18:D25,D27:D31,D33:D36,D38:D42,D44:D47,D50:D54,D56:D62,D65)</f>
        <v>381</v>
      </c>
      <c r="C70" s="86">
        <f>SUM(F18:F25,F27:F31,F33:F36,F38:F42,F44:F47,F50:F54,F56:F62,F65)</f>
        <v>864</v>
      </c>
      <c r="D70" s="11">
        <v>710</v>
      </c>
      <c r="E70" s="143"/>
      <c r="F70" s="143"/>
      <c r="G70" s="82"/>
      <c r="M70"/>
    </row>
    <row r="71" spans="1:17" x14ac:dyDescent="0.3">
      <c r="A71"/>
      <c r="M71"/>
    </row>
    <row r="72" spans="1:17" ht="43.8" customHeight="1" x14ac:dyDescent="0.3">
      <c r="A72"/>
      <c r="B72" s="133" t="s">
        <v>611</v>
      </c>
      <c r="C72" s="135">
        <v>30</v>
      </c>
      <c r="D72" s="1" t="s">
        <v>177</v>
      </c>
    </row>
    <row r="73" spans="1:17" x14ac:dyDescent="0.3">
      <c r="A73"/>
      <c r="B73" s="32" t="s">
        <v>239</v>
      </c>
      <c r="C73" s="86">
        <f>D70</f>
        <v>710</v>
      </c>
      <c r="D73" s="11" t="s">
        <v>236</v>
      </c>
    </row>
    <row r="74" spans="1:17" x14ac:dyDescent="0.3">
      <c r="A74"/>
      <c r="B74" s="32" t="s">
        <v>612</v>
      </c>
      <c r="C74" s="86">
        <f>C73*C72</f>
        <v>21300</v>
      </c>
      <c r="D74" s="11" t="s">
        <v>237</v>
      </c>
    </row>
    <row r="75" spans="1:17" x14ac:dyDescent="0.3">
      <c r="A75"/>
      <c r="B75" s="32" t="s">
        <v>612</v>
      </c>
      <c r="C75" s="86">
        <f>C74/1000</f>
        <v>21.3</v>
      </c>
      <c r="D75" s="11" t="s">
        <v>134</v>
      </c>
    </row>
    <row r="76" spans="1:17" x14ac:dyDescent="0.3">
      <c r="A76"/>
      <c r="B76" s="32" t="s">
        <v>613</v>
      </c>
      <c r="C76" s="86">
        <f>20/100</f>
        <v>0.2</v>
      </c>
      <c r="D76" s="11" t="s">
        <v>196</v>
      </c>
    </row>
    <row r="77" spans="1:17" x14ac:dyDescent="0.3">
      <c r="A77"/>
      <c r="B77" s="32" t="s">
        <v>614</v>
      </c>
      <c r="C77" s="135">
        <f>C75+C76</f>
        <v>21.5</v>
      </c>
      <c r="D77" s="11" t="s">
        <v>134</v>
      </c>
    </row>
    <row r="78" spans="1:17" s="33" customFormat="1" x14ac:dyDescent="0.3">
      <c r="A78"/>
      <c r="B78"/>
      <c r="C78" s="132"/>
      <c r="D78"/>
      <c r="E78"/>
      <c r="F78"/>
      <c r="O78"/>
      <c r="Q78"/>
    </row>
    <row r="79" spans="1:17" x14ac:dyDescent="0.3">
      <c r="A79"/>
      <c r="B79" s="189" t="s">
        <v>615</v>
      </c>
      <c r="C79" s="189"/>
      <c r="D79" s="189"/>
      <c r="E79" s="201" t="s">
        <v>616</v>
      </c>
    </row>
    <row r="80" spans="1:17" x14ac:dyDescent="0.3">
      <c r="A80"/>
      <c r="B80" s="36" t="s">
        <v>617</v>
      </c>
      <c r="C80" s="24" t="s">
        <v>618</v>
      </c>
      <c r="D80" s="36" t="s">
        <v>619</v>
      </c>
      <c r="E80" s="201"/>
    </row>
    <row r="81" spans="1:17" x14ac:dyDescent="0.3">
      <c r="A81"/>
      <c r="B81" s="136">
        <v>4</v>
      </c>
      <c r="C81" s="137">
        <f>(E81)/(B81*D81)</f>
        <v>4.479166666666667</v>
      </c>
      <c r="D81" s="136">
        <v>1.2</v>
      </c>
      <c r="E81" s="136">
        <f>C77</f>
        <v>21.5</v>
      </c>
    </row>
    <row r="82" spans="1:17" s="33" customFormat="1" x14ac:dyDescent="0.3">
      <c r="A82"/>
      <c r="B82"/>
      <c r="C82" s="132"/>
      <c r="D82"/>
      <c r="E82"/>
      <c r="F82"/>
      <c r="Q82"/>
    </row>
    <row r="83" spans="1:17" ht="27.6" customHeight="1" x14ac:dyDescent="0.3">
      <c r="A83"/>
      <c r="B83" s="138" t="s">
        <v>620</v>
      </c>
      <c r="C83" s="135">
        <f>C73*2</f>
        <v>1420</v>
      </c>
      <c r="D83" s="1" t="s">
        <v>236</v>
      </c>
      <c r="E83" s="26" t="s">
        <v>621</v>
      </c>
      <c r="F83" s="137">
        <v>1420</v>
      </c>
      <c r="G83" s="1" t="s">
        <v>196</v>
      </c>
    </row>
    <row r="84" spans="1:17" x14ac:dyDescent="0.3">
      <c r="A84"/>
      <c r="B84" s="35" t="s">
        <v>622</v>
      </c>
      <c r="C84" s="139">
        <f>C100+C111+D113+C118</f>
        <v>11.323145241491332</v>
      </c>
      <c r="D84" s="1" t="s">
        <v>196</v>
      </c>
      <c r="E84" s="26" t="s">
        <v>621</v>
      </c>
      <c r="F84" s="137">
        <v>15</v>
      </c>
      <c r="G84" s="1" t="s">
        <v>196</v>
      </c>
    </row>
    <row r="85" spans="1:17" x14ac:dyDescent="0.3">
      <c r="A85"/>
      <c r="B85" s="36" t="s">
        <v>623</v>
      </c>
      <c r="C85" s="151" t="s">
        <v>624</v>
      </c>
      <c r="D85" s="151"/>
    </row>
    <row r="86" spans="1:17" x14ac:dyDescent="0.3">
      <c r="A86"/>
    </row>
    <row r="87" spans="1:17" x14ac:dyDescent="0.3">
      <c r="A87"/>
      <c r="B87" s="11" t="s">
        <v>625</v>
      </c>
      <c r="C87" s="86">
        <f>C83</f>
        <v>1420</v>
      </c>
      <c r="D87" s="11" t="s">
        <v>236</v>
      </c>
    </row>
    <row r="88" spans="1:17" x14ac:dyDescent="0.3">
      <c r="A88"/>
      <c r="B88" s="11"/>
      <c r="C88" s="86">
        <f>(C87/1000)/60</f>
        <v>2.3666666666666666E-2</v>
      </c>
      <c r="D88" s="11" t="s">
        <v>194</v>
      </c>
    </row>
    <row r="89" spans="1:17" x14ac:dyDescent="0.3">
      <c r="A89"/>
      <c r="B89" s="11" t="s">
        <v>199</v>
      </c>
      <c r="C89" s="86">
        <v>2</v>
      </c>
      <c r="D89" s="11" t="s">
        <v>198</v>
      </c>
    </row>
    <row r="90" spans="1:17" s="33" customFormat="1" x14ac:dyDescent="0.3">
      <c r="A90"/>
      <c r="B90" s="11" t="s">
        <v>126</v>
      </c>
      <c r="C90" s="86">
        <f>SQRT((C88*4)/(C89*3.14))</f>
        <v>0.12277748156224974</v>
      </c>
      <c r="D90" s="11" t="s">
        <v>196</v>
      </c>
      <c r="E90"/>
      <c r="F90"/>
      <c r="Q90"/>
    </row>
    <row r="91" spans="1:17" x14ac:dyDescent="0.3">
      <c r="A91"/>
      <c r="B91" s="11"/>
      <c r="C91" s="86">
        <f>C90*1000</f>
        <v>122.77748156224975</v>
      </c>
      <c r="D91" s="11" t="s">
        <v>197</v>
      </c>
    </row>
    <row r="92" spans="1:17" x14ac:dyDescent="0.3">
      <c r="A92"/>
      <c r="B92" s="11" t="s">
        <v>235</v>
      </c>
      <c r="C92" s="135">
        <v>125</v>
      </c>
      <c r="D92" s="11" t="s">
        <v>197</v>
      </c>
    </row>
    <row r="93" spans="1:17" x14ac:dyDescent="0.3">
      <c r="A93"/>
      <c r="B93" s="26"/>
      <c r="C93" s="140"/>
      <c r="D93" s="26"/>
      <c r="G93" s="140"/>
      <c r="H93" s="5"/>
      <c r="I93" s="5"/>
      <c r="J93" s="5"/>
    </row>
    <row r="94" spans="1:17" x14ac:dyDescent="0.3">
      <c r="A94"/>
      <c r="B94" s="199" t="s">
        <v>242</v>
      </c>
      <c r="C94" s="199"/>
      <c r="D94" s="199"/>
      <c r="E94" s="199"/>
      <c r="G94" s="140"/>
      <c r="H94" s="5"/>
      <c r="I94" s="5"/>
      <c r="J94" s="5"/>
    </row>
    <row r="95" spans="1:17" x14ac:dyDescent="0.3">
      <c r="A95"/>
      <c r="B95" s="176" t="s">
        <v>243</v>
      </c>
      <c r="C95" s="176"/>
      <c r="D95" s="176"/>
      <c r="E95" s="176"/>
      <c r="G95" s="140"/>
      <c r="H95" s="5"/>
      <c r="I95" s="5"/>
      <c r="J95" s="5"/>
    </row>
    <row r="96" spans="1:17" x14ac:dyDescent="0.3">
      <c r="A96"/>
      <c r="B96" s="11" t="s">
        <v>239</v>
      </c>
      <c r="C96" s="151">
        <f>C88</f>
        <v>2.3666666666666666E-2</v>
      </c>
      <c r="D96" s="151"/>
      <c r="E96" s="11" t="s">
        <v>194</v>
      </c>
      <c r="G96" s="140"/>
      <c r="H96" s="5"/>
      <c r="I96" s="5"/>
      <c r="J96" s="5"/>
    </row>
    <row r="97" spans="1:10" x14ac:dyDescent="0.3">
      <c r="A97"/>
      <c r="B97" s="1" t="s">
        <v>125</v>
      </c>
      <c r="C97" s="176">
        <v>150</v>
      </c>
      <c r="D97" s="176"/>
      <c r="E97" s="1"/>
      <c r="G97" s="140"/>
      <c r="H97" s="5"/>
      <c r="I97" s="5"/>
      <c r="J97" s="5"/>
    </row>
    <row r="98" spans="1:10" x14ac:dyDescent="0.3">
      <c r="A98"/>
      <c r="B98" s="11" t="s">
        <v>126</v>
      </c>
      <c r="C98" s="151">
        <f>C90</f>
        <v>0.12277748156224974</v>
      </c>
      <c r="D98" s="151"/>
      <c r="E98" s="11" t="s">
        <v>196</v>
      </c>
      <c r="G98" s="140"/>
      <c r="H98" s="5"/>
      <c r="I98" s="5"/>
      <c r="J98" s="5"/>
    </row>
    <row r="99" spans="1:10" x14ac:dyDescent="0.3">
      <c r="A99"/>
      <c r="B99" s="11" t="s">
        <v>237</v>
      </c>
      <c r="C99" s="225">
        <v>190</v>
      </c>
      <c r="D99" s="225"/>
      <c r="E99" s="11" t="s">
        <v>196</v>
      </c>
      <c r="G99" s="140"/>
      <c r="H99" s="5"/>
      <c r="I99" s="5"/>
      <c r="J99" s="5"/>
    </row>
    <row r="100" spans="1:10" x14ac:dyDescent="0.3">
      <c r="A100"/>
      <c r="B100" s="11" t="s">
        <v>240</v>
      </c>
      <c r="C100" s="203">
        <f>(((10.67)*(C96^1.85))/((C97^1.85)*(C98^4.87)))*C99</f>
        <v>5.1202910111141664</v>
      </c>
      <c r="D100" s="203"/>
      <c r="E100" s="11" t="s">
        <v>196</v>
      </c>
      <c r="G100" s="140"/>
      <c r="H100" s="5"/>
      <c r="I100" s="5"/>
      <c r="J100" s="5"/>
    </row>
    <row r="101" spans="1:10" x14ac:dyDescent="0.3">
      <c r="A101"/>
      <c r="B101" s="151" t="s">
        <v>244</v>
      </c>
      <c r="C101" s="151"/>
      <c r="D101" s="151"/>
      <c r="E101" s="151"/>
      <c r="G101" s="140"/>
      <c r="H101" s="5"/>
      <c r="I101" s="5"/>
      <c r="J101" s="5"/>
    </row>
    <row r="102" spans="1:10" x14ac:dyDescent="0.3">
      <c r="A102"/>
      <c r="B102" s="11" t="s">
        <v>245</v>
      </c>
      <c r="C102" s="11" t="s">
        <v>246</v>
      </c>
      <c r="D102" s="11" t="s">
        <v>247</v>
      </c>
      <c r="E102" s="11" t="s">
        <v>248</v>
      </c>
      <c r="G102" s="140"/>
      <c r="H102" s="5"/>
      <c r="I102" s="5"/>
      <c r="J102" s="5"/>
    </row>
    <row r="103" spans="1:10" x14ac:dyDescent="0.3">
      <c r="A103"/>
      <c r="B103" s="11" t="s">
        <v>249</v>
      </c>
      <c r="C103" s="136">
        <v>7</v>
      </c>
      <c r="D103" s="11">
        <v>0.7</v>
      </c>
      <c r="E103" s="11">
        <f>C103*D103</f>
        <v>4.8999999999999995</v>
      </c>
      <c r="G103" s="140"/>
      <c r="H103" s="5"/>
      <c r="I103" s="5"/>
      <c r="J103" s="5"/>
    </row>
    <row r="104" spans="1:10" x14ac:dyDescent="0.3">
      <c r="A104"/>
      <c r="B104" s="11"/>
      <c r="C104" s="11"/>
      <c r="D104" s="11"/>
      <c r="E104" s="11"/>
      <c r="G104" s="140"/>
      <c r="H104" s="5"/>
      <c r="I104" s="5"/>
      <c r="J104" s="5"/>
    </row>
    <row r="105" spans="1:10" x14ac:dyDescent="0.3">
      <c r="A105"/>
      <c r="B105" s="151" t="s">
        <v>250</v>
      </c>
      <c r="C105" s="151"/>
      <c r="D105" s="151"/>
      <c r="E105" s="11">
        <f>SUM(E103:E104)</f>
        <v>4.8999999999999995</v>
      </c>
      <c r="G105" s="140"/>
      <c r="H105" s="5"/>
      <c r="I105" s="5"/>
      <c r="J105" s="5"/>
    </row>
    <row r="106" spans="1:10" x14ac:dyDescent="0.3">
      <c r="A106"/>
      <c r="B106" s="151"/>
      <c r="C106" s="151"/>
      <c r="D106" s="151"/>
      <c r="E106" s="151"/>
      <c r="G106" s="140"/>
      <c r="H106" s="5"/>
      <c r="I106" s="5"/>
      <c r="J106" s="5"/>
    </row>
    <row r="107" spans="1:10" x14ac:dyDescent="0.3">
      <c r="A107"/>
      <c r="B107" s="11" t="s">
        <v>199</v>
      </c>
      <c r="C107" s="176">
        <f>C89</f>
        <v>2</v>
      </c>
      <c r="D107" s="176"/>
      <c r="E107" s="11" t="s">
        <v>198</v>
      </c>
      <c r="G107" s="140"/>
      <c r="H107" s="5"/>
      <c r="I107" s="5"/>
      <c r="J107" s="5"/>
    </row>
    <row r="108" spans="1:10" x14ac:dyDescent="0.3">
      <c r="A108"/>
      <c r="B108" s="11" t="s">
        <v>251</v>
      </c>
      <c r="C108" s="176">
        <f>C107^2</f>
        <v>4</v>
      </c>
      <c r="D108" s="176"/>
      <c r="E108" s="11" t="s">
        <v>252</v>
      </c>
      <c r="G108" s="140"/>
      <c r="H108" s="5"/>
      <c r="I108" s="5"/>
      <c r="J108" s="5"/>
    </row>
    <row r="109" spans="1:10" x14ac:dyDescent="0.3">
      <c r="A109"/>
      <c r="B109" s="11" t="s">
        <v>253</v>
      </c>
      <c r="C109" s="176">
        <v>9.81</v>
      </c>
      <c r="D109" s="176"/>
      <c r="E109" s="11" t="s">
        <v>254</v>
      </c>
      <c r="G109" s="140"/>
      <c r="H109" s="5"/>
      <c r="I109" s="5"/>
      <c r="J109" s="5"/>
    </row>
    <row r="110" spans="1:10" x14ac:dyDescent="0.3">
      <c r="A110"/>
      <c r="B110" s="11" t="s">
        <v>255</v>
      </c>
      <c r="C110" s="151">
        <f>2*C109</f>
        <v>19.62</v>
      </c>
      <c r="D110" s="151"/>
      <c r="E110" s="11" t="s">
        <v>254</v>
      </c>
      <c r="G110" s="140"/>
      <c r="H110" s="5"/>
      <c r="I110" s="5"/>
      <c r="J110" s="5"/>
    </row>
    <row r="111" spans="1:10" x14ac:dyDescent="0.3">
      <c r="A111"/>
      <c r="B111" s="11" t="s">
        <v>240</v>
      </c>
      <c r="C111" s="198">
        <f>(E105)*(C108/C110)</f>
        <v>0.99898063200815479</v>
      </c>
      <c r="D111" s="198"/>
      <c r="E111" s="11" t="s">
        <v>196</v>
      </c>
      <c r="G111" s="140"/>
      <c r="H111" s="5"/>
      <c r="I111" s="5"/>
      <c r="J111" s="5"/>
    </row>
    <row r="112" spans="1:10" x14ac:dyDescent="0.3">
      <c r="A112"/>
      <c r="B112" s="199" t="s">
        <v>256</v>
      </c>
      <c r="C112" s="199"/>
      <c r="D112" s="199"/>
      <c r="E112" s="199"/>
      <c r="G112" s="140"/>
      <c r="H112" s="5"/>
      <c r="I112" s="5"/>
      <c r="J112" s="5"/>
    </row>
    <row r="113" spans="1:10" x14ac:dyDescent="0.3">
      <c r="A113"/>
      <c r="B113" s="151" t="s">
        <v>257</v>
      </c>
      <c r="C113" s="151"/>
      <c r="D113" s="11">
        <f>5000/1000</f>
        <v>5</v>
      </c>
      <c r="E113" s="11" t="s">
        <v>196</v>
      </c>
      <c r="G113" s="140"/>
      <c r="H113" s="5"/>
      <c r="I113" s="5"/>
      <c r="J113" s="5"/>
    </row>
    <row r="114" spans="1:10" x14ac:dyDescent="0.3">
      <c r="A114"/>
      <c r="B114" s="201" t="s">
        <v>258</v>
      </c>
      <c r="C114" s="201"/>
      <c r="D114" s="201"/>
      <c r="E114" s="201"/>
      <c r="G114" s="140"/>
      <c r="H114" s="5"/>
      <c r="I114" s="5"/>
      <c r="J114" s="5"/>
    </row>
    <row r="115" spans="1:10" x14ac:dyDescent="0.3">
      <c r="A115"/>
      <c r="B115" s="11" t="s">
        <v>199</v>
      </c>
      <c r="C115" s="11">
        <f>C89</f>
        <v>2</v>
      </c>
      <c r="D115" s="151" t="s">
        <v>198</v>
      </c>
      <c r="E115" s="151"/>
      <c r="G115" s="140"/>
      <c r="H115" s="5"/>
      <c r="I115" s="5"/>
      <c r="J115" s="5"/>
    </row>
    <row r="116" spans="1:10" x14ac:dyDescent="0.3">
      <c r="A116"/>
      <c r="B116" s="11" t="s">
        <v>251</v>
      </c>
      <c r="C116" s="11">
        <f>C115^2</f>
        <v>4</v>
      </c>
      <c r="D116" s="151" t="s">
        <v>252</v>
      </c>
      <c r="E116" s="151"/>
      <c r="G116" s="140"/>
      <c r="H116" s="5"/>
      <c r="I116" s="5"/>
      <c r="J116" s="5"/>
    </row>
    <row r="117" spans="1:10" x14ac:dyDescent="0.3">
      <c r="A117"/>
      <c r="B117" s="11" t="s">
        <v>253</v>
      </c>
      <c r="C117" s="11">
        <v>9.81</v>
      </c>
      <c r="D117" s="151" t="s">
        <v>254</v>
      </c>
      <c r="E117" s="151"/>
      <c r="G117" s="140"/>
      <c r="H117" s="5"/>
      <c r="I117" s="5"/>
      <c r="J117" s="5"/>
    </row>
    <row r="118" spans="1:10" ht="28.8" x14ac:dyDescent="0.3">
      <c r="A118"/>
      <c r="B118" s="86" t="s">
        <v>258</v>
      </c>
      <c r="C118" s="141">
        <f>C116/(2*C117)</f>
        <v>0.2038735983690112</v>
      </c>
      <c r="D118" s="231" t="s">
        <v>196</v>
      </c>
      <c r="E118" s="232"/>
      <c r="G118" s="140"/>
      <c r="H118" s="5"/>
      <c r="I118" s="5"/>
      <c r="J118" s="5"/>
    </row>
    <row r="119" spans="1:10" x14ac:dyDescent="0.3">
      <c r="A119"/>
      <c r="B119" s="140"/>
      <c r="C119" s="146"/>
      <c r="D119" s="5"/>
      <c r="E119" s="5"/>
      <c r="G119" s="140"/>
      <c r="H119" s="5"/>
      <c r="I119" s="5"/>
      <c r="J119" s="5"/>
    </row>
    <row r="120" spans="1:10" x14ac:dyDescent="0.3">
      <c r="A120"/>
      <c r="B120" s="140"/>
      <c r="C120" s="146"/>
      <c r="D120" s="5"/>
      <c r="E120" s="5"/>
      <c r="G120" s="140"/>
      <c r="H120" s="5"/>
      <c r="I120" s="5"/>
      <c r="J120" s="5"/>
    </row>
    <row r="121" spans="1:10" x14ac:dyDescent="0.3">
      <c r="A121"/>
      <c r="B121" s="140"/>
      <c r="C121" s="146"/>
      <c r="D121" s="5"/>
      <c r="E121" s="5"/>
      <c r="G121" s="140"/>
      <c r="H121" s="5"/>
      <c r="I121" s="5"/>
      <c r="J121" s="5"/>
    </row>
    <row r="122" spans="1:10" x14ac:dyDescent="0.3">
      <c r="A122"/>
      <c r="B122" s="140"/>
      <c r="C122" s="146"/>
      <c r="D122" s="5"/>
      <c r="E122" s="5"/>
      <c r="G122" s="140"/>
      <c r="H122" s="5"/>
      <c r="I122" s="5"/>
      <c r="J122" s="5"/>
    </row>
    <row r="123" spans="1:10" x14ac:dyDescent="0.3">
      <c r="A123"/>
      <c r="B123" s="140"/>
      <c r="C123" s="146"/>
      <c r="D123" s="5"/>
      <c r="E123" s="5"/>
      <c r="G123" s="140"/>
      <c r="H123" s="5"/>
      <c r="I123" s="5"/>
      <c r="J123" s="5"/>
    </row>
    <row r="124" spans="1:10" x14ac:dyDescent="0.3">
      <c r="A124"/>
      <c r="B124" s="140"/>
      <c r="C124" s="146"/>
      <c r="D124" s="5"/>
      <c r="E124" s="5"/>
      <c r="G124" s="140"/>
      <c r="H124" s="5"/>
      <c r="I124" s="5"/>
      <c r="J124" s="5"/>
    </row>
    <row r="125" spans="1:10" x14ac:dyDescent="0.3">
      <c r="A125"/>
      <c r="B125" s="140"/>
      <c r="C125" s="146"/>
      <c r="D125" s="5"/>
      <c r="E125" s="5"/>
      <c r="G125" s="140"/>
      <c r="H125" s="5"/>
      <c r="I125" s="5"/>
      <c r="J125" s="5"/>
    </row>
    <row r="126" spans="1:10" x14ac:dyDescent="0.3">
      <c r="A126"/>
      <c r="B126" s="140"/>
      <c r="C126" s="146"/>
      <c r="D126" s="5"/>
      <c r="E126" s="5"/>
      <c r="G126" s="140"/>
      <c r="H126" s="5"/>
      <c r="I126" s="5"/>
      <c r="J126" s="5"/>
    </row>
    <row r="127" spans="1:10" x14ac:dyDescent="0.3">
      <c r="A127"/>
      <c r="B127" s="132"/>
      <c r="C127" s="142"/>
      <c r="D127" s="5"/>
      <c r="E127" s="5"/>
      <c r="G127" s="140"/>
      <c r="H127" s="5"/>
      <c r="I127" s="5"/>
      <c r="J127" s="5"/>
    </row>
    <row r="128" spans="1:10" x14ac:dyDescent="0.3">
      <c r="A128"/>
      <c r="B128" s="180" t="s">
        <v>675</v>
      </c>
      <c r="C128" s="180"/>
      <c r="D128" s="180"/>
      <c r="E128" s="180"/>
    </row>
    <row r="129" spans="1:17" x14ac:dyDescent="0.3">
      <c r="A129"/>
      <c r="B129" s="131" t="s">
        <v>676</v>
      </c>
      <c r="C129" s="126"/>
      <c r="D129" s="126"/>
      <c r="E129" s="126"/>
    </row>
    <row r="130" spans="1:17" x14ac:dyDescent="0.3">
      <c r="A130"/>
      <c r="B130" s="78" t="s">
        <v>677</v>
      </c>
      <c r="C130" s="126"/>
      <c r="D130" s="126"/>
      <c r="E130" s="126"/>
    </row>
    <row r="131" spans="1:17" x14ac:dyDescent="0.3">
      <c r="A131"/>
      <c r="B131" s="131" t="s">
        <v>678</v>
      </c>
      <c r="C131" s="126"/>
      <c r="D131" s="126"/>
      <c r="E131" s="126"/>
    </row>
    <row r="132" spans="1:17" x14ac:dyDescent="0.3">
      <c r="A132"/>
      <c r="B132" s="82"/>
      <c r="C132" s="143"/>
      <c r="D132" s="5"/>
      <c r="E132" s="5"/>
      <c r="F132" s="5"/>
      <c r="G132" s="5"/>
    </row>
    <row r="133" spans="1:17" s="33" customFormat="1" x14ac:dyDescent="0.3">
      <c r="A133"/>
      <c r="B133" s="199" t="s">
        <v>2</v>
      </c>
      <c r="C133" s="199" t="s">
        <v>629</v>
      </c>
      <c r="D133" s="199" t="s">
        <v>7</v>
      </c>
      <c r="E133" s="199" t="s">
        <v>607</v>
      </c>
      <c r="F133" s="199" t="s">
        <v>608</v>
      </c>
      <c r="G133"/>
      <c r="H133"/>
      <c r="Q133"/>
    </row>
    <row r="134" spans="1:17" x14ac:dyDescent="0.3">
      <c r="A134"/>
      <c r="B134" s="199"/>
      <c r="C134" s="199"/>
      <c r="D134" s="199"/>
      <c r="E134" s="199"/>
      <c r="F134" s="199"/>
    </row>
    <row r="135" spans="1:17" x14ac:dyDescent="0.3">
      <c r="A135"/>
      <c r="B135" s="219" t="s">
        <v>386</v>
      </c>
      <c r="C135" s="219"/>
      <c r="D135" s="219"/>
      <c r="E135" s="219"/>
      <c r="F135" s="219"/>
    </row>
    <row r="136" spans="1:17" x14ac:dyDescent="0.3">
      <c r="A136"/>
      <c r="B136" s="219" t="s">
        <v>377</v>
      </c>
      <c r="C136" s="219"/>
      <c r="D136" s="219"/>
      <c r="E136" s="219"/>
      <c r="F136" s="219"/>
    </row>
    <row r="137" spans="1:17" x14ac:dyDescent="0.3">
      <c r="A137"/>
      <c r="B137" s="1">
        <v>1</v>
      </c>
      <c r="C137" s="133" t="s">
        <v>609</v>
      </c>
      <c r="D137" s="86">
        <v>2</v>
      </c>
      <c r="E137" s="86">
        <v>2</v>
      </c>
      <c r="F137" s="86">
        <f>D137*E137</f>
        <v>4</v>
      </c>
    </row>
    <row r="138" spans="1:17" x14ac:dyDescent="0.3">
      <c r="A138"/>
      <c r="B138" s="1">
        <v>2</v>
      </c>
      <c r="C138" s="133" t="s">
        <v>20</v>
      </c>
      <c r="D138" s="86">
        <v>6</v>
      </c>
      <c r="E138" s="86">
        <v>3</v>
      </c>
      <c r="F138" s="86">
        <f t="shared" ref="F138:F139" si="7">D138*E138</f>
        <v>18</v>
      </c>
    </row>
    <row r="139" spans="1:17" x14ac:dyDescent="0.3">
      <c r="A139"/>
      <c r="B139" s="1">
        <v>3</v>
      </c>
      <c r="C139" s="133" t="s">
        <v>610</v>
      </c>
      <c r="D139" s="86">
        <v>5</v>
      </c>
      <c r="E139" s="86">
        <v>6</v>
      </c>
      <c r="F139" s="86">
        <f t="shared" si="7"/>
        <v>30</v>
      </c>
    </row>
    <row r="140" spans="1:17" x14ac:dyDescent="0.3">
      <c r="A140"/>
      <c r="B140" s="219" t="s">
        <v>378</v>
      </c>
      <c r="C140" s="219"/>
      <c r="D140" s="219"/>
      <c r="E140" s="219"/>
      <c r="F140" s="219"/>
    </row>
    <row r="141" spans="1:17" x14ac:dyDescent="0.3">
      <c r="A141"/>
      <c r="B141" s="1">
        <v>1</v>
      </c>
      <c r="C141" s="133" t="s">
        <v>609</v>
      </c>
      <c r="D141" s="86">
        <v>15</v>
      </c>
      <c r="E141" s="86">
        <v>2</v>
      </c>
      <c r="F141" s="86">
        <f>D141*E141</f>
        <v>30</v>
      </c>
    </row>
    <row r="142" spans="1:17" x14ac:dyDescent="0.3">
      <c r="A142"/>
      <c r="B142" s="11">
        <v>2</v>
      </c>
      <c r="C142" s="133" t="s">
        <v>20</v>
      </c>
      <c r="D142" s="11">
        <v>1</v>
      </c>
      <c r="E142" s="11">
        <v>3</v>
      </c>
      <c r="F142" s="86">
        <f t="shared" ref="F142:F143" si="8">D142*E142</f>
        <v>3</v>
      </c>
    </row>
    <row r="143" spans="1:17" x14ac:dyDescent="0.3">
      <c r="A143"/>
      <c r="B143" s="1">
        <v>3</v>
      </c>
      <c r="C143" s="133" t="s">
        <v>610</v>
      </c>
      <c r="D143" s="11">
        <v>1</v>
      </c>
      <c r="E143" s="11">
        <v>6</v>
      </c>
      <c r="F143" s="86">
        <f t="shared" si="8"/>
        <v>6</v>
      </c>
    </row>
    <row r="144" spans="1:17" x14ac:dyDescent="0.3">
      <c r="A144"/>
      <c r="B144" s="219" t="s">
        <v>379</v>
      </c>
      <c r="C144" s="219"/>
      <c r="D144" s="219"/>
      <c r="E144" s="219"/>
      <c r="F144" s="219"/>
    </row>
    <row r="145" spans="1:6" x14ac:dyDescent="0.3">
      <c r="A145"/>
      <c r="B145" s="11">
        <v>1</v>
      </c>
      <c r="C145" s="133" t="s">
        <v>610</v>
      </c>
      <c r="D145" s="11">
        <v>2</v>
      </c>
      <c r="E145" s="11">
        <v>6</v>
      </c>
      <c r="F145" s="11">
        <f>D145*E145</f>
        <v>12</v>
      </c>
    </row>
    <row r="146" spans="1:6" x14ac:dyDescent="0.3">
      <c r="A146"/>
      <c r="B146" s="219" t="s">
        <v>380</v>
      </c>
      <c r="C146" s="219"/>
      <c r="D146" s="219"/>
      <c r="E146" s="219"/>
      <c r="F146" s="219"/>
    </row>
    <row r="147" spans="1:6" x14ac:dyDescent="0.3">
      <c r="A147"/>
      <c r="B147" s="1">
        <v>1</v>
      </c>
      <c r="C147" s="7" t="s">
        <v>610</v>
      </c>
      <c r="D147" s="1">
        <v>2</v>
      </c>
      <c r="E147" s="1">
        <v>6</v>
      </c>
      <c r="F147" s="1">
        <f>D147*E147</f>
        <v>12</v>
      </c>
    </row>
    <row r="148" spans="1:6" x14ac:dyDescent="0.3">
      <c r="A148"/>
      <c r="B148" s="219" t="s">
        <v>382</v>
      </c>
      <c r="C148" s="219"/>
      <c r="D148" s="219"/>
      <c r="E148" s="219"/>
      <c r="F148" s="219"/>
    </row>
    <row r="149" spans="1:6" x14ac:dyDescent="0.3">
      <c r="A149"/>
      <c r="B149" s="1">
        <v>1</v>
      </c>
      <c r="C149" s="7" t="s">
        <v>610</v>
      </c>
      <c r="D149" s="1">
        <v>2</v>
      </c>
      <c r="E149" s="1">
        <v>6</v>
      </c>
      <c r="F149" s="1">
        <f>D149*E149</f>
        <v>12</v>
      </c>
    </row>
    <row r="150" spans="1:6" x14ac:dyDescent="0.3">
      <c r="A150"/>
      <c r="B150" s="219" t="s">
        <v>388</v>
      </c>
      <c r="C150" s="219"/>
      <c r="D150" s="219"/>
      <c r="E150" s="219"/>
      <c r="F150" s="219"/>
    </row>
    <row r="151" spans="1:6" x14ac:dyDescent="0.3">
      <c r="A151"/>
      <c r="B151" s="219" t="s">
        <v>411</v>
      </c>
      <c r="C151" s="219"/>
      <c r="D151" s="219"/>
      <c r="E151" s="219"/>
      <c r="F151" s="219"/>
    </row>
    <row r="152" spans="1:6" x14ac:dyDescent="0.3">
      <c r="A152"/>
      <c r="B152" s="1">
        <v>1</v>
      </c>
      <c r="C152" s="7" t="s">
        <v>610</v>
      </c>
      <c r="D152" s="1">
        <v>6</v>
      </c>
      <c r="E152" s="1">
        <v>6</v>
      </c>
      <c r="F152" s="1">
        <f>D152*E152</f>
        <v>36</v>
      </c>
    </row>
    <row r="153" spans="1:6" x14ac:dyDescent="0.3">
      <c r="A153"/>
      <c r="B153" s="219" t="s">
        <v>379</v>
      </c>
      <c r="C153" s="219"/>
      <c r="D153" s="219"/>
      <c r="E153" s="219"/>
      <c r="F153" s="219"/>
    </row>
    <row r="154" spans="1:6" x14ac:dyDescent="0.3">
      <c r="A154"/>
      <c r="B154" s="1">
        <v>1</v>
      </c>
      <c r="C154" s="7" t="s">
        <v>610</v>
      </c>
      <c r="D154" s="1">
        <v>2</v>
      </c>
      <c r="E154" s="1">
        <v>6</v>
      </c>
      <c r="F154" s="1">
        <f>D154*E154</f>
        <v>12</v>
      </c>
    </row>
    <row r="155" spans="1:6" x14ac:dyDescent="0.3">
      <c r="A155"/>
      <c r="B155" s="1">
        <v>2</v>
      </c>
      <c r="C155" s="7" t="s">
        <v>20</v>
      </c>
      <c r="D155" s="1">
        <v>10</v>
      </c>
      <c r="E155" s="1">
        <v>3</v>
      </c>
      <c r="F155" s="1">
        <f>D155*E155</f>
        <v>30</v>
      </c>
    </row>
    <row r="156" spans="1:6" x14ac:dyDescent="0.3">
      <c r="A156"/>
      <c r="B156" s="219" t="s">
        <v>413</v>
      </c>
      <c r="C156" s="219"/>
      <c r="D156" s="219"/>
      <c r="E156" s="219"/>
      <c r="F156" s="219"/>
    </row>
    <row r="157" spans="1:6" x14ac:dyDescent="0.3">
      <c r="A157"/>
      <c r="B157" s="1">
        <v>1</v>
      </c>
      <c r="C157" s="7" t="s">
        <v>610</v>
      </c>
      <c r="D157" s="1">
        <v>2</v>
      </c>
      <c r="E157" s="1">
        <v>6</v>
      </c>
      <c r="F157" s="1">
        <f>D157*E157</f>
        <v>12</v>
      </c>
    </row>
    <row r="158" spans="1:6" x14ac:dyDescent="0.3">
      <c r="A158"/>
      <c r="B158" s="219" t="s">
        <v>380</v>
      </c>
      <c r="C158" s="219"/>
      <c r="D158" s="219"/>
      <c r="E158" s="219"/>
      <c r="F158" s="219"/>
    </row>
    <row r="159" spans="1:6" x14ac:dyDescent="0.3">
      <c r="A159"/>
      <c r="B159" s="1">
        <v>1</v>
      </c>
      <c r="C159" s="7" t="s">
        <v>610</v>
      </c>
      <c r="D159" s="1">
        <v>6</v>
      </c>
      <c r="E159" s="1">
        <v>6</v>
      </c>
      <c r="F159" s="1">
        <f>D159*E159</f>
        <v>36</v>
      </c>
    </row>
    <row r="160" spans="1:6" x14ac:dyDescent="0.3">
      <c r="A160"/>
      <c r="B160" s="219" t="s">
        <v>381</v>
      </c>
      <c r="C160" s="219"/>
      <c r="D160" s="219"/>
      <c r="E160" s="219"/>
      <c r="F160" s="219"/>
    </row>
    <row r="161" spans="1:7" x14ac:dyDescent="0.3">
      <c r="A161"/>
      <c r="B161" s="1">
        <v>1</v>
      </c>
      <c r="C161" s="7" t="s">
        <v>610</v>
      </c>
      <c r="D161" s="1">
        <v>1</v>
      </c>
      <c r="E161" s="1">
        <v>6</v>
      </c>
      <c r="F161" s="1">
        <f>D161*E161</f>
        <v>6</v>
      </c>
    </row>
    <row r="162" spans="1:7" x14ac:dyDescent="0.3">
      <c r="A162"/>
      <c r="B162" s="219" t="s">
        <v>412</v>
      </c>
      <c r="C162" s="219"/>
      <c r="D162" s="219"/>
      <c r="E162" s="219"/>
      <c r="F162" s="219"/>
    </row>
    <row r="163" spans="1:7" x14ac:dyDescent="0.3">
      <c r="A163"/>
      <c r="B163" s="1">
        <v>1</v>
      </c>
      <c r="C163" s="7" t="s">
        <v>610</v>
      </c>
      <c r="D163" s="1">
        <v>3</v>
      </c>
      <c r="E163" s="1">
        <v>6</v>
      </c>
      <c r="F163" s="1">
        <f>D163*E163</f>
        <v>18</v>
      </c>
    </row>
    <row r="164" spans="1:7" x14ac:dyDescent="0.3">
      <c r="A164"/>
      <c r="B164" s="219" t="s">
        <v>382</v>
      </c>
      <c r="C164" s="219"/>
      <c r="D164" s="219"/>
      <c r="E164" s="219"/>
      <c r="F164" s="219"/>
    </row>
    <row r="165" spans="1:7" x14ac:dyDescent="0.3">
      <c r="A165"/>
      <c r="B165" s="1">
        <v>1</v>
      </c>
      <c r="C165" s="7" t="s">
        <v>610</v>
      </c>
      <c r="D165" s="1">
        <v>2</v>
      </c>
      <c r="E165" s="1">
        <v>6</v>
      </c>
      <c r="F165" s="1">
        <f>D165*E165</f>
        <v>12</v>
      </c>
    </row>
    <row r="166" spans="1:7" x14ac:dyDescent="0.3">
      <c r="A166"/>
      <c r="B166" s="219" t="s">
        <v>405</v>
      </c>
      <c r="C166" s="219"/>
      <c r="D166" s="219"/>
      <c r="E166" s="219"/>
      <c r="F166" s="219"/>
    </row>
    <row r="167" spans="1:7" x14ac:dyDescent="0.3">
      <c r="A167"/>
      <c r="B167" s="1">
        <v>1</v>
      </c>
      <c r="C167" s="7" t="s">
        <v>610</v>
      </c>
      <c r="D167" s="1">
        <v>2</v>
      </c>
      <c r="E167" s="1">
        <v>6</v>
      </c>
      <c r="F167" s="1">
        <f>D167*E167</f>
        <v>12</v>
      </c>
    </row>
    <row r="168" spans="1:7" x14ac:dyDescent="0.3">
      <c r="A168"/>
      <c r="B168" s="219" t="s">
        <v>403</v>
      </c>
      <c r="C168" s="219"/>
      <c r="D168" s="219"/>
      <c r="E168" s="219"/>
      <c r="F168" s="219"/>
    </row>
    <row r="169" spans="1:7" x14ac:dyDescent="0.3">
      <c r="A169"/>
      <c r="B169" s="1">
        <v>1</v>
      </c>
      <c r="C169" s="7" t="s">
        <v>610</v>
      </c>
      <c r="D169" s="1">
        <v>2</v>
      </c>
      <c r="E169" s="1">
        <v>6</v>
      </c>
      <c r="F169" s="1">
        <f>D169*E169</f>
        <v>12</v>
      </c>
    </row>
    <row r="170" spans="1:7" x14ac:dyDescent="0.3">
      <c r="A170"/>
      <c r="B170" s="219" t="s">
        <v>399</v>
      </c>
      <c r="C170" s="219"/>
      <c r="D170" s="219"/>
      <c r="E170" s="219"/>
      <c r="F170" s="219"/>
    </row>
    <row r="171" spans="1:7" x14ac:dyDescent="0.3">
      <c r="A171"/>
      <c r="B171" s="1">
        <v>1</v>
      </c>
      <c r="C171" s="7" t="s">
        <v>610</v>
      </c>
      <c r="D171" s="1">
        <v>2</v>
      </c>
      <c r="E171" s="1">
        <v>6</v>
      </c>
      <c r="F171" s="1">
        <f>D171*E171</f>
        <v>12</v>
      </c>
    </row>
    <row r="172" spans="1:7" x14ac:dyDescent="0.3">
      <c r="A172"/>
      <c r="B172" s="219" t="s">
        <v>398</v>
      </c>
      <c r="C172" s="219"/>
      <c r="D172" s="219"/>
      <c r="E172" s="219"/>
      <c r="F172" s="219"/>
    </row>
    <row r="173" spans="1:7" x14ac:dyDescent="0.3">
      <c r="A173"/>
      <c r="B173" s="1">
        <v>1</v>
      </c>
      <c r="C173" s="7" t="s">
        <v>610</v>
      </c>
      <c r="D173" s="1">
        <v>18</v>
      </c>
      <c r="E173" s="1">
        <v>6</v>
      </c>
      <c r="F173" s="1">
        <f>D173*E173</f>
        <v>108</v>
      </c>
    </row>
    <row r="174" spans="1:7" x14ac:dyDescent="0.3">
      <c r="A174"/>
      <c r="B174" s="143"/>
      <c r="C174" s="143"/>
      <c r="D174" s="143"/>
      <c r="E174" s="143"/>
      <c r="F174" s="143"/>
      <c r="G174" s="143"/>
    </row>
    <row r="175" spans="1:7" x14ac:dyDescent="0.3">
      <c r="A175"/>
      <c r="B175" s="35" t="s">
        <v>653</v>
      </c>
      <c r="C175" s="24" t="s">
        <v>654</v>
      </c>
      <c r="D175" s="36" t="s">
        <v>363</v>
      </c>
      <c r="E175" s="143"/>
      <c r="F175" s="143"/>
      <c r="G175" s="143"/>
    </row>
    <row r="176" spans="1:7" x14ac:dyDescent="0.3">
      <c r="A176"/>
      <c r="B176" s="35">
        <f>SUM(D137:D139,D141:D143,D145,D147,D149,D152,D154:D155,D157,D159,D161,D163,D165,D167,D169,D171,D173)</f>
        <v>92</v>
      </c>
      <c r="C176" s="86">
        <f>SUM(F137:F139,F141:F143,F145,F147,F149,F152,F154:F155,F157,F159,F161,F163,F165,F167,F169,F171,F173)</f>
        <v>433</v>
      </c>
      <c r="D176" s="136">
        <v>410</v>
      </c>
      <c r="E176" s="143"/>
      <c r="F176" s="143"/>
      <c r="G176" s="143"/>
    </row>
    <row r="177" spans="1:17" x14ac:dyDescent="0.3">
      <c r="A177"/>
      <c r="B177" s="5"/>
      <c r="C177" s="140"/>
      <c r="D177" s="5"/>
      <c r="E177" s="5"/>
      <c r="F177" s="5"/>
      <c r="G177" s="5"/>
    </row>
    <row r="178" spans="1:17" ht="40.799999999999997" customHeight="1" x14ac:dyDescent="0.3">
      <c r="A178"/>
      <c r="B178" s="133" t="s">
        <v>611</v>
      </c>
      <c r="C178" s="135">
        <v>30</v>
      </c>
      <c r="D178" s="1" t="s">
        <v>177</v>
      </c>
      <c r="E178" s="5"/>
      <c r="F178" s="5"/>
    </row>
    <row r="179" spans="1:17" x14ac:dyDescent="0.3">
      <c r="A179"/>
      <c r="B179" s="32" t="s">
        <v>633</v>
      </c>
      <c r="C179" s="86">
        <f>D176</f>
        <v>410</v>
      </c>
      <c r="D179" s="11" t="s">
        <v>236</v>
      </c>
    </row>
    <row r="180" spans="1:17" x14ac:dyDescent="0.3">
      <c r="A180"/>
      <c r="B180" s="32" t="s">
        <v>612</v>
      </c>
      <c r="C180" s="86">
        <f>C179*C178</f>
        <v>12300</v>
      </c>
      <c r="D180" s="11" t="s">
        <v>237</v>
      </c>
    </row>
    <row r="181" spans="1:17" x14ac:dyDescent="0.3">
      <c r="A181"/>
      <c r="B181" s="32" t="s">
        <v>612</v>
      </c>
      <c r="C181" s="86">
        <f>C180/1000</f>
        <v>12.3</v>
      </c>
      <c r="D181" s="11" t="s">
        <v>134</v>
      </c>
    </row>
    <row r="182" spans="1:17" x14ac:dyDescent="0.3">
      <c r="A182"/>
      <c r="B182" s="32" t="s">
        <v>634</v>
      </c>
      <c r="C182" s="86">
        <v>0.2</v>
      </c>
      <c r="D182" s="11" t="s">
        <v>196</v>
      </c>
    </row>
    <row r="183" spans="1:17" x14ac:dyDescent="0.3">
      <c r="A183"/>
      <c r="B183" s="32" t="s">
        <v>635</v>
      </c>
      <c r="C183" s="135">
        <f>C181+C182</f>
        <v>12.5</v>
      </c>
      <c r="D183" s="11" t="s">
        <v>134</v>
      </c>
    </row>
    <row r="184" spans="1:17" x14ac:dyDescent="0.3">
      <c r="A184"/>
    </row>
    <row r="185" spans="1:17" s="33" customFormat="1" x14ac:dyDescent="0.3">
      <c r="A185"/>
      <c r="B185" s="189" t="s">
        <v>615</v>
      </c>
      <c r="C185" s="189"/>
      <c r="D185" s="189"/>
      <c r="E185" s="201" t="s">
        <v>616</v>
      </c>
      <c r="F185"/>
      <c r="O185"/>
      <c r="Q185"/>
    </row>
    <row r="186" spans="1:17" x14ac:dyDescent="0.3">
      <c r="A186"/>
      <c r="B186" s="36" t="s">
        <v>617</v>
      </c>
      <c r="C186" s="24" t="s">
        <v>618</v>
      </c>
      <c r="D186" s="36" t="s">
        <v>619</v>
      </c>
      <c r="E186" s="201"/>
    </row>
    <row r="187" spans="1:17" x14ac:dyDescent="0.3">
      <c r="A187"/>
      <c r="B187" s="136">
        <v>2</v>
      </c>
      <c r="C187" s="137">
        <f>(E187)/(B187*D187)</f>
        <v>5.2083333333333339</v>
      </c>
      <c r="D187" s="136">
        <v>1.2</v>
      </c>
      <c r="E187" s="136">
        <f>C183</f>
        <v>12.5</v>
      </c>
    </row>
    <row r="188" spans="1:17" ht="14.4" customHeight="1" x14ac:dyDescent="0.3">
      <c r="A188"/>
    </row>
    <row r="189" spans="1:17" ht="28.8" x14ac:dyDescent="0.3">
      <c r="A189"/>
      <c r="B189" s="138" t="s">
        <v>620</v>
      </c>
      <c r="C189" s="135">
        <f>C179*2</f>
        <v>820</v>
      </c>
      <c r="D189" s="1" t="s">
        <v>236</v>
      </c>
      <c r="E189" s="26" t="s">
        <v>621</v>
      </c>
      <c r="F189" s="137">
        <v>820</v>
      </c>
      <c r="G189" s="1" t="s">
        <v>196</v>
      </c>
    </row>
    <row r="190" spans="1:17" x14ac:dyDescent="0.3">
      <c r="A190"/>
      <c r="B190" s="35" t="s">
        <v>622</v>
      </c>
      <c r="C190" s="139">
        <f>C207+C218+D220+C225</f>
        <v>13.262813939682301</v>
      </c>
      <c r="D190" s="1" t="s">
        <v>196</v>
      </c>
      <c r="E190" s="26" t="s">
        <v>621</v>
      </c>
      <c r="F190" s="137">
        <v>15</v>
      </c>
      <c r="G190" s="1" t="s">
        <v>196</v>
      </c>
    </row>
    <row r="191" spans="1:17" x14ac:dyDescent="0.3">
      <c r="A191"/>
      <c r="B191" s="36" t="s">
        <v>623</v>
      </c>
      <c r="C191" s="151" t="s">
        <v>624</v>
      </c>
      <c r="D191" s="151"/>
    </row>
    <row r="192" spans="1:17" x14ac:dyDescent="0.3">
      <c r="A192"/>
    </row>
    <row r="193" spans="1:17" x14ac:dyDescent="0.3">
      <c r="A193"/>
    </row>
    <row r="194" spans="1:17" s="33" customFormat="1" x14ac:dyDescent="0.3">
      <c r="A194"/>
      <c r="B194" s="11" t="s">
        <v>625</v>
      </c>
      <c r="C194" s="86">
        <f>C189</f>
        <v>820</v>
      </c>
      <c r="D194" s="11" t="s">
        <v>236</v>
      </c>
      <c r="E194"/>
      <c r="F194"/>
      <c r="P194"/>
      <c r="Q194"/>
    </row>
    <row r="195" spans="1:17" ht="14.4" customHeight="1" x14ac:dyDescent="0.3">
      <c r="A195"/>
      <c r="B195" s="11"/>
      <c r="C195" s="86">
        <f>(C194/1000)/60</f>
        <v>1.3666666666666666E-2</v>
      </c>
      <c r="D195" s="11" t="s">
        <v>194</v>
      </c>
    </row>
    <row r="196" spans="1:17" x14ac:dyDescent="0.3">
      <c r="A196"/>
      <c r="B196" s="11" t="s">
        <v>199</v>
      </c>
      <c r="C196" s="86">
        <v>2</v>
      </c>
      <c r="D196" s="11" t="s">
        <v>198</v>
      </c>
    </row>
    <row r="197" spans="1:17" x14ac:dyDescent="0.3">
      <c r="A197"/>
      <c r="B197" s="11" t="s">
        <v>126</v>
      </c>
      <c r="C197" s="86">
        <f>SQRT((C195*4)/(C196*3.14))</f>
        <v>9.3299963704045558E-2</v>
      </c>
      <c r="D197" s="11" t="s">
        <v>196</v>
      </c>
    </row>
    <row r="198" spans="1:17" x14ac:dyDescent="0.3">
      <c r="A198"/>
      <c r="B198" s="11"/>
      <c r="C198" s="86">
        <f>C197*1000</f>
        <v>93.299963704045553</v>
      </c>
      <c r="D198" s="11" t="s">
        <v>197</v>
      </c>
    </row>
    <row r="199" spans="1:17" x14ac:dyDescent="0.3">
      <c r="A199"/>
      <c r="B199" s="11" t="s">
        <v>235</v>
      </c>
      <c r="C199" s="135">
        <v>100</v>
      </c>
      <c r="D199" s="11" t="s">
        <v>197</v>
      </c>
    </row>
    <row r="200" spans="1:17" s="33" customFormat="1" x14ac:dyDescent="0.3">
      <c r="A200"/>
      <c r="B200"/>
      <c r="C200" s="132"/>
      <c r="D200"/>
      <c r="E200"/>
      <c r="F200"/>
      <c r="J200"/>
      <c r="K200"/>
      <c r="L200"/>
      <c r="M200"/>
      <c r="N200"/>
      <c r="O200"/>
      <c r="P200"/>
      <c r="Q200"/>
    </row>
    <row r="201" spans="1:17" s="33" customFormat="1" x14ac:dyDescent="0.3">
      <c r="A201"/>
      <c r="B201" s="195" t="s">
        <v>242</v>
      </c>
      <c r="C201" s="223"/>
      <c r="D201" s="223"/>
      <c r="E201" s="196"/>
      <c r="F201"/>
      <c r="J201"/>
      <c r="K201"/>
      <c r="L201"/>
      <c r="M201"/>
      <c r="N201"/>
      <c r="O201"/>
      <c r="P201"/>
      <c r="Q201"/>
    </row>
    <row r="202" spans="1:17" s="33" customFormat="1" x14ac:dyDescent="0.3">
      <c r="A202"/>
      <c r="B202" s="176" t="s">
        <v>243</v>
      </c>
      <c r="C202" s="176"/>
      <c r="D202" s="176"/>
      <c r="E202" s="176"/>
      <c r="F202"/>
      <c r="J202"/>
      <c r="K202"/>
      <c r="L202"/>
      <c r="M202"/>
      <c r="N202"/>
      <c r="O202"/>
      <c r="P202"/>
      <c r="Q202"/>
    </row>
    <row r="203" spans="1:17" s="33" customFormat="1" x14ac:dyDescent="0.3">
      <c r="A203"/>
      <c r="B203" s="11" t="s">
        <v>239</v>
      </c>
      <c r="C203" s="151">
        <f>C195</f>
        <v>1.3666666666666666E-2</v>
      </c>
      <c r="D203" s="151"/>
      <c r="E203" s="11" t="s">
        <v>194</v>
      </c>
      <c r="F203"/>
      <c r="J203"/>
      <c r="K203"/>
      <c r="L203"/>
      <c r="M203"/>
      <c r="N203"/>
      <c r="O203"/>
      <c r="P203"/>
      <c r="Q203"/>
    </row>
    <row r="204" spans="1:17" s="33" customFormat="1" x14ac:dyDescent="0.3">
      <c r="A204"/>
      <c r="B204" s="1" t="s">
        <v>125</v>
      </c>
      <c r="C204" s="176">
        <v>150</v>
      </c>
      <c r="D204" s="176"/>
      <c r="E204" s="1"/>
      <c r="F204"/>
      <c r="J204"/>
      <c r="K204"/>
      <c r="L204"/>
      <c r="M204"/>
      <c r="N204"/>
      <c r="O204"/>
      <c r="P204"/>
      <c r="Q204"/>
    </row>
    <row r="205" spans="1:17" s="33" customFormat="1" x14ac:dyDescent="0.3">
      <c r="A205"/>
      <c r="B205" s="11" t="s">
        <v>126</v>
      </c>
      <c r="C205" s="151">
        <f>C197</f>
        <v>9.3299963704045558E-2</v>
      </c>
      <c r="D205" s="151"/>
      <c r="E205" s="11" t="s">
        <v>196</v>
      </c>
      <c r="F205"/>
      <c r="J205"/>
      <c r="K205"/>
      <c r="L205"/>
      <c r="M205"/>
      <c r="N205"/>
      <c r="O205"/>
      <c r="P205"/>
      <c r="Q205"/>
    </row>
    <row r="206" spans="1:17" s="33" customFormat="1" x14ac:dyDescent="0.3">
      <c r="A206"/>
      <c r="B206" s="11" t="s">
        <v>237</v>
      </c>
      <c r="C206" s="225">
        <v>190</v>
      </c>
      <c r="D206" s="225"/>
      <c r="E206" s="11" t="s">
        <v>196</v>
      </c>
      <c r="F206"/>
      <c r="J206"/>
      <c r="K206"/>
      <c r="L206"/>
      <c r="M206"/>
      <c r="N206"/>
      <c r="O206"/>
      <c r="P206"/>
      <c r="Q206"/>
    </row>
    <row r="207" spans="1:17" s="33" customFormat="1" x14ac:dyDescent="0.3">
      <c r="A207"/>
      <c r="B207" s="11" t="s">
        <v>240</v>
      </c>
      <c r="C207" s="203">
        <f>(((10.67)*(C203^1.85))/((C204^1.85)*(C205^4.87)))*C206</f>
        <v>7.0599597093051356</v>
      </c>
      <c r="D207" s="203"/>
      <c r="E207" s="11" t="s">
        <v>196</v>
      </c>
      <c r="F207"/>
      <c r="J207"/>
      <c r="K207"/>
      <c r="L207"/>
      <c r="M207"/>
      <c r="N207"/>
      <c r="O207"/>
      <c r="P207"/>
      <c r="Q207"/>
    </row>
    <row r="208" spans="1:17" s="33" customFormat="1" x14ac:dyDescent="0.3">
      <c r="A208"/>
      <c r="B208" s="151" t="s">
        <v>244</v>
      </c>
      <c r="C208" s="151"/>
      <c r="D208" s="151"/>
      <c r="E208" s="151"/>
      <c r="F208"/>
      <c r="J208"/>
      <c r="K208"/>
      <c r="L208"/>
      <c r="M208"/>
      <c r="N208"/>
      <c r="O208"/>
      <c r="P208"/>
      <c r="Q208"/>
    </row>
    <row r="209" spans="1:17" s="33" customFormat="1" x14ac:dyDescent="0.3">
      <c r="A209"/>
      <c r="B209" s="11" t="s">
        <v>245</v>
      </c>
      <c r="C209" s="11" t="s">
        <v>246</v>
      </c>
      <c r="D209" s="11" t="s">
        <v>247</v>
      </c>
      <c r="E209" s="11" t="s">
        <v>248</v>
      </c>
      <c r="F209"/>
      <c r="J209"/>
      <c r="K209"/>
      <c r="L209"/>
      <c r="M209"/>
      <c r="N209"/>
      <c r="O209"/>
      <c r="P209"/>
      <c r="Q209"/>
    </row>
    <row r="210" spans="1:17" s="33" customFormat="1" x14ac:dyDescent="0.3">
      <c r="A210"/>
      <c r="B210" s="11" t="s">
        <v>249</v>
      </c>
      <c r="C210" s="136">
        <v>7</v>
      </c>
      <c r="D210" s="11">
        <v>0.7</v>
      </c>
      <c r="E210" s="11">
        <f>C210*D210</f>
        <v>4.8999999999999995</v>
      </c>
      <c r="F210"/>
      <c r="J210"/>
      <c r="K210"/>
      <c r="L210"/>
      <c r="M210"/>
      <c r="N210"/>
      <c r="O210"/>
      <c r="P210"/>
      <c r="Q210"/>
    </row>
    <row r="211" spans="1:17" s="33" customFormat="1" x14ac:dyDescent="0.3">
      <c r="A211"/>
      <c r="B211" s="32"/>
      <c r="C211" s="32"/>
      <c r="D211" s="32"/>
      <c r="E211" s="32"/>
      <c r="F211"/>
      <c r="J211"/>
      <c r="K211"/>
      <c r="L211"/>
      <c r="M211"/>
      <c r="N211"/>
      <c r="O211"/>
      <c r="P211"/>
      <c r="Q211"/>
    </row>
    <row r="212" spans="1:17" s="33" customFormat="1" x14ac:dyDescent="0.3">
      <c r="A212"/>
      <c r="B212" s="151" t="s">
        <v>250</v>
      </c>
      <c r="C212" s="151"/>
      <c r="D212" s="151"/>
      <c r="E212" s="11">
        <f>SUM(E210:E211)</f>
        <v>4.8999999999999995</v>
      </c>
      <c r="F212"/>
      <c r="J212"/>
      <c r="K212"/>
      <c r="L212"/>
      <c r="M212"/>
      <c r="N212"/>
      <c r="O212"/>
      <c r="P212"/>
      <c r="Q212"/>
    </row>
    <row r="213" spans="1:17" s="33" customFormat="1" x14ac:dyDescent="0.3">
      <c r="A213"/>
      <c r="B213" s="151"/>
      <c r="C213" s="151"/>
      <c r="D213" s="151"/>
      <c r="E213" s="151"/>
      <c r="F213"/>
      <c r="J213"/>
      <c r="K213"/>
      <c r="L213"/>
      <c r="M213"/>
      <c r="N213"/>
      <c r="O213"/>
      <c r="P213"/>
      <c r="Q213"/>
    </row>
    <row r="214" spans="1:17" s="33" customFormat="1" x14ac:dyDescent="0.3">
      <c r="A214"/>
      <c r="B214" s="11" t="s">
        <v>199</v>
      </c>
      <c r="C214" s="176">
        <f>C196</f>
        <v>2</v>
      </c>
      <c r="D214" s="176"/>
      <c r="E214" s="11" t="s">
        <v>198</v>
      </c>
      <c r="F214"/>
      <c r="J214"/>
      <c r="K214"/>
      <c r="L214"/>
      <c r="M214"/>
      <c r="N214"/>
      <c r="O214"/>
      <c r="P214"/>
      <c r="Q214"/>
    </row>
    <row r="215" spans="1:17" s="33" customFormat="1" x14ac:dyDescent="0.3">
      <c r="A215"/>
      <c r="B215" s="11" t="s">
        <v>251</v>
      </c>
      <c r="C215" s="176">
        <f>C214^2</f>
        <v>4</v>
      </c>
      <c r="D215" s="176"/>
      <c r="E215" s="11" t="s">
        <v>252</v>
      </c>
      <c r="F215"/>
      <c r="J215"/>
      <c r="K215"/>
      <c r="L215"/>
      <c r="M215"/>
      <c r="N215"/>
      <c r="O215"/>
      <c r="P215"/>
      <c r="Q215"/>
    </row>
    <row r="216" spans="1:17" s="33" customFormat="1" x14ac:dyDescent="0.3">
      <c r="A216"/>
      <c r="B216" s="11" t="s">
        <v>253</v>
      </c>
      <c r="C216" s="176">
        <v>9.81</v>
      </c>
      <c r="D216" s="176"/>
      <c r="E216" s="11" t="s">
        <v>254</v>
      </c>
      <c r="F216"/>
      <c r="J216"/>
      <c r="K216"/>
      <c r="L216"/>
      <c r="M216"/>
      <c r="N216"/>
      <c r="O216"/>
      <c r="P216"/>
      <c r="Q216"/>
    </row>
    <row r="217" spans="1:17" s="33" customFormat="1" x14ac:dyDescent="0.3">
      <c r="A217"/>
      <c r="B217" s="11" t="s">
        <v>255</v>
      </c>
      <c r="C217" s="151">
        <f>2*C216</f>
        <v>19.62</v>
      </c>
      <c r="D217" s="151"/>
      <c r="E217" s="11" t="s">
        <v>254</v>
      </c>
      <c r="F217"/>
      <c r="J217"/>
      <c r="K217"/>
      <c r="L217"/>
      <c r="M217"/>
      <c r="N217"/>
      <c r="O217"/>
      <c r="P217"/>
      <c r="Q217"/>
    </row>
    <row r="218" spans="1:17" s="33" customFormat="1" x14ac:dyDescent="0.3">
      <c r="A218"/>
      <c r="B218" s="11" t="s">
        <v>240</v>
      </c>
      <c r="C218" s="198">
        <f>(E212)*(C215/C217)</f>
        <v>0.99898063200815479</v>
      </c>
      <c r="D218" s="198"/>
      <c r="E218" s="11" t="s">
        <v>196</v>
      </c>
      <c r="F218"/>
      <c r="J218"/>
      <c r="K218"/>
      <c r="L218"/>
      <c r="M218"/>
      <c r="N218"/>
      <c r="O218"/>
      <c r="P218"/>
      <c r="Q218"/>
    </row>
    <row r="219" spans="1:17" s="33" customFormat="1" x14ac:dyDescent="0.3">
      <c r="A219"/>
      <c r="B219" s="189" t="s">
        <v>256</v>
      </c>
      <c r="C219" s="189"/>
      <c r="D219" s="189"/>
      <c r="E219" s="189"/>
      <c r="F219"/>
      <c r="J219"/>
      <c r="K219"/>
      <c r="L219"/>
      <c r="M219"/>
      <c r="N219"/>
      <c r="O219"/>
      <c r="P219"/>
      <c r="Q219"/>
    </row>
    <row r="220" spans="1:17" s="33" customFormat="1" x14ac:dyDescent="0.3">
      <c r="A220"/>
      <c r="B220" s="151" t="s">
        <v>257</v>
      </c>
      <c r="C220" s="151"/>
      <c r="D220" s="11">
        <f>5000/1000</f>
        <v>5</v>
      </c>
      <c r="E220" s="11" t="s">
        <v>196</v>
      </c>
      <c r="F220"/>
      <c r="J220"/>
      <c r="K220"/>
      <c r="L220"/>
      <c r="M220"/>
      <c r="N220"/>
      <c r="O220"/>
      <c r="P220"/>
      <c r="Q220"/>
    </row>
    <row r="221" spans="1:17" s="33" customFormat="1" x14ac:dyDescent="0.3">
      <c r="A221"/>
      <c r="B221" s="201" t="s">
        <v>258</v>
      </c>
      <c r="C221" s="201"/>
      <c r="D221" s="201"/>
      <c r="E221" s="201"/>
      <c r="F221"/>
      <c r="J221"/>
      <c r="K221"/>
      <c r="L221"/>
      <c r="M221"/>
      <c r="N221"/>
      <c r="O221"/>
      <c r="P221"/>
      <c r="Q221"/>
    </row>
    <row r="222" spans="1:17" s="33" customFormat="1" x14ac:dyDescent="0.3">
      <c r="A222"/>
      <c r="B222" s="11" t="s">
        <v>199</v>
      </c>
      <c r="C222" s="11">
        <f>C214</f>
        <v>2</v>
      </c>
      <c r="D222" s="151" t="s">
        <v>198</v>
      </c>
      <c r="E222" s="151"/>
      <c r="F222"/>
      <c r="J222"/>
      <c r="K222"/>
      <c r="L222"/>
      <c r="M222"/>
      <c r="N222"/>
      <c r="O222"/>
      <c r="P222"/>
      <c r="Q222"/>
    </row>
    <row r="223" spans="1:17" s="33" customFormat="1" x14ac:dyDescent="0.3">
      <c r="A223"/>
      <c r="B223" s="11" t="s">
        <v>251</v>
      </c>
      <c r="C223" s="11">
        <f>C222^2</f>
        <v>4</v>
      </c>
      <c r="D223" s="151" t="s">
        <v>252</v>
      </c>
      <c r="E223" s="151"/>
      <c r="F223"/>
      <c r="J223"/>
      <c r="K223"/>
      <c r="L223"/>
      <c r="M223"/>
      <c r="N223"/>
      <c r="O223"/>
      <c r="P223"/>
      <c r="Q223"/>
    </row>
    <row r="224" spans="1:17" s="33" customFormat="1" x14ac:dyDescent="0.3">
      <c r="A224"/>
      <c r="B224" s="11" t="s">
        <v>253</v>
      </c>
      <c r="C224" s="11">
        <v>9.81</v>
      </c>
      <c r="D224" s="151" t="s">
        <v>254</v>
      </c>
      <c r="E224" s="151"/>
      <c r="F224"/>
      <c r="J224"/>
      <c r="K224"/>
      <c r="L224"/>
      <c r="M224"/>
      <c r="N224"/>
      <c r="O224"/>
      <c r="P224"/>
      <c r="Q224"/>
    </row>
    <row r="225" spans="1:17" s="33" customFormat="1" ht="28.8" x14ac:dyDescent="0.3">
      <c r="A225"/>
      <c r="B225" s="86" t="s">
        <v>258</v>
      </c>
      <c r="C225" s="141">
        <f>C223/(2*C224)</f>
        <v>0.2038735983690112</v>
      </c>
      <c r="D225" s="231" t="s">
        <v>196</v>
      </c>
      <c r="E225" s="232"/>
      <c r="F225"/>
      <c r="J225"/>
      <c r="K225"/>
      <c r="L225"/>
      <c r="M225"/>
      <c r="N225"/>
      <c r="O225"/>
      <c r="P225"/>
      <c r="Q225"/>
    </row>
    <row r="226" spans="1:17" x14ac:dyDescent="0.3">
      <c r="A226"/>
      <c r="B226" s="77"/>
      <c r="D226" s="77"/>
      <c r="M226"/>
    </row>
    <row r="227" spans="1:17" x14ac:dyDescent="0.3">
      <c r="A227"/>
      <c r="B227" s="181" t="s">
        <v>644</v>
      </c>
      <c r="C227" s="181"/>
      <c r="D227" s="181"/>
      <c r="M227"/>
    </row>
    <row r="228" spans="1:17" x14ac:dyDescent="0.3">
      <c r="A228"/>
      <c r="B228" s="181" t="s">
        <v>645</v>
      </c>
      <c r="C228" s="181"/>
      <c r="D228" s="181"/>
      <c r="M228"/>
    </row>
    <row r="229" spans="1:17" x14ac:dyDescent="0.3">
      <c r="A229"/>
      <c r="B229" s="181" t="s">
        <v>646</v>
      </c>
      <c r="C229" s="181"/>
      <c r="D229" s="181"/>
      <c r="M229"/>
    </row>
    <row r="230" spans="1:17" x14ac:dyDescent="0.3">
      <c r="A230"/>
      <c r="B230" s="236" t="s">
        <v>647</v>
      </c>
      <c r="C230" s="236"/>
      <c r="D230" s="236"/>
      <c r="M230"/>
    </row>
    <row r="231" spans="1:17" x14ac:dyDescent="0.3">
      <c r="A231"/>
      <c r="B231" s="236"/>
      <c r="C231" s="236"/>
      <c r="D231" s="236"/>
      <c r="M231"/>
    </row>
    <row r="232" spans="1:17" x14ac:dyDescent="0.3">
      <c r="A232"/>
      <c r="B232" s="147"/>
      <c r="C232" s="147"/>
      <c r="D232" s="147"/>
      <c r="M232"/>
    </row>
    <row r="233" spans="1:17" x14ac:dyDescent="0.3">
      <c r="A233"/>
      <c r="M233"/>
    </row>
    <row r="234" spans="1:17" x14ac:dyDescent="0.3">
      <c r="A234"/>
      <c r="C234"/>
    </row>
    <row r="235" spans="1:17" x14ac:dyDescent="0.3">
      <c r="A235"/>
      <c r="C235"/>
    </row>
    <row r="236" spans="1:17" x14ac:dyDescent="0.3">
      <c r="A236"/>
      <c r="C236"/>
    </row>
    <row r="237" spans="1:17" x14ac:dyDescent="0.3">
      <c r="A237"/>
      <c r="C237"/>
    </row>
    <row r="238" spans="1:17" x14ac:dyDescent="0.3">
      <c r="A238"/>
      <c r="C238"/>
      <c r="M238"/>
    </row>
    <row r="239" spans="1:17" x14ac:dyDescent="0.3">
      <c r="A239"/>
      <c r="C239"/>
      <c r="M239"/>
    </row>
    <row r="240" spans="1:17" x14ac:dyDescent="0.3">
      <c r="A240"/>
      <c r="C240"/>
      <c r="M240"/>
    </row>
    <row r="241" spans="1:13" x14ac:dyDescent="0.3">
      <c r="A241"/>
      <c r="C241"/>
      <c r="M241"/>
    </row>
    <row r="242" spans="1:13" x14ac:dyDescent="0.3">
      <c r="A242"/>
      <c r="C242"/>
      <c r="M242"/>
    </row>
    <row r="243" spans="1:13" x14ac:dyDescent="0.3">
      <c r="A243"/>
      <c r="C243"/>
      <c r="M243"/>
    </row>
    <row r="244" spans="1:13" x14ac:dyDescent="0.3">
      <c r="A244"/>
      <c r="C244"/>
      <c r="M244"/>
    </row>
    <row r="245" spans="1:13" x14ac:dyDescent="0.3">
      <c r="A245"/>
      <c r="C245"/>
      <c r="M245"/>
    </row>
    <row r="246" spans="1:13" x14ac:dyDescent="0.3">
      <c r="A246"/>
      <c r="C246"/>
      <c r="M246"/>
    </row>
    <row r="247" spans="1:13" x14ac:dyDescent="0.3">
      <c r="A247"/>
      <c r="C247"/>
      <c r="M247"/>
    </row>
    <row r="248" spans="1:13" x14ac:dyDescent="0.3">
      <c r="A248"/>
    </row>
    <row r="249" spans="1:13" x14ac:dyDescent="0.3">
      <c r="A249"/>
    </row>
    <row r="250" spans="1:13" x14ac:dyDescent="0.3">
      <c r="A250"/>
    </row>
    <row r="251" spans="1:13" x14ac:dyDescent="0.3">
      <c r="A251"/>
    </row>
    <row r="252" spans="1:13" x14ac:dyDescent="0.3">
      <c r="A252"/>
    </row>
    <row r="253" spans="1:13" x14ac:dyDescent="0.3">
      <c r="A253"/>
    </row>
    <row r="254" spans="1:13" x14ac:dyDescent="0.3">
      <c r="A254"/>
    </row>
    <row r="255" spans="1:13" x14ac:dyDescent="0.3">
      <c r="A255"/>
      <c r="M255"/>
    </row>
    <row r="256" spans="1:13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</sheetData>
  <mergeCells count="96">
    <mergeCell ref="B228:D228"/>
    <mergeCell ref="B229:D229"/>
    <mergeCell ref="B230:D231"/>
    <mergeCell ref="B221:E221"/>
    <mergeCell ref="D222:E222"/>
    <mergeCell ref="D223:E223"/>
    <mergeCell ref="D224:E224"/>
    <mergeCell ref="D225:E225"/>
    <mergeCell ref="B227:D227"/>
    <mergeCell ref="B220:C220"/>
    <mergeCell ref="C206:D206"/>
    <mergeCell ref="C207:D207"/>
    <mergeCell ref="B208:E208"/>
    <mergeCell ref="B212:D212"/>
    <mergeCell ref="B213:E213"/>
    <mergeCell ref="C214:D214"/>
    <mergeCell ref="C215:D215"/>
    <mergeCell ref="C216:D216"/>
    <mergeCell ref="C217:D217"/>
    <mergeCell ref="C218:D218"/>
    <mergeCell ref="B219:E219"/>
    <mergeCell ref="C205:D205"/>
    <mergeCell ref="B164:F164"/>
    <mergeCell ref="B166:F166"/>
    <mergeCell ref="B168:F168"/>
    <mergeCell ref="B170:F170"/>
    <mergeCell ref="B172:F172"/>
    <mergeCell ref="B185:D185"/>
    <mergeCell ref="E185:E186"/>
    <mergeCell ref="C191:D191"/>
    <mergeCell ref="B201:E201"/>
    <mergeCell ref="B202:E202"/>
    <mergeCell ref="C203:D203"/>
    <mergeCell ref="C204:D204"/>
    <mergeCell ref="B162:F162"/>
    <mergeCell ref="B136:F136"/>
    <mergeCell ref="B140:F140"/>
    <mergeCell ref="B144:F144"/>
    <mergeCell ref="B146:F146"/>
    <mergeCell ref="B148:F148"/>
    <mergeCell ref="B150:F150"/>
    <mergeCell ref="B151:F151"/>
    <mergeCell ref="B153:F153"/>
    <mergeCell ref="B156:F156"/>
    <mergeCell ref="B158:F158"/>
    <mergeCell ref="B160:F160"/>
    <mergeCell ref="B135:F135"/>
    <mergeCell ref="B114:E114"/>
    <mergeCell ref="D115:E115"/>
    <mergeCell ref="D116:E116"/>
    <mergeCell ref="D117:E117"/>
    <mergeCell ref="D118:E118"/>
    <mergeCell ref="B128:E128"/>
    <mergeCell ref="B133:B134"/>
    <mergeCell ref="C133:C134"/>
    <mergeCell ref="D133:D134"/>
    <mergeCell ref="E133:E134"/>
    <mergeCell ref="F133:F134"/>
    <mergeCell ref="B113:C113"/>
    <mergeCell ref="C99:D99"/>
    <mergeCell ref="C100:D100"/>
    <mergeCell ref="B101:E101"/>
    <mergeCell ref="B105:D105"/>
    <mergeCell ref="B106:E106"/>
    <mergeCell ref="C107:D107"/>
    <mergeCell ref="C108:D108"/>
    <mergeCell ref="C109:D109"/>
    <mergeCell ref="C110:D110"/>
    <mergeCell ref="C111:D111"/>
    <mergeCell ref="B112:E112"/>
    <mergeCell ref="C98:D98"/>
    <mergeCell ref="B48:F48"/>
    <mergeCell ref="B49:F49"/>
    <mergeCell ref="B55:F55"/>
    <mergeCell ref="B63:F63"/>
    <mergeCell ref="B64:F64"/>
    <mergeCell ref="B79:D79"/>
    <mergeCell ref="E79:E80"/>
    <mergeCell ref="C85:D85"/>
    <mergeCell ref="B94:E94"/>
    <mergeCell ref="B95:E95"/>
    <mergeCell ref="C96:D96"/>
    <mergeCell ref="C97:D97"/>
    <mergeCell ref="B43:F43"/>
    <mergeCell ref="A6:G7"/>
    <mergeCell ref="B9:E9"/>
    <mergeCell ref="B14:B15"/>
    <mergeCell ref="C14:C15"/>
    <mergeCell ref="D14:D15"/>
    <mergeCell ref="E14:E15"/>
    <mergeCell ref="F14:F15"/>
    <mergeCell ref="B16:F16"/>
    <mergeCell ref="B17:F17"/>
    <mergeCell ref="B26:F26"/>
    <mergeCell ref="B32:F32"/>
    <mergeCell ref="B37:F3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4" fitToWidth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B426D-AC3E-4315-BB0D-CB6C0C937C2C}">
  <sheetPr>
    <tabColor rgb="FF00B0F0"/>
  </sheetPr>
  <dimension ref="A6:Q265"/>
  <sheetViews>
    <sheetView view="pageBreakPreview" topLeftCell="A157" zoomScale="85" zoomScaleNormal="55" zoomScaleSheetLayoutView="85" workbookViewId="0">
      <selection activeCell="E221" sqref="E221"/>
    </sheetView>
  </sheetViews>
  <sheetFormatPr defaultRowHeight="14.4" x14ac:dyDescent="0.3"/>
  <cols>
    <col min="1" max="1" width="4.6640625" style="9" bestFit="1" customWidth="1"/>
    <col min="2" max="2" width="15" customWidth="1"/>
    <col min="3" max="3" width="22" style="132" customWidth="1"/>
    <col min="4" max="4" width="16.88671875" customWidth="1"/>
    <col min="5" max="5" width="21.33203125" customWidth="1"/>
    <col min="6" max="6" width="17.33203125" customWidth="1"/>
    <col min="7" max="7" width="20.6640625" customWidth="1"/>
    <col min="8" max="8" width="17.5546875" customWidth="1"/>
    <col min="9" max="9" width="19.88671875" customWidth="1"/>
    <col min="10" max="10" width="9.109375" customWidth="1"/>
    <col min="11" max="11" width="19.5546875" hidden="1" customWidth="1"/>
    <col min="12" max="12" width="10.109375" hidden="1" customWidth="1"/>
    <col min="13" max="13" width="9.109375" style="5" hidden="1" customWidth="1"/>
    <col min="14" max="14" width="11.33203125" hidden="1" customWidth="1"/>
    <col min="15" max="15" width="8.88671875" hidden="1" customWidth="1"/>
    <col min="16" max="16" width="8.88671875" customWidth="1"/>
    <col min="17" max="17" width="10.88671875" customWidth="1"/>
  </cols>
  <sheetData>
    <row r="6" spans="1:17" ht="14.4" customHeight="1" x14ac:dyDescent="0.3">
      <c r="A6" s="224" t="s">
        <v>603</v>
      </c>
      <c r="B6" s="224"/>
      <c r="C6" s="224"/>
      <c r="D6" s="224"/>
      <c r="E6" s="224"/>
      <c r="F6" s="224"/>
      <c r="G6" s="224"/>
      <c r="H6" s="129"/>
      <c r="I6" s="129"/>
      <c r="J6" s="129"/>
      <c r="K6" s="129"/>
      <c r="L6" s="129"/>
      <c r="M6" s="129"/>
      <c r="N6" s="129"/>
      <c r="O6" s="129"/>
      <c r="P6" s="129"/>
      <c r="Q6" s="129"/>
    </row>
    <row r="7" spans="1:17" ht="14.4" customHeight="1" x14ac:dyDescent="0.3">
      <c r="A7" s="224"/>
      <c r="B7" s="224"/>
      <c r="C7" s="224"/>
      <c r="D7" s="224"/>
      <c r="E7" s="224"/>
      <c r="F7" s="224"/>
      <c r="G7" s="224"/>
      <c r="H7" s="129"/>
      <c r="I7" s="129"/>
      <c r="J7" s="129"/>
      <c r="K7" s="129"/>
      <c r="L7" s="129"/>
      <c r="M7" s="129"/>
      <c r="N7" s="129"/>
      <c r="O7" s="129"/>
      <c r="P7" s="129"/>
      <c r="Q7" s="129"/>
    </row>
    <row r="8" spans="1:17" ht="14.4" customHeight="1" x14ac:dyDescent="0.3">
      <c r="A8" s="130"/>
      <c r="B8" s="130"/>
      <c r="C8" s="130"/>
      <c r="D8" s="130"/>
      <c r="E8" s="130"/>
      <c r="F8" s="130"/>
      <c r="G8" s="130"/>
      <c r="H8" s="129"/>
      <c r="I8" s="129"/>
      <c r="J8" s="129"/>
      <c r="K8" s="129"/>
      <c r="L8" s="129"/>
      <c r="M8" s="129"/>
      <c r="N8" s="129"/>
      <c r="O8" s="129"/>
      <c r="P8" s="129"/>
      <c r="Q8" s="129"/>
    </row>
    <row r="9" spans="1:17" x14ac:dyDescent="0.3">
      <c r="A9"/>
      <c r="B9" s="180" t="s">
        <v>679</v>
      </c>
      <c r="C9" s="180"/>
      <c r="D9" s="180"/>
      <c r="E9" s="180"/>
      <c r="M9"/>
    </row>
    <row r="10" spans="1:17" x14ac:dyDescent="0.3">
      <c r="A10"/>
      <c r="B10" s="148" t="s">
        <v>680</v>
      </c>
      <c r="C10" s="126"/>
      <c r="D10" s="26"/>
      <c r="E10" s="26"/>
    </row>
    <row r="11" spans="1:17" x14ac:dyDescent="0.3">
      <c r="A11"/>
      <c r="M11"/>
    </row>
    <row r="12" spans="1:17" x14ac:dyDescent="0.3">
      <c r="A12"/>
      <c r="B12" s="201" t="s">
        <v>2</v>
      </c>
      <c r="C12" s="199" t="s">
        <v>606</v>
      </c>
      <c r="D12" s="199" t="s">
        <v>7</v>
      </c>
      <c r="E12" s="199" t="s">
        <v>607</v>
      </c>
      <c r="F12" s="199" t="s">
        <v>608</v>
      </c>
      <c r="M12"/>
    </row>
    <row r="13" spans="1:17" x14ac:dyDescent="0.3">
      <c r="A13"/>
      <c r="B13" s="201"/>
      <c r="C13" s="199"/>
      <c r="D13" s="199"/>
      <c r="E13" s="199"/>
      <c r="F13" s="199"/>
      <c r="M13"/>
    </row>
    <row r="14" spans="1:17" x14ac:dyDescent="0.3">
      <c r="A14"/>
      <c r="B14" s="158" t="s">
        <v>389</v>
      </c>
      <c r="C14" s="159"/>
      <c r="D14" s="159"/>
      <c r="E14" s="159"/>
      <c r="F14" s="160"/>
      <c r="G14" s="82"/>
      <c r="M14"/>
    </row>
    <row r="15" spans="1:17" x14ac:dyDescent="0.3">
      <c r="A15"/>
      <c r="B15" s="158" t="s">
        <v>681</v>
      </c>
      <c r="C15" s="159"/>
      <c r="D15" s="159"/>
      <c r="E15" s="159"/>
      <c r="F15" s="160"/>
      <c r="G15" s="82"/>
      <c r="M15"/>
    </row>
    <row r="16" spans="1:17" x14ac:dyDescent="0.3">
      <c r="A16"/>
      <c r="B16" s="1">
        <v>1</v>
      </c>
      <c r="C16" s="32" t="s">
        <v>630</v>
      </c>
      <c r="D16" s="11">
        <f>8+6+8+1</f>
        <v>23</v>
      </c>
      <c r="E16" s="11">
        <v>4</v>
      </c>
      <c r="F16" s="11">
        <f>D16*E16</f>
        <v>92</v>
      </c>
      <c r="G16" s="82"/>
      <c r="M16"/>
    </row>
    <row r="17" spans="1:17" x14ac:dyDescent="0.3">
      <c r="A17"/>
      <c r="B17" s="1">
        <v>2</v>
      </c>
      <c r="C17" s="32" t="s">
        <v>10</v>
      </c>
      <c r="D17" s="11">
        <v>8</v>
      </c>
      <c r="E17" s="11">
        <v>2</v>
      </c>
      <c r="F17" s="11">
        <f t="shared" ref="F17:F19" si="0">D17*E17</f>
        <v>16</v>
      </c>
      <c r="G17" s="82"/>
      <c r="M17"/>
    </row>
    <row r="18" spans="1:17" x14ac:dyDescent="0.3">
      <c r="A18"/>
      <c r="B18" s="1">
        <v>3</v>
      </c>
      <c r="C18" s="32" t="s">
        <v>631</v>
      </c>
      <c r="D18" s="11">
        <f>8+9+11</f>
        <v>28</v>
      </c>
      <c r="E18" s="11">
        <v>1</v>
      </c>
      <c r="F18" s="11">
        <f t="shared" si="0"/>
        <v>28</v>
      </c>
      <c r="G18" s="82"/>
      <c r="M18"/>
    </row>
    <row r="19" spans="1:17" x14ac:dyDescent="0.3">
      <c r="A19"/>
      <c r="B19" s="1">
        <v>4</v>
      </c>
      <c r="C19" s="32" t="s">
        <v>682</v>
      </c>
      <c r="D19" s="11">
        <v>1</v>
      </c>
      <c r="E19" s="11">
        <v>3</v>
      </c>
      <c r="F19" s="11">
        <f t="shared" si="0"/>
        <v>3</v>
      </c>
      <c r="G19" s="82"/>
      <c r="M19"/>
    </row>
    <row r="20" spans="1:17" x14ac:dyDescent="0.3">
      <c r="A20"/>
      <c r="B20" s="82"/>
      <c r="C20" s="143"/>
      <c r="D20" s="143"/>
      <c r="E20" s="143"/>
      <c r="F20" s="143"/>
      <c r="G20" s="82"/>
      <c r="M20"/>
    </row>
    <row r="21" spans="1:17" x14ac:dyDescent="0.3">
      <c r="A21"/>
      <c r="B21" s="35" t="s">
        <v>653</v>
      </c>
      <c r="C21" s="24" t="s">
        <v>654</v>
      </c>
      <c r="D21" s="36" t="s">
        <v>363</v>
      </c>
      <c r="E21" s="143"/>
      <c r="F21" s="143"/>
      <c r="G21" s="82"/>
      <c r="M21"/>
    </row>
    <row r="22" spans="1:17" x14ac:dyDescent="0.3">
      <c r="A22"/>
      <c r="B22" s="35">
        <f>SUM(D16:D19)</f>
        <v>60</v>
      </c>
      <c r="C22" s="86">
        <f>SUM(F16:F19)</f>
        <v>139</v>
      </c>
      <c r="D22" s="136">
        <v>205</v>
      </c>
      <c r="E22" s="143"/>
      <c r="F22" s="143"/>
      <c r="G22" s="82"/>
      <c r="M22"/>
    </row>
    <row r="23" spans="1:17" x14ac:dyDescent="0.3">
      <c r="A23"/>
      <c r="M23"/>
    </row>
    <row r="24" spans="1:17" ht="28.95" customHeight="1" x14ac:dyDescent="0.3">
      <c r="A24"/>
      <c r="B24" s="133" t="s">
        <v>611</v>
      </c>
      <c r="C24" s="135">
        <v>30</v>
      </c>
      <c r="D24" s="1" t="s">
        <v>177</v>
      </c>
    </row>
    <row r="25" spans="1:17" x14ac:dyDescent="0.3">
      <c r="A25"/>
      <c r="B25" s="32" t="s">
        <v>239</v>
      </c>
      <c r="C25" s="86">
        <f>D22</f>
        <v>205</v>
      </c>
      <c r="D25" s="11" t="s">
        <v>236</v>
      </c>
    </row>
    <row r="26" spans="1:17" x14ac:dyDescent="0.3">
      <c r="A26"/>
      <c r="B26" s="32" t="s">
        <v>612</v>
      </c>
      <c r="C26" s="86">
        <f>C25*C24</f>
        <v>6150</v>
      </c>
      <c r="D26" s="11" t="s">
        <v>237</v>
      </c>
    </row>
    <row r="27" spans="1:17" x14ac:dyDescent="0.3">
      <c r="A27"/>
      <c r="B27" s="32" t="s">
        <v>612</v>
      </c>
      <c r="C27" s="86">
        <f>C26/1000</f>
        <v>6.15</v>
      </c>
      <c r="D27" s="11" t="s">
        <v>134</v>
      </c>
    </row>
    <row r="28" spans="1:17" x14ac:dyDescent="0.3">
      <c r="A28"/>
      <c r="B28" s="32" t="s">
        <v>613</v>
      </c>
      <c r="C28" s="86">
        <f>20/100</f>
        <v>0.2</v>
      </c>
      <c r="D28" s="11" t="s">
        <v>196</v>
      </c>
    </row>
    <row r="29" spans="1:17" x14ac:dyDescent="0.3">
      <c r="A29"/>
      <c r="B29" s="32" t="s">
        <v>614</v>
      </c>
      <c r="C29" s="135">
        <f>C27+C28</f>
        <v>6.3500000000000005</v>
      </c>
      <c r="D29" s="11" t="s">
        <v>134</v>
      </c>
    </row>
    <row r="30" spans="1:17" s="33" customFormat="1" x14ac:dyDescent="0.3">
      <c r="A30"/>
      <c r="B30"/>
      <c r="C30" s="132"/>
      <c r="D30"/>
      <c r="E30"/>
      <c r="F30"/>
      <c r="O30"/>
      <c r="Q30"/>
    </row>
    <row r="31" spans="1:17" x14ac:dyDescent="0.3">
      <c r="A31"/>
      <c r="B31" s="189" t="s">
        <v>615</v>
      </c>
      <c r="C31" s="189"/>
      <c r="D31" s="189"/>
      <c r="E31" s="201" t="s">
        <v>616</v>
      </c>
    </row>
    <row r="32" spans="1:17" x14ac:dyDescent="0.3">
      <c r="A32"/>
      <c r="B32" s="36" t="s">
        <v>617</v>
      </c>
      <c r="C32" s="24" t="s">
        <v>618</v>
      </c>
      <c r="D32" s="36" t="s">
        <v>619</v>
      </c>
      <c r="E32" s="201"/>
    </row>
    <row r="33" spans="1:17" x14ac:dyDescent="0.3">
      <c r="A33"/>
      <c r="B33" s="136">
        <v>2.4</v>
      </c>
      <c r="C33" s="137">
        <f>(E33)/(B33*D33)</f>
        <v>2.2048611111111112</v>
      </c>
      <c r="D33" s="136">
        <v>1.2</v>
      </c>
      <c r="E33" s="136">
        <f>C29</f>
        <v>6.3500000000000005</v>
      </c>
    </row>
    <row r="34" spans="1:17" s="33" customFormat="1" x14ac:dyDescent="0.3">
      <c r="A34"/>
      <c r="B34"/>
      <c r="C34" s="132"/>
      <c r="D34"/>
      <c r="E34"/>
      <c r="F34"/>
      <c r="Q34"/>
    </row>
    <row r="35" spans="1:17" ht="27.6" customHeight="1" x14ac:dyDescent="0.3">
      <c r="A35"/>
      <c r="B35" s="138" t="s">
        <v>620</v>
      </c>
      <c r="C35" s="135">
        <f>C25*2</f>
        <v>410</v>
      </c>
      <c r="D35" s="1" t="s">
        <v>236</v>
      </c>
      <c r="E35" s="26" t="s">
        <v>621</v>
      </c>
      <c r="F35" s="137">
        <v>410</v>
      </c>
      <c r="G35" s="1" t="s">
        <v>196</v>
      </c>
    </row>
    <row r="36" spans="1:17" x14ac:dyDescent="0.3">
      <c r="A36"/>
      <c r="B36" s="35" t="s">
        <v>622</v>
      </c>
      <c r="C36" s="139">
        <f>C52+C63+D65+C70</f>
        <v>8.9897528689941861</v>
      </c>
      <c r="D36" s="1" t="s">
        <v>196</v>
      </c>
      <c r="E36" s="26" t="s">
        <v>621</v>
      </c>
      <c r="F36" s="137">
        <v>10</v>
      </c>
      <c r="G36" s="1" t="s">
        <v>196</v>
      </c>
    </row>
    <row r="37" spans="1:17" x14ac:dyDescent="0.3">
      <c r="A37"/>
      <c r="B37" s="36" t="s">
        <v>623</v>
      </c>
      <c r="C37" s="151" t="s">
        <v>624</v>
      </c>
      <c r="D37" s="151"/>
    </row>
    <row r="38" spans="1:17" x14ac:dyDescent="0.3">
      <c r="A38"/>
    </row>
    <row r="39" spans="1:17" x14ac:dyDescent="0.3">
      <c r="A39"/>
      <c r="B39" s="11" t="s">
        <v>625</v>
      </c>
      <c r="C39" s="86">
        <f>C35</f>
        <v>410</v>
      </c>
      <c r="D39" s="11" t="s">
        <v>236</v>
      </c>
    </row>
    <row r="40" spans="1:17" x14ac:dyDescent="0.3">
      <c r="A40"/>
      <c r="B40" s="11"/>
      <c r="C40" s="86">
        <f>(C39/1000)/60</f>
        <v>6.8333333333333328E-3</v>
      </c>
      <c r="D40" s="11" t="s">
        <v>194</v>
      </c>
    </row>
    <row r="41" spans="1:17" x14ac:dyDescent="0.3">
      <c r="A41"/>
      <c r="B41" s="11" t="s">
        <v>199</v>
      </c>
      <c r="C41" s="86">
        <v>2</v>
      </c>
      <c r="D41" s="11" t="s">
        <v>198</v>
      </c>
    </row>
    <row r="42" spans="1:17" s="33" customFormat="1" x14ac:dyDescent="0.3">
      <c r="A42"/>
      <c r="B42" s="11" t="s">
        <v>126</v>
      </c>
      <c r="C42" s="86">
        <f>SQRT((C40*4)/(C41*3.14))</f>
        <v>6.597303701958937E-2</v>
      </c>
      <c r="D42" s="11" t="s">
        <v>196</v>
      </c>
      <c r="E42"/>
      <c r="F42"/>
      <c r="Q42"/>
    </row>
    <row r="43" spans="1:17" x14ac:dyDescent="0.3">
      <c r="A43"/>
      <c r="B43" s="11"/>
      <c r="C43" s="86">
        <f>C42*1000</f>
        <v>65.97303701958937</v>
      </c>
      <c r="D43" s="11" t="s">
        <v>197</v>
      </c>
    </row>
    <row r="44" spans="1:17" x14ac:dyDescent="0.3">
      <c r="A44"/>
      <c r="B44" s="11" t="s">
        <v>235</v>
      </c>
      <c r="C44" s="135">
        <v>65</v>
      </c>
      <c r="D44" s="11" t="s">
        <v>197</v>
      </c>
    </row>
    <row r="45" spans="1:17" x14ac:dyDescent="0.3">
      <c r="A45"/>
      <c r="B45" s="26"/>
      <c r="C45" s="140"/>
      <c r="D45" s="26"/>
      <c r="G45" s="140"/>
      <c r="H45" s="5"/>
      <c r="I45" s="5"/>
      <c r="J45" s="5"/>
    </row>
    <row r="46" spans="1:17" x14ac:dyDescent="0.3">
      <c r="A46"/>
      <c r="B46" s="199" t="s">
        <v>242</v>
      </c>
      <c r="C46" s="199"/>
      <c r="D46" s="199"/>
      <c r="E46" s="199"/>
      <c r="G46" s="140"/>
      <c r="H46" s="5"/>
      <c r="I46" s="5"/>
      <c r="J46" s="5"/>
    </row>
    <row r="47" spans="1:17" x14ac:dyDescent="0.3">
      <c r="A47"/>
      <c r="B47" s="176" t="s">
        <v>243</v>
      </c>
      <c r="C47" s="176"/>
      <c r="D47" s="176"/>
      <c r="E47" s="176"/>
      <c r="G47" s="140"/>
      <c r="H47" s="5"/>
      <c r="I47" s="5"/>
      <c r="J47" s="5"/>
    </row>
    <row r="48" spans="1:17" x14ac:dyDescent="0.3">
      <c r="A48"/>
      <c r="B48" s="11" t="s">
        <v>239</v>
      </c>
      <c r="C48" s="151">
        <f>C40</f>
        <v>6.8333333333333328E-3</v>
      </c>
      <c r="D48" s="151"/>
      <c r="E48" s="11" t="s">
        <v>194</v>
      </c>
      <c r="G48" s="140"/>
      <c r="H48" s="5"/>
      <c r="I48" s="5"/>
      <c r="J48" s="5"/>
    </row>
    <row r="49" spans="1:10" x14ac:dyDescent="0.3">
      <c r="A49"/>
      <c r="B49" s="1" t="s">
        <v>125</v>
      </c>
      <c r="C49" s="176">
        <v>150</v>
      </c>
      <c r="D49" s="176"/>
      <c r="E49" s="1"/>
      <c r="G49" s="140"/>
      <c r="H49" s="5"/>
      <c r="I49" s="5"/>
      <c r="J49" s="5"/>
    </row>
    <row r="50" spans="1:10" x14ac:dyDescent="0.3">
      <c r="A50"/>
      <c r="B50" s="11" t="s">
        <v>126</v>
      </c>
      <c r="C50" s="151">
        <f>C42</f>
        <v>6.597303701958937E-2</v>
      </c>
      <c r="D50" s="151"/>
      <c r="E50" s="11" t="s">
        <v>196</v>
      </c>
      <c r="G50" s="140"/>
      <c r="H50" s="5"/>
      <c r="I50" s="5"/>
      <c r="J50" s="5"/>
    </row>
    <row r="51" spans="1:10" x14ac:dyDescent="0.3">
      <c r="A51"/>
      <c r="B51" s="11" t="s">
        <v>237</v>
      </c>
      <c r="C51" s="151">
        <v>50</v>
      </c>
      <c r="D51" s="151"/>
      <c r="E51" s="11" t="s">
        <v>196</v>
      </c>
      <c r="G51" s="140"/>
      <c r="H51" s="5"/>
      <c r="I51" s="5"/>
      <c r="J51" s="5"/>
    </row>
    <row r="52" spans="1:10" x14ac:dyDescent="0.3">
      <c r="A52"/>
      <c r="B52" s="11" t="s">
        <v>240</v>
      </c>
      <c r="C52" s="203">
        <f>(((10.67)*(C48^1.85))/((C49^1.85)*(C50^4.87)))*C51</f>
        <v>2.7868986386170205</v>
      </c>
      <c r="D52" s="203"/>
      <c r="E52" s="11" t="s">
        <v>196</v>
      </c>
      <c r="G52" s="140"/>
      <c r="H52" s="5"/>
      <c r="I52" s="5"/>
      <c r="J52" s="5"/>
    </row>
    <row r="53" spans="1:10" x14ac:dyDescent="0.3">
      <c r="A53"/>
      <c r="B53" s="151" t="s">
        <v>244</v>
      </c>
      <c r="C53" s="151"/>
      <c r="D53" s="151"/>
      <c r="E53" s="151"/>
      <c r="G53" s="140"/>
      <c r="H53" s="5"/>
      <c r="I53" s="5"/>
      <c r="J53" s="5"/>
    </row>
    <row r="54" spans="1:10" x14ac:dyDescent="0.3">
      <c r="A54"/>
      <c r="B54" s="11" t="s">
        <v>245</v>
      </c>
      <c r="C54" s="11" t="s">
        <v>246</v>
      </c>
      <c r="D54" s="11" t="s">
        <v>247</v>
      </c>
      <c r="E54" s="11" t="s">
        <v>248</v>
      </c>
      <c r="G54" s="140"/>
      <c r="H54" s="5"/>
      <c r="I54" s="5"/>
      <c r="J54" s="5"/>
    </row>
    <row r="55" spans="1:10" x14ac:dyDescent="0.3">
      <c r="A55"/>
      <c r="B55" s="11" t="s">
        <v>249</v>
      </c>
      <c r="C55" s="11">
        <v>7</v>
      </c>
      <c r="D55" s="11">
        <v>0.7</v>
      </c>
      <c r="E55" s="11">
        <f>C55*D55</f>
        <v>4.8999999999999995</v>
      </c>
      <c r="G55" s="140"/>
      <c r="H55" s="5"/>
      <c r="I55" s="5"/>
      <c r="J55" s="5"/>
    </row>
    <row r="56" spans="1:10" x14ac:dyDescent="0.3">
      <c r="A56"/>
      <c r="B56" s="11"/>
      <c r="C56" s="11"/>
      <c r="D56" s="11"/>
      <c r="E56" s="11"/>
      <c r="G56" s="140"/>
      <c r="H56" s="5"/>
      <c r="I56" s="5"/>
      <c r="J56" s="5"/>
    </row>
    <row r="57" spans="1:10" x14ac:dyDescent="0.3">
      <c r="A57"/>
      <c r="B57" s="151" t="s">
        <v>250</v>
      </c>
      <c r="C57" s="151"/>
      <c r="D57" s="151"/>
      <c r="E57" s="11">
        <f>SUM(E55:E56)</f>
        <v>4.8999999999999995</v>
      </c>
      <c r="G57" s="140"/>
      <c r="H57" s="5"/>
      <c r="I57" s="5"/>
      <c r="J57" s="5"/>
    </row>
    <row r="58" spans="1:10" x14ac:dyDescent="0.3">
      <c r="A58"/>
      <c r="B58" s="151"/>
      <c r="C58" s="151"/>
      <c r="D58" s="151"/>
      <c r="E58" s="151"/>
      <c r="G58" s="140"/>
      <c r="H58" s="5"/>
      <c r="I58" s="5"/>
      <c r="J58" s="5"/>
    </row>
    <row r="59" spans="1:10" x14ac:dyDescent="0.3">
      <c r="A59"/>
      <c r="B59" s="11" t="s">
        <v>199</v>
      </c>
      <c r="C59" s="176">
        <f>C41</f>
        <v>2</v>
      </c>
      <c r="D59" s="176"/>
      <c r="E59" s="11" t="s">
        <v>198</v>
      </c>
      <c r="G59" s="140"/>
      <c r="H59" s="5"/>
      <c r="I59" s="5"/>
      <c r="J59" s="5"/>
    </row>
    <row r="60" spans="1:10" x14ac:dyDescent="0.3">
      <c r="A60"/>
      <c r="B60" s="11" t="s">
        <v>251</v>
      </c>
      <c r="C60" s="176">
        <f>C59^2</f>
        <v>4</v>
      </c>
      <c r="D60" s="176"/>
      <c r="E60" s="11" t="s">
        <v>252</v>
      </c>
      <c r="G60" s="140"/>
      <c r="H60" s="5"/>
      <c r="I60" s="5"/>
      <c r="J60" s="5"/>
    </row>
    <row r="61" spans="1:10" x14ac:dyDescent="0.3">
      <c r="A61"/>
      <c r="B61" s="11" t="s">
        <v>253</v>
      </c>
      <c r="C61" s="176">
        <v>9.81</v>
      </c>
      <c r="D61" s="176"/>
      <c r="E61" s="11" t="s">
        <v>254</v>
      </c>
      <c r="G61" s="140"/>
      <c r="H61" s="5"/>
      <c r="I61" s="5"/>
      <c r="J61" s="5"/>
    </row>
    <row r="62" spans="1:10" x14ac:dyDescent="0.3">
      <c r="A62"/>
      <c r="B62" s="11" t="s">
        <v>255</v>
      </c>
      <c r="C62" s="151">
        <f>2*C61</f>
        <v>19.62</v>
      </c>
      <c r="D62" s="151"/>
      <c r="E62" s="11" t="s">
        <v>254</v>
      </c>
      <c r="G62" s="140"/>
      <c r="H62" s="5"/>
      <c r="I62" s="5"/>
      <c r="J62" s="5"/>
    </row>
    <row r="63" spans="1:10" x14ac:dyDescent="0.3">
      <c r="A63"/>
      <c r="B63" s="11" t="s">
        <v>240</v>
      </c>
      <c r="C63" s="198">
        <f>(E57)*(C60/C62)</f>
        <v>0.99898063200815479</v>
      </c>
      <c r="D63" s="198"/>
      <c r="E63" s="11" t="s">
        <v>196</v>
      </c>
      <c r="G63" s="140"/>
      <c r="H63" s="5"/>
      <c r="I63" s="5"/>
      <c r="J63" s="5"/>
    </row>
    <row r="64" spans="1:10" x14ac:dyDescent="0.3">
      <c r="A64"/>
      <c r="B64" s="199" t="s">
        <v>256</v>
      </c>
      <c r="C64" s="199"/>
      <c r="D64" s="199"/>
      <c r="E64" s="199"/>
      <c r="G64" s="140"/>
      <c r="H64" s="5"/>
      <c r="I64" s="5"/>
      <c r="J64" s="5"/>
    </row>
    <row r="65" spans="1:17" x14ac:dyDescent="0.3">
      <c r="A65"/>
      <c r="B65" s="151" t="s">
        <v>257</v>
      </c>
      <c r="C65" s="151"/>
      <c r="D65" s="11">
        <f>5000/1000</f>
        <v>5</v>
      </c>
      <c r="E65" s="11" t="s">
        <v>196</v>
      </c>
      <c r="G65" s="140"/>
      <c r="H65" s="5"/>
      <c r="I65" s="5"/>
      <c r="J65" s="5"/>
    </row>
    <row r="66" spans="1:17" x14ac:dyDescent="0.3">
      <c r="A66"/>
      <c r="B66" s="201" t="s">
        <v>258</v>
      </c>
      <c r="C66" s="201"/>
      <c r="D66" s="201"/>
      <c r="E66" s="201"/>
      <c r="G66" s="140"/>
      <c r="H66" s="5"/>
      <c r="I66" s="5"/>
      <c r="J66" s="5"/>
    </row>
    <row r="67" spans="1:17" x14ac:dyDescent="0.3">
      <c r="A67"/>
      <c r="B67" s="11" t="s">
        <v>199</v>
      </c>
      <c r="C67" s="11">
        <f>C41</f>
        <v>2</v>
      </c>
      <c r="D67" s="151" t="s">
        <v>198</v>
      </c>
      <c r="E67" s="151"/>
      <c r="G67" s="140"/>
      <c r="H67" s="5"/>
      <c r="I67" s="5"/>
      <c r="J67" s="5"/>
    </row>
    <row r="68" spans="1:17" x14ac:dyDescent="0.3">
      <c r="A68"/>
      <c r="B68" s="11" t="s">
        <v>251</v>
      </c>
      <c r="C68" s="11">
        <f>C67^2</f>
        <v>4</v>
      </c>
      <c r="D68" s="151" t="s">
        <v>252</v>
      </c>
      <c r="E68" s="151"/>
      <c r="G68" s="140"/>
      <c r="H68" s="5"/>
      <c r="I68" s="5"/>
      <c r="J68" s="5"/>
    </row>
    <row r="69" spans="1:17" x14ac:dyDescent="0.3">
      <c r="A69"/>
      <c r="B69" s="11" t="s">
        <v>253</v>
      </c>
      <c r="C69" s="11">
        <v>9.81</v>
      </c>
      <c r="D69" s="151" t="s">
        <v>254</v>
      </c>
      <c r="E69" s="151"/>
      <c r="G69" s="140"/>
      <c r="H69" s="5"/>
      <c r="I69" s="5"/>
      <c r="J69" s="5"/>
    </row>
    <row r="70" spans="1:17" x14ac:dyDescent="0.3">
      <c r="A70"/>
      <c r="B70" s="86" t="s">
        <v>258</v>
      </c>
      <c r="C70" s="141">
        <f>C68/(2*C69)</f>
        <v>0.2038735983690112</v>
      </c>
      <c r="D70" s="231" t="s">
        <v>196</v>
      </c>
      <c r="E70" s="232"/>
      <c r="G70" s="140"/>
      <c r="H70" s="5"/>
      <c r="I70" s="5"/>
      <c r="J70" s="5"/>
    </row>
    <row r="71" spans="1:17" x14ac:dyDescent="0.3">
      <c r="A71"/>
      <c r="B71" s="132"/>
      <c r="C71" s="142"/>
      <c r="D71" s="5"/>
      <c r="E71" s="5"/>
      <c r="G71" s="140"/>
      <c r="H71" s="5"/>
      <c r="I71" s="5"/>
      <c r="J71" s="5"/>
    </row>
    <row r="72" spans="1:17" x14ac:dyDescent="0.3">
      <c r="A72"/>
      <c r="B72" s="180" t="s">
        <v>683</v>
      </c>
      <c r="C72" s="180"/>
      <c r="D72" s="180"/>
      <c r="E72" s="180"/>
    </row>
    <row r="73" spans="1:17" x14ac:dyDescent="0.3">
      <c r="A73"/>
      <c r="B73" s="131" t="s">
        <v>684</v>
      </c>
      <c r="C73" s="126"/>
      <c r="D73" s="126"/>
      <c r="E73" s="126"/>
    </row>
    <row r="74" spans="1:17" x14ac:dyDescent="0.3">
      <c r="A74"/>
      <c r="B74" s="82"/>
      <c r="C74" s="143"/>
      <c r="D74" s="5"/>
      <c r="E74" s="5"/>
      <c r="F74" s="5"/>
      <c r="G74" s="5"/>
    </row>
    <row r="75" spans="1:17" s="33" customFormat="1" x14ac:dyDescent="0.3">
      <c r="A75"/>
      <c r="B75" s="199" t="s">
        <v>2</v>
      </c>
      <c r="C75" s="199" t="s">
        <v>629</v>
      </c>
      <c r="D75" s="199" t="s">
        <v>7</v>
      </c>
      <c r="E75" s="199" t="s">
        <v>607</v>
      </c>
      <c r="F75" s="199" t="s">
        <v>608</v>
      </c>
      <c r="G75"/>
      <c r="H75"/>
      <c r="Q75"/>
    </row>
    <row r="76" spans="1:17" x14ac:dyDescent="0.3">
      <c r="A76"/>
      <c r="B76" s="199"/>
      <c r="C76" s="199"/>
      <c r="D76" s="199"/>
      <c r="E76" s="199"/>
      <c r="F76" s="199"/>
    </row>
    <row r="77" spans="1:17" x14ac:dyDescent="0.3">
      <c r="A77"/>
      <c r="B77" s="158" t="s">
        <v>389</v>
      </c>
      <c r="C77" s="159"/>
      <c r="D77" s="159"/>
      <c r="E77" s="159"/>
      <c r="F77" s="160"/>
      <c r="G77" s="143"/>
    </row>
    <row r="78" spans="1:17" x14ac:dyDescent="0.3">
      <c r="A78"/>
      <c r="B78" s="158" t="s">
        <v>681</v>
      </c>
      <c r="C78" s="159"/>
      <c r="D78" s="159"/>
      <c r="E78" s="159"/>
      <c r="F78" s="160"/>
      <c r="G78" s="143"/>
    </row>
    <row r="79" spans="1:17" x14ac:dyDescent="0.3">
      <c r="A79"/>
      <c r="B79" s="1">
        <v>1</v>
      </c>
      <c r="C79" s="32" t="s">
        <v>630</v>
      </c>
      <c r="D79" s="11">
        <v>6</v>
      </c>
      <c r="E79" s="11">
        <v>4</v>
      </c>
      <c r="F79" s="11">
        <f>D79*E79</f>
        <v>24</v>
      </c>
      <c r="G79" s="143"/>
    </row>
    <row r="80" spans="1:17" x14ac:dyDescent="0.3">
      <c r="A80"/>
      <c r="B80" s="1">
        <v>2</v>
      </c>
      <c r="C80" s="32" t="s">
        <v>10</v>
      </c>
      <c r="D80" s="11">
        <v>6</v>
      </c>
      <c r="E80" s="11">
        <v>2</v>
      </c>
      <c r="F80" s="11">
        <f t="shared" ref="F80:F81" si="1">D80*E80</f>
        <v>12</v>
      </c>
      <c r="G80" s="143"/>
    </row>
    <row r="81" spans="1:17" x14ac:dyDescent="0.3">
      <c r="A81"/>
      <c r="B81" s="1">
        <v>3</v>
      </c>
      <c r="C81" s="32" t="s">
        <v>631</v>
      </c>
      <c r="D81" s="11">
        <v>6</v>
      </c>
      <c r="E81" s="11">
        <v>1</v>
      </c>
      <c r="F81" s="11">
        <f t="shared" si="1"/>
        <v>6</v>
      </c>
      <c r="G81" s="143"/>
    </row>
    <row r="82" spans="1:17" x14ac:dyDescent="0.3">
      <c r="A82"/>
      <c r="B82" s="143"/>
      <c r="C82" s="143"/>
      <c r="D82" s="143"/>
      <c r="E82" s="143"/>
      <c r="F82" s="143"/>
      <c r="G82" s="143"/>
    </row>
    <row r="83" spans="1:17" x14ac:dyDescent="0.3">
      <c r="A83"/>
      <c r="B83" s="35" t="s">
        <v>653</v>
      </c>
      <c r="C83" s="24" t="s">
        <v>654</v>
      </c>
      <c r="D83" s="36" t="s">
        <v>363</v>
      </c>
      <c r="E83" s="143"/>
      <c r="F83" s="143"/>
      <c r="G83" s="143"/>
    </row>
    <row r="84" spans="1:17" x14ac:dyDescent="0.3">
      <c r="A84"/>
      <c r="B84" s="35">
        <f>SUM(D79:D81)</f>
        <v>18</v>
      </c>
      <c r="C84" s="86">
        <f>SUM(F79:F81)</f>
        <v>42</v>
      </c>
      <c r="D84" s="11">
        <v>100</v>
      </c>
      <c r="E84" s="143"/>
      <c r="F84" s="143"/>
      <c r="G84" s="143"/>
    </row>
    <row r="85" spans="1:17" x14ac:dyDescent="0.3">
      <c r="A85"/>
      <c r="B85" s="5"/>
      <c r="C85" s="140"/>
      <c r="D85" s="5"/>
      <c r="E85" s="5"/>
      <c r="F85" s="5"/>
      <c r="G85" s="5"/>
    </row>
    <row r="86" spans="1:17" ht="28.8" x14ac:dyDescent="0.3">
      <c r="A86"/>
      <c r="B86" s="133" t="s">
        <v>611</v>
      </c>
      <c r="C86" s="135">
        <v>30</v>
      </c>
      <c r="D86" s="1" t="s">
        <v>177</v>
      </c>
      <c r="E86" s="5"/>
      <c r="F86" s="5"/>
    </row>
    <row r="87" spans="1:17" x14ac:dyDescent="0.3">
      <c r="A87"/>
      <c r="B87" s="32" t="s">
        <v>633</v>
      </c>
      <c r="C87" s="86">
        <f>D84</f>
        <v>100</v>
      </c>
      <c r="D87" s="11" t="s">
        <v>236</v>
      </c>
    </row>
    <row r="88" spans="1:17" x14ac:dyDescent="0.3">
      <c r="A88"/>
      <c r="B88" s="32" t="s">
        <v>612</v>
      </c>
      <c r="C88" s="86">
        <f>C87*C86</f>
        <v>3000</v>
      </c>
      <c r="D88" s="11" t="s">
        <v>237</v>
      </c>
    </row>
    <row r="89" spans="1:17" x14ac:dyDescent="0.3">
      <c r="A89"/>
      <c r="B89" s="32" t="s">
        <v>612</v>
      </c>
      <c r="C89" s="86">
        <f>C88/1000</f>
        <v>3</v>
      </c>
      <c r="D89" s="11" t="s">
        <v>134</v>
      </c>
    </row>
    <row r="90" spans="1:17" x14ac:dyDescent="0.3">
      <c r="A90"/>
      <c r="B90" s="32" t="s">
        <v>634</v>
      </c>
      <c r="C90" s="86">
        <v>0.2</v>
      </c>
      <c r="D90" s="11" t="s">
        <v>196</v>
      </c>
    </row>
    <row r="91" spans="1:17" x14ac:dyDescent="0.3">
      <c r="A91"/>
      <c r="B91" s="32" t="s">
        <v>635</v>
      </c>
      <c r="C91" s="135">
        <f>C89+C90</f>
        <v>3.2</v>
      </c>
      <c r="D91" s="11" t="s">
        <v>134</v>
      </c>
    </row>
    <row r="92" spans="1:17" x14ac:dyDescent="0.3">
      <c r="A92"/>
    </row>
    <row r="93" spans="1:17" s="33" customFormat="1" x14ac:dyDescent="0.3">
      <c r="A93"/>
      <c r="B93" s="189" t="s">
        <v>615</v>
      </c>
      <c r="C93" s="189"/>
      <c r="D93" s="189"/>
      <c r="E93" s="201" t="s">
        <v>616</v>
      </c>
      <c r="F93"/>
      <c r="O93"/>
      <c r="Q93"/>
    </row>
    <row r="94" spans="1:17" x14ac:dyDescent="0.3">
      <c r="A94"/>
      <c r="B94" s="36" t="s">
        <v>617</v>
      </c>
      <c r="C94" s="24" t="s">
        <v>618</v>
      </c>
      <c r="D94" s="36" t="s">
        <v>619</v>
      </c>
      <c r="E94" s="201"/>
    </row>
    <row r="95" spans="1:17" x14ac:dyDescent="0.3">
      <c r="A95"/>
      <c r="B95" s="136">
        <v>2</v>
      </c>
      <c r="C95" s="137">
        <f>(E95)/(B95*D95)</f>
        <v>1.3333333333333335</v>
      </c>
      <c r="D95" s="136">
        <v>1.2</v>
      </c>
      <c r="E95" s="136">
        <f>C91</f>
        <v>3.2</v>
      </c>
    </row>
    <row r="96" spans="1:17" ht="14.4" customHeight="1" x14ac:dyDescent="0.3">
      <c r="A96"/>
    </row>
    <row r="97" spans="1:17" ht="28.8" x14ac:dyDescent="0.3">
      <c r="A97"/>
      <c r="B97" s="138" t="s">
        <v>620</v>
      </c>
      <c r="C97" s="135">
        <f>C87*2</f>
        <v>200</v>
      </c>
      <c r="D97" s="1" t="s">
        <v>236</v>
      </c>
      <c r="E97" s="26" t="s">
        <v>621</v>
      </c>
      <c r="F97" s="137">
        <v>200</v>
      </c>
      <c r="G97" s="1" t="s">
        <v>196</v>
      </c>
    </row>
    <row r="98" spans="1:17" x14ac:dyDescent="0.3">
      <c r="A98"/>
      <c r="B98" s="35" t="s">
        <v>622</v>
      </c>
      <c r="C98" s="139">
        <f>C115+C126+D128+C133</f>
        <v>10.444136550366739</v>
      </c>
      <c r="D98" s="1" t="s">
        <v>196</v>
      </c>
      <c r="E98" s="26" t="s">
        <v>621</v>
      </c>
      <c r="F98" s="137">
        <v>15</v>
      </c>
      <c r="G98" s="1" t="s">
        <v>196</v>
      </c>
    </row>
    <row r="99" spans="1:17" x14ac:dyDescent="0.3">
      <c r="A99"/>
      <c r="B99" s="36" t="s">
        <v>623</v>
      </c>
      <c r="C99" s="151" t="s">
        <v>624</v>
      </c>
      <c r="D99" s="151"/>
    </row>
    <row r="100" spans="1:17" x14ac:dyDescent="0.3">
      <c r="A100"/>
    </row>
    <row r="101" spans="1:17" x14ac:dyDescent="0.3">
      <c r="A101"/>
    </row>
    <row r="102" spans="1:17" s="33" customFormat="1" x14ac:dyDescent="0.3">
      <c r="A102"/>
      <c r="B102" s="11" t="s">
        <v>625</v>
      </c>
      <c r="C102" s="86">
        <f>C97</f>
        <v>200</v>
      </c>
      <c r="D102" s="11" t="s">
        <v>236</v>
      </c>
      <c r="E102"/>
      <c r="F102"/>
      <c r="P102"/>
      <c r="Q102"/>
    </row>
    <row r="103" spans="1:17" ht="14.4" customHeight="1" x14ac:dyDescent="0.3">
      <c r="A103"/>
      <c r="B103" s="11"/>
      <c r="C103" s="86">
        <f>(C102/1000)/60</f>
        <v>3.3333333333333335E-3</v>
      </c>
      <c r="D103" s="11" t="s">
        <v>194</v>
      </c>
    </row>
    <row r="104" spans="1:17" x14ac:dyDescent="0.3">
      <c r="A104"/>
      <c r="B104" s="11" t="s">
        <v>199</v>
      </c>
      <c r="C104" s="86">
        <v>2</v>
      </c>
      <c r="D104" s="11" t="s">
        <v>198</v>
      </c>
    </row>
    <row r="105" spans="1:17" x14ac:dyDescent="0.3">
      <c r="A105"/>
      <c r="B105" s="11" t="s">
        <v>126</v>
      </c>
      <c r="C105" s="86">
        <f>SQRT((C103*4)/(C104*3.14))</f>
        <v>4.6077567758409141E-2</v>
      </c>
      <c r="D105" s="11" t="s">
        <v>196</v>
      </c>
    </row>
    <row r="106" spans="1:17" x14ac:dyDescent="0.3">
      <c r="A106"/>
      <c r="B106" s="11"/>
      <c r="C106" s="86">
        <f>C105*1000</f>
        <v>46.077567758409138</v>
      </c>
      <c r="D106" s="11" t="s">
        <v>197</v>
      </c>
    </row>
    <row r="107" spans="1:17" x14ac:dyDescent="0.3">
      <c r="A107"/>
      <c r="B107" s="11" t="s">
        <v>235</v>
      </c>
      <c r="C107" s="135">
        <v>50</v>
      </c>
      <c r="D107" s="11" t="s">
        <v>197</v>
      </c>
    </row>
    <row r="108" spans="1:17" s="33" customFormat="1" x14ac:dyDescent="0.3">
      <c r="A108"/>
      <c r="B108"/>
      <c r="C108" s="132"/>
      <c r="D108"/>
      <c r="E108"/>
      <c r="F108"/>
      <c r="J108"/>
      <c r="K108"/>
      <c r="L108"/>
      <c r="M108"/>
      <c r="N108"/>
      <c r="O108"/>
      <c r="P108"/>
      <c r="Q108"/>
    </row>
    <row r="109" spans="1:17" s="33" customFormat="1" x14ac:dyDescent="0.3">
      <c r="A109"/>
      <c r="B109" s="195" t="s">
        <v>242</v>
      </c>
      <c r="C109" s="223"/>
      <c r="D109" s="223"/>
      <c r="E109" s="196"/>
      <c r="F109"/>
      <c r="J109"/>
      <c r="K109"/>
      <c r="L109"/>
      <c r="M109"/>
      <c r="N109"/>
      <c r="O109"/>
      <c r="P109"/>
      <c r="Q109"/>
    </row>
    <row r="110" spans="1:17" s="33" customFormat="1" x14ac:dyDescent="0.3">
      <c r="A110"/>
      <c r="B110" s="176" t="s">
        <v>243</v>
      </c>
      <c r="C110" s="176"/>
      <c r="D110" s="176"/>
      <c r="E110" s="176"/>
      <c r="F110"/>
      <c r="J110"/>
      <c r="K110"/>
      <c r="L110"/>
      <c r="M110"/>
      <c r="N110"/>
      <c r="O110"/>
      <c r="P110"/>
      <c r="Q110"/>
    </row>
    <row r="111" spans="1:17" s="33" customFormat="1" x14ac:dyDescent="0.3">
      <c r="A111"/>
      <c r="B111" s="11" t="s">
        <v>239</v>
      </c>
      <c r="C111" s="151">
        <f>C103</f>
        <v>3.3333333333333335E-3</v>
      </c>
      <c r="D111" s="151"/>
      <c r="E111" s="11" t="s">
        <v>194</v>
      </c>
      <c r="F111"/>
      <c r="J111"/>
      <c r="K111"/>
      <c r="L111"/>
      <c r="M111"/>
      <c r="N111"/>
      <c r="O111"/>
      <c r="P111"/>
      <c r="Q111"/>
    </row>
    <row r="112" spans="1:17" s="33" customFormat="1" x14ac:dyDescent="0.3">
      <c r="A112"/>
      <c r="B112" s="1" t="s">
        <v>125</v>
      </c>
      <c r="C112" s="176">
        <v>150</v>
      </c>
      <c r="D112" s="176"/>
      <c r="E112" s="1"/>
      <c r="F112"/>
      <c r="J112"/>
      <c r="K112"/>
      <c r="L112"/>
      <c r="M112"/>
      <c r="N112"/>
      <c r="O112"/>
      <c r="P112"/>
      <c r="Q112"/>
    </row>
    <row r="113" spans="1:17" s="33" customFormat="1" x14ac:dyDescent="0.3">
      <c r="A113"/>
      <c r="B113" s="11" t="s">
        <v>126</v>
      </c>
      <c r="C113" s="151">
        <f>C105</f>
        <v>4.6077567758409141E-2</v>
      </c>
      <c r="D113" s="151"/>
      <c r="E113" s="11" t="s">
        <v>196</v>
      </c>
      <c r="F113"/>
      <c r="J113"/>
      <c r="K113"/>
      <c r="L113"/>
      <c r="M113"/>
      <c r="N113"/>
      <c r="O113"/>
      <c r="P113"/>
      <c r="Q113"/>
    </row>
    <row r="114" spans="1:17" s="33" customFormat="1" x14ac:dyDescent="0.3">
      <c r="A114"/>
      <c r="B114" s="11" t="s">
        <v>237</v>
      </c>
      <c r="C114" s="225">
        <v>50</v>
      </c>
      <c r="D114" s="225"/>
      <c r="E114" s="11" t="s">
        <v>196</v>
      </c>
      <c r="F114"/>
      <c r="J114"/>
      <c r="K114"/>
      <c r="L114"/>
      <c r="M114"/>
      <c r="N114"/>
      <c r="O114"/>
      <c r="P114"/>
      <c r="Q114"/>
    </row>
    <row r="115" spans="1:17" s="33" customFormat="1" x14ac:dyDescent="0.3">
      <c r="A115"/>
      <c r="B115" s="11" t="s">
        <v>240</v>
      </c>
      <c r="C115" s="203">
        <f>(((10.67)*(C111^1.85))/((C112^1.85)*(C113^4.87)))*C114</f>
        <v>4.2412823199895735</v>
      </c>
      <c r="D115" s="203"/>
      <c r="E115" s="11" t="s">
        <v>196</v>
      </c>
      <c r="F115"/>
      <c r="J115"/>
      <c r="K115"/>
      <c r="L115"/>
      <c r="M115"/>
      <c r="N115"/>
      <c r="O115"/>
      <c r="P115"/>
      <c r="Q115"/>
    </row>
    <row r="116" spans="1:17" s="33" customFormat="1" x14ac:dyDescent="0.3">
      <c r="A116"/>
      <c r="B116" s="151" t="s">
        <v>244</v>
      </c>
      <c r="C116" s="151"/>
      <c r="D116" s="151"/>
      <c r="E116" s="151"/>
      <c r="F116"/>
      <c r="J116"/>
      <c r="K116"/>
      <c r="L116"/>
      <c r="M116"/>
      <c r="N116"/>
      <c r="O116"/>
      <c r="P116"/>
      <c r="Q116"/>
    </row>
    <row r="117" spans="1:17" s="33" customFormat="1" x14ac:dyDescent="0.3">
      <c r="A117"/>
      <c r="B117" s="11" t="s">
        <v>245</v>
      </c>
      <c r="C117" s="11" t="s">
        <v>246</v>
      </c>
      <c r="D117" s="11" t="s">
        <v>247</v>
      </c>
      <c r="E117" s="11" t="s">
        <v>248</v>
      </c>
      <c r="F117"/>
      <c r="J117"/>
      <c r="K117"/>
      <c r="L117"/>
      <c r="M117"/>
      <c r="N117"/>
      <c r="O117"/>
      <c r="P117"/>
      <c r="Q117"/>
    </row>
    <row r="118" spans="1:17" s="33" customFormat="1" x14ac:dyDescent="0.3">
      <c r="A118"/>
      <c r="B118" s="11" t="s">
        <v>249</v>
      </c>
      <c r="C118" s="136">
        <v>7</v>
      </c>
      <c r="D118" s="11">
        <v>0.7</v>
      </c>
      <c r="E118" s="11">
        <f>C118*D118</f>
        <v>4.8999999999999995</v>
      </c>
      <c r="F118"/>
      <c r="J118"/>
      <c r="K118"/>
      <c r="L118"/>
      <c r="M118"/>
      <c r="N118"/>
      <c r="O118"/>
      <c r="P118"/>
      <c r="Q118"/>
    </row>
    <row r="119" spans="1:17" s="33" customFormat="1" x14ac:dyDescent="0.3">
      <c r="A119"/>
      <c r="B119" s="32"/>
      <c r="C119" s="32"/>
      <c r="D119" s="32"/>
      <c r="E119" s="32"/>
      <c r="F119"/>
      <c r="J119"/>
      <c r="K119"/>
      <c r="L119"/>
      <c r="M119"/>
      <c r="N119"/>
      <c r="O119"/>
      <c r="P119"/>
      <c r="Q119"/>
    </row>
    <row r="120" spans="1:17" s="33" customFormat="1" x14ac:dyDescent="0.3">
      <c r="A120"/>
      <c r="B120" s="151" t="s">
        <v>250</v>
      </c>
      <c r="C120" s="151"/>
      <c r="D120" s="151"/>
      <c r="E120" s="11">
        <f>SUM(E118:E119)</f>
        <v>4.8999999999999995</v>
      </c>
      <c r="F120"/>
      <c r="J120"/>
      <c r="K120"/>
      <c r="L120"/>
      <c r="M120"/>
      <c r="N120"/>
      <c r="O120"/>
      <c r="P120"/>
      <c r="Q120"/>
    </row>
    <row r="121" spans="1:17" s="33" customFormat="1" x14ac:dyDescent="0.3">
      <c r="A121"/>
      <c r="B121" s="151"/>
      <c r="C121" s="151"/>
      <c r="D121" s="151"/>
      <c r="E121" s="151"/>
      <c r="F121"/>
      <c r="J121"/>
      <c r="K121"/>
      <c r="L121"/>
      <c r="M121"/>
      <c r="N121"/>
      <c r="O121"/>
      <c r="P121"/>
      <c r="Q121"/>
    </row>
    <row r="122" spans="1:17" s="33" customFormat="1" x14ac:dyDescent="0.3">
      <c r="A122"/>
      <c r="B122" s="11" t="s">
        <v>199</v>
      </c>
      <c r="C122" s="176">
        <f>C104</f>
        <v>2</v>
      </c>
      <c r="D122" s="176"/>
      <c r="E122" s="11" t="s">
        <v>198</v>
      </c>
      <c r="F122"/>
      <c r="J122"/>
      <c r="K122"/>
      <c r="L122"/>
      <c r="M122"/>
      <c r="N122"/>
      <c r="O122"/>
      <c r="P122"/>
      <c r="Q122"/>
    </row>
    <row r="123" spans="1:17" s="33" customFormat="1" x14ac:dyDescent="0.3">
      <c r="A123"/>
      <c r="B123" s="11" t="s">
        <v>251</v>
      </c>
      <c r="C123" s="176">
        <f>C122^2</f>
        <v>4</v>
      </c>
      <c r="D123" s="176"/>
      <c r="E123" s="11" t="s">
        <v>252</v>
      </c>
      <c r="F123"/>
      <c r="J123"/>
      <c r="K123"/>
      <c r="L123"/>
      <c r="M123"/>
      <c r="N123"/>
      <c r="O123"/>
      <c r="P123"/>
      <c r="Q123"/>
    </row>
    <row r="124" spans="1:17" s="33" customFormat="1" x14ac:dyDescent="0.3">
      <c r="A124"/>
      <c r="B124" s="11" t="s">
        <v>253</v>
      </c>
      <c r="C124" s="176">
        <v>9.81</v>
      </c>
      <c r="D124" s="176"/>
      <c r="E124" s="11" t="s">
        <v>254</v>
      </c>
      <c r="F124"/>
      <c r="J124"/>
      <c r="K124"/>
      <c r="L124"/>
      <c r="M124"/>
      <c r="N124"/>
      <c r="O124"/>
      <c r="P124"/>
      <c r="Q124"/>
    </row>
    <row r="125" spans="1:17" s="33" customFormat="1" x14ac:dyDescent="0.3">
      <c r="A125"/>
      <c r="B125" s="11" t="s">
        <v>255</v>
      </c>
      <c r="C125" s="151">
        <f>2*C124</f>
        <v>19.62</v>
      </c>
      <c r="D125" s="151"/>
      <c r="E125" s="11" t="s">
        <v>254</v>
      </c>
      <c r="F125"/>
      <c r="J125"/>
      <c r="K125"/>
      <c r="L125"/>
      <c r="M125"/>
      <c r="N125"/>
      <c r="O125"/>
      <c r="P125"/>
      <c r="Q125"/>
    </row>
    <row r="126" spans="1:17" s="33" customFormat="1" x14ac:dyDescent="0.3">
      <c r="A126"/>
      <c r="B126" s="11" t="s">
        <v>240</v>
      </c>
      <c r="C126" s="198">
        <f>(E120)*(C123/C125)</f>
        <v>0.99898063200815479</v>
      </c>
      <c r="D126" s="198"/>
      <c r="E126" s="11" t="s">
        <v>196</v>
      </c>
      <c r="F126"/>
      <c r="J126"/>
      <c r="K126"/>
      <c r="L126"/>
      <c r="M126"/>
      <c r="N126"/>
      <c r="O126"/>
      <c r="P126"/>
      <c r="Q126"/>
    </row>
    <row r="127" spans="1:17" s="33" customFormat="1" x14ac:dyDescent="0.3">
      <c r="A127"/>
      <c r="B127" s="189" t="s">
        <v>256</v>
      </c>
      <c r="C127" s="189"/>
      <c r="D127" s="189"/>
      <c r="E127" s="189"/>
      <c r="F127"/>
      <c r="J127"/>
      <c r="K127"/>
      <c r="L127"/>
      <c r="M127"/>
      <c r="N127"/>
      <c r="O127"/>
      <c r="P127"/>
      <c r="Q127"/>
    </row>
    <row r="128" spans="1:17" s="33" customFormat="1" x14ac:dyDescent="0.3">
      <c r="A128"/>
      <c r="B128" s="151" t="s">
        <v>257</v>
      </c>
      <c r="C128" s="151"/>
      <c r="D128" s="11">
        <f>5000/1000</f>
        <v>5</v>
      </c>
      <c r="E128" s="11" t="s">
        <v>196</v>
      </c>
      <c r="F128"/>
      <c r="J128"/>
      <c r="K128"/>
      <c r="L128"/>
      <c r="M128"/>
      <c r="N128"/>
      <c r="O128"/>
      <c r="P128"/>
      <c r="Q128"/>
    </row>
    <row r="129" spans="1:17" s="33" customFormat="1" x14ac:dyDescent="0.3">
      <c r="A129"/>
      <c r="B129" s="201" t="s">
        <v>258</v>
      </c>
      <c r="C129" s="201"/>
      <c r="D129" s="201"/>
      <c r="E129" s="201"/>
      <c r="F129"/>
      <c r="J129"/>
      <c r="K129"/>
      <c r="L129"/>
      <c r="M129"/>
      <c r="N129"/>
      <c r="O129"/>
      <c r="P129"/>
      <c r="Q129"/>
    </row>
    <row r="130" spans="1:17" s="33" customFormat="1" x14ac:dyDescent="0.3">
      <c r="A130"/>
      <c r="B130" s="11" t="s">
        <v>199</v>
      </c>
      <c r="C130" s="11">
        <f>C122</f>
        <v>2</v>
      </c>
      <c r="D130" s="151" t="s">
        <v>198</v>
      </c>
      <c r="E130" s="151"/>
      <c r="F130"/>
      <c r="J130"/>
      <c r="K130"/>
      <c r="L130"/>
      <c r="M130"/>
      <c r="N130"/>
      <c r="O130"/>
      <c r="P130"/>
      <c r="Q130"/>
    </row>
    <row r="131" spans="1:17" s="33" customFormat="1" x14ac:dyDescent="0.3">
      <c r="A131"/>
      <c r="B131" s="11" t="s">
        <v>251</v>
      </c>
      <c r="C131" s="11">
        <f>C130^2</f>
        <v>4</v>
      </c>
      <c r="D131" s="151" t="s">
        <v>252</v>
      </c>
      <c r="E131" s="151"/>
      <c r="F131"/>
      <c r="J131"/>
      <c r="K131"/>
      <c r="L131"/>
      <c r="M131"/>
      <c r="N131"/>
      <c r="O131"/>
      <c r="P131"/>
      <c r="Q131"/>
    </row>
    <row r="132" spans="1:17" s="33" customFormat="1" x14ac:dyDescent="0.3">
      <c r="A132"/>
      <c r="B132" s="11" t="s">
        <v>253</v>
      </c>
      <c r="C132" s="11">
        <v>9.81</v>
      </c>
      <c r="D132" s="151" t="s">
        <v>254</v>
      </c>
      <c r="E132" s="151"/>
      <c r="F132"/>
      <c r="J132"/>
      <c r="K132"/>
      <c r="L132"/>
      <c r="M132"/>
      <c r="N132"/>
      <c r="O132"/>
      <c r="P132"/>
      <c r="Q132"/>
    </row>
    <row r="133" spans="1:17" s="33" customFormat="1" x14ac:dyDescent="0.3">
      <c r="A133"/>
      <c r="B133" s="86" t="s">
        <v>258</v>
      </c>
      <c r="C133" s="141">
        <f>C131/(2*C132)</f>
        <v>0.2038735983690112</v>
      </c>
      <c r="D133" s="231" t="s">
        <v>196</v>
      </c>
      <c r="E133" s="232"/>
      <c r="F133"/>
      <c r="J133"/>
      <c r="K133"/>
      <c r="L133"/>
      <c r="M133"/>
      <c r="N133"/>
      <c r="O133"/>
      <c r="P133"/>
      <c r="Q133"/>
    </row>
    <row r="134" spans="1:17" s="33" customFormat="1" x14ac:dyDescent="0.3">
      <c r="A134"/>
      <c r="B134" s="140"/>
      <c r="C134" s="146"/>
      <c r="D134" s="5"/>
      <c r="E134" s="5"/>
      <c r="F134"/>
      <c r="J134"/>
      <c r="K134"/>
      <c r="L134"/>
      <c r="M134"/>
      <c r="N134"/>
      <c r="O134"/>
      <c r="P134"/>
      <c r="Q134"/>
    </row>
    <row r="135" spans="1:17" s="33" customFormat="1" x14ac:dyDescent="0.3">
      <c r="A135"/>
      <c r="B135" s="140"/>
      <c r="C135" s="146"/>
      <c r="D135" s="5"/>
      <c r="E135" s="5"/>
      <c r="F135"/>
      <c r="J135"/>
      <c r="K135"/>
      <c r="L135"/>
      <c r="M135"/>
      <c r="N135"/>
      <c r="O135"/>
      <c r="P135"/>
      <c r="Q135"/>
    </row>
    <row r="136" spans="1:17" s="33" customFormat="1" x14ac:dyDescent="0.3">
      <c r="A136"/>
      <c r="B136" s="180" t="s">
        <v>685</v>
      </c>
      <c r="C136" s="180"/>
      <c r="D136" s="180"/>
      <c r="E136" s="180"/>
      <c r="F136"/>
      <c r="J136"/>
      <c r="K136"/>
      <c r="L136"/>
      <c r="M136"/>
      <c r="N136"/>
      <c r="O136"/>
      <c r="P136"/>
      <c r="Q136"/>
    </row>
    <row r="137" spans="1:17" s="33" customFormat="1" x14ac:dyDescent="0.3">
      <c r="A137"/>
      <c r="B137" s="131" t="s">
        <v>686</v>
      </c>
      <c r="C137" s="126"/>
      <c r="D137" s="126"/>
      <c r="E137" s="126"/>
      <c r="F137"/>
      <c r="J137"/>
      <c r="K137"/>
      <c r="L137"/>
      <c r="M137"/>
      <c r="N137"/>
      <c r="O137"/>
      <c r="P137"/>
      <c r="Q137"/>
    </row>
    <row r="138" spans="1:17" s="33" customFormat="1" x14ac:dyDescent="0.3">
      <c r="A138"/>
      <c r="B138" s="82"/>
      <c r="C138" s="143"/>
      <c r="D138" s="5"/>
      <c r="E138" s="5"/>
      <c r="F138" s="5"/>
      <c r="J138"/>
      <c r="K138"/>
      <c r="L138"/>
      <c r="M138"/>
      <c r="N138"/>
      <c r="O138"/>
      <c r="P138"/>
      <c r="Q138"/>
    </row>
    <row r="139" spans="1:17" s="33" customFormat="1" x14ac:dyDescent="0.3">
      <c r="A139"/>
      <c r="B139" s="199" t="s">
        <v>2</v>
      </c>
      <c r="C139" s="199" t="s">
        <v>629</v>
      </c>
      <c r="D139" s="199" t="s">
        <v>7</v>
      </c>
      <c r="E139" s="199" t="s">
        <v>607</v>
      </c>
      <c r="F139" s="199" t="s">
        <v>608</v>
      </c>
      <c r="J139"/>
      <c r="K139"/>
      <c r="L139"/>
      <c r="M139"/>
      <c r="N139"/>
      <c r="O139"/>
      <c r="P139"/>
      <c r="Q139"/>
    </row>
    <row r="140" spans="1:17" s="33" customFormat="1" x14ac:dyDescent="0.3">
      <c r="A140"/>
      <c r="B140" s="199"/>
      <c r="C140" s="199"/>
      <c r="D140" s="199"/>
      <c r="E140" s="199"/>
      <c r="F140" s="199"/>
      <c r="J140"/>
      <c r="K140"/>
      <c r="L140"/>
      <c r="M140"/>
      <c r="N140"/>
      <c r="O140"/>
      <c r="P140"/>
      <c r="Q140"/>
    </row>
    <row r="141" spans="1:17" s="33" customFormat="1" x14ac:dyDescent="0.3">
      <c r="A141"/>
      <c r="B141" s="219" t="s">
        <v>389</v>
      </c>
      <c r="C141" s="219"/>
      <c r="D141" s="219"/>
      <c r="E141" s="219"/>
      <c r="F141" s="219"/>
      <c r="J141"/>
      <c r="K141"/>
      <c r="L141"/>
      <c r="M141"/>
      <c r="N141"/>
      <c r="O141"/>
      <c r="P141"/>
      <c r="Q141"/>
    </row>
    <row r="142" spans="1:17" s="33" customFormat="1" x14ac:dyDescent="0.3">
      <c r="A142"/>
      <c r="B142" s="219" t="s">
        <v>379</v>
      </c>
      <c r="C142" s="219"/>
      <c r="D142" s="219"/>
      <c r="E142" s="219"/>
      <c r="F142" s="219"/>
      <c r="J142"/>
      <c r="K142"/>
      <c r="L142"/>
      <c r="M142"/>
      <c r="N142"/>
      <c r="O142"/>
      <c r="P142"/>
      <c r="Q142"/>
    </row>
    <row r="143" spans="1:17" s="33" customFormat="1" x14ac:dyDescent="0.3">
      <c r="A143"/>
      <c r="B143" s="1">
        <v>1</v>
      </c>
      <c r="C143" s="7" t="s">
        <v>687</v>
      </c>
      <c r="D143" s="1">
        <v>1</v>
      </c>
      <c r="E143" s="1">
        <v>1</v>
      </c>
      <c r="F143" s="1">
        <f>D143*E143</f>
        <v>1</v>
      </c>
      <c r="J143"/>
      <c r="K143"/>
      <c r="L143"/>
      <c r="M143"/>
      <c r="N143"/>
      <c r="O143"/>
      <c r="P143"/>
      <c r="Q143"/>
    </row>
    <row r="144" spans="1:17" s="33" customFormat="1" x14ac:dyDescent="0.3">
      <c r="A144"/>
      <c r="B144" s="86">
        <v>2</v>
      </c>
      <c r="C144" s="149" t="s">
        <v>630</v>
      </c>
      <c r="D144" s="1">
        <v>1</v>
      </c>
      <c r="E144" s="1">
        <v>4</v>
      </c>
      <c r="F144" s="1">
        <f>D144*E144</f>
        <v>4</v>
      </c>
      <c r="J144"/>
      <c r="K144"/>
      <c r="L144"/>
      <c r="M144"/>
      <c r="N144"/>
      <c r="O144"/>
      <c r="P144"/>
      <c r="Q144"/>
    </row>
    <row r="145" spans="1:17" s="33" customFormat="1" x14ac:dyDescent="0.3">
      <c r="A145"/>
      <c r="B145" s="219" t="s">
        <v>380</v>
      </c>
      <c r="C145" s="219"/>
      <c r="D145" s="219"/>
      <c r="E145" s="219"/>
      <c r="F145" s="219"/>
      <c r="J145"/>
      <c r="K145"/>
      <c r="L145"/>
      <c r="M145"/>
      <c r="N145"/>
      <c r="O145"/>
      <c r="P145"/>
      <c r="Q145"/>
    </row>
    <row r="146" spans="1:17" s="33" customFormat="1" x14ac:dyDescent="0.3">
      <c r="A146"/>
      <c r="B146" s="1">
        <v>1</v>
      </c>
      <c r="C146" s="7" t="s">
        <v>630</v>
      </c>
      <c r="D146" s="1">
        <v>4</v>
      </c>
      <c r="E146" s="1">
        <v>4</v>
      </c>
      <c r="F146" s="1">
        <f>D146*E146</f>
        <v>16</v>
      </c>
      <c r="J146"/>
      <c r="K146"/>
      <c r="L146"/>
      <c r="M146"/>
      <c r="N146"/>
      <c r="O146"/>
      <c r="P146"/>
      <c r="Q146"/>
    </row>
    <row r="147" spans="1:17" s="33" customFormat="1" x14ac:dyDescent="0.3">
      <c r="A147"/>
      <c r="B147" s="219" t="s">
        <v>381</v>
      </c>
      <c r="C147" s="219"/>
      <c r="D147" s="219"/>
      <c r="E147" s="219"/>
      <c r="F147" s="219"/>
      <c r="J147"/>
      <c r="K147"/>
      <c r="L147"/>
      <c r="M147"/>
      <c r="N147"/>
      <c r="O147"/>
      <c r="P147"/>
      <c r="Q147"/>
    </row>
    <row r="148" spans="1:17" s="33" customFormat="1" x14ac:dyDescent="0.3">
      <c r="A148"/>
      <c r="B148" s="1">
        <v>1</v>
      </c>
      <c r="C148" s="7" t="s">
        <v>630</v>
      </c>
      <c r="D148" s="1">
        <v>6</v>
      </c>
      <c r="E148" s="1">
        <v>4</v>
      </c>
      <c r="F148" s="1">
        <f>D148*E148</f>
        <v>24</v>
      </c>
      <c r="J148"/>
      <c r="K148"/>
      <c r="L148"/>
      <c r="M148"/>
      <c r="N148"/>
      <c r="O148"/>
      <c r="P148"/>
      <c r="Q148"/>
    </row>
    <row r="149" spans="1:17" s="33" customFormat="1" x14ac:dyDescent="0.3">
      <c r="A149"/>
      <c r="B149" s="1">
        <v>2</v>
      </c>
      <c r="C149" s="7" t="s">
        <v>687</v>
      </c>
      <c r="D149" s="1">
        <v>6</v>
      </c>
      <c r="E149" s="1">
        <v>1</v>
      </c>
      <c r="F149" s="1">
        <f t="shared" ref="F149:F150" si="2">D149*E149</f>
        <v>6</v>
      </c>
      <c r="J149"/>
      <c r="K149"/>
      <c r="L149"/>
      <c r="M149"/>
      <c r="N149"/>
      <c r="O149"/>
      <c r="P149"/>
      <c r="Q149"/>
    </row>
    <row r="150" spans="1:17" s="33" customFormat="1" x14ac:dyDescent="0.3">
      <c r="A150"/>
      <c r="B150" s="1">
        <v>3</v>
      </c>
      <c r="C150" s="7" t="s">
        <v>10</v>
      </c>
      <c r="D150" s="1">
        <v>6</v>
      </c>
      <c r="E150" s="1">
        <v>2</v>
      </c>
      <c r="F150" s="1">
        <f t="shared" si="2"/>
        <v>12</v>
      </c>
      <c r="J150"/>
      <c r="K150"/>
      <c r="L150"/>
      <c r="M150"/>
      <c r="N150"/>
      <c r="O150"/>
      <c r="P150"/>
      <c r="Q150"/>
    </row>
    <row r="151" spans="1:17" s="33" customFormat="1" x14ac:dyDescent="0.3">
      <c r="A151"/>
      <c r="B151" s="219" t="s">
        <v>382</v>
      </c>
      <c r="C151" s="219"/>
      <c r="D151" s="219"/>
      <c r="E151" s="219"/>
      <c r="F151" s="219"/>
      <c r="J151"/>
      <c r="K151"/>
      <c r="L151"/>
      <c r="M151"/>
      <c r="N151"/>
      <c r="O151"/>
      <c r="P151"/>
      <c r="Q151"/>
    </row>
    <row r="152" spans="1:17" s="33" customFormat="1" x14ac:dyDescent="0.3">
      <c r="A152"/>
      <c r="B152" s="1">
        <v>1</v>
      </c>
      <c r="C152" s="7" t="s">
        <v>630</v>
      </c>
      <c r="D152" s="1">
        <v>25</v>
      </c>
      <c r="E152" s="1">
        <v>4</v>
      </c>
      <c r="F152" s="1">
        <f>D152*E152</f>
        <v>100</v>
      </c>
      <c r="J152"/>
      <c r="K152"/>
      <c r="L152"/>
      <c r="M152"/>
      <c r="N152"/>
      <c r="O152"/>
      <c r="P152"/>
      <c r="Q152"/>
    </row>
    <row r="153" spans="1:17" s="33" customFormat="1" x14ac:dyDescent="0.3">
      <c r="A153"/>
      <c r="B153" s="1">
        <v>2</v>
      </c>
      <c r="C153" s="7" t="s">
        <v>687</v>
      </c>
      <c r="D153" s="1">
        <v>25</v>
      </c>
      <c r="E153" s="1">
        <v>1</v>
      </c>
      <c r="F153" s="1">
        <f t="shared" ref="F153:F154" si="3">D153*E153</f>
        <v>25</v>
      </c>
      <c r="J153"/>
      <c r="K153"/>
      <c r="L153"/>
      <c r="M153"/>
      <c r="N153"/>
      <c r="O153"/>
      <c r="P153"/>
      <c r="Q153"/>
    </row>
    <row r="154" spans="1:17" s="33" customFormat="1" x14ac:dyDescent="0.3">
      <c r="A154"/>
      <c r="B154" s="1">
        <v>3</v>
      </c>
      <c r="C154" s="7" t="s">
        <v>10</v>
      </c>
      <c r="D154" s="1">
        <v>25</v>
      </c>
      <c r="E154" s="1">
        <v>2</v>
      </c>
      <c r="F154" s="1">
        <f t="shared" si="3"/>
        <v>50</v>
      </c>
      <c r="J154"/>
      <c r="K154"/>
      <c r="L154"/>
      <c r="M154"/>
      <c r="N154"/>
      <c r="O154"/>
      <c r="P154"/>
      <c r="Q154"/>
    </row>
    <row r="155" spans="1:17" s="33" customFormat="1" x14ac:dyDescent="0.3">
      <c r="A155"/>
      <c r="B155" s="219" t="s">
        <v>405</v>
      </c>
      <c r="C155" s="219"/>
      <c r="D155" s="219"/>
      <c r="E155" s="219"/>
      <c r="F155" s="219"/>
      <c r="J155"/>
      <c r="K155"/>
      <c r="L155"/>
      <c r="M155"/>
      <c r="N155"/>
      <c r="O155"/>
      <c r="P155"/>
      <c r="Q155"/>
    </row>
    <row r="156" spans="1:17" s="33" customFormat="1" x14ac:dyDescent="0.3">
      <c r="A156"/>
      <c r="B156" s="1">
        <v>1</v>
      </c>
      <c r="C156" s="7" t="s">
        <v>630</v>
      </c>
      <c r="D156" s="1">
        <v>16</v>
      </c>
      <c r="E156" s="1">
        <v>4</v>
      </c>
      <c r="F156" s="1">
        <f>D156*E156</f>
        <v>64</v>
      </c>
      <c r="J156"/>
      <c r="K156"/>
      <c r="L156"/>
      <c r="M156"/>
      <c r="N156"/>
      <c r="O156"/>
      <c r="P156"/>
      <c r="Q156"/>
    </row>
    <row r="157" spans="1:17" s="33" customFormat="1" x14ac:dyDescent="0.3">
      <c r="A157"/>
      <c r="B157" s="1">
        <v>2</v>
      </c>
      <c r="C157" s="7" t="s">
        <v>687</v>
      </c>
      <c r="D157" s="1">
        <v>17</v>
      </c>
      <c r="E157" s="1">
        <v>1</v>
      </c>
      <c r="F157" s="1">
        <f t="shared" ref="F157:F158" si="4">D157*E157</f>
        <v>17</v>
      </c>
      <c r="J157"/>
      <c r="K157"/>
      <c r="L157"/>
      <c r="M157"/>
      <c r="N157"/>
      <c r="O157"/>
      <c r="P157"/>
      <c r="Q157"/>
    </row>
    <row r="158" spans="1:17" s="33" customFormat="1" x14ac:dyDescent="0.3">
      <c r="A158"/>
      <c r="B158" s="1">
        <v>3</v>
      </c>
      <c r="C158" s="7" t="s">
        <v>10</v>
      </c>
      <c r="D158" s="1">
        <v>16</v>
      </c>
      <c r="E158" s="1">
        <v>2</v>
      </c>
      <c r="F158" s="1">
        <f t="shared" si="4"/>
        <v>32</v>
      </c>
      <c r="J158"/>
      <c r="K158"/>
      <c r="L158"/>
      <c r="M158"/>
      <c r="N158"/>
      <c r="O158"/>
      <c r="P158"/>
      <c r="Q158"/>
    </row>
    <row r="159" spans="1:17" s="33" customFormat="1" x14ac:dyDescent="0.3">
      <c r="A159"/>
      <c r="B159" s="219" t="s">
        <v>403</v>
      </c>
      <c r="C159" s="219"/>
      <c r="D159" s="219"/>
      <c r="E159" s="219"/>
      <c r="F159" s="219"/>
      <c r="J159"/>
      <c r="K159"/>
      <c r="L159"/>
      <c r="M159"/>
      <c r="N159"/>
      <c r="O159"/>
      <c r="P159"/>
      <c r="Q159"/>
    </row>
    <row r="160" spans="1:17" s="33" customFormat="1" x14ac:dyDescent="0.3">
      <c r="A160"/>
      <c r="B160" s="1">
        <v>1</v>
      </c>
      <c r="C160" s="7" t="s">
        <v>630</v>
      </c>
      <c r="D160" s="1">
        <v>16</v>
      </c>
      <c r="E160" s="1">
        <v>4</v>
      </c>
      <c r="F160" s="1">
        <f>D160*E160</f>
        <v>64</v>
      </c>
      <c r="J160"/>
      <c r="K160"/>
      <c r="L160"/>
      <c r="M160"/>
      <c r="N160"/>
      <c r="O160"/>
      <c r="P160"/>
      <c r="Q160"/>
    </row>
    <row r="161" spans="1:17" s="33" customFormat="1" x14ac:dyDescent="0.3">
      <c r="A161"/>
      <c r="B161" s="1">
        <v>2</v>
      </c>
      <c r="C161" s="7" t="s">
        <v>687</v>
      </c>
      <c r="D161" s="1">
        <v>17</v>
      </c>
      <c r="E161" s="1">
        <v>1</v>
      </c>
      <c r="F161" s="1">
        <f t="shared" ref="F161:F162" si="5">D161*E161</f>
        <v>17</v>
      </c>
      <c r="J161"/>
      <c r="K161"/>
      <c r="L161"/>
      <c r="M161"/>
      <c r="N161"/>
      <c r="O161"/>
      <c r="P161"/>
      <c r="Q161"/>
    </row>
    <row r="162" spans="1:17" s="33" customFormat="1" x14ac:dyDescent="0.3">
      <c r="A162"/>
      <c r="B162" s="1">
        <v>3</v>
      </c>
      <c r="C162" s="7" t="s">
        <v>10</v>
      </c>
      <c r="D162" s="1">
        <v>16</v>
      </c>
      <c r="E162" s="1">
        <v>2</v>
      </c>
      <c r="F162" s="1">
        <f t="shared" si="5"/>
        <v>32</v>
      </c>
      <c r="J162"/>
      <c r="K162"/>
      <c r="L162"/>
      <c r="M162"/>
      <c r="N162"/>
      <c r="O162"/>
      <c r="P162"/>
      <c r="Q162"/>
    </row>
    <row r="163" spans="1:17" s="33" customFormat="1" x14ac:dyDescent="0.3">
      <c r="A163"/>
      <c r="B163" s="219" t="s">
        <v>399</v>
      </c>
      <c r="C163" s="219"/>
      <c r="D163" s="219"/>
      <c r="E163" s="219"/>
      <c r="F163" s="219"/>
      <c r="J163"/>
      <c r="K163"/>
      <c r="L163"/>
      <c r="M163"/>
      <c r="N163"/>
      <c r="O163"/>
      <c r="P163"/>
      <c r="Q163"/>
    </row>
    <row r="164" spans="1:17" s="33" customFormat="1" x14ac:dyDescent="0.3">
      <c r="A164"/>
      <c r="B164" s="1">
        <v>1</v>
      </c>
      <c r="C164" s="7" t="s">
        <v>630</v>
      </c>
      <c r="D164" s="1">
        <v>16</v>
      </c>
      <c r="E164" s="1">
        <v>4</v>
      </c>
      <c r="F164" s="1">
        <f>D164*E164</f>
        <v>64</v>
      </c>
      <c r="J164"/>
      <c r="K164"/>
      <c r="L164"/>
      <c r="M164"/>
      <c r="N164"/>
      <c r="O164"/>
      <c r="P164"/>
      <c r="Q164"/>
    </row>
    <row r="165" spans="1:17" s="33" customFormat="1" x14ac:dyDescent="0.3">
      <c r="A165"/>
      <c r="B165" s="1">
        <v>2</v>
      </c>
      <c r="C165" s="7" t="s">
        <v>687</v>
      </c>
      <c r="D165" s="1">
        <v>16</v>
      </c>
      <c r="E165" s="1">
        <v>1</v>
      </c>
      <c r="F165" s="1">
        <f t="shared" ref="F165:F166" si="6">D165*E165</f>
        <v>16</v>
      </c>
      <c r="J165"/>
      <c r="K165"/>
      <c r="L165"/>
      <c r="M165"/>
      <c r="N165"/>
      <c r="O165"/>
      <c r="P165"/>
      <c r="Q165"/>
    </row>
    <row r="166" spans="1:17" s="33" customFormat="1" x14ac:dyDescent="0.3">
      <c r="A166"/>
      <c r="B166" s="1">
        <v>3</v>
      </c>
      <c r="C166" s="7" t="s">
        <v>10</v>
      </c>
      <c r="D166" s="1">
        <v>16</v>
      </c>
      <c r="E166" s="1">
        <v>2</v>
      </c>
      <c r="F166" s="1">
        <f t="shared" si="6"/>
        <v>32</v>
      </c>
      <c r="J166"/>
      <c r="K166"/>
      <c r="L166"/>
      <c r="M166"/>
      <c r="N166"/>
      <c r="O166"/>
      <c r="P166"/>
      <c r="Q166"/>
    </row>
    <row r="167" spans="1:17" s="33" customFormat="1" x14ac:dyDescent="0.3">
      <c r="A167"/>
      <c r="B167" s="219" t="s">
        <v>398</v>
      </c>
      <c r="C167" s="219"/>
      <c r="D167" s="219"/>
      <c r="E167" s="219"/>
      <c r="F167" s="219"/>
      <c r="J167"/>
      <c r="K167"/>
      <c r="L167"/>
      <c r="M167"/>
      <c r="N167"/>
      <c r="O167"/>
      <c r="P167"/>
      <c r="Q167"/>
    </row>
    <row r="168" spans="1:17" s="33" customFormat="1" x14ac:dyDescent="0.3">
      <c r="A168"/>
      <c r="B168" s="1">
        <v>1</v>
      </c>
      <c r="C168" s="7" t="s">
        <v>630</v>
      </c>
      <c r="D168" s="1">
        <v>18</v>
      </c>
      <c r="E168" s="1">
        <v>4</v>
      </c>
      <c r="F168" s="1">
        <f>D168*E168</f>
        <v>72</v>
      </c>
      <c r="J168"/>
      <c r="K168"/>
      <c r="L168"/>
      <c r="M168"/>
      <c r="N168"/>
      <c r="O168"/>
      <c r="P168"/>
      <c r="Q168"/>
    </row>
    <row r="169" spans="1:17" s="33" customFormat="1" x14ac:dyDescent="0.3">
      <c r="A169"/>
      <c r="B169" s="1">
        <v>2</v>
      </c>
      <c r="C169" s="7" t="s">
        <v>687</v>
      </c>
      <c r="D169" s="1">
        <v>18</v>
      </c>
      <c r="E169" s="1">
        <v>1</v>
      </c>
      <c r="F169" s="1">
        <f t="shared" ref="F169:F170" si="7">D169*E169</f>
        <v>18</v>
      </c>
      <c r="J169"/>
      <c r="K169"/>
      <c r="L169"/>
      <c r="M169"/>
      <c r="N169"/>
      <c r="O169"/>
      <c r="P169"/>
      <c r="Q169"/>
    </row>
    <row r="170" spans="1:17" s="33" customFormat="1" x14ac:dyDescent="0.3">
      <c r="A170"/>
      <c r="B170" s="1">
        <v>3</v>
      </c>
      <c r="C170" s="7" t="s">
        <v>10</v>
      </c>
      <c r="D170" s="1">
        <v>18</v>
      </c>
      <c r="E170" s="1">
        <v>2</v>
      </c>
      <c r="F170" s="1">
        <f t="shared" si="7"/>
        <v>36</v>
      </c>
      <c r="J170"/>
      <c r="K170"/>
      <c r="L170"/>
      <c r="M170"/>
      <c r="N170"/>
      <c r="O170"/>
      <c r="P170"/>
      <c r="Q170"/>
    </row>
    <row r="171" spans="1:17" s="33" customFormat="1" x14ac:dyDescent="0.3">
      <c r="A171"/>
      <c r="B171" s="8"/>
      <c r="C171" s="8"/>
      <c r="D171" s="8"/>
      <c r="E171" s="8"/>
      <c r="F171" s="8"/>
      <c r="J171"/>
      <c r="K171"/>
      <c r="L171"/>
      <c r="M171"/>
      <c r="N171"/>
      <c r="O171"/>
      <c r="P171"/>
      <c r="Q171"/>
    </row>
    <row r="172" spans="1:17" s="33" customFormat="1" x14ac:dyDescent="0.3">
      <c r="A172"/>
      <c r="B172" s="35" t="s">
        <v>653</v>
      </c>
      <c r="C172" s="24" t="s">
        <v>654</v>
      </c>
      <c r="D172" s="36" t="s">
        <v>363</v>
      </c>
      <c r="E172" s="143"/>
      <c r="F172" s="143"/>
      <c r="G172" s="143"/>
      <c r="J172"/>
      <c r="K172"/>
      <c r="L172"/>
      <c r="M172"/>
      <c r="N172"/>
      <c r="O172"/>
      <c r="P172"/>
      <c r="Q172"/>
    </row>
    <row r="173" spans="1:17" s="33" customFormat="1" x14ac:dyDescent="0.3">
      <c r="A173"/>
      <c r="B173" s="35">
        <f>SUM(D143:D144,D146,D148:D150,D152:D154,D156:D158,D160:D162,D164:D166,D168:D170)</f>
        <v>299</v>
      </c>
      <c r="C173" s="86">
        <f>SUM(F143:F144,F146,F148:F150,F152:F154,F156:F158,F160:F162,F164:F166,F168:F170)</f>
        <v>702</v>
      </c>
      <c r="D173" s="11">
        <v>610</v>
      </c>
      <c r="E173" s="143"/>
      <c r="F173" s="143"/>
      <c r="G173" s="143"/>
      <c r="J173"/>
      <c r="K173"/>
      <c r="L173"/>
      <c r="M173"/>
      <c r="N173"/>
      <c r="O173"/>
      <c r="P173"/>
      <c r="Q173"/>
    </row>
    <row r="174" spans="1:17" s="33" customFormat="1" x14ac:dyDescent="0.3">
      <c r="A174"/>
      <c r="B174" s="5"/>
      <c r="C174" s="140"/>
      <c r="D174" s="5"/>
      <c r="E174" s="5"/>
      <c r="F174" s="5"/>
      <c r="G174" s="5"/>
      <c r="J174"/>
      <c r="K174"/>
      <c r="L174"/>
      <c r="M174"/>
      <c r="N174"/>
      <c r="O174"/>
      <c r="P174"/>
      <c r="Q174"/>
    </row>
    <row r="175" spans="1:17" s="33" customFormat="1" ht="28.8" x14ac:dyDescent="0.3">
      <c r="A175"/>
      <c r="B175" s="133" t="s">
        <v>611</v>
      </c>
      <c r="C175" s="135">
        <v>30</v>
      </c>
      <c r="D175" s="1" t="s">
        <v>177</v>
      </c>
      <c r="E175" s="5"/>
      <c r="F175" s="5"/>
      <c r="G175"/>
      <c r="J175"/>
      <c r="K175"/>
      <c r="L175"/>
      <c r="M175"/>
      <c r="N175"/>
      <c r="O175"/>
      <c r="P175"/>
      <c r="Q175"/>
    </row>
    <row r="176" spans="1:17" s="33" customFormat="1" x14ac:dyDescent="0.3">
      <c r="A176"/>
      <c r="B176" s="32" t="s">
        <v>633</v>
      </c>
      <c r="C176" s="86">
        <f>D173</f>
        <v>610</v>
      </c>
      <c r="D176" s="11" t="s">
        <v>236</v>
      </c>
      <c r="E176">
        <f>C176*2</f>
        <v>1220</v>
      </c>
      <c r="F176"/>
      <c r="G176"/>
      <c r="J176"/>
      <c r="K176"/>
      <c r="L176"/>
      <c r="M176"/>
      <c r="N176"/>
      <c r="O176"/>
      <c r="P176"/>
      <c r="Q176"/>
    </row>
    <row r="177" spans="1:17" s="33" customFormat="1" x14ac:dyDescent="0.3">
      <c r="A177"/>
      <c r="B177" s="32" t="s">
        <v>612</v>
      </c>
      <c r="C177" s="86">
        <f>C176*C175</f>
        <v>18300</v>
      </c>
      <c r="D177" s="11" t="s">
        <v>237</v>
      </c>
      <c r="E177"/>
      <c r="F177"/>
      <c r="G177"/>
      <c r="J177"/>
      <c r="K177"/>
      <c r="L177"/>
      <c r="M177"/>
      <c r="N177"/>
      <c r="O177"/>
      <c r="P177"/>
      <c r="Q177"/>
    </row>
    <row r="178" spans="1:17" s="33" customFormat="1" x14ac:dyDescent="0.3">
      <c r="A178"/>
      <c r="B178" s="32" t="s">
        <v>612</v>
      </c>
      <c r="C178" s="86">
        <f>C177/1000</f>
        <v>18.3</v>
      </c>
      <c r="D178" s="11" t="s">
        <v>134</v>
      </c>
      <c r="E178"/>
      <c r="F178"/>
      <c r="G178"/>
      <c r="J178"/>
      <c r="K178"/>
      <c r="L178"/>
      <c r="M178"/>
      <c r="N178"/>
      <c r="O178"/>
      <c r="P178"/>
      <c r="Q178"/>
    </row>
    <row r="179" spans="1:17" s="33" customFormat="1" x14ac:dyDescent="0.3">
      <c r="A179"/>
      <c r="B179" s="32" t="s">
        <v>634</v>
      </c>
      <c r="C179" s="86">
        <v>0.2</v>
      </c>
      <c r="D179" s="11" t="s">
        <v>196</v>
      </c>
      <c r="E179"/>
      <c r="F179"/>
      <c r="G179"/>
      <c r="J179"/>
      <c r="K179"/>
      <c r="L179"/>
      <c r="M179"/>
      <c r="N179"/>
      <c r="O179"/>
      <c r="P179"/>
      <c r="Q179"/>
    </row>
    <row r="180" spans="1:17" s="33" customFormat="1" x14ac:dyDescent="0.3">
      <c r="A180"/>
      <c r="B180" s="32" t="s">
        <v>635</v>
      </c>
      <c r="C180" s="135">
        <f>C178+C179</f>
        <v>18.5</v>
      </c>
      <c r="D180" s="11" t="s">
        <v>134</v>
      </c>
      <c r="E180"/>
      <c r="F180"/>
      <c r="G180"/>
      <c r="J180"/>
      <c r="K180"/>
      <c r="L180"/>
      <c r="M180"/>
      <c r="N180"/>
      <c r="O180"/>
      <c r="P180"/>
      <c r="Q180"/>
    </row>
    <row r="181" spans="1:17" s="33" customFormat="1" x14ac:dyDescent="0.3">
      <c r="A181"/>
      <c r="B181"/>
      <c r="C181" s="132"/>
      <c r="D181"/>
      <c r="E181"/>
      <c r="F181"/>
      <c r="G181"/>
      <c r="J181"/>
      <c r="K181"/>
      <c r="L181"/>
      <c r="M181"/>
      <c r="N181"/>
      <c r="O181"/>
      <c r="P181"/>
      <c r="Q181"/>
    </row>
    <row r="182" spans="1:17" s="33" customFormat="1" x14ac:dyDescent="0.3">
      <c r="A182"/>
      <c r="B182" s="189" t="s">
        <v>615</v>
      </c>
      <c r="C182" s="189"/>
      <c r="D182" s="189"/>
      <c r="E182" s="201" t="s">
        <v>616</v>
      </c>
      <c r="F182"/>
      <c r="J182"/>
      <c r="K182"/>
      <c r="L182"/>
      <c r="M182"/>
      <c r="N182"/>
      <c r="O182"/>
      <c r="P182"/>
      <c r="Q182"/>
    </row>
    <row r="183" spans="1:17" s="33" customFormat="1" x14ac:dyDescent="0.3">
      <c r="A183"/>
      <c r="B183" s="36" t="s">
        <v>617</v>
      </c>
      <c r="C183" s="24" t="s">
        <v>618</v>
      </c>
      <c r="D183" s="36" t="s">
        <v>619</v>
      </c>
      <c r="E183" s="201"/>
      <c r="F183"/>
      <c r="G183"/>
      <c r="J183"/>
      <c r="K183"/>
      <c r="L183"/>
      <c r="M183"/>
      <c r="N183"/>
      <c r="O183"/>
      <c r="P183"/>
      <c r="Q183"/>
    </row>
    <row r="184" spans="1:17" s="33" customFormat="1" x14ac:dyDescent="0.3">
      <c r="A184"/>
      <c r="B184" s="136">
        <v>5</v>
      </c>
      <c r="C184" s="137">
        <f>(E184)/(B184*D184)</f>
        <v>2.4666666666666668</v>
      </c>
      <c r="D184" s="136">
        <v>1.5</v>
      </c>
      <c r="E184" s="136">
        <f>C180</f>
        <v>18.5</v>
      </c>
      <c r="F184"/>
      <c r="G184"/>
      <c r="J184"/>
      <c r="K184"/>
      <c r="L184"/>
      <c r="M184"/>
      <c r="N184"/>
      <c r="O184"/>
      <c r="P184"/>
      <c r="Q184"/>
    </row>
    <row r="185" spans="1:17" s="33" customFormat="1" x14ac:dyDescent="0.3">
      <c r="A185"/>
      <c r="B185" s="8"/>
      <c r="C185" s="8"/>
      <c r="D185" s="8"/>
      <c r="E185" s="8"/>
      <c r="F185" s="8"/>
      <c r="J185"/>
      <c r="K185"/>
      <c r="L185"/>
      <c r="M185"/>
      <c r="N185"/>
      <c r="O185"/>
      <c r="P185"/>
      <c r="Q185"/>
    </row>
    <row r="186" spans="1:17" s="33" customFormat="1" x14ac:dyDescent="0.3">
      <c r="A186"/>
      <c r="B186" s="8"/>
      <c r="C186" s="8"/>
      <c r="D186" s="8"/>
      <c r="E186" s="8"/>
      <c r="F186" s="8"/>
      <c r="J186"/>
      <c r="K186"/>
      <c r="L186"/>
      <c r="M186"/>
      <c r="N186"/>
      <c r="O186"/>
      <c r="P186"/>
      <c r="Q186"/>
    </row>
    <row r="187" spans="1:17" s="33" customFormat="1" x14ac:dyDescent="0.3">
      <c r="A187"/>
      <c r="B187" s="8"/>
      <c r="C187" s="8"/>
      <c r="D187" s="8"/>
      <c r="E187" s="8"/>
      <c r="F187" s="8"/>
      <c r="J187"/>
      <c r="K187"/>
      <c r="L187"/>
      <c r="M187"/>
      <c r="N187"/>
      <c r="O187"/>
      <c r="P187"/>
      <c r="Q187"/>
    </row>
    <row r="188" spans="1:17" s="33" customFormat="1" x14ac:dyDescent="0.3">
      <c r="A188"/>
      <c r="B188" s="8"/>
      <c r="C188" s="8"/>
      <c r="D188" s="8"/>
      <c r="E188" s="8"/>
      <c r="F188" s="8"/>
      <c r="J188"/>
      <c r="K188"/>
      <c r="L188"/>
      <c r="M188"/>
      <c r="N188"/>
      <c r="O188"/>
      <c r="P188"/>
      <c r="Q188"/>
    </row>
    <row r="189" spans="1:17" s="33" customFormat="1" x14ac:dyDescent="0.3">
      <c r="A189"/>
      <c r="B189" s="8"/>
      <c r="C189" s="8"/>
      <c r="D189" s="8"/>
      <c r="E189" s="8"/>
      <c r="F189" s="8"/>
      <c r="J189"/>
      <c r="K189"/>
      <c r="L189"/>
      <c r="M189"/>
      <c r="N189"/>
      <c r="O189"/>
      <c r="P189"/>
      <c r="Q189"/>
    </row>
    <row r="190" spans="1:17" s="33" customFormat="1" x14ac:dyDescent="0.3">
      <c r="A190"/>
      <c r="B190" s="180" t="s">
        <v>688</v>
      </c>
      <c r="C190" s="180"/>
      <c r="D190" s="180"/>
      <c r="E190" s="180"/>
      <c r="F190"/>
      <c r="J190"/>
      <c r="K190"/>
      <c r="L190"/>
      <c r="M190"/>
      <c r="N190"/>
      <c r="O190"/>
      <c r="P190"/>
      <c r="Q190"/>
    </row>
    <row r="191" spans="1:17" s="33" customFormat="1" x14ac:dyDescent="0.3">
      <c r="A191"/>
      <c r="B191" s="131" t="s">
        <v>689</v>
      </c>
      <c r="C191" s="126"/>
      <c r="D191" s="126"/>
      <c r="E191" s="126"/>
      <c r="F191"/>
      <c r="J191"/>
      <c r="K191"/>
      <c r="L191"/>
      <c r="M191"/>
      <c r="N191"/>
      <c r="O191"/>
      <c r="P191"/>
      <c r="Q191"/>
    </row>
    <row r="192" spans="1:17" s="33" customFormat="1" x14ac:dyDescent="0.3">
      <c r="A192"/>
      <c r="B192" s="82"/>
      <c r="C192" s="143"/>
      <c r="D192" s="5"/>
      <c r="E192" s="5"/>
      <c r="F192" s="5"/>
      <c r="J192"/>
      <c r="K192"/>
      <c r="L192"/>
      <c r="M192"/>
      <c r="N192"/>
      <c r="O192"/>
      <c r="P192"/>
      <c r="Q192"/>
    </row>
    <row r="193" spans="1:17" s="33" customFormat="1" x14ac:dyDescent="0.3">
      <c r="A193"/>
      <c r="B193" s="199" t="s">
        <v>2</v>
      </c>
      <c r="C193" s="199" t="s">
        <v>629</v>
      </c>
      <c r="D193" s="199" t="s">
        <v>7</v>
      </c>
      <c r="E193" s="199" t="s">
        <v>607</v>
      </c>
      <c r="F193" s="199" t="s">
        <v>608</v>
      </c>
      <c r="J193"/>
      <c r="K193"/>
      <c r="L193"/>
      <c r="M193"/>
      <c r="N193"/>
      <c r="O193"/>
      <c r="P193"/>
      <c r="Q193"/>
    </row>
    <row r="194" spans="1:17" s="33" customFormat="1" x14ac:dyDescent="0.3">
      <c r="A194"/>
      <c r="B194" s="199"/>
      <c r="C194" s="199"/>
      <c r="D194" s="199"/>
      <c r="E194" s="199"/>
      <c r="F194" s="199"/>
      <c r="J194"/>
      <c r="K194"/>
      <c r="L194"/>
      <c r="M194"/>
      <c r="N194"/>
      <c r="O194"/>
      <c r="P194"/>
      <c r="Q194"/>
    </row>
    <row r="195" spans="1:17" s="33" customFormat="1" x14ac:dyDescent="0.3">
      <c r="A195"/>
      <c r="B195" s="219" t="s">
        <v>389</v>
      </c>
      <c r="C195" s="219"/>
      <c r="D195" s="219"/>
      <c r="E195" s="219"/>
      <c r="F195" s="219"/>
      <c r="J195"/>
      <c r="K195"/>
      <c r="L195"/>
      <c r="M195"/>
      <c r="N195"/>
      <c r="O195"/>
      <c r="P195"/>
      <c r="Q195"/>
    </row>
    <row r="196" spans="1:17" s="33" customFormat="1" x14ac:dyDescent="0.3">
      <c r="A196"/>
      <c r="B196" s="219" t="s">
        <v>378</v>
      </c>
      <c r="C196" s="219"/>
      <c r="D196" s="219"/>
      <c r="E196" s="219"/>
      <c r="F196" s="219"/>
      <c r="J196"/>
      <c r="K196"/>
      <c r="L196"/>
      <c r="M196"/>
      <c r="N196"/>
      <c r="O196"/>
      <c r="P196"/>
      <c r="Q196"/>
    </row>
    <row r="197" spans="1:17" s="33" customFormat="1" x14ac:dyDescent="0.3">
      <c r="A197"/>
      <c r="B197" s="1">
        <v>1</v>
      </c>
      <c r="C197" s="7" t="s">
        <v>609</v>
      </c>
      <c r="D197" s="1">
        <v>2</v>
      </c>
      <c r="E197" s="1">
        <v>3</v>
      </c>
      <c r="F197" s="1">
        <f>D197*E197</f>
        <v>6</v>
      </c>
      <c r="J197"/>
      <c r="K197"/>
      <c r="L197"/>
      <c r="M197"/>
      <c r="N197"/>
      <c r="O197"/>
      <c r="P197"/>
      <c r="Q197"/>
    </row>
    <row r="198" spans="1:17" s="33" customFormat="1" x14ac:dyDescent="0.3">
      <c r="A198"/>
      <c r="B198" s="219" t="s">
        <v>379</v>
      </c>
      <c r="C198" s="219"/>
      <c r="D198" s="219"/>
      <c r="E198" s="219"/>
      <c r="F198" s="219"/>
      <c r="J198"/>
      <c r="K198"/>
      <c r="L198"/>
      <c r="M198"/>
      <c r="N198"/>
      <c r="O198"/>
      <c r="P198"/>
      <c r="Q198"/>
    </row>
    <row r="199" spans="1:17" s="33" customFormat="1" x14ac:dyDescent="0.3">
      <c r="A199"/>
      <c r="B199" s="1">
        <v>1</v>
      </c>
      <c r="C199" s="7" t="s">
        <v>20</v>
      </c>
      <c r="D199" s="1">
        <v>6</v>
      </c>
      <c r="E199" s="1">
        <v>3</v>
      </c>
      <c r="F199" s="1">
        <f>D199*E199</f>
        <v>18</v>
      </c>
      <c r="J199"/>
      <c r="K199"/>
      <c r="L199"/>
      <c r="M199"/>
      <c r="N199"/>
      <c r="O199"/>
      <c r="P199"/>
      <c r="Q199"/>
    </row>
    <row r="200" spans="1:17" s="33" customFormat="1" x14ac:dyDescent="0.3">
      <c r="A200"/>
      <c r="B200" s="1">
        <v>2</v>
      </c>
      <c r="C200" s="7" t="s">
        <v>19</v>
      </c>
      <c r="D200" s="1">
        <v>1</v>
      </c>
      <c r="E200" s="1">
        <v>3</v>
      </c>
      <c r="F200" s="1">
        <f>D200*E200</f>
        <v>3</v>
      </c>
      <c r="J200"/>
      <c r="K200"/>
      <c r="L200"/>
      <c r="M200"/>
      <c r="N200"/>
      <c r="O200"/>
      <c r="P200"/>
      <c r="Q200"/>
    </row>
    <row r="201" spans="1:17" s="33" customFormat="1" x14ac:dyDescent="0.3">
      <c r="A201"/>
      <c r="B201" s="219" t="s">
        <v>380</v>
      </c>
      <c r="C201" s="219"/>
      <c r="D201" s="219"/>
      <c r="E201" s="219"/>
      <c r="F201" s="219"/>
      <c r="J201"/>
      <c r="K201"/>
      <c r="L201"/>
      <c r="M201"/>
      <c r="N201"/>
      <c r="O201"/>
      <c r="P201"/>
      <c r="Q201"/>
    </row>
    <row r="202" spans="1:17" s="33" customFormat="1" x14ac:dyDescent="0.3">
      <c r="A202"/>
      <c r="B202" s="1">
        <v>1</v>
      </c>
      <c r="C202" s="7" t="s">
        <v>610</v>
      </c>
      <c r="D202" s="1">
        <v>6</v>
      </c>
      <c r="E202" s="1">
        <v>3</v>
      </c>
      <c r="F202" s="1">
        <f>D202*E202</f>
        <v>18</v>
      </c>
      <c r="J202"/>
      <c r="K202"/>
      <c r="L202"/>
      <c r="M202"/>
      <c r="N202"/>
      <c r="O202"/>
      <c r="P202"/>
      <c r="Q202"/>
    </row>
    <row r="203" spans="1:17" s="33" customFormat="1" x14ac:dyDescent="0.3">
      <c r="A203"/>
      <c r="B203" s="219" t="s">
        <v>381</v>
      </c>
      <c r="C203" s="219"/>
      <c r="D203" s="219"/>
      <c r="E203" s="219"/>
      <c r="F203" s="219"/>
      <c r="J203"/>
      <c r="K203"/>
      <c r="L203"/>
      <c r="M203"/>
      <c r="N203"/>
      <c r="O203"/>
      <c r="P203"/>
      <c r="Q203"/>
    </row>
    <row r="204" spans="1:17" s="33" customFormat="1" x14ac:dyDescent="0.3">
      <c r="A204"/>
      <c r="B204" s="1">
        <v>1</v>
      </c>
      <c r="C204" s="7" t="s">
        <v>610</v>
      </c>
      <c r="D204" s="1">
        <v>1</v>
      </c>
      <c r="E204" s="1">
        <v>3</v>
      </c>
      <c r="F204" s="1">
        <f>D204*E204</f>
        <v>3</v>
      </c>
      <c r="J204"/>
      <c r="K204"/>
      <c r="L204"/>
      <c r="M204"/>
      <c r="N204"/>
      <c r="O204"/>
      <c r="P204"/>
      <c r="Q204"/>
    </row>
    <row r="205" spans="1:17" s="33" customFormat="1" x14ac:dyDescent="0.3">
      <c r="A205"/>
      <c r="B205" s="219" t="s">
        <v>382</v>
      </c>
      <c r="C205" s="219"/>
      <c r="D205" s="219"/>
      <c r="E205" s="219"/>
      <c r="F205" s="219"/>
      <c r="J205"/>
      <c r="K205"/>
      <c r="L205"/>
      <c r="M205"/>
      <c r="N205"/>
      <c r="O205"/>
      <c r="P205"/>
      <c r="Q205"/>
    </row>
    <row r="206" spans="1:17" s="33" customFormat="1" x14ac:dyDescent="0.3">
      <c r="A206"/>
      <c r="B206" s="1">
        <v>1</v>
      </c>
      <c r="C206" s="7" t="s">
        <v>610</v>
      </c>
      <c r="D206" s="1">
        <v>2</v>
      </c>
      <c r="E206" s="1">
        <v>3</v>
      </c>
      <c r="F206" s="1">
        <f>D206*E206</f>
        <v>6</v>
      </c>
      <c r="J206"/>
      <c r="K206"/>
      <c r="L206"/>
      <c r="M206"/>
      <c r="N206"/>
      <c r="O206"/>
      <c r="P206"/>
      <c r="Q206"/>
    </row>
    <row r="207" spans="1:17" s="33" customFormat="1" x14ac:dyDescent="0.3">
      <c r="A207"/>
      <c r="B207" s="219" t="s">
        <v>405</v>
      </c>
      <c r="C207" s="219"/>
      <c r="D207" s="219"/>
      <c r="E207" s="219"/>
      <c r="F207" s="219"/>
      <c r="J207"/>
      <c r="K207"/>
      <c r="L207"/>
      <c r="M207"/>
      <c r="N207"/>
      <c r="O207"/>
      <c r="P207"/>
      <c r="Q207"/>
    </row>
    <row r="208" spans="1:17" s="33" customFormat="1" x14ac:dyDescent="0.3">
      <c r="A208"/>
      <c r="B208" s="1">
        <v>1</v>
      </c>
      <c r="C208" s="7" t="s">
        <v>610</v>
      </c>
      <c r="D208" s="1">
        <v>2</v>
      </c>
      <c r="E208" s="1">
        <v>3</v>
      </c>
      <c r="F208" s="1">
        <f>D208*E208</f>
        <v>6</v>
      </c>
      <c r="J208"/>
      <c r="K208"/>
      <c r="L208"/>
      <c r="M208"/>
      <c r="N208"/>
      <c r="O208"/>
      <c r="P208"/>
      <c r="Q208"/>
    </row>
    <row r="209" spans="1:17" s="33" customFormat="1" x14ac:dyDescent="0.3">
      <c r="A209"/>
      <c r="B209" s="219" t="s">
        <v>403</v>
      </c>
      <c r="C209" s="219"/>
      <c r="D209" s="219"/>
      <c r="E209" s="219"/>
      <c r="F209" s="219"/>
      <c r="J209"/>
      <c r="K209"/>
      <c r="L209"/>
      <c r="M209"/>
      <c r="N209"/>
      <c r="O209"/>
      <c r="P209"/>
      <c r="Q209"/>
    </row>
    <row r="210" spans="1:17" s="33" customFormat="1" x14ac:dyDescent="0.3">
      <c r="A210"/>
      <c r="B210" s="1">
        <v>1</v>
      </c>
      <c r="C210" s="7" t="s">
        <v>610</v>
      </c>
      <c r="D210" s="1">
        <v>2</v>
      </c>
      <c r="E210" s="1">
        <v>3</v>
      </c>
      <c r="F210" s="1">
        <f>D210*E210</f>
        <v>6</v>
      </c>
      <c r="J210"/>
      <c r="K210"/>
      <c r="L210"/>
      <c r="M210"/>
      <c r="N210"/>
      <c r="O210"/>
      <c r="P210"/>
      <c r="Q210"/>
    </row>
    <row r="211" spans="1:17" s="33" customFormat="1" x14ac:dyDescent="0.3">
      <c r="A211"/>
      <c r="B211" s="219" t="s">
        <v>399</v>
      </c>
      <c r="C211" s="219"/>
      <c r="D211" s="219"/>
      <c r="E211" s="219"/>
      <c r="F211" s="219"/>
      <c r="J211"/>
      <c r="K211"/>
      <c r="L211"/>
      <c r="M211"/>
      <c r="N211"/>
      <c r="O211"/>
      <c r="P211"/>
      <c r="Q211"/>
    </row>
    <row r="212" spans="1:17" s="33" customFormat="1" x14ac:dyDescent="0.3">
      <c r="A212"/>
      <c r="B212" s="1">
        <v>1</v>
      </c>
      <c r="C212" s="7" t="s">
        <v>610</v>
      </c>
      <c r="D212" s="1">
        <v>2</v>
      </c>
      <c r="E212" s="1">
        <v>3</v>
      </c>
      <c r="F212" s="1">
        <f>D212*E212</f>
        <v>6</v>
      </c>
      <c r="J212"/>
      <c r="K212"/>
      <c r="L212"/>
      <c r="M212"/>
      <c r="N212"/>
      <c r="O212"/>
      <c r="P212"/>
      <c r="Q212"/>
    </row>
    <row r="213" spans="1:17" s="33" customFormat="1" x14ac:dyDescent="0.3">
      <c r="A213"/>
      <c r="B213" s="219" t="s">
        <v>398</v>
      </c>
      <c r="C213" s="219"/>
      <c r="D213" s="219"/>
      <c r="E213" s="219"/>
      <c r="F213" s="219"/>
      <c r="J213"/>
      <c r="K213"/>
      <c r="L213"/>
      <c r="M213"/>
      <c r="N213"/>
      <c r="O213"/>
      <c r="P213"/>
      <c r="Q213"/>
    </row>
    <row r="214" spans="1:17" s="33" customFormat="1" x14ac:dyDescent="0.3">
      <c r="A214"/>
      <c r="B214" s="1">
        <v>1</v>
      </c>
      <c r="C214" s="7" t="s">
        <v>610</v>
      </c>
      <c r="D214" s="1">
        <v>18</v>
      </c>
      <c r="E214" s="1">
        <v>3</v>
      </c>
      <c r="F214" s="1">
        <f>D214*E214</f>
        <v>54</v>
      </c>
      <c r="J214"/>
      <c r="K214"/>
      <c r="L214"/>
      <c r="M214"/>
      <c r="N214"/>
      <c r="O214"/>
      <c r="P214"/>
      <c r="Q214"/>
    </row>
    <row r="215" spans="1:17" s="33" customFormat="1" x14ac:dyDescent="0.3">
      <c r="A215"/>
      <c r="B215" s="8"/>
      <c r="C215" s="8"/>
      <c r="D215" s="8"/>
      <c r="E215" s="8"/>
      <c r="F215" s="8"/>
      <c r="J215"/>
      <c r="K215"/>
      <c r="L215"/>
      <c r="M215"/>
      <c r="N215"/>
      <c r="O215"/>
      <c r="P215"/>
      <c r="Q215"/>
    </row>
    <row r="216" spans="1:17" s="33" customFormat="1" x14ac:dyDescent="0.3">
      <c r="A216"/>
      <c r="B216" s="35" t="s">
        <v>653</v>
      </c>
      <c r="C216" s="24" t="s">
        <v>654</v>
      </c>
      <c r="D216" s="36" t="s">
        <v>363</v>
      </c>
      <c r="E216" s="143"/>
      <c r="F216" s="143"/>
      <c r="J216"/>
      <c r="K216"/>
      <c r="L216"/>
      <c r="M216"/>
      <c r="N216"/>
      <c r="O216"/>
      <c r="P216"/>
      <c r="Q216"/>
    </row>
    <row r="217" spans="1:17" s="33" customFormat="1" x14ac:dyDescent="0.3">
      <c r="A217"/>
      <c r="B217" s="35">
        <f>SUM(D197,D199:D200,D202,D204,D206,D208,D210,D212,D214)</f>
        <v>42</v>
      </c>
      <c r="C217" s="86">
        <f>SUM(F197,F199:F200,F202,F204,F206,F208,F210,F212,F214)</f>
        <v>126</v>
      </c>
      <c r="D217" s="11">
        <v>197</v>
      </c>
      <c r="E217" s="143"/>
      <c r="F217" s="143"/>
      <c r="J217"/>
      <c r="K217"/>
      <c r="L217"/>
      <c r="M217"/>
      <c r="N217"/>
      <c r="O217"/>
      <c r="P217"/>
      <c r="Q217"/>
    </row>
    <row r="218" spans="1:17" s="33" customFormat="1" x14ac:dyDescent="0.3">
      <c r="A218"/>
      <c r="B218" s="5"/>
      <c r="C218" s="140"/>
      <c r="D218" s="5"/>
      <c r="E218" s="5"/>
      <c r="F218" s="5"/>
      <c r="J218"/>
      <c r="K218"/>
      <c r="L218"/>
      <c r="M218"/>
      <c r="N218"/>
      <c r="O218"/>
      <c r="P218"/>
      <c r="Q218"/>
    </row>
    <row r="219" spans="1:17" s="33" customFormat="1" ht="28.8" x14ac:dyDescent="0.3">
      <c r="A219"/>
      <c r="B219" s="133" t="s">
        <v>611</v>
      </c>
      <c r="C219" s="135">
        <v>30</v>
      </c>
      <c r="D219" s="1" t="s">
        <v>177</v>
      </c>
      <c r="E219" s="5"/>
      <c r="F219" s="5"/>
      <c r="J219"/>
      <c r="K219"/>
      <c r="L219"/>
      <c r="M219"/>
      <c r="N219"/>
      <c r="O219"/>
      <c r="P219"/>
      <c r="Q219"/>
    </row>
    <row r="220" spans="1:17" x14ac:dyDescent="0.3">
      <c r="A220"/>
      <c r="B220" s="32" t="s">
        <v>633</v>
      </c>
      <c r="C220" s="86">
        <f>D217</f>
        <v>197</v>
      </c>
      <c r="D220" s="11" t="s">
        <v>236</v>
      </c>
      <c r="E220">
        <f>C220*2</f>
        <v>394</v>
      </c>
      <c r="M220"/>
    </row>
    <row r="221" spans="1:17" x14ac:dyDescent="0.3">
      <c r="A221"/>
      <c r="B221" s="32" t="s">
        <v>612</v>
      </c>
      <c r="C221" s="86">
        <f>C220*C219</f>
        <v>5910</v>
      </c>
      <c r="D221" s="11" t="s">
        <v>237</v>
      </c>
      <c r="M221"/>
    </row>
    <row r="222" spans="1:17" x14ac:dyDescent="0.3">
      <c r="A222"/>
      <c r="B222" s="32" t="s">
        <v>612</v>
      </c>
      <c r="C222" s="86">
        <f>C221/1000</f>
        <v>5.91</v>
      </c>
      <c r="D222" s="11" t="s">
        <v>134</v>
      </c>
      <c r="M222"/>
    </row>
    <row r="223" spans="1:17" x14ac:dyDescent="0.3">
      <c r="A223"/>
      <c r="B223" s="32" t="s">
        <v>634</v>
      </c>
      <c r="C223" s="86">
        <v>0.2</v>
      </c>
      <c r="D223" s="11" t="s">
        <v>196</v>
      </c>
      <c r="M223"/>
    </row>
    <row r="224" spans="1:17" ht="14.4" customHeight="1" x14ac:dyDescent="0.3">
      <c r="A224"/>
      <c r="B224" s="32" t="s">
        <v>635</v>
      </c>
      <c r="C224" s="135">
        <f>C222+C223</f>
        <v>6.11</v>
      </c>
      <c r="D224" s="11" t="s">
        <v>134</v>
      </c>
      <c r="M224"/>
    </row>
    <row r="225" spans="1:13" x14ac:dyDescent="0.3">
      <c r="A225"/>
      <c r="M225"/>
    </row>
    <row r="226" spans="1:13" x14ac:dyDescent="0.3">
      <c r="A226"/>
      <c r="B226" s="189" t="s">
        <v>690</v>
      </c>
      <c r="C226" s="189"/>
      <c r="D226" s="189"/>
      <c r="E226" s="201" t="s">
        <v>616</v>
      </c>
      <c r="M226"/>
    </row>
    <row r="227" spans="1:13" x14ac:dyDescent="0.3">
      <c r="A227"/>
      <c r="B227" s="36" t="s">
        <v>617</v>
      </c>
      <c r="C227" s="24" t="s">
        <v>618</v>
      </c>
      <c r="D227" s="36" t="s">
        <v>619</v>
      </c>
      <c r="E227" s="201"/>
      <c r="M227"/>
    </row>
    <row r="228" spans="1:13" x14ac:dyDescent="0.3">
      <c r="A228"/>
      <c r="B228" s="136">
        <v>2</v>
      </c>
      <c r="C228" s="137">
        <f>(E228)/(B228*D228)</f>
        <v>2.0366666666666666</v>
      </c>
      <c r="D228" s="136">
        <v>1.5</v>
      </c>
      <c r="E228" s="136">
        <f>C224</f>
        <v>6.11</v>
      </c>
      <c r="M228"/>
    </row>
    <row r="229" spans="1:13" x14ac:dyDescent="0.3">
      <c r="A229"/>
      <c r="B229" s="147"/>
      <c r="C229" s="147"/>
      <c r="D229" s="147"/>
      <c r="M229"/>
    </row>
    <row r="230" spans="1:13" x14ac:dyDescent="0.3">
      <c r="A230"/>
      <c r="B230" s="181" t="s">
        <v>644</v>
      </c>
      <c r="C230" s="181"/>
      <c r="D230" s="181"/>
      <c r="M230"/>
    </row>
    <row r="231" spans="1:13" x14ac:dyDescent="0.3">
      <c r="A231"/>
      <c r="B231" s="181" t="s">
        <v>645</v>
      </c>
      <c r="C231" s="181"/>
      <c r="D231" s="181"/>
      <c r="M231"/>
    </row>
    <row r="232" spans="1:13" x14ac:dyDescent="0.3">
      <c r="A232"/>
      <c r="B232" s="181" t="s">
        <v>646</v>
      </c>
      <c r="C232" s="181"/>
      <c r="D232" s="181"/>
      <c r="M232"/>
    </row>
    <row r="233" spans="1:13" x14ac:dyDescent="0.3">
      <c r="A233"/>
      <c r="B233" s="236" t="s">
        <v>647</v>
      </c>
      <c r="C233" s="236"/>
      <c r="D233" s="236"/>
      <c r="M233"/>
    </row>
    <row r="234" spans="1:13" x14ac:dyDescent="0.3">
      <c r="A234"/>
      <c r="B234" s="236"/>
      <c r="C234" s="236"/>
      <c r="D234" s="236"/>
      <c r="M234"/>
    </row>
    <row r="235" spans="1:13" x14ac:dyDescent="0.3">
      <c r="A235"/>
      <c r="B235" s="147"/>
      <c r="C235" s="147"/>
      <c r="D235" s="147"/>
      <c r="M235"/>
    </row>
    <row r="236" spans="1:13" x14ac:dyDescent="0.3">
      <c r="A236"/>
      <c r="M236"/>
    </row>
    <row r="237" spans="1:13" x14ac:dyDescent="0.3">
      <c r="A237"/>
      <c r="C237"/>
    </row>
    <row r="238" spans="1:13" x14ac:dyDescent="0.3">
      <c r="A238"/>
      <c r="C238"/>
    </row>
    <row r="239" spans="1:13" x14ac:dyDescent="0.3">
      <c r="A239"/>
      <c r="C239"/>
    </row>
    <row r="240" spans="1:13" x14ac:dyDescent="0.3">
      <c r="A240"/>
      <c r="C240"/>
    </row>
    <row r="241" spans="1:13" x14ac:dyDescent="0.3">
      <c r="A241"/>
      <c r="C241"/>
      <c r="M241"/>
    </row>
    <row r="242" spans="1:13" x14ac:dyDescent="0.3">
      <c r="A242"/>
      <c r="C242"/>
      <c r="M242"/>
    </row>
    <row r="243" spans="1:13" x14ac:dyDescent="0.3">
      <c r="A243"/>
      <c r="C243"/>
      <c r="M243"/>
    </row>
    <row r="244" spans="1:13" x14ac:dyDescent="0.3">
      <c r="A244"/>
      <c r="C244"/>
      <c r="M244"/>
    </row>
    <row r="245" spans="1:13" x14ac:dyDescent="0.3">
      <c r="A245"/>
      <c r="C245"/>
      <c r="M245"/>
    </row>
    <row r="246" spans="1:13" x14ac:dyDescent="0.3">
      <c r="A246"/>
      <c r="C246"/>
      <c r="M246"/>
    </row>
    <row r="247" spans="1:13" x14ac:dyDescent="0.3">
      <c r="A247"/>
      <c r="C247"/>
      <c r="M247"/>
    </row>
    <row r="248" spans="1:13" x14ac:dyDescent="0.3">
      <c r="A248"/>
      <c r="C248"/>
      <c r="M248"/>
    </row>
    <row r="249" spans="1:13" x14ac:dyDescent="0.3">
      <c r="A249"/>
      <c r="C249"/>
      <c r="M249"/>
    </row>
    <row r="250" spans="1:13" x14ac:dyDescent="0.3">
      <c r="A250"/>
      <c r="C250"/>
      <c r="M250"/>
    </row>
    <row r="251" spans="1:13" x14ac:dyDescent="0.3">
      <c r="A251"/>
    </row>
    <row r="252" spans="1:13" x14ac:dyDescent="0.3">
      <c r="A252"/>
      <c r="C252"/>
    </row>
    <row r="253" spans="1:13" x14ac:dyDescent="0.3">
      <c r="A253"/>
      <c r="C253"/>
    </row>
    <row r="254" spans="1:13" x14ac:dyDescent="0.3">
      <c r="A254"/>
      <c r="C254"/>
    </row>
    <row r="255" spans="1:13" x14ac:dyDescent="0.3">
      <c r="A255"/>
    </row>
    <row r="256" spans="1:13" x14ac:dyDescent="0.3">
      <c r="A256"/>
    </row>
    <row r="257" spans="1:13" x14ac:dyDescent="0.3">
      <c r="A257"/>
    </row>
    <row r="258" spans="1:13" x14ac:dyDescent="0.3">
      <c r="A258"/>
      <c r="M258"/>
    </row>
    <row r="259" spans="1:13" x14ac:dyDescent="0.3">
      <c r="A259"/>
    </row>
    <row r="260" spans="1:13" x14ac:dyDescent="0.3">
      <c r="A260"/>
    </row>
    <row r="261" spans="1:13" x14ac:dyDescent="0.3">
      <c r="A261"/>
    </row>
    <row r="262" spans="1:13" x14ac:dyDescent="0.3">
      <c r="A262"/>
    </row>
    <row r="263" spans="1:13" x14ac:dyDescent="0.3">
      <c r="A263"/>
    </row>
    <row r="264" spans="1:13" x14ac:dyDescent="0.3">
      <c r="A264"/>
    </row>
    <row r="265" spans="1:13" x14ac:dyDescent="0.3">
      <c r="A265"/>
    </row>
  </sheetData>
  <mergeCells count="106">
    <mergeCell ref="B230:D230"/>
    <mergeCell ref="B231:D231"/>
    <mergeCell ref="B232:D232"/>
    <mergeCell ref="B233:D234"/>
    <mergeCell ref="B207:F207"/>
    <mergeCell ref="B209:F209"/>
    <mergeCell ref="B211:F211"/>
    <mergeCell ref="B213:F213"/>
    <mergeCell ref="B226:D226"/>
    <mergeCell ref="E226:E227"/>
    <mergeCell ref="B195:F195"/>
    <mergeCell ref="B196:F196"/>
    <mergeCell ref="B198:F198"/>
    <mergeCell ref="B201:F201"/>
    <mergeCell ref="B203:F203"/>
    <mergeCell ref="B205:F205"/>
    <mergeCell ref="B190:E190"/>
    <mergeCell ref="B193:B194"/>
    <mergeCell ref="C193:C194"/>
    <mergeCell ref="D193:D194"/>
    <mergeCell ref="E193:E194"/>
    <mergeCell ref="F193:F194"/>
    <mergeCell ref="B155:F155"/>
    <mergeCell ref="B159:F159"/>
    <mergeCell ref="B163:F163"/>
    <mergeCell ref="B167:F167"/>
    <mergeCell ref="B182:D182"/>
    <mergeCell ref="E182:E183"/>
    <mergeCell ref="F139:F140"/>
    <mergeCell ref="B141:F141"/>
    <mergeCell ref="B142:F142"/>
    <mergeCell ref="B145:F145"/>
    <mergeCell ref="B147:F147"/>
    <mergeCell ref="B151:F151"/>
    <mergeCell ref="D130:E130"/>
    <mergeCell ref="D131:E131"/>
    <mergeCell ref="D132:E132"/>
    <mergeCell ref="D133:E133"/>
    <mergeCell ref="B136:E136"/>
    <mergeCell ref="B139:B140"/>
    <mergeCell ref="C139:C140"/>
    <mergeCell ref="D139:D140"/>
    <mergeCell ref="E139:E140"/>
    <mergeCell ref="C124:D124"/>
    <mergeCell ref="C125:D125"/>
    <mergeCell ref="C126:D126"/>
    <mergeCell ref="B127:E127"/>
    <mergeCell ref="B128:C128"/>
    <mergeCell ref="B129:E129"/>
    <mergeCell ref="C115:D115"/>
    <mergeCell ref="B116:E116"/>
    <mergeCell ref="B120:D120"/>
    <mergeCell ref="B121:E121"/>
    <mergeCell ref="C122:D122"/>
    <mergeCell ref="C123:D123"/>
    <mergeCell ref="B109:E109"/>
    <mergeCell ref="B110:E110"/>
    <mergeCell ref="C111:D111"/>
    <mergeCell ref="C112:D112"/>
    <mergeCell ref="C113:D113"/>
    <mergeCell ref="C114:D114"/>
    <mergeCell ref="F75:F76"/>
    <mergeCell ref="B77:F77"/>
    <mergeCell ref="B78:F78"/>
    <mergeCell ref="B93:D93"/>
    <mergeCell ref="E93:E94"/>
    <mergeCell ref="C99:D99"/>
    <mergeCell ref="D68:E68"/>
    <mergeCell ref="D69:E69"/>
    <mergeCell ref="D70:E70"/>
    <mergeCell ref="B72:E72"/>
    <mergeCell ref="B75:B76"/>
    <mergeCell ref="C75:C76"/>
    <mergeCell ref="D75:D76"/>
    <mergeCell ref="E75:E76"/>
    <mergeCell ref="C62:D62"/>
    <mergeCell ref="C63:D63"/>
    <mergeCell ref="B64:E64"/>
    <mergeCell ref="B65:C65"/>
    <mergeCell ref="B66:E66"/>
    <mergeCell ref="D67:E67"/>
    <mergeCell ref="B53:E53"/>
    <mergeCell ref="B57:D57"/>
    <mergeCell ref="B58:E58"/>
    <mergeCell ref="C59:D59"/>
    <mergeCell ref="C60:D60"/>
    <mergeCell ref="C61:D61"/>
    <mergeCell ref="B47:E47"/>
    <mergeCell ref="C48:D48"/>
    <mergeCell ref="C49:D49"/>
    <mergeCell ref="C50:D50"/>
    <mergeCell ref="C51:D51"/>
    <mergeCell ref="C52:D52"/>
    <mergeCell ref="B14:F14"/>
    <mergeCell ref="B15:F15"/>
    <mergeCell ref="B31:D31"/>
    <mergeCell ref="E31:E32"/>
    <mergeCell ref="C37:D37"/>
    <mergeCell ref="B46:E46"/>
    <mergeCell ref="A6:G7"/>
    <mergeCell ref="B9:E9"/>
    <mergeCell ref="B12:B13"/>
    <mergeCell ref="C12:C13"/>
    <mergeCell ref="D12:D13"/>
    <mergeCell ref="E12:E13"/>
    <mergeCell ref="F12:F1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4" fitToWidth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D74CB-ACAF-4E1F-9462-1BFEE0713A5B}">
  <sheetPr>
    <tabColor rgb="FF00B0F0"/>
  </sheetPr>
  <dimension ref="A6:Q96"/>
  <sheetViews>
    <sheetView view="pageBreakPreview" zoomScale="85" zoomScaleNormal="55" zoomScaleSheetLayoutView="85" workbookViewId="0">
      <selection activeCell="B44" sqref="B44:D45"/>
    </sheetView>
  </sheetViews>
  <sheetFormatPr defaultRowHeight="14.4" x14ac:dyDescent="0.3"/>
  <cols>
    <col min="1" max="1" width="4.6640625" style="9" bestFit="1" customWidth="1"/>
    <col min="2" max="2" width="15" customWidth="1"/>
    <col min="3" max="3" width="22" style="132" customWidth="1"/>
    <col min="4" max="4" width="16.88671875" customWidth="1"/>
    <col min="5" max="5" width="21.33203125" customWidth="1"/>
    <col min="6" max="6" width="17.33203125" customWidth="1"/>
    <col min="7" max="7" width="20.6640625" customWidth="1"/>
    <col min="8" max="8" width="17.5546875" customWidth="1"/>
    <col min="9" max="9" width="19.88671875" customWidth="1"/>
    <col min="10" max="10" width="9.109375" customWidth="1"/>
    <col min="11" max="11" width="19.5546875" hidden="1" customWidth="1"/>
    <col min="12" max="12" width="10.109375" hidden="1" customWidth="1"/>
    <col min="13" max="13" width="9.109375" style="5" hidden="1" customWidth="1"/>
    <col min="14" max="14" width="11.33203125" hidden="1" customWidth="1"/>
    <col min="15" max="15" width="8.88671875" hidden="1" customWidth="1"/>
    <col min="16" max="16" width="8.88671875" customWidth="1"/>
    <col min="17" max="17" width="10.88671875" customWidth="1"/>
  </cols>
  <sheetData>
    <row r="6" spans="1:17" ht="14.4" customHeight="1" x14ac:dyDescent="0.3">
      <c r="A6" s="224" t="s">
        <v>603</v>
      </c>
      <c r="B6" s="224"/>
      <c r="C6" s="224"/>
      <c r="D6" s="224"/>
      <c r="E6" s="224"/>
      <c r="F6" s="224"/>
      <c r="G6" s="224"/>
      <c r="H6" s="129"/>
      <c r="I6" s="129"/>
      <c r="J6" s="129"/>
      <c r="K6" s="129"/>
      <c r="L6" s="129"/>
      <c r="M6" s="129"/>
      <c r="N6" s="129"/>
      <c r="O6" s="129"/>
      <c r="P6" s="129"/>
      <c r="Q6" s="129"/>
    </row>
    <row r="7" spans="1:17" ht="14.4" customHeight="1" x14ac:dyDescent="0.3">
      <c r="A7" s="224"/>
      <c r="B7" s="224"/>
      <c r="C7" s="224"/>
      <c r="D7" s="224"/>
      <c r="E7" s="224"/>
      <c r="F7" s="224"/>
      <c r="G7" s="224"/>
      <c r="H7" s="129"/>
      <c r="I7" s="129"/>
      <c r="J7" s="129"/>
      <c r="K7" s="129"/>
      <c r="L7" s="129"/>
      <c r="M7" s="129"/>
      <c r="N7" s="129"/>
      <c r="O7" s="129"/>
      <c r="P7" s="129"/>
      <c r="Q7" s="129"/>
    </row>
    <row r="8" spans="1:17" ht="14.4" customHeight="1" x14ac:dyDescent="0.3">
      <c r="A8" s="130"/>
      <c r="B8" s="130"/>
      <c r="C8" s="130"/>
      <c r="D8" s="130"/>
      <c r="E8" s="130"/>
      <c r="F8" s="130"/>
      <c r="G8" s="130"/>
      <c r="H8" s="129"/>
      <c r="I8" s="129"/>
      <c r="J8" s="129"/>
      <c r="K8" s="129"/>
      <c r="L8" s="129"/>
      <c r="M8" s="129"/>
      <c r="N8" s="129"/>
      <c r="O8" s="129"/>
      <c r="P8" s="129"/>
      <c r="Q8" s="129"/>
    </row>
    <row r="9" spans="1:17" x14ac:dyDescent="0.3">
      <c r="A9"/>
      <c r="B9" s="180" t="s">
        <v>691</v>
      </c>
      <c r="C9" s="180"/>
      <c r="D9" s="180"/>
      <c r="E9" s="180"/>
      <c r="M9"/>
    </row>
    <row r="10" spans="1:17" x14ac:dyDescent="0.3">
      <c r="A10"/>
      <c r="B10" s="148" t="s">
        <v>692</v>
      </c>
      <c r="C10" s="126"/>
      <c r="D10" s="26"/>
      <c r="E10" s="26"/>
    </row>
    <row r="11" spans="1:17" x14ac:dyDescent="0.3">
      <c r="A11"/>
      <c r="M11"/>
    </row>
    <row r="12" spans="1:17" x14ac:dyDescent="0.3">
      <c r="A12"/>
      <c r="B12" s="201" t="s">
        <v>2</v>
      </c>
      <c r="C12" s="199" t="s">
        <v>606</v>
      </c>
      <c r="D12" s="199" t="s">
        <v>7</v>
      </c>
      <c r="E12" s="199" t="s">
        <v>607</v>
      </c>
      <c r="F12" s="199" t="s">
        <v>608</v>
      </c>
      <c r="M12"/>
    </row>
    <row r="13" spans="1:17" x14ac:dyDescent="0.3">
      <c r="A13"/>
      <c r="B13" s="201"/>
      <c r="C13" s="199"/>
      <c r="D13" s="199"/>
      <c r="E13" s="199"/>
      <c r="F13" s="199"/>
      <c r="M13"/>
    </row>
    <row r="14" spans="1:17" x14ac:dyDescent="0.3">
      <c r="A14"/>
      <c r="B14" s="158" t="s">
        <v>389</v>
      </c>
      <c r="C14" s="159"/>
      <c r="D14" s="159"/>
      <c r="E14" s="159"/>
      <c r="F14" s="160"/>
      <c r="G14" s="82"/>
      <c r="M14"/>
    </row>
    <row r="15" spans="1:17" x14ac:dyDescent="0.3">
      <c r="A15"/>
      <c r="B15" s="158" t="s">
        <v>681</v>
      </c>
      <c r="C15" s="159"/>
      <c r="D15" s="159"/>
      <c r="E15" s="159"/>
      <c r="F15" s="160"/>
      <c r="G15" s="82"/>
      <c r="M15"/>
    </row>
    <row r="16" spans="1:17" x14ac:dyDescent="0.3">
      <c r="A16"/>
      <c r="B16" s="1">
        <v>1</v>
      </c>
      <c r="C16" s="32" t="s">
        <v>630</v>
      </c>
      <c r="D16" s="11">
        <v>26</v>
      </c>
      <c r="E16" s="11">
        <v>4</v>
      </c>
      <c r="F16" s="11">
        <f>D16*E16</f>
        <v>104</v>
      </c>
      <c r="G16" s="82"/>
      <c r="M16"/>
    </row>
    <row r="17" spans="1:17" x14ac:dyDescent="0.3">
      <c r="A17"/>
      <c r="C17"/>
      <c r="M17"/>
    </row>
    <row r="18" spans="1:17" x14ac:dyDescent="0.3">
      <c r="A18"/>
      <c r="B18" s="35" t="s">
        <v>653</v>
      </c>
      <c r="C18" s="24" t="s">
        <v>654</v>
      </c>
      <c r="D18" s="36" t="s">
        <v>363</v>
      </c>
      <c r="E18" s="143"/>
      <c r="F18" s="143"/>
      <c r="G18" s="82"/>
      <c r="M18"/>
    </row>
    <row r="19" spans="1:17" x14ac:dyDescent="0.3">
      <c r="A19"/>
      <c r="B19" s="35">
        <f>SUM(D16)</f>
        <v>26</v>
      </c>
      <c r="C19" s="86">
        <f>F16</f>
        <v>104</v>
      </c>
      <c r="D19" s="136">
        <v>177</v>
      </c>
      <c r="E19" s="143"/>
      <c r="F19" s="143"/>
      <c r="G19" s="82"/>
      <c r="M19"/>
    </row>
    <row r="20" spans="1:17" x14ac:dyDescent="0.3">
      <c r="A20"/>
      <c r="M20"/>
    </row>
    <row r="21" spans="1:17" ht="28.95" customHeight="1" x14ac:dyDescent="0.3">
      <c r="A21"/>
      <c r="B21" s="133" t="s">
        <v>611</v>
      </c>
      <c r="C21" s="135">
        <v>30</v>
      </c>
      <c r="D21" s="1" t="s">
        <v>177</v>
      </c>
    </row>
    <row r="22" spans="1:17" x14ac:dyDescent="0.3">
      <c r="A22"/>
      <c r="B22" s="32" t="s">
        <v>239</v>
      </c>
      <c r="C22" s="86">
        <f>D19</f>
        <v>177</v>
      </c>
      <c r="D22" s="11" t="s">
        <v>236</v>
      </c>
    </row>
    <row r="23" spans="1:17" x14ac:dyDescent="0.3">
      <c r="A23"/>
      <c r="B23" s="32" t="s">
        <v>612</v>
      </c>
      <c r="C23" s="86">
        <f>C22*C21</f>
        <v>5310</v>
      </c>
      <c r="D23" s="11" t="s">
        <v>237</v>
      </c>
    </row>
    <row r="24" spans="1:17" x14ac:dyDescent="0.3">
      <c r="A24"/>
      <c r="B24" s="32" t="s">
        <v>612</v>
      </c>
      <c r="C24" s="86">
        <f>C23/1000</f>
        <v>5.31</v>
      </c>
      <c r="D24" s="11" t="s">
        <v>134</v>
      </c>
    </row>
    <row r="25" spans="1:17" x14ac:dyDescent="0.3">
      <c r="A25"/>
      <c r="B25" s="32" t="s">
        <v>613</v>
      </c>
      <c r="C25" s="86">
        <f>20/100</f>
        <v>0.2</v>
      </c>
      <c r="D25" s="11" t="s">
        <v>196</v>
      </c>
    </row>
    <row r="26" spans="1:17" x14ac:dyDescent="0.3">
      <c r="A26"/>
      <c r="B26" s="32" t="s">
        <v>614</v>
      </c>
      <c r="C26" s="135">
        <f>C24+C25</f>
        <v>5.51</v>
      </c>
      <c r="D26" s="11" t="s">
        <v>134</v>
      </c>
    </row>
    <row r="27" spans="1:17" s="33" customFormat="1" x14ac:dyDescent="0.3">
      <c r="A27"/>
      <c r="B27"/>
      <c r="C27" s="132"/>
      <c r="D27"/>
      <c r="E27"/>
      <c r="F27"/>
      <c r="O27"/>
      <c r="Q27"/>
    </row>
    <row r="28" spans="1:17" x14ac:dyDescent="0.3">
      <c r="A28"/>
      <c r="B28" s="189" t="s">
        <v>615</v>
      </c>
      <c r="C28" s="189"/>
      <c r="D28" s="189"/>
      <c r="E28" s="201" t="s">
        <v>616</v>
      </c>
    </row>
    <row r="29" spans="1:17" x14ac:dyDescent="0.3">
      <c r="A29"/>
      <c r="B29" s="36" t="s">
        <v>617</v>
      </c>
      <c r="C29" s="24" t="s">
        <v>618</v>
      </c>
      <c r="D29" s="36" t="s">
        <v>619</v>
      </c>
      <c r="E29" s="201"/>
    </row>
    <row r="30" spans="1:17" x14ac:dyDescent="0.3">
      <c r="A30"/>
      <c r="B30" s="136">
        <v>2.4</v>
      </c>
      <c r="C30" s="137">
        <f>(E30)/(B30*D30)</f>
        <v>1.5305555555555557</v>
      </c>
      <c r="D30" s="136">
        <v>1.5</v>
      </c>
      <c r="E30" s="136">
        <f>C26</f>
        <v>5.51</v>
      </c>
    </row>
    <row r="31" spans="1:17" s="33" customFormat="1" x14ac:dyDescent="0.3">
      <c r="A31"/>
      <c r="B31"/>
      <c r="C31" s="132"/>
      <c r="D31"/>
      <c r="E31"/>
      <c r="F31"/>
      <c r="Q31"/>
    </row>
    <row r="32" spans="1:17" x14ac:dyDescent="0.3">
      <c r="A32"/>
      <c r="B32" s="132"/>
      <c r="C32" s="142"/>
      <c r="D32" s="5"/>
      <c r="E32" s="5"/>
      <c r="G32" s="140"/>
      <c r="H32" s="5"/>
      <c r="I32" s="5"/>
      <c r="J32" s="5"/>
    </row>
    <row r="33" spans="1:17" x14ac:dyDescent="0.3">
      <c r="A33"/>
      <c r="B33" s="180" t="s">
        <v>693</v>
      </c>
      <c r="C33" s="180"/>
      <c r="D33" s="180"/>
      <c r="E33" s="180"/>
    </row>
    <row r="34" spans="1:17" x14ac:dyDescent="0.3">
      <c r="A34"/>
      <c r="B34" s="131" t="s">
        <v>694</v>
      </c>
      <c r="C34" s="126"/>
      <c r="D34" s="126"/>
      <c r="E34" s="126"/>
    </row>
    <row r="35" spans="1:17" x14ac:dyDescent="0.3">
      <c r="A35"/>
      <c r="B35" s="82"/>
      <c r="C35" s="143"/>
      <c r="D35" s="5"/>
      <c r="E35" s="5"/>
      <c r="F35" s="5"/>
      <c r="G35" s="5"/>
    </row>
    <row r="36" spans="1:17" s="33" customFormat="1" x14ac:dyDescent="0.3">
      <c r="A36"/>
      <c r="B36" s="199" t="s">
        <v>2</v>
      </c>
      <c r="C36" s="199" t="s">
        <v>629</v>
      </c>
      <c r="D36" s="199" t="s">
        <v>7</v>
      </c>
      <c r="E36" s="199" t="s">
        <v>607</v>
      </c>
      <c r="F36" s="199" t="s">
        <v>608</v>
      </c>
      <c r="G36"/>
      <c r="H36"/>
      <c r="Q36"/>
    </row>
    <row r="37" spans="1:17" x14ac:dyDescent="0.3">
      <c r="A37"/>
      <c r="B37" s="199"/>
      <c r="C37" s="199"/>
      <c r="D37" s="199"/>
      <c r="E37" s="199"/>
      <c r="F37" s="199"/>
    </row>
    <row r="38" spans="1:17" x14ac:dyDescent="0.3">
      <c r="A38"/>
      <c r="B38" s="158" t="s">
        <v>389</v>
      </c>
      <c r="C38" s="159"/>
      <c r="D38" s="159"/>
      <c r="E38" s="159"/>
      <c r="F38" s="160"/>
      <c r="G38" s="143"/>
    </row>
    <row r="39" spans="1:17" x14ac:dyDescent="0.3">
      <c r="A39"/>
      <c r="B39" s="158" t="s">
        <v>681</v>
      </c>
      <c r="C39" s="159"/>
      <c r="D39" s="159"/>
      <c r="E39" s="159"/>
      <c r="F39" s="160"/>
      <c r="G39" s="143"/>
    </row>
    <row r="40" spans="1:17" x14ac:dyDescent="0.3">
      <c r="A40"/>
      <c r="B40" s="1">
        <v>1</v>
      </c>
      <c r="C40" s="32" t="s">
        <v>10</v>
      </c>
      <c r="D40" s="11">
        <v>13</v>
      </c>
      <c r="E40" s="11">
        <v>2</v>
      </c>
      <c r="F40" s="11">
        <f>D40*E40</f>
        <v>26</v>
      </c>
      <c r="G40" s="143"/>
    </row>
    <row r="41" spans="1:17" x14ac:dyDescent="0.3">
      <c r="A41"/>
      <c r="B41" s="1">
        <v>2</v>
      </c>
      <c r="C41" s="32" t="s">
        <v>631</v>
      </c>
      <c r="D41" s="11">
        <f>8+9+11</f>
        <v>28</v>
      </c>
      <c r="E41" s="11">
        <v>1</v>
      </c>
      <c r="F41" s="11">
        <f t="shared" ref="F41:F42" si="0">D41*E41</f>
        <v>28</v>
      </c>
      <c r="G41" s="143"/>
    </row>
    <row r="42" spans="1:17" x14ac:dyDescent="0.3">
      <c r="A42"/>
      <c r="B42" s="1">
        <v>3</v>
      </c>
      <c r="C42" s="32" t="s">
        <v>682</v>
      </c>
      <c r="D42" s="11">
        <v>1</v>
      </c>
      <c r="E42" s="11">
        <v>3</v>
      </c>
      <c r="F42" s="11">
        <f t="shared" si="0"/>
        <v>3</v>
      </c>
      <c r="G42" s="143"/>
    </row>
    <row r="43" spans="1:17" x14ac:dyDescent="0.3">
      <c r="A43"/>
      <c r="B43" s="143"/>
      <c r="C43" s="143"/>
      <c r="D43" s="143"/>
      <c r="E43" s="143"/>
      <c r="F43" s="143"/>
      <c r="G43" s="143"/>
    </row>
    <row r="44" spans="1:17" x14ac:dyDescent="0.3">
      <c r="A44"/>
      <c r="B44" s="35" t="s">
        <v>653</v>
      </c>
      <c r="C44" s="24" t="s">
        <v>654</v>
      </c>
      <c r="D44" s="36" t="s">
        <v>363</v>
      </c>
      <c r="E44" s="143"/>
      <c r="F44" s="143"/>
      <c r="G44" s="143"/>
    </row>
    <row r="45" spans="1:17" x14ac:dyDescent="0.3">
      <c r="A45"/>
      <c r="B45" s="35">
        <f>SUM(D40:D42)</f>
        <v>42</v>
      </c>
      <c r="C45" s="86">
        <f>SUM(F40:F42)</f>
        <v>57</v>
      </c>
      <c r="D45" s="11">
        <v>116</v>
      </c>
      <c r="E45" s="143"/>
      <c r="F45" s="143"/>
      <c r="G45" s="143"/>
    </row>
    <row r="46" spans="1:17" x14ac:dyDescent="0.3">
      <c r="A46"/>
      <c r="B46" s="5"/>
      <c r="C46" s="140"/>
      <c r="D46" s="5"/>
      <c r="E46" s="5"/>
      <c r="F46" s="5"/>
      <c r="G46" s="5"/>
    </row>
    <row r="47" spans="1:17" ht="28.8" x14ac:dyDescent="0.3">
      <c r="A47"/>
      <c r="B47" s="133" t="s">
        <v>611</v>
      </c>
      <c r="C47" s="135">
        <v>30</v>
      </c>
      <c r="D47" s="1" t="s">
        <v>177</v>
      </c>
      <c r="E47" s="5"/>
      <c r="F47" s="5"/>
    </row>
    <row r="48" spans="1:17" x14ac:dyDescent="0.3">
      <c r="A48"/>
      <c r="B48" s="32" t="s">
        <v>633</v>
      </c>
      <c r="C48" s="86">
        <f>D45</f>
        <v>116</v>
      </c>
      <c r="D48" s="11" t="s">
        <v>236</v>
      </c>
    </row>
    <row r="49" spans="1:17" x14ac:dyDescent="0.3">
      <c r="A49"/>
      <c r="B49" s="32" t="s">
        <v>612</v>
      </c>
      <c r="C49" s="86">
        <f>C48*C47</f>
        <v>3480</v>
      </c>
      <c r="D49" s="11" t="s">
        <v>237</v>
      </c>
    </row>
    <row r="50" spans="1:17" x14ac:dyDescent="0.3">
      <c r="A50"/>
      <c r="B50" s="32" t="s">
        <v>612</v>
      </c>
      <c r="C50" s="86">
        <f>C49/1000</f>
        <v>3.48</v>
      </c>
      <c r="D50" s="11" t="s">
        <v>134</v>
      </c>
    </row>
    <row r="51" spans="1:17" x14ac:dyDescent="0.3">
      <c r="A51"/>
      <c r="B51" s="32" t="s">
        <v>634</v>
      </c>
      <c r="C51" s="86">
        <v>0.2</v>
      </c>
      <c r="D51" s="11" t="s">
        <v>196</v>
      </c>
    </row>
    <row r="52" spans="1:17" x14ac:dyDescent="0.3">
      <c r="A52"/>
      <c r="B52" s="32" t="s">
        <v>635</v>
      </c>
      <c r="C52" s="135">
        <f>C50+C51</f>
        <v>3.68</v>
      </c>
      <c r="D52" s="11" t="s">
        <v>134</v>
      </c>
    </row>
    <row r="53" spans="1:17" x14ac:dyDescent="0.3">
      <c r="A53"/>
    </row>
    <row r="54" spans="1:17" s="33" customFormat="1" x14ac:dyDescent="0.3">
      <c r="A54"/>
      <c r="B54" s="189" t="s">
        <v>615</v>
      </c>
      <c r="C54" s="189"/>
      <c r="D54" s="189"/>
      <c r="E54" s="201" t="s">
        <v>616</v>
      </c>
      <c r="F54"/>
      <c r="O54"/>
      <c r="Q54"/>
    </row>
    <row r="55" spans="1:17" x14ac:dyDescent="0.3">
      <c r="A55"/>
      <c r="B55" s="36" t="s">
        <v>617</v>
      </c>
      <c r="C55" s="24" t="s">
        <v>618</v>
      </c>
      <c r="D55" s="36" t="s">
        <v>619</v>
      </c>
      <c r="E55" s="201"/>
    </row>
    <row r="56" spans="1:17" x14ac:dyDescent="0.3">
      <c r="A56"/>
      <c r="B56" s="136">
        <v>2</v>
      </c>
      <c r="C56" s="137">
        <f>(E56)/(B56*D56)</f>
        <v>1.5333333333333334</v>
      </c>
      <c r="D56" s="136">
        <v>1.2</v>
      </c>
      <c r="E56" s="136">
        <f>C52</f>
        <v>3.68</v>
      </c>
    </row>
    <row r="57" spans="1:17" ht="14.4" customHeight="1" x14ac:dyDescent="0.3">
      <c r="A57"/>
    </row>
    <row r="58" spans="1:17" s="33" customFormat="1" x14ac:dyDescent="0.3">
      <c r="A58"/>
      <c r="B58" s="140"/>
      <c r="C58" s="146"/>
      <c r="D58" s="5"/>
      <c r="E58" s="5"/>
      <c r="F58"/>
      <c r="J58"/>
      <c r="K58"/>
      <c r="L58"/>
      <c r="M58"/>
      <c r="N58"/>
      <c r="O58"/>
      <c r="P58"/>
      <c r="Q58"/>
    </row>
    <row r="59" spans="1:17" s="33" customFormat="1" x14ac:dyDescent="0.3">
      <c r="A59"/>
      <c r="B59" s="140"/>
      <c r="C59" s="146"/>
      <c r="D59" s="5"/>
      <c r="E59" s="5"/>
      <c r="F59"/>
      <c r="J59"/>
      <c r="K59"/>
      <c r="L59"/>
      <c r="M59"/>
      <c r="N59"/>
      <c r="O59"/>
      <c r="P59"/>
      <c r="Q59"/>
    </row>
    <row r="60" spans="1:17" x14ac:dyDescent="0.3">
      <c r="A60"/>
      <c r="B60" s="147"/>
      <c r="C60" s="147"/>
      <c r="D60" s="147"/>
      <c r="M60"/>
    </row>
    <row r="61" spans="1:17" x14ac:dyDescent="0.3">
      <c r="A61"/>
      <c r="B61" s="181" t="s">
        <v>644</v>
      </c>
      <c r="C61" s="181"/>
      <c r="D61" s="181"/>
      <c r="M61"/>
    </row>
    <row r="62" spans="1:17" x14ac:dyDescent="0.3">
      <c r="A62"/>
      <c r="B62" s="181" t="s">
        <v>645</v>
      </c>
      <c r="C62" s="181"/>
      <c r="D62" s="181"/>
      <c r="M62"/>
    </row>
    <row r="63" spans="1:17" x14ac:dyDescent="0.3">
      <c r="A63"/>
      <c r="B63" s="181" t="s">
        <v>646</v>
      </c>
      <c r="C63" s="181"/>
      <c r="D63" s="181"/>
      <c r="M63"/>
    </row>
    <row r="64" spans="1:17" x14ac:dyDescent="0.3">
      <c r="A64"/>
      <c r="B64" s="236" t="s">
        <v>647</v>
      </c>
      <c r="C64" s="236"/>
      <c r="D64" s="236"/>
      <c r="M64"/>
    </row>
    <row r="65" spans="1:13" x14ac:dyDescent="0.3">
      <c r="A65"/>
      <c r="B65" s="236"/>
      <c r="C65" s="236"/>
      <c r="D65" s="236"/>
      <c r="M65"/>
    </row>
    <row r="66" spans="1:13" x14ac:dyDescent="0.3">
      <c r="A66"/>
      <c r="B66" s="147"/>
      <c r="C66" s="147"/>
      <c r="D66" s="147"/>
      <c r="M66"/>
    </row>
    <row r="67" spans="1:13" x14ac:dyDescent="0.3">
      <c r="A67"/>
      <c r="M67"/>
    </row>
    <row r="68" spans="1:13" x14ac:dyDescent="0.3">
      <c r="A68"/>
      <c r="C68"/>
    </row>
    <row r="69" spans="1:13" x14ac:dyDescent="0.3">
      <c r="A69"/>
      <c r="C69"/>
    </row>
    <row r="70" spans="1:13" x14ac:dyDescent="0.3">
      <c r="A70"/>
      <c r="C70"/>
    </row>
    <row r="71" spans="1:13" x14ac:dyDescent="0.3">
      <c r="A71"/>
      <c r="C71"/>
    </row>
    <row r="72" spans="1:13" x14ac:dyDescent="0.3">
      <c r="A72"/>
      <c r="C72"/>
      <c r="M72"/>
    </row>
    <row r="73" spans="1:13" x14ac:dyDescent="0.3">
      <c r="A73"/>
      <c r="C73"/>
      <c r="M73"/>
    </row>
    <row r="74" spans="1:13" x14ac:dyDescent="0.3">
      <c r="A74"/>
      <c r="C74"/>
      <c r="M74"/>
    </row>
    <row r="75" spans="1:13" x14ac:dyDescent="0.3">
      <c r="A75"/>
      <c r="C75"/>
      <c r="M75"/>
    </row>
    <row r="76" spans="1:13" x14ac:dyDescent="0.3">
      <c r="A76"/>
      <c r="C76"/>
      <c r="M76"/>
    </row>
    <row r="77" spans="1:13" x14ac:dyDescent="0.3">
      <c r="A77"/>
      <c r="C77"/>
      <c r="M77"/>
    </row>
    <row r="78" spans="1:13" x14ac:dyDescent="0.3">
      <c r="A78"/>
      <c r="C78"/>
      <c r="M78"/>
    </row>
    <row r="79" spans="1:13" x14ac:dyDescent="0.3">
      <c r="A79"/>
      <c r="C79"/>
      <c r="M79"/>
    </row>
    <row r="80" spans="1:13" x14ac:dyDescent="0.3">
      <c r="A80"/>
      <c r="C80"/>
      <c r="M80"/>
    </row>
    <row r="81" spans="1:13" x14ac:dyDescent="0.3">
      <c r="A81"/>
      <c r="C81"/>
      <c r="M81"/>
    </row>
    <row r="82" spans="1:13" x14ac:dyDescent="0.3">
      <c r="A82"/>
    </row>
    <row r="83" spans="1:13" x14ac:dyDescent="0.3">
      <c r="A83"/>
      <c r="C83"/>
    </row>
    <row r="84" spans="1:13" x14ac:dyDescent="0.3">
      <c r="A84"/>
      <c r="C84"/>
    </row>
    <row r="85" spans="1:13" x14ac:dyDescent="0.3">
      <c r="A85"/>
      <c r="C85"/>
    </row>
    <row r="86" spans="1:13" x14ac:dyDescent="0.3">
      <c r="A86"/>
    </row>
    <row r="87" spans="1:13" x14ac:dyDescent="0.3">
      <c r="A87"/>
    </row>
    <row r="88" spans="1:13" x14ac:dyDescent="0.3">
      <c r="A88"/>
    </row>
    <row r="89" spans="1:13" x14ac:dyDescent="0.3">
      <c r="A89"/>
      <c r="M89"/>
    </row>
    <row r="90" spans="1:13" x14ac:dyDescent="0.3">
      <c r="A90"/>
    </row>
    <row r="91" spans="1:13" x14ac:dyDescent="0.3">
      <c r="A91"/>
    </row>
    <row r="92" spans="1:13" x14ac:dyDescent="0.3">
      <c r="A92"/>
    </row>
    <row r="93" spans="1:13" x14ac:dyDescent="0.3">
      <c r="A93"/>
    </row>
    <row r="94" spans="1:13" x14ac:dyDescent="0.3">
      <c r="A94"/>
    </row>
    <row r="95" spans="1:13" x14ac:dyDescent="0.3">
      <c r="A95"/>
    </row>
    <row r="96" spans="1:13" x14ac:dyDescent="0.3">
      <c r="A96"/>
    </row>
  </sheetData>
  <mergeCells count="25">
    <mergeCell ref="B63:D63"/>
    <mergeCell ref="B64:D65"/>
    <mergeCell ref="B38:F38"/>
    <mergeCell ref="B39:F39"/>
    <mergeCell ref="B54:D54"/>
    <mergeCell ref="E54:E55"/>
    <mergeCell ref="B61:D61"/>
    <mergeCell ref="B62:D62"/>
    <mergeCell ref="B14:F14"/>
    <mergeCell ref="B15:F15"/>
    <mergeCell ref="B28:D28"/>
    <mergeCell ref="E28:E29"/>
    <mergeCell ref="B33:E33"/>
    <mergeCell ref="B36:B37"/>
    <mergeCell ref="C36:C37"/>
    <mergeCell ref="D36:D37"/>
    <mergeCell ref="E36:E37"/>
    <mergeCell ref="F36:F37"/>
    <mergeCell ref="A6:G7"/>
    <mergeCell ref="B9:E9"/>
    <mergeCell ref="B12:B13"/>
    <mergeCell ref="C12:C13"/>
    <mergeCell ref="D12:D13"/>
    <mergeCell ref="E12:E13"/>
    <mergeCell ref="F12:F1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4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85B3-A5BD-481A-AE9B-14677CCB4C14}">
  <sheetPr>
    <tabColor rgb="FF00B0F0"/>
  </sheetPr>
  <dimension ref="A3:M187"/>
  <sheetViews>
    <sheetView topLeftCell="L1" zoomScale="68" zoomScaleNormal="68" workbookViewId="0">
      <selection activeCell="N5" sqref="N5:AN132"/>
    </sheetView>
  </sheetViews>
  <sheetFormatPr defaultRowHeight="14.4" x14ac:dyDescent="0.3"/>
  <cols>
    <col min="3" max="3" width="22.77734375" customWidth="1"/>
    <col min="4" max="4" width="13" customWidth="1"/>
    <col min="5" max="5" width="12.44140625" customWidth="1"/>
    <col min="6" max="6" width="12.109375" customWidth="1"/>
    <col min="7" max="7" width="11.109375" customWidth="1"/>
    <col min="8" max="8" width="14" customWidth="1"/>
    <col min="9" max="9" width="10.44140625" customWidth="1"/>
    <col min="10" max="10" width="25.21875" customWidth="1"/>
    <col min="11" max="11" width="13.5546875" customWidth="1"/>
    <col min="12" max="12" width="13.77734375" style="26" customWidth="1"/>
    <col min="13" max="13" width="13.6640625" style="5" customWidth="1"/>
    <col min="14" max="14" width="14.44140625" customWidth="1"/>
    <col min="18" max="18" width="17.21875" customWidth="1"/>
    <col min="19" max="19" width="16.5546875" customWidth="1"/>
    <col min="20" max="20" width="14.109375" customWidth="1"/>
  </cols>
  <sheetData>
    <row r="3" spans="1:13" x14ac:dyDescent="0.3">
      <c r="A3" s="10" t="s">
        <v>0</v>
      </c>
      <c r="B3" s="8" t="s">
        <v>48</v>
      </c>
      <c r="C3" s="6"/>
      <c r="D3" s="6"/>
      <c r="E3" s="6"/>
      <c r="F3" s="150" t="s">
        <v>83</v>
      </c>
      <c r="G3" s="150"/>
      <c r="H3" s="150"/>
      <c r="I3" s="150"/>
      <c r="J3" s="150" t="s">
        <v>84</v>
      </c>
      <c r="K3" s="150"/>
      <c r="L3" s="150"/>
      <c r="M3" s="150"/>
    </row>
    <row r="4" spans="1:13" ht="43.2" customHeight="1" x14ac:dyDescent="0.3">
      <c r="B4" s="4" t="s">
        <v>2</v>
      </c>
      <c r="C4" s="4" t="s">
        <v>8</v>
      </c>
      <c r="D4" s="13" t="s">
        <v>7</v>
      </c>
      <c r="E4" s="13" t="s">
        <v>82</v>
      </c>
      <c r="F4" s="13" t="s">
        <v>6</v>
      </c>
      <c r="G4" s="13" t="s">
        <v>77</v>
      </c>
      <c r="H4" s="13" t="s">
        <v>78</v>
      </c>
      <c r="I4" s="13" t="s">
        <v>81</v>
      </c>
      <c r="J4" s="13" t="s">
        <v>87</v>
      </c>
      <c r="K4" s="13" t="s">
        <v>77</v>
      </c>
      <c r="L4" s="13" t="s">
        <v>78</v>
      </c>
      <c r="M4" s="22" t="s">
        <v>81</v>
      </c>
    </row>
    <row r="5" spans="1:13" x14ac:dyDescent="0.3">
      <c r="B5" s="155" t="s">
        <v>13</v>
      </c>
      <c r="C5" s="156"/>
      <c r="D5" s="12"/>
      <c r="E5" s="12"/>
      <c r="F5" s="15"/>
      <c r="G5" s="16"/>
      <c r="H5" s="16"/>
      <c r="I5" s="61"/>
      <c r="J5" s="32"/>
      <c r="K5" s="32"/>
      <c r="L5" s="11"/>
      <c r="M5" s="1"/>
    </row>
    <row r="6" spans="1:13" x14ac:dyDescent="0.3">
      <c r="B6" s="2">
        <v>1</v>
      </c>
      <c r="C6" s="3" t="s">
        <v>5</v>
      </c>
      <c r="D6" s="2">
        <v>13</v>
      </c>
      <c r="E6" s="20"/>
      <c r="F6" s="2">
        <v>5</v>
      </c>
      <c r="G6" s="14"/>
      <c r="H6" s="14">
        <v>65</v>
      </c>
      <c r="I6" s="62"/>
      <c r="J6" s="11">
        <f>'UBAP BERSIH GD.B'!J6</f>
        <v>5</v>
      </c>
      <c r="K6" s="11"/>
      <c r="L6" s="11">
        <f>D6*J6</f>
        <v>65</v>
      </c>
      <c r="M6" s="21"/>
    </row>
    <row r="7" spans="1:13" x14ac:dyDescent="0.3">
      <c r="B7" s="1">
        <v>2</v>
      </c>
      <c r="C7" s="3" t="s">
        <v>24</v>
      </c>
      <c r="D7" s="2">
        <v>2</v>
      </c>
      <c r="E7" s="20"/>
      <c r="F7" s="2">
        <v>10</v>
      </c>
      <c r="G7" s="14">
        <v>20</v>
      </c>
      <c r="H7" s="14"/>
      <c r="I7" s="62"/>
      <c r="J7" s="11">
        <f>'UBAP BERSIH GD.B'!J21</f>
        <v>10</v>
      </c>
      <c r="K7" s="11">
        <f>J7*D7</f>
        <v>20</v>
      </c>
      <c r="L7" s="11"/>
      <c r="M7" s="21"/>
    </row>
    <row r="8" spans="1:13" x14ac:dyDescent="0.3">
      <c r="B8" s="2">
        <v>3</v>
      </c>
      <c r="C8" s="7" t="s">
        <v>9</v>
      </c>
      <c r="D8" s="1">
        <v>19</v>
      </c>
      <c r="E8" s="21"/>
      <c r="F8" s="1">
        <v>2</v>
      </c>
      <c r="G8" s="11">
        <v>38</v>
      </c>
      <c r="H8" s="11"/>
      <c r="I8" s="62"/>
      <c r="J8" s="11">
        <f>'UBAP BERSIH GD.B'!J7</f>
        <v>2</v>
      </c>
      <c r="K8" s="11">
        <f>J8*D8</f>
        <v>38</v>
      </c>
      <c r="L8" s="11"/>
      <c r="M8" s="21"/>
    </row>
    <row r="9" spans="1:13" x14ac:dyDescent="0.3">
      <c r="B9" s="1">
        <v>4</v>
      </c>
      <c r="C9" s="7" t="s">
        <v>4</v>
      </c>
      <c r="D9" s="1">
        <v>12</v>
      </c>
      <c r="E9" s="21">
        <v>11</v>
      </c>
      <c r="F9" s="1">
        <v>2</v>
      </c>
      <c r="G9" s="11">
        <v>24</v>
      </c>
      <c r="H9" s="11"/>
      <c r="I9" s="62">
        <v>22</v>
      </c>
      <c r="J9" s="11">
        <f>'UBAP BERSIH GD.B'!J7</f>
        <v>2</v>
      </c>
      <c r="K9" s="11">
        <f t="shared" ref="K9:K13" si="0">J9*D9</f>
        <v>24</v>
      </c>
      <c r="L9" s="11"/>
      <c r="M9" s="21">
        <f>E9*J9</f>
        <v>22</v>
      </c>
    </row>
    <row r="10" spans="1:13" x14ac:dyDescent="0.3">
      <c r="B10" s="2">
        <v>5</v>
      </c>
      <c r="C10" s="7" t="s">
        <v>16</v>
      </c>
      <c r="D10" s="1">
        <v>2</v>
      </c>
      <c r="E10" s="21"/>
      <c r="F10" s="1">
        <v>5</v>
      </c>
      <c r="G10" s="11">
        <v>10</v>
      </c>
      <c r="H10" s="11"/>
      <c r="I10" s="62"/>
      <c r="J10" s="11">
        <f>'UBAP BERSIH GD.B'!J24</f>
        <v>5</v>
      </c>
      <c r="K10" s="11">
        <f t="shared" si="0"/>
        <v>10</v>
      </c>
      <c r="L10" s="11"/>
      <c r="M10" s="21"/>
    </row>
    <row r="11" spans="1:13" x14ac:dyDescent="0.3">
      <c r="B11" s="1">
        <v>6</v>
      </c>
      <c r="C11" s="65" t="s">
        <v>19</v>
      </c>
      <c r="D11" s="1">
        <v>6</v>
      </c>
      <c r="E11" s="21">
        <v>5</v>
      </c>
      <c r="F11" s="1">
        <v>2</v>
      </c>
      <c r="G11" s="11">
        <v>18</v>
      </c>
      <c r="H11" s="11"/>
      <c r="I11" s="62">
        <v>15</v>
      </c>
      <c r="J11" s="11">
        <f>'UBAP BERSIH GD.B'!J25</f>
        <v>3</v>
      </c>
      <c r="K11" s="11">
        <f t="shared" si="0"/>
        <v>18</v>
      </c>
      <c r="L11" s="11"/>
      <c r="M11" s="21">
        <f>E11*J11</f>
        <v>15</v>
      </c>
    </row>
    <row r="12" spans="1:13" x14ac:dyDescent="0.3">
      <c r="B12" s="2">
        <v>7</v>
      </c>
      <c r="C12" s="7" t="s">
        <v>21</v>
      </c>
      <c r="D12" s="1">
        <v>1</v>
      </c>
      <c r="E12" s="21"/>
      <c r="F12" s="1">
        <v>3</v>
      </c>
      <c r="G12" s="11">
        <v>3</v>
      </c>
      <c r="H12" s="11"/>
      <c r="I12" s="62"/>
      <c r="J12" s="11">
        <f>'UBAP BERSIH GD.B'!J70</f>
        <v>3</v>
      </c>
      <c r="K12" s="11">
        <f t="shared" si="0"/>
        <v>3</v>
      </c>
      <c r="L12" s="11"/>
      <c r="M12" s="21"/>
    </row>
    <row r="13" spans="1:13" x14ac:dyDescent="0.3">
      <c r="B13" s="2">
        <v>8</v>
      </c>
      <c r="C13" s="65" t="s">
        <v>10</v>
      </c>
      <c r="D13" s="30">
        <v>6</v>
      </c>
      <c r="E13" s="21">
        <v>6</v>
      </c>
      <c r="F13" s="1">
        <v>3</v>
      </c>
      <c r="G13" s="11">
        <v>18</v>
      </c>
      <c r="H13" s="11"/>
      <c r="I13" s="62">
        <v>18</v>
      </c>
      <c r="J13" s="11">
        <v>2</v>
      </c>
      <c r="K13" s="11">
        <f t="shared" si="0"/>
        <v>12</v>
      </c>
      <c r="L13" s="11"/>
      <c r="M13" s="21">
        <f>E13*J13</f>
        <v>12</v>
      </c>
    </row>
    <row r="14" spans="1:13" x14ac:dyDescent="0.3">
      <c r="B14" s="161" t="s">
        <v>14</v>
      </c>
      <c r="C14" s="162"/>
      <c r="D14" s="162"/>
      <c r="E14" s="162"/>
      <c r="F14" s="163"/>
      <c r="G14" s="17">
        <f>SUM(G6:G13)</f>
        <v>131</v>
      </c>
      <c r="H14" s="17">
        <v>65</v>
      </c>
      <c r="I14" s="62">
        <v>55</v>
      </c>
      <c r="J14" s="39" t="s">
        <v>14</v>
      </c>
      <c r="K14" s="11">
        <f>SUM(K6:K13)</f>
        <v>125</v>
      </c>
      <c r="L14" s="11">
        <f>SUM(L6:L13)</f>
        <v>65</v>
      </c>
      <c r="M14" s="21">
        <f>SUM(M6:M13)</f>
        <v>49</v>
      </c>
    </row>
    <row r="15" spans="1:13" x14ac:dyDescent="0.3">
      <c r="B15" s="155" t="s">
        <v>11</v>
      </c>
      <c r="C15" s="156"/>
      <c r="D15" s="12"/>
      <c r="E15" s="12"/>
      <c r="F15" s="15"/>
      <c r="G15" s="16"/>
      <c r="H15" s="16"/>
      <c r="I15" s="61"/>
      <c r="J15" s="11"/>
      <c r="K15" s="11"/>
      <c r="L15" s="11"/>
      <c r="M15" s="1"/>
    </row>
    <row r="16" spans="1:13" x14ac:dyDescent="0.3">
      <c r="B16" s="2">
        <v>1</v>
      </c>
      <c r="C16" s="3" t="s">
        <v>5</v>
      </c>
      <c r="D16" s="2">
        <v>5</v>
      </c>
      <c r="E16" s="20"/>
      <c r="F16" s="2">
        <v>5</v>
      </c>
      <c r="G16" s="14"/>
      <c r="H16" s="14">
        <v>25</v>
      </c>
      <c r="I16" s="62"/>
      <c r="J16" s="11">
        <f>'UBAP BERSIH GD.B'!J6</f>
        <v>5</v>
      </c>
      <c r="K16" s="11"/>
      <c r="L16" s="11">
        <f>J16*D16</f>
        <v>25</v>
      </c>
      <c r="M16" s="21"/>
    </row>
    <row r="17" spans="2:13" x14ac:dyDescent="0.3">
      <c r="B17" s="1">
        <v>2</v>
      </c>
      <c r="C17" s="3" t="s">
        <v>24</v>
      </c>
      <c r="D17" s="2">
        <v>2</v>
      </c>
      <c r="E17" s="20"/>
      <c r="F17" s="2">
        <v>10</v>
      </c>
      <c r="G17" s="14">
        <v>20</v>
      </c>
      <c r="H17" s="14"/>
      <c r="I17" s="62"/>
      <c r="J17" s="11">
        <f>'UBAP BERSIH GD.B'!J21</f>
        <v>10</v>
      </c>
      <c r="K17" s="11">
        <f t="shared" ref="K17:K22" si="1">J17*D17</f>
        <v>20</v>
      </c>
      <c r="L17" s="11"/>
      <c r="M17" s="21"/>
    </row>
    <row r="18" spans="2:13" x14ac:dyDescent="0.3">
      <c r="B18" s="2">
        <v>3</v>
      </c>
      <c r="C18" s="7" t="s">
        <v>9</v>
      </c>
      <c r="D18" s="1">
        <v>11</v>
      </c>
      <c r="E18" s="21"/>
      <c r="F18" s="1">
        <v>2</v>
      </c>
      <c r="G18" s="11">
        <v>22</v>
      </c>
      <c r="H18" s="11"/>
      <c r="I18" s="62"/>
      <c r="J18" s="11">
        <f>'UBAP BERSIH GD.B'!J13</f>
        <v>2</v>
      </c>
      <c r="K18" s="11">
        <f t="shared" si="1"/>
        <v>22</v>
      </c>
      <c r="L18" s="11"/>
      <c r="M18" s="21"/>
    </row>
    <row r="19" spans="2:13" x14ac:dyDescent="0.3">
      <c r="B19" s="1">
        <v>4</v>
      </c>
      <c r="C19" s="7" t="s">
        <v>4</v>
      </c>
      <c r="D19" s="1">
        <v>6</v>
      </c>
      <c r="E19" s="21">
        <v>2</v>
      </c>
      <c r="F19" s="1">
        <v>2</v>
      </c>
      <c r="G19" s="11">
        <v>12</v>
      </c>
      <c r="H19" s="11"/>
      <c r="I19" s="62">
        <v>4</v>
      </c>
      <c r="J19" s="11">
        <f>'UBAP BERSIH GD.B'!J8</f>
        <v>2</v>
      </c>
      <c r="K19" s="11">
        <f t="shared" si="1"/>
        <v>12</v>
      </c>
      <c r="L19" s="11"/>
      <c r="M19" s="21">
        <f>E19*J19</f>
        <v>4</v>
      </c>
    </row>
    <row r="20" spans="2:13" x14ac:dyDescent="0.3">
      <c r="B20" s="2">
        <v>5</v>
      </c>
      <c r="C20" s="7" t="s">
        <v>16</v>
      </c>
      <c r="D20" s="1">
        <v>1</v>
      </c>
      <c r="E20" s="21"/>
      <c r="F20" s="1">
        <v>5</v>
      </c>
      <c r="G20" s="11">
        <v>5</v>
      </c>
      <c r="H20" s="11"/>
      <c r="I20" s="62"/>
      <c r="J20" s="11">
        <f>'UBAP BERSIH GD.B'!J15</f>
        <v>5</v>
      </c>
      <c r="K20" s="11">
        <f t="shared" si="1"/>
        <v>5</v>
      </c>
      <c r="L20" s="11"/>
      <c r="M20" s="21"/>
    </row>
    <row r="21" spans="2:13" x14ac:dyDescent="0.3">
      <c r="B21" s="1">
        <v>6</v>
      </c>
      <c r="C21" s="7" t="s">
        <v>3</v>
      </c>
      <c r="D21" s="1">
        <v>1</v>
      </c>
      <c r="E21" s="21">
        <v>1</v>
      </c>
      <c r="F21" s="1">
        <v>2</v>
      </c>
      <c r="G21" s="11">
        <v>2</v>
      </c>
      <c r="H21" s="11"/>
      <c r="I21" s="62">
        <v>2</v>
      </c>
      <c r="J21" s="11">
        <f>'UBAP BERSIH GD.B'!J16</f>
        <v>2</v>
      </c>
      <c r="K21" s="11">
        <f t="shared" si="1"/>
        <v>2</v>
      </c>
      <c r="L21" s="11"/>
      <c r="M21" s="21">
        <f>E21*J21</f>
        <v>2</v>
      </c>
    </row>
    <row r="22" spans="2:13" x14ac:dyDescent="0.3">
      <c r="B22" s="2">
        <v>7</v>
      </c>
      <c r="C22" s="7" t="s">
        <v>21</v>
      </c>
      <c r="D22" s="1">
        <v>1</v>
      </c>
      <c r="E22" s="21"/>
      <c r="F22" s="1">
        <v>3</v>
      </c>
      <c r="G22" s="11">
        <v>3</v>
      </c>
      <c r="H22" s="11"/>
      <c r="I22" s="62"/>
      <c r="J22" s="11">
        <f>J12</f>
        <v>3</v>
      </c>
      <c r="K22" s="11">
        <f t="shared" si="1"/>
        <v>3</v>
      </c>
      <c r="L22" s="11"/>
      <c r="M22" s="21"/>
    </row>
    <row r="23" spans="2:13" x14ac:dyDescent="0.3">
      <c r="B23" s="161" t="s">
        <v>12</v>
      </c>
      <c r="C23" s="162"/>
      <c r="D23" s="162"/>
      <c r="E23" s="162"/>
      <c r="F23" s="163"/>
      <c r="G23" s="17">
        <v>64</v>
      </c>
      <c r="H23" s="17">
        <v>25</v>
      </c>
      <c r="I23" s="62">
        <v>6</v>
      </c>
      <c r="J23" s="60" t="s">
        <v>12</v>
      </c>
      <c r="K23" s="35">
        <f>SUM(K16:K22)</f>
        <v>64</v>
      </c>
      <c r="L23" s="35">
        <f>SUM(L16:L22)</f>
        <v>25</v>
      </c>
      <c r="M23" s="34">
        <f>SUM(M16:M22)</f>
        <v>6</v>
      </c>
    </row>
    <row r="24" spans="2:13" x14ac:dyDescent="0.3">
      <c r="B24" s="155" t="s">
        <v>33</v>
      </c>
      <c r="C24" s="156"/>
      <c r="D24" s="12"/>
      <c r="E24" s="12"/>
      <c r="F24" s="15"/>
      <c r="G24" s="16"/>
      <c r="H24" s="16"/>
      <c r="I24" s="61"/>
      <c r="J24" s="11"/>
      <c r="K24" s="11"/>
      <c r="L24" s="11"/>
      <c r="M24" s="1"/>
    </row>
    <row r="25" spans="2:13" x14ac:dyDescent="0.3">
      <c r="B25" s="2">
        <v>1</v>
      </c>
      <c r="C25" s="3" t="s">
        <v>5</v>
      </c>
      <c r="D25" s="2">
        <v>1</v>
      </c>
      <c r="E25" s="20"/>
      <c r="F25" s="2">
        <v>5</v>
      </c>
      <c r="G25" s="14"/>
      <c r="H25" s="14">
        <v>5</v>
      </c>
      <c r="I25" s="62"/>
      <c r="J25" s="11">
        <f>J16</f>
        <v>5</v>
      </c>
      <c r="K25" s="11"/>
      <c r="L25" s="11">
        <f>D25*J25</f>
        <v>5</v>
      </c>
      <c r="M25" s="21"/>
    </row>
    <row r="26" spans="2:13" x14ac:dyDescent="0.3">
      <c r="B26" s="2">
        <v>2</v>
      </c>
      <c r="C26" s="7" t="s">
        <v>9</v>
      </c>
      <c r="D26" s="1">
        <v>3</v>
      </c>
      <c r="E26" s="21"/>
      <c r="F26" s="1">
        <v>2</v>
      </c>
      <c r="G26" s="11">
        <v>6</v>
      </c>
      <c r="H26" s="11"/>
      <c r="I26" s="62"/>
      <c r="J26" s="11">
        <f>J18</f>
        <v>2</v>
      </c>
      <c r="K26" s="11">
        <f>D26*J26</f>
        <v>6</v>
      </c>
      <c r="L26" s="11"/>
      <c r="M26" s="21"/>
    </row>
    <row r="27" spans="2:13" x14ac:dyDescent="0.3">
      <c r="B27" s="161" t="s">
        <v>34</v>
      </c>
      <c r="C27" s="162"/>
      <c r="D27" s="162"/>
      <c r="E27" s="162"/>
      <c r="F27" s="163"/>
      <c r="G27" s="17">
        <v>6</v>
      </c>
      <c r="H27" s="17">
        <v>5</v>
      </c>
      <c r="I27" s="62"/>
      <c r="J27" s="39" t="s">
        <v>34</v>
      </c>
      <c r="K27" s="11">
        <f>SUM(K25:K26)</f>
        <v>6</v>
      </c>
      <c r="L27" s="11">
        <f>SUM(L25:L26)</f>
        <v>5</v>
      </c>
      <c r="M27" s="21">
        <f>SUM(M25:M26)</f>
        <v>0</v>
      </c>
    </row>
    <row r="28" spans="2:13" x14ac:dyDescent="0.3">
      <c r="B28" s="155" t="s">
        <v>17</v>
      </c>
      <c r="C28" s="156"/>
      <c r="D28" s="12"/>
      <c r="E28" s="12"/>
      <c r="F28" s="15"/>
      <c r="G28" s="16"/>
      <c r="H28" s="16"/>
      <c r="I28" s="61"/>
      <c r="J28" s="11"/>
      <c r="K28" s="11"/>
      <c r="L28" s="11"/>
      <c r="M28" s="1"/>
    </row>
    <row r="29" spans="2:13" x14ac:dyDescent="0.3">
      <c r="B29" s="2">
        <v>1</v>
      </c>
      <c r="C29" s="3" t="s">
        <v>5</v>
      </c>
      <c r="D29" s="2">
        <v>13</v>
      </c>
      <c r="E29" s="20"/>
      <c r="F29" s="2">
        <v>5</v>
      </c>
      <c r="G29" s="14"/>
      <c r="H29" s="14">
        <v>65</v>
      </c>
      <c r="I29" s="62"/>
      <c r="J29" s="11">
        <f t="shared" ref="J29:J35" si="2">J16</f>
        <v>5</v>
      </c>
      <c r="K29" s="11"/>
      <c r="L29" s="11">
        <f>D29*F29</f>
        <v>65</v>
      </c>
      <c r="M29" s="21"/>
    </row>
    <row r="30" spans="2:13" x14ac:dyDescent="0.3">
      <c r="B30" s="1">
        <v>2</v>
      </c>
      <c r="C30" s="3" t="s">
        <v>24</v>
      </c>
      <c r="D30" s="2">
        <v>2</v>
      </c>
      <c r="E30" s="20"/>
      <c r="F30" s="2">
        <v>10</v>
      </c>
      <c r="G30" s="14">
        <v>20</v>
      </c>
      <c r="H30" s="14"/>
      <c r="I30" s="62"/>
      <c r="J30" s="11">
        <f t="shared" si="2"/>
        <v>10</v>
      </c>
      <c r="K30" s="11">
        <f>D30*J30</f>
        <v>20</v>
      </c>
      <c r="L30" s="11"/>
      <c r="M30" s="21"/>
    </row>
    <row r="31" spans="2:13" x14ac:dyDescent="0.3">
      <c r="B31" s="2">
        <v>3</v>
      </c>
      <c r="C31" s="7" t="s">
        <v>9</v>
      </c>
      <c r="D31" s="1">
        <v>15</v>
      </c>
      <c r="E31" s="21"/>
      <c r="F31" s="1">
        <v>2</v>
      </c>
      <c r="G31" s="11">
        <v>30</v>
      </c>
      <c r="H31" s="11"/>
      <c r="I31" s="62"/>
      <c r="J31" s="11">
        <f t="shared" si="2"/>
        <v>2</v>
      </c>
      <c r="K31" s="11">
        <f t="shared" ref="K31:K35" si="3">D31*J31</f>
        <v>30</v>
      </c>
      <c r="L31" s="11"/>
      <c r="M31" s="21"/>
    </row>
    <row r="32" spans="2:13" x14ac:dyDescent="0.3">
      <c r="B32" s="1">
        <v>4</v>
      </c>
      <c r="C32" s="7" t="s">
        <v>4</v>
      </c>
      <c r="D32" s="1">
        <v>32</v>
      </c>
      <c r="E32" s="21">
        <v>29</v>
      </c>
      <c r="F32" s="1">
        <v>2</v>
      </c>
      <c r="G32" s="11">
        <v>64</v>
      </c>
      <c r="H32" s="11"/>
      <c r="I32" s="62">
        <v>58</v>
      </c>
      <c r="J32" s="11">
        <f t="shared" si="2"/>
        <v>2</v>
      </c>
      <c r="K32" s="11">
        <f t="shared" si="3"/>
        <v>64</v>
      </c>
      <c r="L32" s="11"/>
      <c r="M32" s="21">
        <f>E32*J32</f>
        <v>58</v>
      </c>
    </row>
    <row r="33" spans="2:13" x14ac:dyDescent="0.3">
      <c r="B33" s="2">
        <v>5</v>
      </c>
      <c r="C33" s="7" t="s">
        <v>16</v>
      </c>
      <c r="D33" s="1">
        <v>2</v>
      </c>
      <c r="E33" s="21">
        <v>2</v>
      </c>
      <c r="F33" s="1">
        <v>5</v>
      </c>
      <c r="G33" s="11">
        <v>10</v>
      </c>
      <c r="H33" s="11"/>
      <c r="I33" s="62">
        <v>10</v>
      </c>
      <c r="J33" s="11">
        <f t="shared" si="2"/>
        <v>5</v>
      </c>
      <c r="K33" s="11">
        <f t="shared" si="3"/>
        <v>10</v>
      </c>
      <c r="L33" s="11"/>
      <c r="M33" s="21">
        <f>E33*J33</f>
        <v>10</v>
      </c>
    </row>
    <row r="34" spans="2:13" x14ac:dyDescent="0.3">
      <c r="B34" s="1">
        <v>6</v>
      </c>
      <c r="C34" s="7" t="s">
        <v>3</v>
      </c>
      <c r="D34" s="1">
        <v>1</v>
      </c>
      <c r="E34" s="21">
        <v>1</v>
      </c>
      <c r="F34" s="1">
        <v>2</v>
      </c>
      <c r="G34" s="11">
        <v>2</v>
      </c>
      <c r="H34" s="11"/>
      <c r="I34" s="62">
        <v>2</v>
      </c>
      <c r="J34" s="11">
        <f t="shared" si="2"/>
        <v>2</v>
      </c>
      <c r="K34" s="11">
        <f t="shared" si="3"/>
        <v>2</v>
      </c>
      <c r="L34" s="11"/>
      <c r="M34" s="21">
        <f>E34*J34</f>
        <v>2</v>
      </c>
    </row>
    <row r="35" spans="2:13" x14ac:dyDescent="0.3">
      <c r="B35" s="2">
        <v>7</v>
      </c>
      <c r="C35" s="7" t="s">
        <v>21</v>
      </c>
      <c r="D35" s="1">
        <v>1</v>
      </c>
      <c r="E35" s="21"/>
      <c r="F35" s="1">
        <v>3</v>
      </c>
      <c r="G35" s="11">
        <v>3</v>
      </c>
      <c r="H35" s="11"/>
      <c r="I35" s="62"/>
      <c r="J35" s="11">
        <f t="shared" si="2"/>
        <v>3</v>
      </c>
      <c r="K35" s="11">
        <f t="shared" si="3"/>
        <v>3</v>
      </c>
      <c r="L35" s="11"/>
      <c r="M35" s="21"/>
    </row>
    <row r="36" spans="2:13" x14ac:dyDescent="0.3">
      <c r="B36" s="161" t="s">
        <v>18</v>
      </c>
      <c r="C36" s="162"/>
      <c r="D36" s="162"/>
      <c r="E36" s="162"/>
      <c r="F36" s="163"/>
      <c r="G36" s="17">
        <v>129</v>
      </c>
      <c r="H36" s="17">
        <v>65</v>
      </c>
      <c r="I36" s="62">
        <v>70</v>
      </c>
      <c r="J36" s="39" t="s">
        <v>18</v>
      </c>
      <c r="K36" s="11">
        <f>SUM(K29:K35)</f>
        <v>129</v>
      </c>
      <c r="L36" s="11">
        <f>SUM(L29:L35)</f>
        <v>65</v>
      </c>
      <c r="M36" s="21">
        <f>SUM(M29:M35)</f>
        <v>70</v>
      </c>
    </row>
    <row r="37" spans="2:13" x14ac:dyDescent="0.3">
      <c r="B37" s="155" t="s">
        <v>25</v>
      </c>
      <c r="C37" s="156"/>
      <c r="D37" s="12"/>
      <c r="E37" s="12"/>
      <c r="F37" s="15"/>
      <c r="G37" s="16"/>
      <c r="H37" s="16"/>
      <c r="I37" s="61"/>
      <c r="J37" s="11"/>
      <c r="K37" s="11"/>
      <c r="L37" s="11"/>
      <c r="M37" s="1"/>
    </row>
    <row r="38" spans="2:13" x14ac:dyDescent="0.3">
      <c r="B38" s="2">
        <v>1</v>
      </c>
      <c r="C38" s="3" t="s">
        <v>5</v>
      </c>
      <c r="D38" s="2">
        <v>7</v>
      </c>
      <c r="E38" s="20"/>
      <c r="F38" s="2">
        <v>5</v>
      </c>
      <c r="G38" s="14"/>
      <c r="H38" s="14">
        <v>35</v>
      </c>
      <c r="I38" s="62"/>
      <c r="J38" s="11">
        <f>J29</f>
        <v>5</v>
      </c>
      <c r="K38" s="11"/>
      <c r="L38" s="11">
        <f>D38*J38</f>
        <v>35</v>
      </c>
      <c r="M38" s="21"/>
    </row>
    <row r="39" spans="2:13" x14ac:dyDescent="0.3">
      <c r="B39" s="2">
        <v>2</v>
      </c>
      <c r="C39" s="7" t="s">
        <v>9</v>
      </c>
      <c r="D39" s="1">
        <v>9</v>
      </c>
      <c r="E39" s="21"/>
      <c r="F39" s="1">
        <v>2</v>
      </c>
      <c r="G39" s="11">
        <v>18</v>
      </c>
      <c r="H39" s="11"/>
      <c r="I39" s="62"/>
      <c r="J39" s="11">
        <f>J31</f>
        <v>2</v>
      </c>
      <c r="K39" s="11">
        <f>J39*D39</f>
        <v>18</v>
      </c>
      <c r="L39" s="11"/>
      <c r="M39" s="21"/>
    </row>
    <row r="40" spans="2:13" x14ac:dyDescent="0.3">
      <c r="B40" s="2">
        <v>3</v>
      </c>
      <c r="C40" s="7" t="s">
        <v>4</v>
      </c>
      <c r="D40" s="1">
        <v>1</v>
      </c>
      <c r="E40" s="21">
        <v>1</v>
      </c>
      <c r="F40" s="1">
        <v>2</v>
      </c>
      <c r="G40" s="11">
        <v>2</v>
      </c>
      <c r="H40" s="11"/>
      <c r="I40" s="62">
        <v>2</v>
      </c>
      <c r="J40" s="11">
        <f>J32</f>
        <v>2</v>
      </c>
      <c r="K40" s="11">
        <f>J40*D40</f>
        <v>2</v>
      </c>
      <c r="L40" s="11"/>
      <c r="M40" s="21">
        <f>E40*J40</f>
        <v>2</v>
      </c>
    </row>
    <row r="41" spans="2:13" x14ac:dyDescent="0.3">
      <c r="B41" s="2">
        <v>4</v>
      </c>
      <c r="C41" s="7" t="s">
        <v>10</v>
      </c>
      <c r="D41" s="1">
        <v>3</v>
      </c>
      <c r="E41" s="21">
        <v>3</v>
      </c>
      <c r="F41" s="1">
        <v>2</v>
      </c>
      <c r="G41" s="11">
        <v>6</v>
      </c>
      <c r="H41" s="11"/>
      <c r="I41" s="62">
        <v>6</v>
      </c>
      <c r="J41" s="11">
        <v>2</v>
      </c>
      <c r="K41" s="11">
        <f>J41*D41</f>
        <v>6</v>
      </c>
      <c r="L41" s="11"/>
      <c r="M41" s="21">
        <f t="shared" ref="M41:M43" si="4">E41*J41</f>
        <v>6</v>
      </c>
    </row>
    <row r="42" spans="2:13" x14ac:dyDescent="0.3">
      <c r="B42" s="2">
        <v>5</v>
      </c>
      <c r="C42" s="65" t="s">
        <v>19</v>
      </c>
      <c r="D42" s="1">
        <v>2</v>
      </c>
      <c r="E42" s="21">
        <v>2</v>
      </c>
      <c r="F42" s="1">
        <v>2</v>
      </c>
      <c r="G42" s="11">
        <v>6</v>
      </c>
      <c r="H42" s="11"/>
      <c r="I42" s="62">
        <v>6</v>
      </c>
      <c r="J42" s="11">
        <f>J11</f>
        <v>3</v>
      </c>
      <c r="K42" s="11">
        <f>J42*D42</f>
        <v>6</v>
      </c>
      <c r="L42" s="11"/>
      <c r="M42" s="21">
        <f t="shared" si="4"/>
        <v>6</v>
      </c>
    </row>
    <row r="43" spans="2:13" x14ac:dyDescent="0.3">
      <c r="B43" s="2">
        <v>6</v>
      </c>
      <c r="C43" s="7" t="s">
        <v>20</v>
      </c>
      <c r="D43" s="1">
        <v>10</v>
      </c>
      <c r="E43" s="21">
        <v>10</v>
      </c>
      <c r="F43" s="1">
        <v>4</v>
      </c>
      <c r="G43" s="11">
        <v>40</v>
      </c>
      <c r="H43" s="11"/>
      <c r="I43" s="62">
        <v>40</v>
      </c>
      <c r="J43" s="11">
        <f>'UBAP BERSIH GD.B'!J35</f>
        <v>4</v>
      </c>
      <c r="K43" s="11">
        <f>J43*D43</f>
        <v>40</v>
      </c>
      <c r="L43" s="11"/>
      <c r="M43" s="21">
        <f t="shared" si="4"/>
        <v>40</v>
      </c>
    </row>
    <row r="44" spans="2:13" x14ac:dyDescent="0.3">
      <c r="B44" s="161" t="s">
        <v>26</v>
      </c>
      <c r="C44" s="162"/>
      <c r="D44" s="162"/>
      <c r="E44" s="162"/>
      <c r="F44" s="163"/>
      <c r="G44" s="17">
        <v>72</v>
      </c>
      <c r="H44" s="17">
        <v>35</v>
      </c>
      <c r="I44" s="21">
        <v>54</v>
      </c>
      <c r="J44" s="39" t="s">
        <v>26</v>
      </c>
      <c r="K44" s="11">
        <f>SUM(K38:K43)</f>
        <v>72</v>
      </c>
      <c r="L44" s="11">
        <f>SUM(L38:L43)</f>
        <v>35</v>
      </c>
      <c r="M44" s="21">
        <f>SUM(M38:M43)</f>
        <v>54</v>
      </c>
    </row>
    <row r="45" spans="2:13" x14ac:dyDescent="0.3">
      <c r="B45" s="155" t="s">
        <v>35</v>
      </c>
      <c r="C45" s="156"/>
      <c r="D45" s="12"/>
      <c r="E45" s="12"/>
      <c r="F45" s="15"/>
      <c r="G45" s="16"/>
      <c r="H45" s="16"/>
      <c r="I45" s="61"/>
      <c r="J45" s="11"/>
      <c r="K45" s="11"/>
      <c r="L45" s="11"/>
      <c r="M45" s="1"/>
    </row>
    <row r="46" spans="2:13" x14ac:dyDescent="0.3">
      <c r="B46" s="2">
        <v>1</v>
      </c>
      <c r="C46" s="3" t="s">
        <v>5</v>
      </c>
      <c r="D46" s="2">
        <v>2</v>
      </c>
      <c r="E46" s="20"/>
      <c r="F46" s="2">
        <v>5</v>
      </c>
      <c r="G46" s="14"/>
      <c r="H46" s="14">
        <v>10</v>
      </c>
      <c r="I46" s="62"/>
      <c r="J46" s="11">
        <f>J38</f>
        <v>5</v>
      </c>
      <c r="K46" s="11"/>
      <c r="L46" s="11">
        <f>D46*J46</f>
        <v>10</v>
      </c>
      <c r="M46" s="21"/>
    </row>
    <row r="47" spans="2:13" x14ac:dyDescent="0.3">
      <c r="B47" s="2">
        <v>2</v>
      </c>
      <c r="C47" s="7" t="s">
        <v>9</v>
      </c>
      <c r="D47" s="1">
        <v>2</v>
      </c>
      <c r="E47" s="21"/>
      <c r="F47" s="1">
        <v>2</v>
      </c>
      <c r="G47" s="11">
        <v>4</v>
      </c>
      <c r="H47" s="11"/>
      <c r="I47" s="62"/>
      <c r="J47" s="11">
        <f>J39</f>
        <v>2</v>
      </c>
      <c r="K47" s="11">
        <f>D47*J47</f>
        <v>4</v>
      </c>
      <c r="L47" s="11"/>
      <c r="M47" s="21"/>
    </row>
    <row r="48" spans="2:13" x14ac:dyDescent="0.3">
      <c r="B48" s="2">
        <v>3</v>
      </c>
      <c r="C48" s="7" t="s">
        <v>4</v>
      </c>
      <c r="D48" s="1">
        <v>3</v>
      </c>
      <c r="E48" s="21">
        <v>3</v>
      </c>
      <c r="F48" s="1">
        <v>2</v>
      </c>
      <c r="G48" s="11">
        <v>6</v>
      </c>
      <c r="H48" s="11"/>
      <c r="I48" s="62">
        <v>6</v>
      </c>
      <c r="J48" s="11">
        <f>J40</f>
        <v>2</v>
      </c>
      <c r="K48" s="11">
        <f t="shared" ref="K48:K50" si="5">D48*J48</f>
        <v>6</v>
      </c>
      <c r="L48" s="11"/>
      <c r="M48" s="21">
        <f>E48*J48</f>
        <v>6</v>
      </c>
    </row>
    <row r="49" spans="2:13" x14ac:dyDescent="0.3">
      <c r="B49" s="2">
        <v>4</v>
      </c>
      <c r="C49" s="7" t="s">
        <v>3</v>
      </c>
      <c r="D49" s="1">
        <v>1</v>
      </c>
      <c r="E49" s="21">
        <v>1</v>
      </c>
      <c r="F49" s="1">
        <v>2</v>
      </c>
      <c r="G49" s="11">
        <v>2</v>
      </c>
      <c r="H49" s="11"/>
      <c r="I49" s="62">
        <v>2</v>
      </c>
      <c r="J49" s="11">
        <f>J34</f>
        <v>2</v>
      </c>
      <c r="K49" s="11">
        <f t="shared" si="5"/>
        <v>2</v>
      </c>
      <c r="L49" s="11"/>
      <c r="M49" s="21">
        <f t="shared" ref="M49:M51" si="6">E49*J49</f>
        <v>2</v>
      </c>
    </row>
    <row r="50" spans="2:13" x14ac:dyDescent="0.3">
      <c r="B50" s="2">
        <v>5</v>
      </c>
      <c r="C50" s="7" t="s">
        <v>10</v>
      </c>
      <c r="D50" s="25">
        <v>2</v>
      </c>
      <c r="E50" s="21">
        <v>2</v>
      </c>
      <c r="F50" s="1">
        <v>2</v>
      </c>
      <c r="G50" s="11">
        <v>2</v>
      </c>
      <c r="H50" s="11"/>
      <c r="I50" s="62">
        <v>4</v>
      </c>
      <c r="J50" s="11">
        <v>2</v>
      </c>
      <c r="K50" s="11">
        <f t="shared" si="5"/>
        <v>4</v>
      </c>
      <c r="L50" s="11"/>
      <c r="M50" s="21">
        <f t="shared" si="6"/>
        <v>4</v>
      </c>
    </row>
    <row r="51" spans="2:13" x14ac:dyDescent="0.3">
      <c r="B51" s="2">
        <v>6</v>
      </c>
      <c r="C51" s="65" t="s">
        <v>19</v>
      </c>
      <c r="D51" s="1">
        <v>8</v>
      </c>
      <c r="E51" s="21">
        <v>8</v>
      </c>
      <c r="F51" s="1">
        <v>2</v>
      </c>
      <c r="G51" s="11">
        <v>24</v>
      </c>
      <c r="H51" s="11"/>
      <c r="I51" s="62">
        <v>24</v>
      </c>
      <c r="J51" s="11">
        <f>J42</f>
        <v>3</v>
      </c>
      <c r="K51" s="11">
        <f>D51*J51</f>
        <v>24</v>
      </c>
      <c r="L51" s="11"/>
      <c r="M51" s="21">
        <f t="shared" si="6"/>
        <v>24</v>
      </c>
    </row>
    <row r="52" spans="2:13" x14ac:dyDescent="0.3">
      <c r="B52" s="2">
        <v>7</v>
      </c>
      <c r="C52" s="7" t="s">
        <v>21</v>
      </c>
      <c r="D52" s="1">
        <v>1</v>
      </c>
      <c r="E52" s="21"/>
      <c r="F52" s="1">
        <v>3</v>
      </c>
      <c r="G52" s="11">
        <v>3</v>
      </c>
      <c r="H52" s="11"/>
      <c r="I52" s="62"/>
      <c r="J52" s="11">
        <f>J35</f>
        <v>3</v>
      </c>
      <c r="K52" s="11">
        <f>D52*J52</f>
        <v>3</v>
      </c>
      <c r="L52" s="11"/>
      <c r="M52" s="21"/>
    </row>
    <row r="53" spans="2:13" x14ac:dyDescent="0.3">
      <c r="B53" s="161" t="s">
        <v>36</v>
      </c>
      <c r="C53" s="162"/>
      <c r="D53" s="162"/>
      <c r="E53" s="162"/>
      <c r="F53" s="163"/>
      <c r="G53" s="17">
        <v>41</v>
      </c>
      <c r="H53" s="17">
        <v>10</v>
      </c>
      <c r="I53" s="62">
        <v>36</v>
      </c>
      <c r="J53" s="39" t="s">
        <v>36</v>
      </c>
      <c r="K53" s="11">
        <f>SUM(K46:K52)</f>
        <v>43</v>
      </c>
      <c r="L53" s="11">
        <f>SUM(L46:L52)</f>
        <v>10</v>
      </c>
      <c r="M53" s="21">
        <f>SUM(M46:M52)</f>
        <v>36</v>
      </c>
    </row>
    <row r="54" spans="2:13" x14ac:dyDescent="0.3">
      <c r="B54" s="155" t="s">
        <v>27</v>
      </c>
      <c r="C54" s="156"/>
      <c r="D54" s="12"/>
      <c r="E54" s="12"/>
      <c r="F54" s="15"/>
      <c r="G54" s="16"/>
      <c r="H54" s="16"/>
      <c r="I54" s="61"/>
      <c r="J54" s="11"/>
      <c r="K54" s="11"/>
      <c r="L54" s="11"/>
      <c r="M54" s="1"/>
    </row>
    <row r="55" spans="2:13" x14ac:dyDescent="0.3">
      <c r="B55" s="2">
        <v>1</v>
      </c>
      <c r="C55" s="3" t="s">
        <v>5</v>
      </c>
      <c r="D55" s="2">
        <v>11</v>
      </c>
      <c r="E55" s="20"/>
      <c r="F55" s="2">
        <v>5</v>
      </c>
      <c r="G55" s="14"/>
      <c r="H55" s="14">
        <v>55</v>
      </c>
      <c r="I55" s="62"/>
      <c r="J55" s="11">
        <f>J46</f>
        <v>5</v>
      </c>
      <c r="K55" s="11"/>
      <c r="L55" s="11">
        <f>D55*J55</f>
        <v>55</v>
      </c>
      <c r="M55" s="21"/>
    </row>
    <row r="56" spans="2:13" x14ac:dyDescent="0.3">
      <c r="B56" s="2">
        <v>2</v>
      </c>
      <c r="C56" s="7" t="s">
        <v>9</v>
      </c>
      <c r="D56" s="1">
        <v>13</v>
      </c>
      <c r="E56" s="21"/>
      <c r="F56" s="1">
        <v>2</v>
      </c>
      <c r="G56" s="11">
        <v>26</v>
      </c>
      <c r="H56" s="11"/>
      <c r="I56" s="62"/>
      <c r="J56" s="11">
        <f>J47</f>
        <v>2</v>
      </c>
      <c r="K56" s="11">
        <f>D56*J56</f>
        <v>26</v>
      </c>
      <c r="L56" s="11"/>
      <c r="M56" s="21"/>
    </row>
    <row r="57" spans="2:13" x14ac:dyDescent="0.3">
      <c r="B57" s="2">
        <v>3</v>
      </c>
      <c r="C57" s="7" t="s">
        <v>4</v>
      </c>
      <c r="D57" s="1">
        <v>9</v>
      </c>
      <c r="E57" s="21">
        <v>3</v>
      </c>
      <c r="F57" s="1">
        <v>2</v>
      </c>
      <c r="G57" s="11">
        <v>18</v>
      </c>
      <c r="H57" s="11"/>
      <c r="I57" s="62">
        <v>6</v>
      </c>
      <c r="J57" s="11">
        <f>J48</f>
        <v>2</v>
      </c>
      <c r="K57" s="11">
        <f t="shared" ref="K57:K60" si="7">D57*J57</f>
        <v>18</v>
      </c>
      <c r="L57" s="11"/>
      <c r="M57" s="21">
        <f>E57*J57</f>
        <v>6</v>
      </c>
    </row>
    <row r="58" spans="2:13" x14ac:dyDescent="0.3">
      <c r="B58" s="2">
        <v>4</v>
      </c>
      <c r="C58" s="7" t="s">
        <v>3</v>
      </c>
      <c r="D58" s="1">
        <v>1</v>
      </c>
      <c r="E58" s="21">
        <v>1</v>
      </c>
      <c r="F58" s="1">
        <v>2</v>
      </c>
      <c r="G58" s="11">
        <v>2</v>
      </c>
      <c r="H58" s="11"/>
      <c r="I58" s="62"/>
      <c r="J58" s="11">
        <f>J49</f>
        <v>2</v>
      </c>
      <c r="K58" s="11">
        <f t="shared" si="7"/>
        <v>2</v>
      </c>
      <c r="L58" s="11"/>
      <c r="M58" s="21"/>
    </row>
    <row r="59" spans="2:13" x14ac:dyDescent="0.3">
      <c r="B59" s="2">
        <v>5</v>
      </c>
      <c r="C59" s="65" t="s">
        <v>19</v>
      </c>
      <c r="D59" s="1">
        <v>6</v>
      </c>
      <c r="E59" s="21">
        <v>3</v>
      </c>
      <c r="F59" s="1">
        <v>2</v>
      </c>
      <c r="G59" s="11">
        <v>18</v>
      </c>
      <c r="H59" s="11"/>
      <c r="I59" s="62">
        <v>9</v>
      </c>
      <c r="J59" s="11">
        <f>J51</f>
        <v>3</v>
      </c>
      <c r="K59" s="11">
        <f t="shared" si="7"/>
        <v>18</v>
      </c>
      <c r="L59" s="11"/>
      <c r="M59" s="21">
        <f>E59*J59</f>
        <v>9</v>
      </c>
    </row>
    <row r="60" spans="2:13" x14ac:dyDescent="0.3">
      <c r="B60" s="2">
        <v>6</v>
      </c>
      <c r="C60" s="7" t="s">
        <v>21</v>
      </c>
      <c r="D60" s="1">
        <v>3</v>
      </c>
      <c r="E60" s="21"/>
      <c r="F60" s="1">
        <v>3</v>
      </c>
      <c r="G60" s="11">
        <v>9</v>
      </c>
      <c r="H60" s="11"/>
      <c r="I60" s="62"/>
      <c r="J60" s="11">
        <f>J52</f>
        <v>3</v>
      </c>
      <c r="K60" s="11">
        <f t="shared" si="7"/>
        <v>9</v>
      </c>
      <c r="L60" s="11"/>
      <c r="M60" s="21"/>
    </row>
    <row r="61" spans="2:13" x14ac:dyDescent="0.3">
      <c r="B61" s="161" t="s">
        <v>28</v>
      </c>
      <c r="C61" s="162"/>
      <c r="D61" s="162"/>
      <c r="E61" s="162"/>
      <c r="F61" s="163"/>
      <c r="G61" s="17">
        <v>73</v>
      </c>
      <c r="H61" s="17">
        <v>55</v>
      </c>
      <c r="I61" s="62">
        <v>15</v>
      </c>
      <c r="J61" s="39" t="s">
        <v>28</v>
      </c>
      <c r="K61" s="11">
        <f>SUM(K55:K60)</f>
        <v>73</v>
      </c>
      <c r="L61" s="11">
        <f>SUM(L55:L60)</f>
        <v>55</v>
      </c>
      <c r="M61" s="21">
        <f>SUM(M55:M60)</f>
        <v>15</v>
      </c>
    </row>
    <row r="62" spans="2:13" x14ac:dyDescent="0.3">
      <c r="B62" s="155" t="s">
        <v>29</v>
      </c>
      <c r="C62" s="156"/>
      <c r="D62" s="12"/>
      <c r="E62" s="12"/>
      <c r="F62" s="15"/>
      <c r="G62" s="16"/>
      <c r="H62" s="16"/>
      <c r="I62" s="61"/>
      <c r="J62" s="11"/>
      <c r="K62" s="11"/>
      <c r="L62" s="11"/>
      <c r="M62" s="1"/>
    </row>
    <row r="63" spans="2:13" x14ac:dyDescent="0.3">
      <c r="B63" s="2">
        <v>1</v>
      </c>
      <c r="C63" s="3" t="s">
        <v>5</v>
      </c>
      <c r="D63" s="2">
        <v>11</v>
      </c>
      <c r="E63" s="20"/>
      <c r="F63" s="2">
        <v>5</v>
      </c>
      <c r="G63" s="14"/>
      <c r="H63" s="14">
        <v>55</v>
      </c>
      <c r="I63" s="62"/>
      <c r="J63" s="11">
        <f>J55</f>
        <v>5</v>
      </c>
      <c r="K63" s="11"/>
      <c r="L63" s="11">
        <f>D63*J63</f>
        <v>55</v>
      </c>
      <c r="M63" s="21"/>
    </row>
    <row r="64" spans="2:13" x14ac:dyDescent="0.3">
      <c r="B64" s="1">
        <v>2</v>
      </c>
      <c r="C64" s="3" t="s">
        <v>24</v>
      </c>
      <c r="D64" s="2">
        <v>2</v>
      </c>
      <c r="E64" s="20"/>
      <c r="F64" s="2">
        <v>10</v>
      </c>
      <c r="G64" s="14">
        <v>20</v>
      </c>
      <c r="H64" s="14"/>
      <c r="I64" s="62"/>
      <c r="J64" s="11">
        <f>J30</f>
        <v>10</v>
      </c>
      <c r="K64" s="11">
        <f>D64*J64</f>
        <v>20</v>
      </c>
      <c r="L64" s="11"/>
      <c r="M64" s="21"/>
    </row>
    <row r="65" spans="2:13" x14ac:dyDescent="0.3">
      <c r="B65" s="2">
        <v>3</v>
      </c>
      <c r="C65" s="7" t="s">
        <v>9</v>
      </c>
      <c r="D65" s="1">
        <v>19</v>
      </c>
      <c r="E65" s="21"/>
      <c r="F65" s="1">
        <v>2</v>
      </c>
      <c r="G65" s="11">
        <v>38</v>
      </c>
      <c r="H65" s="11"/>
      <c r="I65" s="62"/>
      <c r="J65" s="11">
        <f>J56</f>
        <v>2</v>
      </c>
      <c r="K65" s="11">
        <f t="shared" ref="K65:K69" si="8">D65*J65</f>
        <v>38</v>
      </c>
      <c r="L65" s="11"/>
      <c r="M65" s="21"/>
    </row>
    <row r="66" spans="2:13" x14ac:dyDescent="0.3">
      <c r="B66" s="1">
        <v>4</v>
      </c>
      <c r="C66" s="7" t="s">
        <v>4</v>
      </c>
      <c r="D66" s="1">
        <v>36</v>
      </c>
      <c r="E66" s="21">
        <v>34</v>
      </c>
      <c r="F66" s="1">
        <v>2</v>
      </c>
      <c r="G66" s="11">
        <v>72</v>
      </c>
      <c r="H66" s="11"/>
      <c r="I66" s="62">
        <v>68</v>
      </c>
      <c r="J66" s="11">
        <f>J57</f>
        <v>2</v>
      </c>
      <c r="K66" s="11">
        <f t="shared" si="8"/>
        <v>72</v>
      </c>
      <c r="L66" s="11"/>
      <c r="M66" s="21">
        <f>E66*J66</f>
        <v>68</v>
      </c>
    </row>
    <row r="67" spans="2:13" x14ac:dyDescent="0.3">
      <c r="B67" s="2">
        <v>5</v>
      </c>
      <c r="C67" s="7" t="s">
        <v>16</v>
      </c>
      <c r="D67" s="1">
        <v>1</v>
      </c>
      <c r="E67" s="21"/>
      <c r="F67" s="1">
        <v>5</v>
      </c>
      <c r="G67" s="11">
        <v>5</v>
      </c>
      <c r="H67" s="11"/>
      <c r="I67" s="62"/>
      <c r="J67" s="11">
        <f>J33</f>
        <v>5</v>
      </c>
      <c r="K67" s="11">
        <f t="shared" si="8"/>
        <v>5</v>
      </c>
      <c r="L67" s="11"/>
      <c r="M67" s="21"/>
    </row>
    <row r="68" spans="2:13" x14ac:dyDescent="0.3">
      <c r="B68" s="1">
        <v>6</v>
      </c>
      <c r="C68" s="65" t="s">
        <v>19</v>
      </c>
      <c r="D68" s="1">
        <v>1</v>
      </c>
      <c r="E68" s="21">
        <v>1</v>
      </c>
      <c r="F68" s="1">
        <v>2</v>
      </c>
      <c r="G68" s="11">
        <v>3</v>
      </c>
      <c r="H68" s="11"/>
      <c r="I68" s="62">
        <v>3</v>
      </c>
      <c r="J68" s="11">
        <f>J51</f>
        <v>3</v>
      </c>
      <c r="K68" s="11">
        <f t="shared" si="8"/>
        <v>3</v>
      </c>
      <c r="L68" s="11"/>
      <c r="M68" s="21">
        <f>E68*J68</f>
        <v>3</v>
      </c>
    </row>
    <row r="69" spans="2:13" x14ac:dyDescent="0.3">
      <c r="B69" s="2">
        <v>7</v>
      </c>
      <c r="C69" s="7" t="s">
        <v>21</v>
      </c>
      <c r="D69" s="1">
        <v>3</v>
      </c>
      <c r="E69" s="21"/>
      <c r="F69" s="1">
        <v>3</v>
      </c>
      <c r="G69" s="11">
        <v>9</v>
      </c>
      <c r="H69" s="11"/>
      <c r="I69" s="62"/>
      <c r="J69" s="11">
        <f>J52</f>
        <v>3</v>
      </c>
      <c r="K69" s="11">
        <f t="shared" si="8"/>
        <v>9</v>
      </c>
      <c r="L69" s="11"/>
      <c r="M69" s="21"/>
    </row>
    <row r="70" spans="2:13" x14ac:dyDescent="0.3">
      <c r="B70" s="161" t="s">
        <v>30</v>
      </c>
      <c r="C70" s="162"/>
      <c r="D70" s="162"/>
      <c r="E70" s="162"/>
      <c r="F70" s="163"/>
      <c r="G70" s="17">
        <v>147</v>
      </c>
      <c r="H70" s="17">
        <v>55</v>
      </c>
      <c r="I70" s="62">
        <v>71</v>
      </c>
      <c r="J70" s="39" t="s">
        <v>30</v>
      </c>
      <c r="K70" s="11">
        <f>SUM(K63:K69)</f>
        <v>147</v>
      </c>
      <c r="L70" s="11">
        <f>SUM(L63:L69)</f>
        <v>55</v>
      </c>
      <c r="M70" s="21">
        <f>SUM(M63:M69)</f>
        <v>71</v>
      </c>
    </row>
    <row r="71" spans="2:13" x14ac:dyDescent="0.3">
      <c r="B71" s="155" t="s">
        <v>37</v>
      </c>
      <c r="C71" s="156"/>
      <c r="D71" s="12"/>
      <c r="E71" s="12"/>
      <c r="F71" s="15"/>
      <c r="G71" s="16"/>
      <c r="H71" s="16"/>
      <c r="I71" s="61"/>
      <c r="J71" s="11"/>
      <c r="K71" s="11"/>
      <c r="L71" s="11"/>
      <c r="M71" s="1"/>
    </row>
    <row r="72" spans="2:13" x14ac:dyDescent="0.3">
      <c r="B72" s="2">
        <v>1</v>
      </c>
      <c r="C72" s="3" t="s">
        <v>5</v>
      </c>
      <c r="D72" s="2">
        <v>2</v>
      </c>
      <c r="E72" s="20"/>
      <c r="F72" s="2">
        <v>5</v>
      </c>
      <c r="G72" s="14"/>
      <c r="H72" s="14">
        <v>10</v>
      </c>
      <c r="I72" s="62"/>
      <c r="J72" s="11">
        <f>J63</f>
        <v>5</v>
      </c>
      <c r="K72" s="11"/>
      <c r="L72" s="11">
        <f>D72*J72</f>
        <v>10</v>
      </c>
      <c r="M72" s="21"/>
    </row>
    <row r="73" spans="2:13" x14ac:dyDescent="0.3">
      <c r="B73" s="2">
        <v>2</v>
      </c>
      <c r="C73" s="7" t="s">
        <v>9</v>
      </c>
      <c r="D73" s="1">
        <v>3</v>
      </c>
      <c r="E73" s="21"/>
      <c r="F73" s="1">
        <v>2</v>
      </c>
      <c r="G73" s="11">
        <v>6</v>
      </c>
      <c r="H73" s="11"/>
      <c r="I73" s="62"/>
      <c r="J73" s="11">
        <f>J65</f>
        <v>2</v>
      </c>
      <c r="K73" s="11">
        <f>D73*J73</f>
        <v>6</v>
      </c>
      <c r="L73" s="11"/>
      <c r="M73" s="21"/>
    </row>
    <row r="74" spans="2:13" x14ac:dyDescent="0.3">
      <c r="B74" s="2">
        <v>3</v>
      </c>
      <c r="C74" s="7" t="s">
        <v>4</v>
      </c>
      <c r="D74" s="1">
        <v>5</v>
      </c>
      <c r="E74" s="21">
        <v>4</v>
      </c>
      <c r="F74" s="1">
        <v>2</v>
      </c>
      <c r="G74" s="11">
        <v>10</v>
      </c>
      <c r="H74" s="11"/>
      <c r="I74" s="62">
        <v>8</v>
      </c>
      <c r="J74" s="11">
        <f>J66</f>
        <v>2</v>
      </c>
      <c r="K74" s="11">
        <f t="shared" ref="K74:K76" si="9">D74*J74</f>
        <v>10</v>
      </c>
      <c r="L74" s="11"/>
      <c r="M74" s="21">
        <f>E74*J74</f>
        <v>8</v>
      </c>
    </row>
    <row r="75" spans="2:13" x14ac:dyDescent="0.3">
      <c r="B75" s="2">
        <v>4</v>
      </c>
      <c r="C75" s="7" t="s">
        <v>3</v>
      </c>
      <c r="D75" s="1">
        <v>1</v>
      </c>
      <c r="E75" s="21"/>
      <c r="F75" s="1">
        <v>2</v>
      </c>
      <c r="G75" s="11">
        <v>2</v>
      </c>
      <c r="H75" s="11"/>
      <c r="I75" s="62"/>
      <c r="J75" s="11">
        <v>2</v>
      </c>
      <c r="K75" s="11">
        <f t="shared" si="9"/>
        <v>2</v>
      </c>
      <c r="L75" s="11"/>
      <c r="M75" s="21"/>
    </row>
    <row r="76" spans="2:13" x14ac:dyDescent="0.3">
      <c r="B76" s="2">
        <v>5</v>
      </c>
      <c r="C76" s="65" t="s">
        <v>19</v>
      </c>
      <c r="D76" s="1">
        <v>3</v>
      </c>
      <c r="E76" s="21"/>
      <c r="F76" s="1">
        <v>2</v>
      </c>
      <c r="G76" s="11">
        <v>9</v>
      </c>
      <c r="H76" s="11"/>
      <c r="I76" s="62"/>
      <c r="J76" s="11">
        <f>J68</f>
        <v>3</v>
      </c>
      <c r="K76" s="11">
        <f t="shared" si="9"/>
        <v>9</v>
      </c>
      <c r="L76" s="11"/>
      <c r="M76" s="21"/>
    </row>
    <row r="77" spans="2:13" x14ac:dyDescent="0.3">
      <c r="B77" s="161" t="s">
        <v>38</v>
      </c>
      <c r="C77" s="162"/>
      <c r="D77" s="162"/>
      <c r="E77" s="162"/>
      <c r="F77" s="163"/>
      <c r="G77" s="17">
        <v>27</v>
      </c>
      <c r="H77" s="17">
        <v>10</v>
      </c>
      <c r="I77" s="62">
        <f>SUM(I72:I76)</f>
        <v>8</v>
      </c>
      <c r="J77" s="39" t="s">
        <v>38</v>
      </c>
      <c r="K77" s="11">
        <f>SUM(K72:K76)</f>
        <v>27</v>
      </c>
      <c r="L77" s="11">
        <f>SUM(L72:L76)</f>
        <v>10</v>
      </c>
      <c r="M77" s="21">
        <f>SUM(M72:M76)</f>
        <v>8</v>
      </c>
    </row>
    <row r="78" spans="2:13" x14ac:dyDescent="0.3">
      <c r="B78" s="155" t="s">
        <v>31</v>
      </c>
      <c r="C78" s="156"/>
      <c r="D78" s="12"/>
      <c r="E78" s="12"/>
      <c r="F78" s="15"/>
      <c r="G78" s="16"/>
      <c r="H78" s="16"/>
      <c r="I78" s="61"/>
      <c r="J78" s="11"/>
      <c r="K78" s="11"/>
      <c r="L78" s="11"/>
      <c r="M78" s="1"/>
    </row>
    <row r="79" spans="2:13" x14ac:dyDescent="0.3">
      <c r="B79" s="2">
        <v>1</v>
      </c>
      <c r="C79" s="3" t="s">
        <v>5</v>
      </c>
      <c r="D79" s="2">
        <v>40</v>
      </c>
      <c r="E79" s="20"/>
      <c r="F79" s="2">
        <v>5</v>
      </c>
      <c r="G79" s="14"/>
      <c r="H79" s="14">
        <v>200</v>
      </c>
      <c r="I79" s="62"/>
      <c r="J79" s="11">
        <f>J72</f>
        <v>5</v>
      </c>
      <c r="K79" s="11"/>
      <c r="L79" s="11">
        <f>D79*J79</f>
        <v>200</v>
      </c>
      <c r="M79" s="21"/>
    </row>
    <row r="80" spans="2:13" x14ac:dyDescent="0.3">
      <c r="B80" s="2">
        <v>2</v>
      </c>
      <c r="C80" s="7" t="s">
        <v>9</v>
      </c>
      <c r="D80" s="1">
        <v>81</v>
      </c>
      <c r="E80" s="21">
        <v>28</v>
      </c>
      <c r="F80" s="1">
        <v>2</v>
      </c>
      <c r="G80" s="11">
        <v>162</v>
      </c>
      <c r="H80" s="11"/>
      <c r="I80" s="62">
        <v>56</v>
      </c>
      <c r="J80" s="11">
        <f>J73</f>
        <v>2</v>
      </c>
      <c r="K80" s="11">
        <f>D80*J80</f>
        <v>162</v>
      </c>
      <c r="L80" s="11"/>
      <c r="M80" s="21">
        <f>E80*J80</f>
        <v>56</v>
      </c>
    </row>
    <row r="81" spans="2:13" x14ac:dyDescent="0.3">
      <c r="B81" s="2">
        <v>3</v>
      </c>
      <c r="C81" s="7" t="s">
        <v>4</v>
      </c>
      <c r="D81" s="1">
        <v>44</v>
      </c>
      <c r="E81" s="21">
        <v>37</v>
      </c>
      <c r="F81" s="1">
        <v>2</v>
      </c>
      <c r="G81" s="11">
        <v>88</v>
      </c>
      <c r="H81" s="11"/>
      <c r="I81" s="62">
        <v>74</v>
      </c>
      <c r="J81" s="11">
        <f>J74</f>
        <v>2</v>
      </c>
      <c r="K81" s="11">
        <f t="shared" ref="K81:K86" si="10">D81*J81</f>
        <v>88</v>
      </c>
      <c r="L81" s="11"/>
      <c r="M81" s="21">
        <f>E81*J81</f>
        <v>74</v>
      </c>
    </row>
    <row r="82" spans="2:13" x14ac:dyDescent="0.3">
      <c r="B82" s="2">
        <v>4</v>
      </c>
      <c r="C82" s="7" t="s">
        <v>16</v>
      </c>
      <c r="D82" s="1">
        <v>2</v>
      </c>
      <c r="E82" s="21"/>
      <c r="F82" s="1">
        <v>5</v>
      </c>
      <c r="G82" s="11">
        <v>10</v>
      </c>
      <c r="H82" s="11"/>
      <c r="I82" s="62"/>
      <c r="J82" s="11">
        <f>J67</f>
        <v>5</v>
      </c>
      <c r="K82" s="11">
        <f t="shared" si="10"/>
        <v>10</v>
      </c>
      <c r="L82" s="11"/>
      <c r="M82" s="21"/>
    </row>
    <row r="83" spans="2:13" x14ac:dyDescent="0.3">
      <c r="B83" s="2">
        <v>5</v>
      </c>
      <c r="C83" s="7" t="s">
        <v>3</v>
      </c>
      <c r="D83" s="1">
        <v>2</v>
      </c>
      <c r="E83" s="21">
        <v>2</v>
      </c>
      <c r="F83" s="1">
        <v>2</v>
      </c>
      <c r="G83" s="11">
        <v>4</v>
      </c>
      <c r="H83" s="11"/>
      <c r="I83" s="62">
        <v>4</v>
      </c>
      <c r="J83" s="11">
        <f>J75</f>
        <v>2</v>
      </c>
      <c r="K83" s="11">
        <f t="shared" si="10"/>
        <v>4</v>
      </c>
      <c r="L83" s="11"/>
      <c r="M83" s="21">
        <f>E83*J83</f>
        <v>4</v>
      </c>
    </row>
    <row r="84" spans="2:13" x14ac:dyDescent="0.3">
      <c r="B84" s="2">
        <v>6</v>
      </c>
      <c r="C84" s="7" t="s">
        <v>10</v>
      </c>
      <c r="D84" s="25">
        <v>35</v>
      </c>
      <c r="E84" s="21">
        <v>35</v>
      </c>
      <c r="F84" s="1">
        <v>2</v>
      </c>
      <c r="G84" s="11">
        <v>68</v>
      </c>
      <c r="H84" s="11"/>
      <c r="I84" s="62">
        <v>70</v>
      </c>
      <c r="J84" s="11">
        <f>J41</f>
        <v>2</v>
      </c>
      <c r="K84" s="11">
        <f>D84*J84</f>
        <v>70</v>
      </c>
      <c r="L84" s="11"/>
      <c r="M84" s="21">
        <f>E84*J84</f>
        <v>70</v>
      </c>
    </row>
    <row r="85" spans="2:13" x14ac:dyDescent="0.3">
      <c r="B85" s="2">
        <v>7</v>
      </c>
      <c r="C85" s="65" t="s">
        <v>19</v>
      </c>
      <c r="D85" s="1">
        <v>2</v>
      </c>
      <c r="E85" s="21">
        <v>2</v>
      </c>
      <c r="F85" s="1">
        <v>2</v>
      </c>
      <c r="G85" s="11">
        <v>6</v>
      </c>
      <c r="H85" s="11"/>
      <c r="I85" s="62">
        <v>6</v>
      </c>
      <c r="J85" s="11">
        <v>3</v>
      </c>
      <c r="K85" s="11">
        <f t="shared" si="10"/>
        <v>6</v>
      </c>
      <c r="L85" s="11"/>
      <c r="M85" s="21">
        <f>E85*J85</f>
        <v>6</v>
      </c>
    </row>
    <row r="86" spans="2:13" x14ac:dyDescent="0.3">
      <c r="B86" s="2">
        <v>8</v>
      </c>
      <c r="C86" s="7" t="s">
        <v>21</v>
      </c>
      <c r="D86" s="1">
        <v>3</v>
      </c>
      <c r="E86" s="21"/>
      <c r="F86" s="1">
        <v>3</v>
      </c>
      <c r="G86" s="11">
        <v>9</v>
      </c>
      <c r="H86" s="11"/>
      <c r="I86" s="62"/>
      <c r="J86" s="11">
        <f>J69</f>
        <v>3</v>
      </c>
      <c r="K86" s="11">
        <f t="shared" si="10"/>
        <v>9</v>
      </c>
      <c r="L86" s="11"/>
      <c r="M86" s="21"/>
    </row>
    <row r="87" spans="2:13" x14ac:dyDescent="0.3">
      <c r="B87" s="161" t="s">
        <v>32</v>
      </c>
      <c r="C87" s="162"/>
      <c r="D87" s="162"/>
      <c r="E87" s="162"/>
      <c r="F87" s="163"/>
      <c r="G87" s="17">
        <v>347</v>
      </c>
      <c r="H87" s="17">
        <v>200</v>
      </c>
      <c r="I87" s="62">
        <v>210</v>
      </c>
      <c r="J87" s="39" t="s">
        <v>32</v>
      </c>
      <c r="K87" s="11">
        <f>SUM(K79:K86)</f>
        <v>349</v>
      </c>
      <c r="L87" s="11">
        <f>SUM(L79:L86)</f>
        <v>200</v>
      </c>
      <c r="M87" s="21">
        <f>SUM(M79:M86)</f>
        <v>210</v>
      </c>
    </row>
    <row r="88" spans="2:13" x14ac:dyDescent="0.3">
      <c r="B88" s="155" t="s">
        <v>39</v>
      </c>
      <c r="C88" s="156"/>
      <c r="D88" s="12"/>
      <c r="E88" s="12"/>
      <c r="F88" s="15"/>
      <c r="G88" s="16"/>
      <c r="H88" s="16"/>
      <c r="I88" s="61"/>
      <c r="J88" s="11"/>
      <c r="K88" s="11"/>
      <c r="L88" s="11"/>
      <c r="M88" s="1"/>
    </row>
    <row r="89" spans="2:13" x14ac:dyDescent="0.3">
      <c r="B89" s="2">
        <v>1</v>
      </c>
      <c r="C89" s="3" t="s">
        <v>5</v>
      </c>
      <c r="D89" s="2">
        <v>38</v>
      </c>
      <c r="E89" s="20"/>
      <c r="F89" s="2">
        <v>5</v>
      </c>
      <c r="G89" s="14"/>
      <c r="H89" s="14">
        <v>190</v>
      </c>
      <c r="I89" s="62"/>
      <c r="J89" s="11">
        <f>J79</f>
        <v>5</v>
      </c>
      <c r="K89" s="11"/>
      <c r="L89" s="11">
        <f>D89*J89</f>
        <v>190</v>
      </c>
      <c r="M89" s="21"/>
    </row>
    <row r="90" spans="2:13" x14ac:dyDescent="0.3">
      <c r="B90" s="1">
        <v>2</v>
      </c>
      <c r="C90" s="3" t="s">
        <v>24</v>
      </c>
      <c r="D90" s="2">
        <v>3</v>
      </c>
      <c r="E90" s="20"/>
      <c r="F90" s="2">
        <v>10</v>
      </c>
      <c r="G90" s="14">
        <v>30</v>
      </c>
      <c r="H90" s="14"/>
      <c r="I90" s="62"/>
      <c r="J90" s="11">
        <f>J64</f>
        <v>10</v>
      </c>
      <c r="K90" s="11">
        <f>D90*J90</f>
        <v>30</v>
      </c>
      <c r="L90" s="11"/>
      <c r="M90" s="21"/>
    </row>
    <row r="91" spans="2:13" x14ac:dyDescent="0.3">
      <c r="B91" s="2">
        <v>3</v>
      </c>
      <c r="C91" s="7" t="s">
        <v>9</v>
      </c>
      <c r="D91" s="1">
        <v>44</v>
      </c>
      <c r="E91" s="21"/>
      <c r="F91" s="1">
        <v>2</v>
      </c>
      <c r="G91" s="11">
        <v>88</v>
      </c>
      <c r="H91" s="11"/>
      <c r="I91" s="62"/>
      <c r="J91" s="11">
        <f t="shared" ref="J91:J97" si="11">J80</f>
        <v>2</v>
      </c>
      <c r="K91" s="11">
        <f t="shared" ref="K91:K97" si="12">D91*J91</f>
        <v>88</v>
      </c>
      <c r="L91" s="11"/>
      <c r="M91" s="21"/>
    </row>
    <row r="92" spans="2:13" x14ac:dyDescent="0.3">
      <c r="B92" s="1">
        <v>4</v>
      </c>
      <c r="C92" s="7" t="s">
        <v>4</v>
      </c>
      <c r="D92" s="1">
        <v>44</v>
      </c>
      <c r="E92" s="21">
        <v>39</v>
      </c>
      <c r="F92" s="1">
        <v>2</v>
      </c>
      <c r="G92" s="11">
        <v>88</v>
      </c>
      <c r="H92" s="11"/>
      <c r="I92" s="62">
        <v>78</v>
      </c>
      <c r="J92" s="11">
        <f t="shared" si="11"/>
        <v>2</v>
      </c>
      <c r="K92" s="11">
        <f t="shared" si="12"/>
        <v>88</v>
      </c>
      <c r="L92" s="11"/>
      <c r="M92" s="21">
        <f>J92*E92</f>
        <v>78</v>
      </c>
    </row>
    <row r="93" spans="2:13" x14ac:dyDescent="0.3">
      <c r="B93" s="2">
        <v>5</v>
      </c>
      <c r="C93" s="7" t="s">
        <v>16</v>
      </c>
      <c r="D93" s="1">
        <v>2</v>
      </c>
      <c r="E93" s="21"/>
      <c r="F93" s="1">
        <v>5</v>
      </c>
      <c r="G93" s="11">
        <v>10</v>
      </c>
      <c r="H93" s="11"/>
      <c r="I93" s="62"/>
      <c r="J93" s="11">
        <f t="shared" si="11"/>
        <v>5</v>
      </c>
      <c r="K93" s="11">
        <f t="shared" si="12"/>
        <v>10</v>
      </c>
      <c r="L93" s="11"/>
      <c r="M93" s="21"/>
    </row>
    <row r="94" spans="2:13" x14ac:dyDescent="0.3">
      <c r="B94" s="1">
        <v>6</v>
      </c>
      <c r="C94" s="7" t="s">
        <v>3</v>
      </c>
      <c r="D94" s="1">
        <v>3</v>
      </c>
      <c r="E94" s="21">
        <v>3</v>
      </c>
      <c r="F94" s="1">
        <v>2</v>
      </c>
      <c r="G94" s="11">
        <v>6</v>
      </c>
      <c r="H94" s="11"/>
      <c r="I94" s="62">
        <v>6</v>
      </c>
      <c r="J94" s="11">
        <f t="shared" si="11"/>
        <v>2</v>
      </c>
      <c r="K94" s="11">
        <f t="shared" si="12"/>
        <v>6</v>
      </c>
      <c r="L94" s="11"/>
      <c r="M94" s="21">
        <f>J94*E94</f>
        <v>6</v>
      </c>
    </row>
    <row r="95" spans="2:13" x14ac:dyDescent="0.3">
      <c r="B95" s="2">
        <v>7</v>
      </c>
      <c r="C95" s="7" t="s">
        <v>10</v>
      </c>
      <c r="D95" s="1">
        <v>31</v>
      </c>
      <c r="E95" s="21">
        <v>31</v>
      </c>
      <c r="F95" s="1">
        <v>2</v>
      </c>
      <c r="G95" s="11">
        <v>62</v>
      </c>
      <c r="H95" s="11"/>
      <c r="I95" s="62">
        <v>62</v>
      </c>
      <c r="J95" s="11">
        <f t="shared" si="11"/>
        <v>2</v>
      </c>
      <c r="K95" s="11">
        <f t="shared" si="12"/>
        <v>62</v>
      </c>
      <c r="L95" s="11"/>
      <c r="M95" s="21">
        <f>J95*E95</f>
        <v>62</v>
      </c>
    </row>
    <row r="96" spans="2:13" x14ac:dyDescent="0.3">
      <c r="B96" s="1">
        <v>8</v>
      </c>
      <c r="C96" s="65" t="s">
        <v>19</v>
      </c>
      <c r="D96" s="1">
        <v>2</v>
      </c>
      <c r="E96" s="21">
        <v>2</v>
      </c>
      <c r="F96" s="1">
        <v>2</v>
      </c>
      <c r="G96" s="11">
        <v>6</v>
      </c>
      <c r="H96" s="11"/>
      <c r="I96" s="62">
        <v>6</v>
      </c>
      <c r="J96" s="11">
        <f t="shared" si="11"/>
        <v>3</v>
      </c>
      <c r="K96" s="11">
        <f t="shared" si="12"/>
        <v>6</v>
      </c>
      <c r="L96" s="11"/>
      <c r="M96" s="21">
        <f>J96*E96</f>
        <v>6</v>
      </c>
    </row>
    <row r="97" spans="2:13" x14ac:dyDescent="0.3">
      <c r="B97" s="2">
        <v>9</v>
      </c>
      <c r="C97" s="7" t="s">
        <v>21</v>
      </c>
      <c r="D97" s="1">
        <v>2</v>
      </c>
      <c r="E97" s="21"/>
      <c r="F97" s="1">
        <v>3</v>
      </c>
      <c r="G97" s="11">
        <v>6</v>
      </c>
      <c r="H97" s="11"/>
      <c r="I97" s="62"/>
      <c r="J97" s="11">
        <f t="shared" si="11"/>
        <v>3</v>
      </c>
      <c r="K97" s="11">
        <f t="shared" si="12"/>
        <v>6</v>
      </c>
      <c r="L97" s="11"/>
      <c r="M97" s="21"/>
    </row>
    <row r="98" spans="2:13" x14ac:dyDescent="0.3">
      <c r="B98" s="161" t="s">
        <v>40</v>
      </c>
      <c r="C98" s="162"/>
      <c r="D98" s="162"/>
      <c r="E98" s="162"/>
      <c r="F98" s="163"/>
      <c r="G98" s="17">
        <v>296</v>
      </c>
      <c r="H98" s="17">
        <v>190</v>
      </c>
      <c r="I98" s="62">
        <v>152</v>
      </c>
      <c r="J98" s="39" t="s">
        <v>40</v>
      </c>
      <c r="K98" s="11">
        <f>SUM(K90:K97)</f>
        <v>296</v>
      </c>
      <c r="L98" s="11">
        <f>L89</f>
        <v>190</v>
      </c>
      <c r="M98" s="21">
        <f>SUM(M92:M96)</f>
        <v>152</v>
      </c>
    </row>
    <row r="99" spans="2:13" x14ac:dyDescent="0.3">
      <c r="B99" s="155" t="s">
        <v>41</v>
      </c>
      <c r="C99" s="156"/>
      <c r="D99" s="12"/>
      <c r="E99" s="12"/>
      <c r="F99" s="15"/>
      <c r="G99" s="16"/>
      <c r="H99" s="16"/>
      <c r="I99" s="61"/>
      <c r="J99" s="11"/>
      <c r="K99" s="11"/>
      <c r="L99" s="11"/>
      <c r="M99" s="1"/>
    </row>
    <row r="100" spans="2:13" x14ac:dyDescent="0.3">
      <c r="B100" s="2">
        <v>1</v>
      </c>
      <c r="C100" s="3" t="s">
        <v>5</v>
      </c>
      <c r="D100" s="2">
        <v>31</v>
      </c>
      <c r="E100" s="20"/>
      <c r="F100" s="2">
        <v>5</v>
      </c>
      <c r="G100" s="14"/>
      <c r="H100" s="14">
        <v>155</v>
      </c>
      <c r="I100" s="62"/>
      <c r="J100" s="11">
        <f t="shared" ref="J100:J108" si="13">J89</f>
        <v>5</v>
      </c>
      <c r="L100" s="11">
        <f>J100*D100</f>
        <v>155</v>
      </c>
      <c r="M100" s="21"/>
    </row>
    <row r="101" spans="2:13" x14ac:dyDescent="0.3">
      <c r="B101" s="1">
        <v>2</v>
      </c>
      <c r="C101" s="3" t="s">
        <v>24</v>
      </c>
      <c r="D101" s="2">
        <v>3</v>
      </c>
      <c r="E101" s="20"/>
      <c r="F101" s="2">
        <v>10</v>
      </c>
      <c r="G101" s="14">
        <v>30</v>
      </c>
      <c r="H101" s="14"/>
      <c r="I101" s="62"/>
      <c r="J101" s="11">
        <f t="shared" si="13"/>
        <v>10</v>
      </c>
      <c r="K101" s="11">
        <f t="shared" ref="K101:K108" si="14">J101*D101</f>
        <v>30</v>
      </c>
      <c r="L101" s="11"/>
      <c r="M101" s="21"/>
    </row>
    <row r="102" spans="2:13" x14ac:dyDescent="0.3">
      <c r="B102" s="2">
        <v>3</v>
      </c>
      <c r="C102" s="7" t="s">
        <v>9</v>
      </c>
      <c r="D102" s="1">
        <v>41</v>
      </c>
      <c r="E102" s="21"/>
      <c r="F102" s="1">
        <v>2</v>
      </c>
      <c r="G102" s="11">
        <v>82</v>
      </c>
      <c r="H102" s="11"/>
      <c r="I102" s="62"/>
      <c r="J102" s="11">
        <f t="shared" si="13"/>
        <v>2</v>
      </c>
      <c r="K102" s="11">
        <f t="shared" si="14"/>
        <v>82</v>
      </c>
      <c r="L102" s="11"/>
      <c r="M102" s="21"/>
    </row>
    <row r="103" spans="2:13" x14ac:dyDescent="0.3">
      <c r="B103" s="1">
        <v>4</v>
      </c>
      <c r="C103" s="7" t="s">
        <v>4</v>
      </c>
      <c r="D103" s="1">
        <v>39</v>
      </c>
      <c r="E103" s="21">
        <v>32</v>
      </c>
      <c r="F103" s="1">
        <v>2</v>
      </c>
      <c r="G103" s="11">
        <v>78</v>
      </c>
      <c r="H103" s="11"/>
      <c r="I103" s="62">
        <v>64</v>
      </c>
      <c r="J103" s="11">
        <f t="shared" si="13"/>
        <v>2</v>
      </c>
      <c r="K103" s="11">
        <f>J103*D103</f>
        <v>78</v>
      </c>
      <c r="L103" s="11"/>
      <c r="M103" s="21">
        <f>E103*J103</f>
        <v>64</v>
      </c>
    </row>
    <row r="104" spans="2:13" x14ac:dyDescent="0.3">
      <c r="B104" s="2">
        <v>5</v>
      </c>
      <c r="C104" s="7" t="s">
        <v>16</v>
      </c>
      <c r="D104" s="1">
        <v>3</v>
      </c>
      <c r="E104" s="21"/>
      <c r="F104" s="1">
        <v>5</v>
      </c>
      <c r="G104" s="11">
        <v>15</v>
      </c>
      <c r="H104" s="11"/>
      <c r="I104" s="62"/>
      <c r="J104" s="11">
        <f t="shared" si="13"/>
        <v>5</v>
      </c>
      <c r="K104" s="11">
        <f t="shared" si="14"/>
        <v>15</v>
      </c>
      <c r="L104" s="11"/>
      <c r="M104" s="21"/>
    </row>
    <row r="105" spans="2:13" x14ac:dyDescent="0.3">
      <c r="B105" s="1">
        <v>6</v>
      </c>
      <c r="C105" s="7" t="s">
        <v>3</v>
      </c>
      <c r="D105" s="25">
        <v>6</v>
      </c>
      <c r="E105" s="21">
        <v>6</v>
      </c>
      <c r="F105" s="1">
        <v>2</v>
      </c>
      <c r="G105" s="11">
        <v>10</v>
      </c>
      <c r="H105" s="11"/>
      <c r="I105" s="62">
        <v>12</v>
      </c>
      <c r="J105" s="11">
        <f t="shared" si="13"/>
        <v>2</v>
      </c>
      <c r="K105" s="11">
        <f>J105*D105</f>
        <v>12</v>
      </c>
      <c r="L105" s="11"/>
      <c r="M105" s="21">
        <f>J105*E105</f>
        <v>12</v>
      </c>
    </row>
    <row r="106" spans="2:13" x14ac:dyDescent="0.3">
      <c r="B106" s="2">
        <v>7</v>
      </c>
      <c r="C106" s="7" t="s">
        <v>10</v>
      </c>
      <c r="D106" s="1">
        <v>25</v>
      </c>
      <c r="E106" s="21">
        <v>25</v>
      </c>
      <c r="F106" s="1">
        <v>2</v>
      </c>
      <c r="G106" s="11">
        <v>50</v>
      </c>
      <c r="H106" s="11"/>
      <c r="I106" s="62">
        <v>50</v>
      </c>
      <c r="J106" s="11">
        <f t="shared" si="13"/>
        <v>2</v>
      </c>
      <c r="K106" s="11">
        <f t="shared" si="14"/>
        <v>50</v>
      </c>
      <c r="L106" s="11"/>
      <c r="M106" s="21">
        <f>E106*J106</f>
        <v>50</v>
      </c>
    </row>
    <row r="107" spans="2:13" x14ac:dyDescent="0.3">
      <c r="B107" s="1">
        <v>8</v>
      </c>
      <c r="C107" s="65" t="s">
        <v>19</v>
      </c>
      <c r="D107" s="1">
        <v>2</v>
      </c>
      <c r="E107" s="21">
        <v>2</v>
      </c>
      <c r="F107" s="1">
        <v>2</v>
      </c>
      <c r="G107" s="11">
        <v>6</v>
      </c>
      <c r="H107" s="11"/>
      <c r="I107" s="62">
        <v>6</v>
      </c>
      <c r="J107" s="11">
        <f t="shared" si="13"/>
        <v>3</v>
      </c>
      <c r="K107" s="11">
        <f t="shared" si="14"/>
        <v>6</v>
      </c>
      <c r="L107" s="11"/>
      <c r="M107" s="21">
        <f>E107*J107</f>
        <v>6</v>
      </c>
    </row>
    <row r="108" spans="2:13" x14ac:dyDescent="0.3">
      <c r="B108" s="2">
        <v>9</v>
      </c>
      <c r="C108" s="7" t="s">
        <v>21</v>
      </c>
      <c r="D108" s="1">
        <v>2</v>
      </c>
      <c r="E108" s="21"/>
      <c r="F108" s="1">
        <v>3</v>
      </c>
      <c r="G108" s="11">
        <v>6</v>
      </c>
      <c r="H108" s="11"/>
      <c r="I108" s="62"/>
      <c r="J108" s="11">
        <f t="shared" si="13"/>
        <v>3</v>
      </c>
      <c r="K108" s="11">
        <f t="shared" si="14"/>
        <v>6</v>
      </c>
      <c r="L108" s="11"/>
      <c r="M108" s="21"/>
    </row>
    <row r="109" spans="2:13" x14ac:dyDescent="0.3">
      <c r="B109" s="161" t="s">
        <v>42</v>
      </c>
      <c r="C109" s="162"/>
      <c r="D109" s="162"/>
      <c r="E109" s="162"/>
      <c r="F109" s="163"/>
      <c r="G109" s="17">
        <v>277</v>
      </c>
      <c r="H109" s="17">
        <v>155</v>
      </c>
      <c r="I109" s="62">
        <v>132</v>
      </c>
      <c r="J109" s="39" t="s">
        <v>42</v>
      </c>
      <c r="K109" s="11">
        <f>SUM(K101:K108)</f>
        <v>279</v>
      </c>
      <c r="L109" s="11">
        <f>SUM(L100:L108)</f>
        <v>155</v>
      </c>
      <c r="M109" s="23">
        <f>SUM(M101:M108)</f>
        <v>132</v>
      </c>
    </row>
    <row r="110" spans="2:13" x14ac:dyDescent="0.3">
      <c r="B110" s="155" t="s">
        <v>43</v>
      </c>
      <c r="C110" s="156"/>
      <c r="D110" s="12"/>
      <c r="E110" s="12"/>
      <c r="F110" s="15"/>
      <c r="G110" s="16"/>
      <c r="H110" s="16"/>
      <c r="I110" s="61"/>
      <c r="J110" s="11"/>
      <c r="K110" s="11"/>
      <c r="L110" s="11"/>
      <c r="M110" s="1"/>
    </row>
    <row r="111" spans="2:13" x14ac:dyDescent="0.3">
      <c r="B111" s="2">
        <v>1</v>
      </c>
      <c r="C111" s="3" t="s">
        <v>5</v>
      </c>
      <c r="D111" s="2">
        <v>25</v>
      </c>
      <c r="E111" s="20"/>
      <c r="F111" s="2">
        <v>5</v>
      </c>
      <c r="G111" s="14"/>
      <c r="H111" s="14">
        <v>125</v>
      </c>
      <c r="I111" s="62"/>
      <c r="J111" s="11">
        <f t="shared" ref="J111:J117" si="15">J100</f>
        <v>5</v>
      </c>
      <c r="K111" s="11"/>
      <c r="L111" s="11">
        <f>J111*D111</f>
        <v>125</v>
      </c>
      <c r="M111" s="21"/>
    </row>
    <row r="112" spans="2:13" x14ac:dyDescent="0.3">
      <c r="B112" s="1">
        <v>2</v>
      </c>
      <c r="C112" s="3" t="s">
        <v>24</v>
      </c>
      <c r="D112" s="2">
        <v>2</v>
      </c>
      <c r="E112" s="20"/>
      <c r="F112" s="2">
        <v>10</v>
      </c>
      <c r="G112" s="14">
        <v>20</v>
      </c>
      <c r="H112" s="14"/>
      <c r="I112" s="62"/>
      <c r="J112" s="11">
        <f t="shared" si="15"/>
        <v>10</v>
      </c>
      <c r="K112" s="11">
        <f t="shared" ref="K112:K119" si="16">J112*D112</f>
        <v>20</v>
      </c>
      <c r="L112" s="11"/>
      <c r="M112" s="21"/>
    </row>
    <row r="113" spans="2:13" x14ac:dyDescent="0.3">
      <c r="B113" s="2">
        <v>3</v>
      </c>
      <c r="C113" s="7" t="s">
        <v>9</v>
      </c>
      <c r="D113" s="1">
        <v>30</v>
      </c>
      <c r="E113" s="21"/>
      <c r="F113" s="1">
        <v>2</v>
      </c>
      <c r="G113" s="11">
        <v>60</v>
      </c>
      <c r="H113" s="11"/>
      <c r="I113" s="62"/>
      <c r="J113" s="11">
        <f t="shared" si="15"/>
        <v>2</v>
      </c>
      <c r="K113" s="11">
        <f t="shared" si="16"/>
        <v>60</v>
      </c>
      <c r="L113" s="11"/>
      <c r="M113" s="21"/>
    </row>
    <row r="114" spans="2:13" x14ac:dyDescent="0.3">
      <c r="B114" s="1">
        <v>4</v>
      </c>
      <c r="C114" s="7" t="s">
        <v>4</v>
      </c>
      <c r="D114" s="1">
        <v>30</v>
      </c>
      <c r="E114" s="21">
        <v>22</v>
      </c>
      <c r="F114" s="1">
        <v>2</v>
      </c>
      <c r="G114" s="11">
        <v>60</v>
      </c>
      <c r="H114" s="11"/>
      <c r="I114" s="62">
        <v>44</v>
      </c>
      <c r="J114" s="11">
        <f t="shared" si="15"/>
        <v>2</v>
      </c>
      <c r="K114" s="11">
        <f t="shared" si="16"/>
        <v>60</v>
      </c>
      <c r="L114" s="11"/>
      <c r="M114" s="21">
        <f>J114*E114</f>
        <v>44</v>
      </c>
    </row>
    <row r="115" spans="2:13" x14ac:dyDescent="0.3">
      <c r="B115" s="2">
        <v>5</v>
      </c>
      <c r="C115" s="7" t="s">
        <v>16</v>
      </c>
      <c r="D115" s="1">
        <v>3</v>
      </c>
      <c r="E115" s="21"/>
      <c r="F115" s="1">
        <v>5</v>
      </c>
      <c r="G115" s="11">
        <v>15</v>
      </c>
      <c r="H115" s="11"/>
      <c r="I115" s="62"/>
      <c r="J115" s="11">
        <f t="shared" si="15"/>
        <v>5</v>
      </c>
      <c r="K115" s="11">
        <f t="shared" si="16"/>
        <v>15</v>
      </c>
      <c r="L115" s="11"/>
      <c r="M115" s="21"/>
    </row>
    <row r="116" spans="2:13" x14ac:dyDescent="0.3">
      <c r="B116" s="1">
        <v>6</v>
      </c>
      <c r="C116" s="7" t="s">
        <v>3</v>
      </c>
      <c r="D116" s="1">
        <v>4</v>
      </c>
      <c r="E116" s="21">
        <v>4</v>
      </c>
      <c r="F116" s="1">
        <v>2</v>
      </c>
      <c r="G116" s="11">
        <v>8</v>
      </c>
      <c r="H116" s="11"/>
      <c r="I116" s="62">
        <v>8</v>
      </c>
      <c r="J116" s="11">
        <f t="shared" si="15"/>
        <v>2</v>
      </c>
      <c r="K116" s="11">
        <f t="shared" si="16"/>
        <v>8</v>
      </c>
      <c r="L116" s="11"/>
      <c r="M116" s="21">
        <f>J116*E116</f>
        <v>8</v>
      </c>
    </row>
    <row r="117" spans="2:13" x14ac:dyDescent="0.3">
      <c r="B117" s="2">
        <v>7</v>
      </c>
      <c r="C117" s="7" t="s">
        <v>10</v>
      </c>
      <c r="D117" s="1">
        <v>16</v>
      </c>
      <c r="E117" s="21">
        <v>16</v>
      </c>
      <c r="F117" s="1">
        <v>2</v>
      </c>
      <c r="G117" s="11">
        <v>32</v>
      </c>
      <c r="H117" s="11"/>
      <c r="I117" s="62">
        <v>32</v>
      </c>
      <c r="J117" s="11">
        <f t="shared" si="15"/>
        <v>2</v>
      </c>
      <c r="K117" s="11">
        <f t="shared" si="16"/>
        <v>32</v>
      </c>
      <c r="L117" s="11"/>
      <c r="M117" s="21">
        <f>J117*E117</f>
        <v>32</v>
      </c>
    </row>
    <row r="118" spans="2:13" x14ac:dyDescent="0.3">
      <c r="B118" s="1">
        <v>8</v>
      </c>
      <c r="C118" s="65" t="s">
        <v>19</v>
      </c>
      <c r="D118" s="1">
        <v>2</v>
      </c>
      <c r="E118" s="21">
        <v>2</v>
      </c>
      <c r="F118" s="1">
        <v>3</v>
      </c>
      <c r="G118" s="11">
        <v>6</v>
      </c>
      <c r="H118" s="11"/>
      <c r="I118" s="62">
        <v>6</v>
      </c>
      <c r="J118" s="11">
        <v>3</v>
      </c>
      <c r="K118" s="11">
        <f t="shared" si="16"/>
        <v>6</v>
      </c>
      <c r="L118" s="11"/>
      <c r="M118" s="21">
        <f>J118*E118</f>
        <v>6</v>
      </c>
    </row>
    <row r="119" spans="2:13" x14ac:dyDescent="0.3">
      <c r="B119" s="2">
        <v>9</v>
      </c>
      <c r="C119" s="7" t="s">
        <v>21</v>
      </c>
      <c r="D119" s="1">
        <v>2</v>
      </c>
      <c r="E119" s="21"/>
      <c r="F119" s="1">
        <v>3</v>
      </c>
      <c r="G119" s="11">
        <v>6</v>
      </c>
      <c r="H119" s="11"/>
      <c r="I119" s="62">
        <v>0</v>
      </c>
      <c r="J119" s="11">
        <f>J107</f>
        <v>3</v>
      </c>
      <c r="K119" s="11">
        <f t="shared" si="16"/>
        <v>6</v>
      </c>
      <c r="L119" s="11"/>
      <c r="M119" s="21"/>
    </row>
    <row r="120" spans="2:13" x14ac:dyDescent="0.3">
      <c r="B120" s="161" t="s">
        <v>44</v>
      </c>
      <c r="C120" s="162"/>
      <c r="D120" s="162"/>
      <c r="E120" s="162"/>
      <c r="F120" s="163"/>
      <c r="G120" s="17">
        <v>207</v>
      </c>
      <c r="H120" s="17">
        <v>125</v>
      </c>
      <c r="I120" s="62">
        <v>90</v>
      </c>
      <c r="J120" s="39" t="s">
        <v>44</v>
      </c>
      <c r="K120" s="11">
        <f>SUM(K112:K119)</f>
        <v>207</v>
      </c>
      <c r="L120" s="11">
        <f>L111</f>
        <v>125</v>
      </c>
      <c r="M120" s="21">
        <f>SUM(M114:M118)</f>
        <v>90</v>
      </c>
    </row>
    <row r="121" spans="2:13" x14ac:dyDescent="0.3">
      <c r="B121" s="155" t="s">
        <v>45</v>
      </c>
      <c r="C121" s="156"/>
      <c r="D121" s="12"/>
      <c r="E121" s="12"/>
      <c r="F121" s="15"/>
      <c r="G121" s="16"/>
      <c r="H121" s="16"/>
      <c r="I121" s="61"/>
      <c r="J121" s="11"/>
      <c r="K121" s="11"/>
      <c r="L121" s="11"/>
      <c r="M121" s="1"/>
    </row>
    <row r="122" spans="2:13" x14ac:dyDescent="0.3">
      <c r="B122" s="2">
        <v>1</v>
      </c>
      <c r="C122" s="3" t="s">
        <v>5</v>
      </c>
      <c r="D122" s="2">
        <v>21</v>
      </c>
      <c r="E122" s="20"/>
      <c r="F122" s="2">
        <v>5</v>
      </c>
      <c r="G122" s="14"/>
      <c r="H122" s="14">
        <v>105</v>
      </c>
      <c r="I122" s="62"/>
      <c r="J122" s="11">
        <f>J111</f>
        <v>5</v>
      </c>
      <c r="K122" s="11"/>
      <c r="L122" s="11">
        <f>J122*D122</f>
        <v>105</v>
      </c>
      <c r="M122" s="21"/>
    </row>
    <row r="123" spans="2:13" x14ac:dyDescent="0.3">
      <c r="B123" s="2">
        <v>2</v>
      </c>
      <c r="C123" s="7" t="s">
        <v>9</v>
      </c>
      <c r="D123" s="1">
        <v>24</v>
      </c>
      <c r="E123" s="21"/>
      <c r="F123" s="1">
        <v>2</v>
      </c>
      <c r="G123" s="11">
        <v>48</v>
      </c>
      <c r="H123" s="11"/>
      <c r="I123" s="62"/>
      <c r="J123" s="11">
        <f>J113</f>
        <v>2</v>
      </c>
      <c r="K123" s="11">
        <f t="shared" ref="K123:K128" si="17">J123*D123</f>
        <v>48</v>
      </c>
      <c r="L123" s="11"/>
      <c r="M123" s="21"/>
    </row>
    <row r="124" spans="2:13" x14ac:dyDescent="0.3">
      <c r="B124" s="2">
        <v>3</v>
      </c>
      <c r="C124" s="7" t="s">
        <v>4</v>
      </c>
      <c r="D124" s="1">
        <v>26</v>
      </c>
      <c r="E124" s="21">
        <v>23</v>
      </c>
      <c r="F124" s="1">
        <v>2</v>
      </c>
      <c r="G124" s="11">
        <v>52</v>
      </c>
      <c r="H124" s="11"/>
      <c r="I124" s="62">
        <v>46</v>
      </c>
      <c r="J124" s="11">
        <f>J114</f>
        <v>2</v>
      </c>
      <c r="K124" s="11">
        <f t="shared" si="17"/>
        <v>52</v>
      </c>
      <c r="L124" s="11"/>
      <c r="M124" s="21">
        <f>J124*E124</f>
        <v>46</v>
      </c>
    </row>
    <row r="125" spans="2:13" x14ac:dyDescent="0.3">
      <c r="B125" s="2">
        <v>4</v>
      </c>
      <c r="C125" s="7" t="s">
        <v>3</v>
      </c>
      <c r="D125" s="1">
        <v>8</v>
      </c>
      <c r="E125" s="21">
        <v>2</v>
      </c>
      <c r="F125" s="1">
        <v>2</v>
      </c>
      <c r="G125" s="11">
        <v>16</v>
      </c>
      <c r="H125" s="11"/>
      <c r="I125" s="62">
        <v>4</v>
      </c>
      <c r="J125" s="11">
        <f>J116</f>
        <v>2</v>
      </c>
      <c r="K125" s="11">
        <f t="shared" si="17"/>
        <v>16</v>
      </c>
      <c r="L125" s="11"/>
      <c r="M125" s="21">
        <f>J125*E125</f>
        <v>4</v>
      </c>
    </row>
    <row r="126" spans="2:13" x14ac:dyDescent="0.3">
      <c r="B126" s="2">
        <v>5</v>
      </c>
      <c r="C126" s="7" t="s">
        <v>10</v>
      </c>
      <c r="D126" s="1">
        <v>19</v>
      </c>
      <c r="E126" s="21">
        <v>19</v>
      </c>
      <c r="F126" s="1">
        <v>2</v>
      </c>
      <c r="G126" s="11">
        <v>38</v>
      </c>
      <c r="H126" s="11"/>
      <c r="I126" s="62">
        <v>38</v>
      </c>
      <c r="J126" s="11">
        <f>J117</f>
        <v>2</v>
      </c>
      <c r="K126" s="11">
        <f t="shared" si="17"/>
        <v>38</v>
      </c>
      <c r="L126" s="11"/>
      <c r="M126" s="21">
        <f>J126*E126</f>
        <v>38</v>
      </c>
    </row>
    <row r="127" spans="2:13" x14ac:dyDescent="0.3">
      <c r="B127" s="2">
        <v>6</v>
      </c>
      <c r="C127" s="65" t="s">
        <v>19</v>
      </c>
      <c r="D127" s="25">
        <v>18</v>
      </c>
      <c r="E127" s="21">
        <v>18</v>
      </c>
      <c r="F127" s="1">
        <v>3</v>
      </c>
      <c r="G127" s="11">
        <v>6</v>
      </c>
      <c r="H127" s="11"/>
      <c r="I127" s="62">
        <v>54</v>
      </c>
      <c r="J127" s="11">
        <f>J118</f>
        <v>3</v>
      </c>
      <c r="K127" s="11">
        <f>J127*D127</f>
        <v>54</v>
      </c>
      <c r="L127" s="11"/>
      <c r="M127" s="21">
        <f>J127*E127</f>
        <v>54</v>
      </c>
    </row>
    <row r="128" spans="2:13" x14ac:dyDescent="0.3">
      <c r="B128" s="2">
        <v>7</v>
      </c>
      <c r="C128" s="7" t="s">
        <v>21</v>
      </c>
      <c r="D128" s="1">
        <v>1</v>
      </c>
      <c r="E128" s="21"/>
      <c r="F128" s="1">
        <v>3</v>
      </c>
      <c r="G128" s="11">
        <v>3</v>
      </c>
      <c r="H128" s="11"/>
      <c r="I128" s="62"/>
      <c r="J128" s="11">
        <v>3</v>
      </c>
      <c r="K128" s="11">
        <f t="shared" si="17"/>
        <v>3</v>
      </c>
      <c r="L128" s="11"/>
      <c r="M128" s="21"/>
    </row>
    <row r="129" spans="2:13" x14ac:dyDescent="0.3">
      <c r="B129" s="165" t="s">
        <v>46</v>
      </c>
      <c r="C129" s="165"/>
      <c r="D129" s="165"/>
      <c r="E129" s="165"/>
      <c r="F129" s="165"/>
      <c r="G129" s="17">
        <v>163</v>
      </c>
      <c r="H129" s="17">
        <v>105</v>
      </c>
      <c r="I129" s="62">
        <v>142</v>
      </c>
      <c r="J129" s="39" t="s">
        <v>46</v>
      </c>
      <c r="K129" s="11">
        <f>SUM(K123:K128)</f>
        <v>211</v>
      </c>
      <c r="L129" s="11">
        <f>L122</f>
        <v>105</v>
      </c>
      <c r="M129" s="21">
        <f>SUM(M124:M127)</f>
        <v>142</v>
      </c>
    </row>
    <row r="130" spans="2:13" x14ac:dyDescent="0.3">
      <c r="B130" s="165" t="s">
        <v>53</v>
      </c>
      <c r="C130" s="165"/>
      <c r="D130" s="165"/>
      <c r="E130" s="165"/>
      <c r="F130" s="165"/>
      <c r="G130" s="17">
        <v>1019</v>
      </c>
      <c r="H130" s="17">
        <v>525</v>
      </c>
      <c r="I130" s="61"/>
      <c r="J130" s="11"/>
      <c r="K130" s="11">
        <f>K87+K77+K70+K61+K53+K44+K36+K27+K23+K14</f>
        <v>1035</v>
      </c>
      <c r="L130" s="11">
        <f>L14+L23+L27+L36+L44+L53+L61+L70+L77+L87</f>
        <v>525</v>
      </c>
      <c r="M130" s="1">
        <f>M14+M23+M36+M44+M53+M61+M70+M77+M87</f>
        <v>519</v>
      </c>
    </row>
    <row r="131" spans="2:13" x14ac:dyDescent="0.3">
      <c r="B131" s="165" t="s">
        <v>52</v>
      </c>
      <c r="C131" s="165"/>
      <c r="D131" s="165"/>
      <c r="E131" s="165"/>
      <c r="F131" s="165"/>
      <c r="G131" s="17">
        <v>943</v>
      </c>
      <c r="H131" s="17">
        <v>575</v>
      </c>
      <c r="I131" s="61"/>
      <c r="J131" s="11"/>
      <c r="K131" s="11">
        <f>K129+K120+K109+K98</f>
        <v>993</v>
      </c>
      <c r="L131" s="11">
        <f>L129+L120+L109+L98</f>
        <v>575</v>
      </c>
      <c r="M131" s="1">
        <f>M129+M120+M109+M98</f>
        <v>516</v>
      </c>
    </row>
    <row r="132" spans="2:13" x14ac:dyDescent="0.3">
      <c r="B132" s="165" t="s">
        <v>1</v>
      </c>
      <c r="C132" s="165"/>
      <c r="D132" s="165"/>
      <c r="E132" s="165"/>
      <c r="F132" s="165"/>
      <c r="G132" s="17">
        <v>1962</v>
      </c>
      <c r="H132" s="17">
        <v>1100</v>
      </c>
      <c r="I132" s="63">
        <v>1033</v>
      </c>
      <c r="J132" s="11"/>
      <c r="K132" s="11">
        <f>K131+K130</f>
        <v>2028</v>
      </c>
      <c r="L132" s="11">
        <f>SUM(L130:L131)</f>
        <v>1100</v>
      </c>
      <c r="M132" s="1">
        <f>SUM(M130:M131)</f>
        <v>1035</v>
      </c>
    </row>
    <row r="134" spans="2:13" x14ac:dyDescent="0.3">
      <c r="B134" t="s">
        <v>85</v>
      </c>
      <c r="I134" s="5"/>
      <c r="L134"/>
    </row>
    <row r="135" spans="2:13" x14ac:dyDescent="0.3">
      <c r="B135" s="154" t="s">
        <v>86</v>
      </c>
      <c r="C135" s="154"/>
      <c r="D135" s="154"/>
      <c r="E135" s="154"/>
      <c r="F135" s="154"/>
      <c r="G135" s="154"/>
      <c r="I135" s="5"/>
      <c r="L135"/>
    </row>
    <row r="136" spans="2:13" x14ac:dyDescent="0.3">
      <c r="I136" s="5"/>
      <c r="L136"/>
    </row>
    <row r="137" spans="2:13" x14ac:dyDescent="0.3">
      <c r="I137" s="5"/>
      <c r="L137"/>
    </row>
    <row r="138" spans="2:13" x14ac:dyDescent="0.3">
      <c r="I138" s="5"/>
      <c r="L138"/>
    </row>
    <row r="139" spans="2:13" x14ac:dyDescent="0.3">
      <c r="I139" s="5"/>
      <c r="L139"/>
    </row>
    <row r="140" spans="2:13" x14ac:dyDescent="0.3">
      <c r="I140" s="5"/>
      <c r="L140"/>
    </row>
    <row r="141" spans="2:13" x14ac:dyDescent="0.3">
      <c r="I141" s="5"/>
      <c r="L141"/>
    </row>
    <row r="142" spans="2:13" x14ac:dyDescent="0.3">
      <c r="I142" s="5"/>
      <c r="L142"/>
    </row>
    <row r="143" spans="2:13" x14ac:dyDescent="0.3">
      <c r="I143" s="5"/>
      <c r="L143"/>
    </row>
    <row r="144" spans="2:13" x14ac:dyDescent="0.3">
      <c r="I144" s="5"/>
      <c r="L144"/>
    </row>
    <row r="145" spans="2:12" x14ac:dyDescent="0.3">
      <c r="I145" s="5"/>
      <c r="L145"/>
    </row>
    <row r="146" spans="2:12" x14ac:dyDescent="0.3">
      <c r="I146" s="5"/>
      <c r="L146"/>
    </row>
    <row r="147" spans="2:12" x14ac:dyDescent="0.3">
      <c r="I147" s="5"/>
      <c r="L147"/>
    </row>
    <row r="148" spans="2:12" x14ac:dyDescent="0.3">
      <c r="I148" s="5"/>
      <c r="L148"/>
    </row>
    <row r="149" spans="2:12" x14ac:dyDescent="0.3">
      <c r="I149" s="5"/>
      <c r="L149"/>
    </row>
    <row r="150" spans="2:12" x14ac:dyDescent="0.3">
      <c r="I150" s="5"/>
      <c r="L150"/>
    </row>
    <row r="151" spans="2:12" x14ac:dyDescent="0.3">
      <c r="I151" s="5"/>
      <c r="L151"/>
    </row>
    <row r="152" spans="2:12" x14ac:dyDescent="0.3">
      <c r="I152" s="5"/>
      <c r="L152"/>
    </row>
    <row r="153" spans="2:12" x14ac:dyDescent="0.3">
      <c r="I153" s="5"/>
      <c r="L153"/>
    </row>
    <row r="154" spans="2:12" x14ac:dyDescent="0.3">
      <c r="I154" s="5"/>
      <c r="L154"/>
    </row>
    <row r="155" spans="2:12" x14ac:dyDescent="0.3">
      <c r="I155" s="5"/>
      <c r="L155"/>
    </row>
    <row r="156" spans="2:12" x14ac:dyDescent="0.3">
      <c r="B156" s="154" t="s">
        <v>271</v>
      </c>
      <c r="C156" s="154"/>
      <c r="D156" s="154"/>
      <c r="E156" s="154"/>
      <c r="F156" s="154"/>
      <c r="G156" s="154"/>
      <c r="I156" s="5"/>
      <c r="L156"/>
    </row>
    <row r="157" spans="2:12" x14ac:dyDescent="0.3">
      <c r="I157" s="5"/>
      <c r="L157"/>
    </row>
    <row r="158" spans="2:12" x14ac:dyDescent="0.3">
      <c r="I158" s="5"/>
      <c r="L158"/>
    </row>
    <row r="159" spans="2:12" x14ac:dyDescent="0.3">
      <c r="I159" s="5"/>
      <c r="L159"/>
    </row>
    <row r="160" spans="2:12" x14ac:dyDescent="0.3">
      <c r="I160" s="5"/>
      <c r="L160"/>
    </row>
    <row r="161" spans="9:12" x14ac:dyDescent="0.3">
      <c r="I161" s="5"/>
      <c r="L161"/>
    </row>
    <row r="162" spans="9:12" x14ac:dyDescent="0.3">
      <c r="I162" s="5"/>
      <c r="L162"/>
    </row>
    <row r="163" spans="9:12" x14ac:dyDescent="0.3">
      <c r="I163" s="5"/>
      <c r="L163"/>
    </row>
    <row r="164" spans="9:12" x14ac:dyDescent="0.3">
      <c r="I164" s="5"/>
      <c r="L164"/>
    </row>
    <row r="165" spans="9:12" x14ac:dyDescent="0.3">
      <c r="I165" s="5"/>
      <c r="L165"/>
    </row>
    <row r="166" spans="9:12" x14ac:dyDescent="0.3">
      <c r="I166" s="5"/>
      <c r="L166"/>
    </row>
    <row r="167" spans="9:12" x14ac:dyDescent="0.3">
      <c r="I167" s="5"/>
      <c r="L167"/>
    </row>
    <row r="168" spans="9:12" x14ac:dyDescent="0.3">
      <c r="I168" s="5"/>
      <c r="L168"/>
    </row>
    <row r="169" spans="9:12" x14ac:dyDescent="0.3">
      <c r="I169" s="5"/>
      <c r="L169"/>
    </row>
    <row r="170" spans="9:12" x14ac:dyDescent="0.3">
      <c r="I170" s="5"/>
      <c r="L170"/>
    </row>
    <row r="171" spans="9:12" x14ac:dyDescent="0.3">
      <c r="I171" s="5"/>
      <c r="L171"/>
    </row>
    <row r="172" spans="9:12" x14ac:dyDescent="0.3">
      <c r="I172" s="5"/>
      <c r="L172"/>
    </row>
    <row r="173" spans="9:12" x14ac:dyDescent="0.3">
      <c r="I173" s="5"/>
      <c r="L173"/>
    </row>
    <row r="174" spans="9:12" x14ac:dyDescent="0.3">
      <c r="I174" s="5"/>
      <c r="L174"/>
    </row>
    <row r="175" spans="9:12" x14ac:dyDescent="0.3">
      <c r="I175" s="5"/>
      <c r="L175"/>
    </row>
    <row r="176" spans="9:12" x14ac:dyDescent="0.3">
      <c r="I176" s="5"/>
      <c r="L176"/>
    </row>
    <row r="177" spans="9:12" x14ac:dyDescent="0.3">
      <c r="I177" s="5"/>
      <c r="L177"/>
    </row>
    <row r="178" spans="9:12" x14ac:dyDescent="0.3">
      <c r="I178" s="5"/>
      <c r="L178"/>
    </row>
    <row r="179" spans="9:12" x14ac:dyDescent="0.3">
      <c r="I179" s="5"/>
      <c r="L179"/>
    </row>
    <row r="180" spans="9:12" x14ac:dyDescent="0.3">
      <c r="I180" s="5"/>
      <c r="L180"/>
    </row>
    <row r="181" spans="9:12" x14ac:dyDescent="0.3">
      <c r="I181" s="5"/>
      <c r="L181"/>
    </row>
    <row r="182" spans="9:12" x14ac:dyDescent="0.3">
      <c r="I182" s="5"/>
      <c r="L182"/>
    </row>
    <row r="183" spans="9:12" x14ac:dyDescent="0.3">
      <c r="I183" s="5"/>
      <c r="L183"/>
    </row>
    <row r="184" spans="9:12" x14ac:dyDescent="0.3">
      <c r="I184" s="5"/>
      <c r="L184"/>
    </row>
    <row r="185" spans="9:12" x14ac:dyDescent="0.3">
      <c r="I185" s="5"/>
      <c r="L185"/>
    </row>
    <row r="186" spans="9:12" x14ac:dyDescent="0.3">
      <c r="I186" s="5"/>
      <c r="L186"/>
    </row>
    <row r="187" spans="9:12" x14ac:dyDescent="0.3">
      <c r="I187" s="5"/>
      <c r="L187"/>
    </row>
  </sheetData>
  <mergeCells count="35">
    <mergeCell ref="J3:M3"/>
    <mergeCell ref="F3:I3"/>
    <mergeCell ref="B5:C5"/>
    <mergeCell ref="B14:F14"/>
    <mergeCell ref="B15:C15"/>
    <mergeCell ref="B23:F23"/>
    <mergeCell ref="B28:C28"/>
    <mergeCell ref="B36:F36"/>
    <mergeCell ref="B37:C37"/>
    <mergeCell ref="B44:F44"/>
    <mergeCell ref="B24:C24"/>
    <mergeCell ref="B27:F27"/>
    <mergeCell ref="B54:C54"/>
    <mergeCell ref="B61:F61"/>
    <mergeCell ref="B45:C45"/>
    <mergeCell ref="B53:F53"/>
    <mergeCell ref="B62:C62"/>
    <mergeCell ref="B70:F70"/>
    <mergeCell ref="B71:C71"/>
    <mergeCell ref="B77:F77"/>
    <mergeCell ref="B78:C78"/>
    <mergeCell ref="B87:F87"/>
    <mergeCell ref="B88:C88"/>
    <mergeCell ref="B98:F98"/>
    <mergeCell ref="B99:C99"/>
    <mergeCell ref="B109:F109"/>
    <mergeCell ref="B110:C110"/>
    <mergeCell ref="B135:G135"/>
    <mergeCell ref="B156:G156"/>
    <mergeCell ref="B120:F120"/>
    <mergeCell ref="B121:C121"/>
    <mergeCell ref="B129:F129"/>
    <mergeCell ref="B132:F132"/>
    <mergeCell ref="B131:F131"/>
    <mergeCell ref="B130:F130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7B867-C098-447C-89D5-8EFA6B632AF4}">
  <sheetPr>
    <tabColor theme="2" tint="-0.249977111117893"/>
  </sheetPr>
  <dimension ref="B4:G50"/>
  <sheetViews>
    <sheetView topLeftCell="A22" zoomScale="70" zoomScaleNormal="70" workbookViewId="0">
      <selection activeCell="K45" sqref="K45"/>
    </sheetView>
  </sheetViews>
  <sheetFormatPr defaultRowHeight="14.4" x14ac:dyDescent="0.3"/>
  <cols>
    <col min="2" max="2" width="16.6640625" customWidth="1"/>
    <col min="3" max="3" width="17.5546875" customWidth="1"/>
    <col min="4" max="4" width="14.21875" customWidth="1"/>
    <col min="5" max="5" width="17.21875" customWidth="1"/>
    <col min="6" max="6" width="12.6640625" customWidth="1"/>
    <col min="7" max="7" width="18.21875" customWidth="1"/>
    <col min="8" max="8" width="10.77734375" customWidth="1"/>
    <col min="9" max="9" width="11" customWidth="1"/>
    <col min="11" max="11" width="17.44140625" customWidth="1"/>
    <col min="13" max="13" width="13.109375" customWidth="1"/>
    <col min="14" max="14" width="24.5546875" customWidth="1"/>
  </cols>
  <sheetData>
    <row r="4" spans="2:7" x14ac:dyDescent="0.3">
      <c r="B4" s="181" t="s">
        <v>364</v>
      </c>
      <c r="C4" s="181"/>
      <c r="D4" s="181"/>
    </row>
    <row r="5" spans="2:7" x14ac:dyDescent="0.3">
      <c r="B5" s="181" t="s">
        <v>365</v>
      </c>
      <c r="C5" s="181"/>
      <c r="D5" s="181"/>
    </row>
    <row r="7" spans="2:7" x14ac:dyDescent="0.3">
      <c r="B7" s="33"/>
      <c r="C7" s="33"/>
    </row>
    <row r="8" spans="2:7" x14ac:dyDescent="0.3">
      <c r="B8" s="33" t="s">
        <v>373</v>
      </c>
      <c r="C8" s="33"/>
    </row>
    <row r="10" spans="2:7" x14ac:dyDescent="0.3">
      <c r="B10" s="176" t="s">
        <v>122</v>
      </c>
      <c r="C10" s="200" t="s">
        <v>95</v>
      </c>
      <c r="D10" s="200" t="s">
        <v>129</v>
      </c>
      <c r="E10" s="200" t="s">
        <v>122</v>
      </c>
      <c r="F10" s="200" t="s">
        <v>374</v>
      </c>
      <c r="G10" s="200" t="s">
        <v>191</v>
      </c>
    </row>
    <row r="11" spans="2:7" x14ac:dyDescent="0.3">
      <c r="B11" s="176"/>
      <c r="C11" s="200"/>
      <c r="D11" s="200"/>
      <c r="E11" s="200"/>
      <c r="F11" s="200"/>
      <c r="G11" s="200"/>
    </row>
    <row r="12" spans="2:7" x14ac:dyDescent="0.3">
      <c r="B12" s="11" t="s">
        <v>123</v>
      </c>
      <c r="C12" s="11">
        <v>745</v>
      </c>
      <c r="D12" s="11">
        <v>625</v>
      </c>
      <c r="E12" s="11" t="s">
        <v>123</v>
      </c>
      <c r="F12" s="11">
        <v>420</v>
      </c>
      <c r="G12" s="11">
        <v>400</v>
      </c>
    </row>
    <row r="13" spans="2:7" x14ac:dyDescent="0.3">
      <c r="B13" s="11" t="s">
        <v>124</v>
      </c>
      <c r="C13" s="11">
        <v>1446</v>
      </c>
      <c r="D13" s="11">
        <v>970</v>
      </c>
      <c r="E13" s="11" t="s">
        <v>124</v>
      </c>
      <c r="F13" s="11">
        <v>830</v>
      </c>
      <c r="G13" s="11">
        <v>690</v>
      </c>
    </row>
    <row r="14" spans="2:7" x14ac:dyDescent="0.3">
      <c r="B14" s="11" t="s">
        <v>125</v>
      </c>
      <c r="C14" s="11">
        <v>2028</v>
      </c>
      <c r="D14" s="11">
        <v>1230</v>
      </c>
      <c r="E14" s="11" t="s">
        <v>125</v>
      </c>
      <c r="F14" s="11">
        <v>1100</v>
      </c>
      <c r="G14" s="11">
        <v>850</v>
      </c>
    </row>
    <row r="15" spans="2:7" x14ac:dyDescent="0.3">
      <c r="B15" s="11" t="s">
        <v>126</v>
      </c>
      <c r="C15" s="11">
        <v>2038</v>
      </c>
      <c r="D15" s="11">
        <v>1250</v>
      </c>
      <c r="E15" s="11" t="s">
        <v>126</v>
      </c>
      <c r="F15" s="11">
        <v>1090</v>
      </c>
      <c r="G15" s="11">
        <v>825</v>
      </c>
    </row>
    <row r="16" spans="2:7" x14ac:dyDescent="0.3">
      <c r="B16" s="11" t="s">
        <v>127</v>
      </c>
      <c r="C16" s="11">
        <v>56</v>
      </c>
      <c r="D16" s="11">
        <v>115</v>
      </c>
      <c r="E16" s="11" t="s">
        <v>127</v>
      </c>
      <c r="F16" s="11">
        <v>65</v>
      </c>
      <c r="G16" s="11">
        <v>125</v>
      </c>
    </row>
    <row r="17" spans="2:7" x14ac:dyDescent="0.3">
      <c r="B17" s="11" t="s">
        <v>128</v>
      </c>
      <c r="C17" s="11">
        <v>29</v>
      </c>
      <c r="D17" s="11">
        <v>65</v>
      </c>
      <c r="E17" s="11" t="s">
        <v>128</v>
      </c>
      <c r="F17" s="11">
        <v>50</v>
      </c>
      <c r="G17" s="11">
        <v>110</v>
      </c>
    </row>
    <row r="18" spans="2:7" x14ac:dyDescent="0.3">
      <c r="B18" s="151" t="s">
        <v>109</v>
      </c>
      <c r="C18" s="151"/>
      <c r="D18" s="11">
        <v>4255</v>
      </c>
      <c r="E18" s="11" t="s">
        <v>109</v>
      </c>
      <c r="F18" s="11">
        <v>3555</v>
      </c>
      <c r="G18" s="11">
        <v>3000</v>
      </c>
    </row>
    <row r="21" spans="2:7" ht="14.4" customHeight="1" x14ac:dyDescent="0.3">
      <c r="B21" s="200" t="s">
        <v>122</v>
      </c>
      <c r="C21" s="200" t="s">
        <v>95</v>
      </c>
      <c r="D21" s="200" t="s">
        <v>374</v>
      </c>
    </row>
    <row r="22" spans="2:7" x14ac:dyDescent="0.3">
      <c r="B22" s="200"/>
      <c r="C22" s="200"/>
      <c r="D22" s="200"/>
    </row>
    <row r="23" spans="2:7" x14ac:dyDescent="0.3">
      <c r="B23" s="11" t="s">
        <v>124</v>
      </c>
      <c r="C23" s="11">
        <f>C13</f>
        <v>1446</v>
      </c>
      <c r="D23" s="11">
        <f>F13</f>
        <v>830</v>
      </c>
    </row>
    <row r="24" spans="2:7" x14ac:dyDescent="0.3">
      <c r="B24" s="11" t="s">
        <v>128</v>
      </c>
      <c r="C24" s="11">
        <f>C17</f>
        <v>29</v>
      </c>
      <c r="D24" s="11">
        <f>F17</f>
        <v>50</v>
      </c>
    </row>
    <row r="25" spans="2:7" x14ac:dyDescent="0.3">
      <c r="B25" s="11" t="s">
        <v>109</v>
      </c>
      <c r="C25" s="11">
        <f>SUM(C23:C24)</f>
        <v>1475</v>
      </c>
      <c r="D25" s="11">
        <f>SUM(D23:D24)</f>
        <v>880</v>
      </c>
    </row>
    <row r="26" spans="2:7" x14ac:dyDescent="0.3">
      <c r="B26" s="11" t="s">
        <v>375</v>
      </c>
      <c r="C26" s="151">
        <f>SUM(C25:D25)</f>
        <v>2355</v>
      </c>
      <c r="D26" s="151"/>
    </row>
    <row r="27" spans="2:7" x14ac:dyDescent="0.3">
      <c r="F27" s="241" t="s">
        <v>551</v>
      </c>
      <c r="G27" s="200">
        <f>SUM(C26,C35)</f>
        <v>9897</v>
      </c>
    </row>
    <row r="28" spans="2:7" ht="14.4" customHeight="1" x14ac:dyDescent="0.3">
      <c r="B28" s="200" t="s">
        <v>122</v>
      </c>
      <c r="C28" s="200" t="s">
        <v>95</v>
      </c>
      <c r="D28" s="200" t="s">
        <v>374</v>
      </c>
      <c r="F28" s="241"/>
      <c r="G28" s="200"/>
    </row>
    <row r="29" spans="2:7" x14ac:dyDescent="0.3">
      <c r="B29" s="200"/>
      <c r="C29" s="200"/>
      <c r="D29" s="200"/>
    </row>
    <row r="30" spans="2:7" x14ac:dyDescent="0.3">
      <c r="B30" s="11" t="s">
        <v>123</v>
      </c>
      <c r="C30" s="11">
        <f>C12</f>
        <v>745</v>
      </c>
      <c r="D30" s="11">
        <f>F12</f>
        <v>420</v>
      </c>
    </row>
    <row r="31" spans="2:7" x14ac:dyDescent="0.3">
      <c r="B31" s="11" t="s">
        <v>125</v>
      </c>
      <c r="C31" s="11">
        <f>C14</f>
        <v>2028</v>
      </c>
      <c r="D31" s="11">
        <f>F14</f>
        <v>1100</v>
      </c>
    </row>
    <row r="32" spans="2:7" x14ac:dyDescent="0.3">
      <c r="B32" s="11" t="s">
        <v>126</v>
      </c>
      <c r="C32" s="11">
        <f>C15</f>
        <v>2038</v>
      </c>
      <c r="D32" s="11">
        <f>F15</f>
        <v>1090</v>
      </c>
    </row>
    <row r="33" spans="2:5" x14ac:dyDescent="0.3">
      <c r="B33" s="11" t="s">
        <v>127</v>
      </c>
      <c r="C33" s="11">
        <f>C16</f>
        <v>56</v>
      </c>
      <c r="D33" s="11">
        <f>F16</f>
        <v>65</v>
      </c>
    </row>
    <row r="34" spans="2:5" x14ac:dyDescent="0.3">
      <c r="B34" s="11" t="s">
        <v>109</v>
      </c>
      <c r="C34" s="11">
        <f>SUM(C30:C33)</f>
        <v>4867</v>
      </c>
      <c r="D34" s="11">
        <f>SUM(D30:D33)</f>
        <v>2675</v>
      </c>
    </row>
    <row r="35" spans="2:5" x14ac:dyDescent="0.3">
      <c r="B35" s="11" t="s">
        <v>375</v>
      </c>
      <c r="C35" s="151">
        <f>SUM(C34:D34)</f>
        <v>7542</v>
      </c>
      <c r="D35" s="151"/>
    </row>
    <row r="36" spans="2:5" x14ac:dyDescent="0.3">
      <c r="B36" s="26"/>
      <c r="C36" s="26"/>
      <c r="D36" s="26"/>
    </row>
    <row r="37" spans="2:5" x14ac:dyDescent="0.3">
      <c r="B37" s="11" t="s">
        <v>366</v>
      </c>
      <c r="C37" s="112">
        <f>C26/G27</f>
        <v>0.23795089421036678</v>
      </c>
      <c r="D37" s="26"/>
    </row>
    <row r="38" spans="2:5" x14ac:dyDescent="0.3">
      <c r="B38" s="11" t="s">
        <v>367</v>
      </c>
      <c r="C38" s="112">
        <f>C35/G27</f>
        <v>0.76204910578963325</v>
      </c>
      <c r="D38" s="26"/>
    </row>
    <row r="40" spans="2:5" x14ac:dyDescent="0.3">
      <c r="B40" s="181" t="s">
        <v>548</v>
      </c>
      <c r="C40" s="181"/>
      <c r="D40" s="47">
        <f>'Volume GWT'!B45</f>
        <v>567.33333333333348</v>
      </c>
      <c r="E40" s="32" t="s">
        <v>134</v>
      </c>
    </row>
    <row r="41" spans="2:5" x14ac:dyDescent="0.3">
      <c r="B41" s="181" t="s">
        <v>549</v>
      </c>
      <c r="C41" s="181"/>
      <c r="D41" s="11">
        <f>'Volume GWT'!B68</f>
        <v>400</v>
      </c>
      <c r="E41" s="32" t="s">
        <v>134</v>
      </c>
    </row>
    <row r="42" spans="2:5" x14ac:dyDescent="0.3">
      <c r="B42" s="181" t="s">
        <v>552</v>
      </c>
      <c r="C42" s="181"/>
      <c r="D42" s="47">
        <f>SUM(D40:D41)</f>
        <v>967.33333333333348</v>
      </c>
      <c r="E42" s="32" t="s">
        <v>134</v>
      </c>
    </row>
    <row r="44" spans="2:5" x14ac:dyDescent="0.3">
      <c r="B44" s="181" t="s">
        <v>550</v>
      </c>
      <c r="C44" s="181"/>
      <c r="D44" s="59">
        <f>C37*D42</f>
        <v>230.1778316661615</v>
      </c>
    </row>
    <row r="45" spans="2:5" x14ac:dyDescent="0.3">
      <c r="B45" s="181" t="s">
        <v>556</v>
      </c>
      <c r="C45" s="181"/>
      <c r="D45" s="59">
        <f>C38*D42</f>
        <v>737.15550166717196</v>
      </c>
    </row>
    <row r="46" spans="2:5" x14ac:dyDescent="0.3">
      <c r="B46" s="27"/>
      <c r="C46" s="27"/>
      <c r="D46" s="76"/>
    </row>
    <row r="47" spans="2:5" x14ac:dyDescent="0.3">
      <c r="B47" s="181" t="s">
        <v>553</v>
      </c>
      <c r="C47" s="181"/>
      <c r="D47" s="59">
        <f>D44*80%</f>
        <v>184.14226533292921</v>
      </c>
    </row>
    <row r="48" spans="2:5" x14ac:dyDescent="0.3">
      <c r="B48" s="181" t="s">
        <v>554</v>
      </c>
      <c r="C48" s="181"/>
      <c r="D48" s="59">
        <f>D45*80%</f>
        <v>589.72440133373755</v>
      </c>
    </row>
    <row r="49" spans="4:4" ht="14.4" customHeight="1" x14ac:dyDescent="0.3">
      <c r="D49" s="76"/>
    </row>
    <row r="50" spans="4:4" x14ac:dyDescent="0.3">
      <c r="D50" s="76"/>
    </row>
  </sheetData>
  <mergeCells count="26">
    <mergeCell ref="B4:D4"/>
    <mergeCell ref="B5:D5"/>
    <mergeCell ref="F10:F11"/>
    <mergeCell ref="G10:G11"/>
    <mergeCell ref="B40:C40"/>
    <mergeCell ref="B21:B22"/>
    <mergeCell ref="C21:C22"/>
    <mergeCell ref="D21:D22"/>
    <mergeCell ref="C26:D26"/>
    <mergeCell ref="B18:C18"/>
    <mergeCell ref="E10:E11"/>
    <mergeCell ref="B10:B11"/>
    <mergeCell ref="C10:C11"/>
    <mergeCell ref="D10:D11"/>
    <mergeCell ref="B48:C48"/>
    <mergeCell ref="B41:C41"/>
    <mergeCell ref="B44:C44"/>
    <mergeCell ref="F27:F28"/>
    <mergeCell ref="G27:G28"/>
    <mergeCell ref="B42:C42"/>
    <mergeCell ref="B45:C45"/>
    <mergeCell ref="B47:C47"/>
    <mergeCell ref="B28:B29"/>
    <mergeCell ref="C28:C29"/>
    <mergeCell ref="D28:D29"/>
    <mergeCell ref="C35:D3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90F0E-A5E1-470B-AC94-E8930A7637EF}">
  <dimension ref="A1"/>
  <sheetViews>
    <sheetView topLeftCell="J13" workbookViewId="0">
      <selection activeCell="AC26" sqref="AC26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E78B1-0CDB-4F9F-81D7-B5E7B1D7322B}">
  <sheetPr>
    <tabColor theme="5"/>
  </sheetPr>
  <dimension ref="B2:N77"/>
  <sheetViews>
    <sheetView topLeftCell="A46" workbookViewId="0">
      <selection activeCell="Q33" sqref="Q33"/>
    </sheetView>
  </sheetViews>
  <sheetFormatPr defaultRowHeight="14.4" x14ac:dyDescent="0.3"/>
  <sheetData>
    <row r="2" spans="2:6" x14ac:dyDescent="0.3">
      <c r="B2" s="180" t="s">
        <v>275</v>
      </c>
      <c r="C2" s="180"/>
      <c r="D2" s="180"/>
      <c r="E2" s="180"/>
      <c r="F2" s="180"/>
    </row>
    <row r="4" spans="2:6" x14ac:dyDescent="0.3">
      <c r="B4" s="180" t="s">
        <v>276</v>
      </c>
      <c r="C4" s="180"/>
      <c r="D4" s="180"/>
    </row>
    <row r="6" spans="2:6" x14ac:dyDescent="0.3">
      <c r="B6" s="181" t="s">
        <v>277</v>
      </c>
      <c r="C6" s="181"/>
      <c r="D6" s="181"/>
      <c r="E6" s="1">
        <v>3</v>
      </c>
      <c r="F6" s="32" t="s">
        <v>278</v>
      </c>
    </row>
    <row r="7" spans="2:6" x14ac:dyDescent="0.3">
      <c r="B7" s="181" t="s">
        <v>279</v>
      </c>
      <c r="C7" s="181"/>
      <c r="D7" s="181"/>
      <c r="E7" s="1">
        <f>112601/1000</f>
        <v>112.601</v>
      </c>
      <c r="F7" s="32" t="s">
        <v>196</v>
      </c>
    </row>
    <row r="8" spans="2:6" x14ac:dyDescent="0.3">
      <c r="B8" s="151"/>
      <c r="C8" s="151"/>
      <c r="D8" s="151"/>
      <c r="E8" s="1">
        <f>E7/100</f>
        <v>1.12601</v>
      </c>
      <c r="F8" s="32" t="s">
        <v>278</v>
      </c>
    </row>
    <row r="9" spans="2:6" x14ac:dyDescent="0.3">
      <c r="B9" s="181" t="s">
        <v>280</v>
      </c>
      <c r="C9" s="181"/>
      <c r="D9" s="181"/>
      <c r="E9" s="1">
        <v>5</v>
      </c>
      <c r="F9" s="32" t="s">
        <v>281</v>
      </c>
    </row>
    <row r="10" spans="2:6" x14ac:dyDescent="0.3">
      <c r="B10" s="151"/>
      <c r="C10" s="151"/>
      <c r="D10" s="151"/>
      <c r="E10" s="1">
        <v>0.5</v>
      </c>
      <c r="F10" s="32" t="s">
        <v>278</v>
      </c>
    </row>
    <row r="11" spans="2:6" x14ac:dyDescent="0.3">
      <c r="B11" s="250" t="s">
        <v>282</v>
      </c>
      <c r="C11" s="250"/>
      <c r="D11" s="250"/>
      <c r="E11" s="233">
        <f>0.05*(E6+E8+E10)</f>
        <v>0.23130050000000002</v>
      </c>
      <c r="F11" s="248" t="s">
        <v>278</v>
      </c>
    </row>
    <row r="12" spans="2:6" x14ac:dyDescent="0.3">
      <c r="B12" s="250"/>
      <c r="C12" s="250"/>
      <c r="D12" s="250"/>
      <c r="E12" s="230"/>
      <c r="F12" s="249"/>
    </row>
    <row r="13" spans="2:6" x14ac:dyDescent="0.3">
      <c r="B13" s="181" t="s">
        <v>283</v>
      </c>
      <c r="C13" s="181"/>
      <c r="D13" s="181"/>
      <c r="E13" s="1">
        <f>E6+E8+E10+E11</f>
        <v>4.8573104999999996</v>
      </c>
      <c r="F13" s="32" t="s">
        <v>278</v>
      </c>
    </row>
    <row r="14" spans="2:6" x14ac:dyDescent="0.3">
      <c r="B14" s="177" t="s">
        <v>284</v>
      </c>
      <c r="C14" s="178"/>
      <c r="D14" s="179"/>
      <c r="E14" s="25">
        <v>15.43</v>
      </c>
      <c r="F14" s="32" t="s">
        <v>285</v>
      </c>
    </row>
    <row r="15" spans="2:6" x14ac:dyDescent="0.3">
      <c r="B15" s="181" t="s">
        <v>286</v>
      </c>
      <c r="C15" s="181"/>
      <c r="D15" s="181"/>
      <c r="E15" s="1">
        <v>9.1</v>
      </c>
      <c r="F15" s="32" t="s">
        <v>196</v>
      </c>
    </row>
    <row r="16" spans="2:6" x14ac:dyDescent="0.3">
      <c r="B16" s="181" t="s">
        <v>287</v>
      </c>
      <c r="C16" s="181"/>
      <c r="D16" s="181"/>
      <c r="E16" s="1">
        <v>7</v>
      </c>
      <c r="F16" s="32"/>
    </row>
    <row r="17" spans="2:14" x14ac:dyDescent="0.3">
      <c r="B17" s="181" t="s">
        <v>288</v>
      </c>
      <c r="C17" s="181"/>
      <c r="D17" s="181"/>
      <c r="E17" s="25">
        <f>E14*E16</f>
        <v>108.00999999999999</v>
      </c>
      <c r="F17" s="32" t="s">
        <v>289</v>
      </c>
    </row>
    <row r="19" spans="2:14" x14ac:dyDescent="0.3">
      <c r="B19" s="180" t="s">
        <v>290</v>
      </c>
      <c r="C19" s="180"/>
      <c r="D19" s="180"/>
    </row>
    <row r="21" spans="2:14" x14ac:dyDescent="0.3">
      <c r="B21" s="181" t="s">
        <v>277</v>
      </c>
      <c r="C21" s="181"/>
      <c r="D21" s="181"/>
      <c r="E21" s="1">
        <v>3</v>
      </c>
      <c r="F21" s="32" t="s">
        <v>278</v>
      </c>
      <c r="J21" s="33" t="s">
        <v>371</v>
      </c>
    </row>
    <row r="22" spans="2:14" x14ac:dyDescent="0.3">
      <c r="B22" s="181" t="s">
        <v>279</v>
      </c>
      <c r="C22" s="181"/>
      <c r="D22" s="181"/>
      <c r="E22" s="1">
        <f>(140928)/1000</f>
        <v>140.928</v>
      </c>
      <c r="F22" s="32" t="s">
        <v>196</v>
      </c>
      <c r="J22" s="181" t="s">
        <v>293</v>
      </c>
      <c r="K22" s="181"/>
      <c r="L22" s="181"/>
      <c r="M22" s="32">
        <f>E17</f>
        <v>108.00999999999999</v>
      </c>
      <c r="N22" s="32" t="s">
        <v>289</v>
      </c>
    </row>
    <row r="23" spans="2:14" x14ac:dyDescent="0.3">
      <c r="B23" s="151"/>
      <c r="C23" s="151"/>
      <c r="D23" s="151"/>
      <c r="E23" s="1">
        <f>E22/100</f>
        <v>1.4092799999999999</v>
      </c>
      <c r="F23" s="32" t="s">
        <v>278</v>
      </c>
      <c r="J23" s="181" t="s">
        <v>294</v>
      </c>
      <c r="K23" s="181"/>
      <c r="L23" s="181"/>
      <c r="M23" s="75">
        <v>30</v>
      </c>
      <c r="N23" s="32" t="s">
        <v>177</v>
      </c>
    </row>
    <row r="24" spans="2:14" x14ac:dyDescent="0.3">
      <c r="B24" s="181" t="s">
        <v>280</v>
      </c>
      <c r="C24" s="181"/>
      <c r="D24" s="181"/>
      <c r="E24" s="1">
        <v>5</v>
      </c>
      <c r="F24" s="32" t="s">
        <v>281</v>
      </c>
      <c r="J24" s="181" t="s">
        <v>295</v>
      </c>
      <c r="K24" s="181"/>
      <c r="L24" s="181"/>
      <c r="M24" s="32">
        <v>2</v>
      </c>
      <c r="N24" s="32" t="s">
        <v>296</v>
      </c>
    </row>
    <row r="25" spans="2:14" x14ac:dyDescent="0.3">
      <c r="B25" s="151"/>
      <c r="C25" s="151"/>
      <c r="D25" s="151"/>
      <c r="E25" s="1">
        <v>0.5</v>
      </c>
      <c r="F25" s="32" t="s">
        <v>278</v>
      </c>
      <c r="J25" s="242" t="s">
        <v>297</v>
      </c>
      <c r="K25" s="243"/>
      <c r="L25" s="244"/>
      <c r="M25" s="75">
        <f>(M22*M23*M24)</f>
        <v>6480.5999999999995</v>
      </c>
      <c r="N25" s="32" t="s">
        <v>298</v>
      </c>
    </row>
    <row r="26" spans="2:14" x14ac:dyDescent="0.3">
      <c r="B26" s="250" t="s">
        <v>282</v>
      </c>
      <c r="C26" s="250"/>
      <c r="D26" s="250"/>
      <c r="E26" s="233">
        <f>0.05*(E21+E23+E25)</f>
        <v>0.24546400000000002</v>
      </c>
      <c r="F26" s="248" t="s">
        <v>278</v>
      </c>
      <c r="J26" s="245"/>
      <c r="K26" s="246"/>
      <c r="L26" s="247"/>
      <c r="M26" s="75">
        <f>M25/1000</f>
        <v>6.480599999999999</v>
      </c>
      <c r="N26" s="32" t="s">
        <v>97</v>
      </c>
    </row>
    <row r="27" spans="2:14" x14ac:dyDescent="0.3">
      <c r="B27" s="250"/>
      <c r="C27" s="250"/>
      <c r="D27" s="250"/>
      <c r="E27" s="230"/>
      <c r="F27" s="249"/>
    </row>
    <row r="28" spans="2:14" x14ac:dyDescent="0.3">
      <c r="B28" s="181" t="s">
        <v>283</v>
      </c>
      <c r="C28" s="181"/>
      <c r="D28" s="181"/>
      <c r="E28" s="1">
        <f>E21+E23+E25+E26</f>
        <v>5.154744</v>
      </c>
      <c r="F28" s="32" t="s">
        <v>278</v>
      </c>
      <c r="J28" s="33" t="s">
        <v>369</v>
      </c>
    </row>
    <row r="29" spans="2:14" x14ac:dyDescent="0.3">
      <c r="B29" s="177" t="s">
        <v>284</v>
      </c>
      <c r="C29" s="178"/>
      <c r="D29" s="179"/>
      <c r="E29" s="25">
        <v>15.43</v>
      </c>
      <c r="F29" s="32" t="s">
        <v>285</v>
      </c>
      <c r="J29" s="181" t="s">
        <v>368</v>
      </c>
      <c r="K29" s="181"/>
      <c r="L29" s="181"/>
      <c r="M29" s="32">
        <f>E62+E32</f>
        <v>246.88</v>
      </c>
      <c r="N29" s="32" t="s">
        <v>289</v>
      </c>
    </row>
    <row r="30" spans="2:14" x14ac:dyDescent="0.3">
      <c r="B30" s="181" t="s">
        <v>286</v>
      </c>
      <c r="C30" s="181"/>
      <c r="D30" s="181"/>
      <c r="E30" s="1">
        <v>9.1</v>
      </c>
      <c r="F30" s="32" t="s">
        <v>196</v>
      </c>
      <c r="J30" s="181" t="s">
        <v>294</v>
      </c>
      <c r="K30" s="181"/>
      <c r="L30" s="181"/>
      <c r="M30" s="75">
        <v>30</v>
      </c>
      <c r="N30" s="32" t="s">
        <v>177</v>
      </c>
    </row>
    <row r="31" spans="2:14" x14ac:dyDescent="0.3">
      <c r="B31" s="181" t="s">
        <v>287</v>
      </c>
      <c r="C31" s="181"/>
      <c r="D31" s="181"/>
      <c r="E31" s="1">
        <v>5</v>
      </c>
      <c r="F31" s="32"/>
      <c r="J31" s="181" t="s">
        <v>295</v>
      </c>
      <c r="K31" s="181"/>
      <c r="L31" s="181"/>
      <c r="M31" s="32">
        <v>2</v>
      </c>
      <c r="N31" s="32" t="s">
        <v>296</v>
      </c>
    </row>
    <row r="32" spans="2:14" x14ac:dyDescent="0.3">
      <c r="B32" s="181" t="s">
        <v>288</v>
      </c>
      <c r="C32" s="181"/>
      <c r="D32" s="181"/>
      <c r="E32" s="25">
        <f>E29*E31</f>
        <v>77.150000000000006</v>
      </c>
      <c r="F32" s="32" t="s">
        <v>289</v>
      </c>
      <c r="J32" s="251" t="s">
        <v>297</v>
      </c>
      <c r="K32" s="251"/>
      <c r="L32" s="251"/>
      <c r="M32" s="75">
        <f>M29*M30*M31</f>
        <v>14812.8</v>
      </c>
      <c r="N32" s="32" t="s">
        <v>298</v>
      </c>
    </row>
    <row r="33" spans="2:14" x14ac:dyDescent="0.3">
      <c r="J33" s="251"/>
      <c r="K33" s="251"/>
      <c r="L33" s="251"/>
      <c r="M33" s="75">
        <f>M32/1000</f>
        <v>14.812799999999999</v>
      </c>
      <c r="N33" s="32" t="s">
        <v>97</v>
      </c>
    </row>
    <row r="34" spans="2:14" x14ac:dyDescent="0.3">
      <c r="B34" s="180" t="s">
        <v>291</v>
      </c>
      <c r="C34" s="180"/>
      <c r="D34" s="180"/>
    </row>
    <row r="35" spans="2:14" x14ac:dyDescent="0.3">
      <c r="J35" s="33" t="s">
        <v>372</v>
      </c>
    </row>
    <row r="36" spans="2:14" x14ac:dyDescent="0.3">
      <c r="B36" s="181" t="s">
        <v>277</v>
      </c>
      <c r="C36" s="181"/>
      <c r="D36" s="181"/>
      <c r="E36" s="1">
        <v>3</v>
      </c>
      <c r="F36" s="32" t="s">
        <v>278</v>
      </c>
      <c r="J36" s="181" t="s">
        <v>368</v>
      </c>
      <c r="K36" s="181"/>
      <c r="L36" s="181"/>
      <c r="M36" s="32">
        <f>E47+E77</f>
        <v>308.60000000000002</v>
      </c>
      <c r="N36" s="32" t="s">
        <v>289</v>
      </c>
    </row>
    <row r="37" spans="2:14" x14ac:dyDescent="0.3">
      <c r="B37" s="181" t="s">
        <v>279</v>
      </c>
      <c r="C37" s="181"/>
      <c r="D37" s="181"/>
      <c r="E37" s="1">
        <f>(166729)/1000</f>
        <v>166.72900000000001</v>
      </c>
      <c r="F37" s="32" t="s">
        <v>196</v>
      </c>
      <c r="J37" s="181" t="s">
        <v>294</v>
      </c>
      <c r="K37" s="181"/>
      <c r="L37" s="181"/>
      <c r="M37" s="75">
        <v>30</v>
      </c>
      <c r="N37" s="32" t="s">
        <v>177</v>
      </c>
    </row>
    <row r="38" spans="2:14" x14ac:dyDescent="0.3">
      <c r="B38" s="151"/>
      <c r="C38" s="151"/>
      <c r="D38" s="151"/>
      <c r="E38" s="1">
        <f>E37/100</f>
        <v>1.6672900000000002</v>
      </c>
      <c r="F38" s="32" t="s">
        <v>278</v>
      </c>
      <c r="J38" s="181" t="s">
        <v>295</v>
      </c>
      <c r="K38" s="181"/>
      <c r="L38" s="181"/>
      <c r="M38" s="32">
        <v>2</v>
      </c>
      <c r="N38" s="32" t="s">
        <v>296</v>
      </c>
    </row>
    <row r="39" spans="2:14" x14ac:dyDescent="0.3">
      <c r="B39" s="181" t="s">
        <v>280</v>
      </c>
      <c r="C39" s="181"/>
      <c r="D39" s="181"/>
      <c r="E39" s="1">
        <v>5</v>
      </c>
      <c r="F39" s="32" t="s">
        <v>281</v>
      </c>
      <c r="J39" s="251" t="s">
        <v>297</v>
      </c>
      <c r="K39" s="251"/>
      <c r="L39" s="251"/>
      <c r="M39" s="75">
        <f>M36*M37*M38</f>
        <v>18516</v>
      </c>
      <c r="N39" s="32" t="s">
        <v>298</v>
      </c>
    </row>
    <row r="40" spans="2:14" x14ac:dyDescent="0.3">
      <c r="B40" s="151"/>
      <c r="C40" s="151"/>
      <c r="D40" s="151"/>
      <c r="E40" s="1">
        <v>0.5</v>
      </c>
      <c r="F40" s="32" t="s">
        <v>278</v>
      </c>
      <c r="J40" s="251"/>
      <c r="K40" s="251"/>
      <c r="L40" s="251"/>
      <c r="M40" s="75">
        <f>M39/1000</f>
        <v>18.515999999999998</v>
      </c>
      <c r="N40" s="32" t="s">
        <v>97</v>
      </c>
    </row>
    <row r="41" spans="2:14" x14ac:dyDescent="0.3">
      <c r="B41" s="250" t="s">
        <v>282</v>
      </c>
      <c r="C41" s="250"/>
      <c r="D41" s="250"/>
      <c r="E41" s="233">
        <f>0.05*(E36+E38+E40)</f>
        <v>0.25836450000000005</v>
      </c>
      <c r="F41" s="248" t="s">
        <v>278</v>
      </c>
    </row>
    <row r="42" spans="2:14" x14ac:dyDescent="0.3">
      <c r="B42" s="250"/>
      <c r="C42" s="250"/>
      <c r="D42" s="250"/>
      <c r="E42" s="230"/>
      <c r="F42" s="249"/>
      <c r="J42">
        <f>M26+M33+M40</f>
        <v>39.809399999999997</v>
      </c>
    </row>
    <row r="43" spans="2:14" x14ac:dyDescent="0.3">
      <c r="B43" s="181" t="s">
        <v>283</v>
      </c>
      <c r="C43" s="181"/>
      <c r="D43" s="181"/>
      <c r="E43" s="30">
        <f>E36+E38+E40+E41</f>
        <v>5.4256545000000003</v>
      </c>
      <c r="F43" s="32" t="s">
        <v>278</v>
      </c>
    </row>
    <row r="44" spans="2:14" x14ac:dyDescent="0.3">
      <c r="B44" s="177" t="s">
        <v>284</v>
      </c>
      <c r="C44" s="178"/>
      <c r="D44" s="179"/>
      <c r="E44" s="25">
        <v>15.43</v>
      </c>
      <c r="F44" s="32" t="s">
        <v>285</v>
      </c>
    </row>
    <row r="45" spans="2:14" x14ac:dyDescent="0.3">
      <c r="B45" s="181" t="s">
        <v>286</v>
      </c>
      <c r="C45" s="181"/>
      <c r="D45" s="181"/>
      <c r="E45" s="1">
        <v>9.1</v>
      </c>
      <c r="F45" s="32" t="s">
        <v>196</v>
      </c>
    </row>
    <row r="46" spans="2:14" x14ac:dyDescent="0.3">
      <c r="B46" s="181" t="s">
        <v>287</v>
      </c>
      <c r="C46" s="181"/>
      <c r="D46" s="181"/>
      <c r="E46" s="1">
        <v>7</v>
      </c>
      <c r="F46" s="32"/>
    </row>
    <row r="47" spans="2:14" x14ac:dyDescent="0.3">
      <c r="B47" s="181" t="s">
        <v>288</v>
      </c>
      <c r="C47" s="181"/>
      <c r="D47" s="181"/>
      <c r="E47" s="25">
        <f>E44*E46</f>
        <v>108.00999999999999</v>
      </c>
      <c r="F47" s="32" t="s">
        <v>289</v>
      </c>
    </row>
    <row r="49" spans="2:6" x14ac:dyDescent="0.3">
      <c r="B49" s="180" t="s">
        <v>292</v>
      </c>
      <c r="C49" s="180"/>
      <c r="D49" s="180"/>
    </row>
    <row r="51" spans="2:6" x14ac:dyDescent="0.3">
      <c r="B51" s="181" t="s">
        <v>277</v>
      </c>
      <c r="C51" s="181"/>
      <c r="D51" s="181"/>
      <c r="E51" s="1">
        <v>3</v>
      </c>
      <c r="F51" s="32" t="s">
        <v>278</v>
      </c>
    </row>
    <row r="52" spans="2:6" x14ac:dyDescent="0.3">
      <c r="B52" s="181" t="s">
        <v>279</v>
      </c>
      <c r="C52" s="181"/>
      <c r="D52" s="181"/>
      <c r="E52" s="1">
        <f>(404254)/1000</f>
        <v>404.25400000000002</v>
      </c>
      <c r="F52" s="32" t="s">
        <v>196</v>
      </c>
    </row>
    <row r="53" spans="2:6" x14ac:dyDescent="0.3">
      <c r="B53" s="151"/>
      <c r="C53" s="151"/>
      <c r="D53" s="151"/>
      <c r="E53" s="1">
        <f>E52/100</f>
        <v>4.0425399999999998</v>
      </c>
      <c r="F53" s="32" t="s">
        <v>278</v>
      </c>
    </row>
    <row r="54" spans="2:6" x14ac:dyDescent="0.3">
      <c r="B54" s="181" t="s">
        <v>280</v>
      </c>
      <c r="C54" s="181"/>
      <c r="D54" s="181"/>
      <c r="E54" s="1">
        <v>5</v>
      </c>
      <c r="F54" s="32" t="s">
        <v>281</v>
      </c>
    </row>
    <row r="55" spans="2:6" x14ac:dyDescent="0.3">
      <c r="B55" s="151"/>
      <c r="C55" s="151"/>
      <c r="D55" s="151"/>
      <c r="E55" s="1">
        <v>0.5</v>
      </c>
      <c r="F55" s="32" t="s">
        <v>278</v>
      </c>
    </row>
    <row r="56" spans="2:6" x14ac:dyDescent="0.3">
      <c r="B56" s="250" t="s">
        <v>282</v>
      </c>
      <c r="C56" s="250"/>
      <c r="D56" s="250"/>
      <c r="E56" s="233">
        <f>0.05*(E51+E53+E55)</f>
        <v>0.37712699999999999</v>
      </c>
      <c r="F56" s="248" t="s">
        <v>278</v>
      </c>
    </row>
    <row r="57" spans="2:6" x14ac:dyDescent="0.3">
      <c r="B57" s="250"/>
      <c r="C57" s="250"/>
      <c r="D57" s="250"/>
      <c r="E57" s="230"/>
      <c r="F57" s="249"/>
    </row>
    <row r="58" spans="2:6" x14ac:dyDescent="0.3">
      <c r="B58" s="181" t="s">
        <v>283</v>
      </c>
      <c r="C58" s="181"/>
      <c r="D58" s="181"/>
      <c r="E58" s="1">
        <f>E51+E53+E55+E56</f>
        <v>7.9196669999999996</v>
      </c>
      <c r="F58" s="32" t="s">
        <v>278</v>
      </c>
    </row>
    <row r="59" spans="2:6" x14ac:dyDescent="0.3">
      <c r="B59" s="177" t="s">
        <v>284</v>
      </c>
      <c r="C59" s="178"/>
      <c r="D59" s="179"/>
      <c r="E59" s="25">
        <v>15.43</v>
      </c>
      <c r="F59" s="32" t="s">
        <v>285</v>
      </c>
    </row>
    <row r="60" spans="2:6" x14ac:dyDescent="0.3">
      <c r="B60" s="181" t="s">
        <v>286</v>
      </c>
      <c r="C60" s="181"/>
      <c r="D60" s="181"/>
      <c r="E60" s="1">
        <v>9.1</v>
      </c>
      <c r="F60" s="32" t="s">
        <v>196</v>
      </c>
    </row>
    <row r="61" spans="2:6" x14ac:dyDescent="0.3">
      <c r="B61" s="181" t="s">
        <v>287</v>
      </c>
      <c r="C61" s="181"/>
      <c r="D61" s="181"/>
      <c r="E61" s="1">
        <v>11</v>
      </c>
      <c r="F61" s="32"/>
    </row>
    <row r="62" spans="2:6" x14ac:dyDescent="0.3">
      <c r="B62" s="181" t="s">
        <v>288</v>
      </c>
      <c r="C62" s="181"/>
      <c r="D62" s="181"/>
      <c r="E62" s="25">
        <f>E59*E61</f>
        <v>169.73</v>
      </c>
      <c r="F62" s="32" t="s">
        <v>289</v>
      </c>
    </row>
    <row r="64" spans="2:6" x14ac:dyDescent="0.3">
      <c r="B64" s="180" t="s">
        <v>370</v>
      </c>
      <c r="C64" s="180"/>
      <c r="D64" s="180"/>
    </row>
    <row r="66" spans="2:6" x14ac:dyDescent="0.3">
      <c r="B66" s="181" t="s">
        <v>277</v>
      </c>
      <c r="C66" s="181"/>
      <c r="D66" s="181"/>
      <c r="E66" s="1">
        <v>3</v>
      </c>
      <c r="F66" s="32" t="s">
        <v>278</v>
      </c>
    </row>
    <row r="67" spans="2:6" x14ac:dyDescent="0.3">
      <c r="B67" s="181" t="s">
        <v>279</v>
      </c>
      <c r="C67" s="181"/>
      <c r="D67" s="181"/>
      <c r="E67" s="1">
        <f>(192221)/1000</f>
        <v>192.221</v>
      </c>
      <c r="F67" s="32" t="s">
        <v>196</v>
      </c>
    </row>
    <row r="68" spans="2:6" x14ac:dyDescent="0.3">
      <c r="B68" s="151"/>
      <c r="C68" s="151"/>
      <c r="D68" s="151"/>
      <c r="E68" s="1">
        <f>E67/100</f>
        <v>1.92221</v>
      </c>
      <c r="F68" s="32" t="s">
        <v>278</v>
      </c>
    </row>
    <row r="69" spans="2:6" x14ac:dyDescent="0.3">
      <c r="B69" s="181" t="s">
        <v>280</v>
      </c>
      <c r="C69" s="181"/>
      <c r="D69" s="181"/>
      <c r="E69" s="1">
        <v>5</v>
      </c>
      <c r="F69" s="32" t="s">
        <v>281</v>
      </c>
    </row>
    <row r="70" spans="2:6" x14ac:dyDescent="0.3">
      <c r="B70" s="151"/>
      <c r="C70" s="151"/>
      <c r="D70" s="151"/>
      <c r="E70" s="1">
        <v>0.5</v>
      </c>
      <c r="F70" s="32" t="s">
        <v>278</v>
      </c>
    </row>
    <row r="71" spans="2:6" x14ac:dyDescent="0.3">
      <c r="B71" s="250" t="s">
        <v>282</v>
      </c>
      <c r="C71" s="250"/>
      <c r="D71" s="250"/>
      <c r="E71" s="233">
        <f>0.05*(E66+E68+E70)</f>
        <v>0.27111049999999998</v>
      </c>
      <c r="F71" s="248" t="s">
        <v>278</v>
      </c>
    </row>
    <row r="72" spans="2:6" x14ac:dyDescent="0.3">
      <c r="B72" s="250"/>
      <c r="C72" s="250"/>
      <c r="D72" s="250"/>
      <c r="E72" s="230"/>
      <c r="F72" s="249"/>
    </row>
    <row r="73" spans="2:6" x14ac:dyDescent="0.3">
      <c r="B73" s="181" t="s">
        <v>283</v>
      </c>
      <c r="C73" s="181"/>
      <c r="D73" s="181"/>
      <c r="E73" s="1">
        <f>E66+E68+E70+E71</f>
        <v>5.6933204999999996</v>
      </c>
      <c r="F73" s="32" t="s">
        <v>278</v>
      </c>
    </row>
    <row r="74" spans="2:6" x14ac:dyDescent="0.3">
      <c r="B74" s="177" t="s">
        <v>284</v>
      </c>
      <c r="C74" s="178"/>
      <c r="D74" s="179"/>
      <c r="E74" s="25">
        <v>15.43</v>
      </c>
      <c r="F74" s="32" t="s">
        <v>285</v>
      </c>
    </row>
    <row r="75" spans="2:6" x14ac:dyDescent="0.3">
      <c r="B75" s="181" t="s">
        <v>286</v>
      </c>
      <c r="C75" s="181"/>
      <c r="D75" s="181"/>
      <c r="E75" s="1">
        <v>9.1</v>
      </c>
      <c r="F75" s="32" t="s">
        <v>196</v>
      </c>
    </row>
    <row r="76" spans="2:6" x14ac:dyDescent="0.3">
      <c r="B76" s="181" t="s">
        <v>287</v>
      </c>
      <c r="C76" s="181"/>
      <c r="D76" s="181"/>
      <c r="E76" s="1">
        <v>13</v>
      </c>
      <c r="F76" s="32"/>
    </row>
    <row r="77" spans="2:6" x14ac:dyDescent="0.3">
      <c r="B77" s="181" t="s">
        <v>288</v>
      </c>
      <c r="C77" s="181"/>
      <c r="D77" s="181"/>
      <c r="E77" s="25">
        <f>E74*E76</f>
        <v>200.59</v>
      </c>
      <c r="F77" s="32" t="s">
        <v>289</v>
      </c>
    </row>
  </sheetData>
  <mergeCells count="83">
    <mergeCell ref="J36:L36"/>
    <mergeCell ref="J37:L37"/>
    <mergeCell ref="J38:L38"/>
    <mergeCell ref="J39:L40"/>
    <mergeCell ref="J29:L29"/>
    <mergeCell ref="J30:L30"/>
    <mergeCell ref="J31:L31"/>
    <mergeCell ref="J32:L33"/>
    <mergeCell ref="B13:D13"/>
    <mergeCell ref="B14:D14"/>
    <mergeCell ref="B15:D15"/>
    <mergeCell ref="B16:D16"/>
    <mergeCell ref="B17:D17"/>
    <mergeCell ref="B8:D8"/>
    <mergeCell ref="B10:D10"/>
    <mergeCell ref="B4:D4"/>
    <mergeCell ref="B2:F2"/>
    <mergeCell ref="B11:D12"/>
    <mergeCell ref="B6:D6"/>
    <mergeCell ref="B7:D7"/>
    <mergeCell ref="B9:D9"/>
    <mergeCell ref="E11:E12"/>
    <mergeCell ref="F11:F12"/>
    <mergeCell ref="B19:D19"/>
    <mergeCell ref="B21:D21"/>
    <mergeCell ref="B22:D22"/>
    <mergeCell ref="B23:D23"/>
    <mergeCell ref="B24:D24"/>
    <mergeCell ref="B25:D25"/>
    <mergeCell ref="B26:D27"/>
    <mergeCell ref="E26:E27"/>
    <mergeCell ref="F26:F27"/>
    <mergeCell ref="B28:D28"/>
    <mergeCell ref="B29:D29"/>
    <mergeCell ref="B30:D30"/>
    <mergeCell ref="B31:D31"/>
    <mergeCell ref="B32:D32"/>
    <mergeCell ref="B34:D34"/>
    <mergeCell ref="B36:D36"/>
    <mergeCell ref="B37:D37"/>
    <mergeCell ref="B38:D38"/>
    <mergeCell ref="B39:D39"/>
    <mergeCell ref="B40:D40"/>
    <mergeCell ref="B41:D42"/>
    <mergeCell ref="E41:E42"/>
    <mergeCell ref="F41:F42"/>
    <mergeCell ref="B43:D43"/>
    <mergeCell ref="B44:D44"/>
    <mergeCell ref="B45:D45"/>
    <mergeCell ref="B46:D46"/>
    <mergeCell ref="B47:D47"/>
    <mergeCell ref="B49:D49"/>
    <mergeCell ref="B51:D51"/>
    <mergeCell ref="F56:F57"/>
    <mergeCell ref="B58:D58"/>
    <mergeCell ref="B59:D59"/>
    <mergeCell ref="B60:D60"/>
    <mergeCell ref="B52:D52"/>
    <mergeCell ref="B53:D53"/>
    <mergeCell ref="B54:D54"/>
    <mergeCell ref="B55:D55"/>
    <mergeCell ref="B56:D57"/>
    <mergeCell ref="B62:D62"/>
    <mergeCell ref="B64:D64"/>
    <mergeCell ref="B66:D66"/>
    <mergeCell ref="B67:D67"/>
    <mergeCell ref="E56:E57"/>
    <mergeCell ref="B77:D77"/>
    <mergeCell ref="J22:L22"/>
    <mergeCell ref="J23:L23"/>
    <mergeCell ref="J24:L24"/>
    <mergeCell ref="J25:L26"/>
    <mergeCell ref="F71:F72"/>
    <mergeCell ref="B73:D73"/>
    <mergeCell ref="B74:D74"/>
    <mergeCell ref="B75:D75"/>
    <mergeCell ref="B76:D76"/>
    <mergeCell ref="B68:D68"/>
    <mergeCell ref="B69:D69"/>
    <mergeCell ref="B70:D70"/>
    <mergeCell ref="B71:D72"/>
    <mergeCell ref="E71:E72"/>
    <mergeCell ref="B61:D6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6DEF4-3377-460B-A139-BE0B054C0AAB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50F3A-4412-471F-95F4-4C4D0D4EAE6D}">
  <dimension ref="A1:O96"/>
  <sheetViews>
    <sheetView topLeftCell="A76" zoomScale="76" zoomScaleNormal="76" workbookViewId="0">
      <selection activeCell="O94" sqref="O94"/>
    </sheetView>
  </sheetViews>
  <sheetFormatPr defaultRowHeight="14.4" x14ac:dyDescent="0.3"/>
  <cols>
    <col min="13" max="13" width="15.6640625" customWidth="1"/>
    <col min="14" max="14" width="14.77734375" customWidth="1"/>
  </cols>
  <sheetData>
    <row r="1" spans="1:15" x14ac:dyDescent="0.3">
      <c r="A1" t="s">
        <v>579</v>
      </c>
    </row>
    <row r="2" spans="1:15" x14ac:dyDescent="0.3">
      <c r="M2" t="s">
        <v>601</v>
      </c>
      <c r="N2" t="s">
        <v>84</v>
      </c>
      <c r="O2" t="s">
        <v>602</v>
      </c>
    </row>
    <row r="3" spans="1:15" x14ac:dyDescent="0.3">
      <c r="B3" t="s">
        <v>580</v>
      </c>
      <c r="D3" t="s">
        <v>581</v>
      </c>
      <c r="G3" t="s">
        <v>163</v>
      </c>
      <c r="I3" t="s">
        <v>582</v>
      </c>
      <c r="M3">
        <v>745</v>
      </c>
      <c r="N3">
        <v>746</v>
      </c>
      <c r="O3">
        <f>ABS(M3-N3)</f>
        <v>1</v>
      </c>
    </row>
    <row r="4" spans="1:15" x14ac:dyDescent="0.3">
      <c r="B4">
        <v>745</v>
      </c>
      <c r="C4">
        <v>746</v>
      </c>
      <c r="D4">
        <f>ABS(B4-C4)</f>
        <v>1</v>
      </c>
      <c r="G4">
        <v>420</v>
      </c>
      <c r="H4">
        <v>420</v>
      </c>
      <c r="I4">
        <f>ABS(G4-H4)</f>
        <v>0</v>
      </c>
      <c r="M4">
        <v>1446</v>
      </c>
      <c r="N4">
        <v>1446</v>
      </c>
      <c r="O4">
        <f t="shared" ref="O4:O67" si="0">ABS(M4-N4)</f>
        <v>0</v>
      </c>
    </row>
    <row r="5" spans="1:15" x14ac:dyDescent="0.3">
      <c r="B5">
        <v>1446</v>
      </c>
      <c r="C5">
        <v>1446</v>
      </c>
      <c r="D5">
        <f t="shared" ref="D5:D9" si="1">ABS(B5-C5)</f>
        <v>0</v>
      </c>
      <c r="G5">
        <v>830</v>
      </c>
      <c r="H5">
        <v>759</v>
      </c>
      <c r="I5">
        <f t="shared" ref="I5:I9" si="2">ABS(G5-H5)</f>
        <v>71</v>
      </c>
      <c r="M5">
        <v>1962</v>
      </c>
      <c r="N5">
        <v>2028</v>
      </c>
      <c r="O5">
        <f t="shared" si="0"/>
        <v>66</v>
      </c>
    </row>
    <row r="6" spans="1:15" x14ac:dyDescent="0.3">
      <c r="B6">
        <v>1962</v>
      </c>
      <c r="C6">
        <v>2028</v>
      </c>
      <c r="D6">
        <f t="shared" si="1"/>
        <v>66</v>
      </c>
      <c r="G6">
        <v>1100</v>
      </c>
      <c r="H6">
        <v>1033</v>
      </c>
      <c r="I6">
        <f t="shared" si="2"/>
        <v>67</v>
      </c>
      <c r="M6">
        <v>2072</v>
      </c>
      <c r="N6">
        <v>2038</v>
      </c>
      <c r="O6">
        <f t="shared" si="0"/>
        <v>34</v>
      </c>
    </row>
    <row r="7" spans="1:15" x14ac:dyDescent="0.3">
      <c r="B7">
        <v>2072</v>
      </c>
      <c r="C7">
        <v>2038</v>
      </c>
      <c r="D7">
        <f t="shared" si="1"/>
        <v>34</v>
      </c>
      <c r="G7">
        <v>1090</v>
      </c>
      <c r="H7">
        <v>969</v>
      </c>
      <c r="I7">
        <f t="shared" si="2"/>
        <v>121</v>
      </c>
      <c r="M7">
        <v>56</v>
      </c>
      <c r="N7">
        <v>56</v>
      </c>
      <c r="O7">
        <f t="shared" si="0"/>
        <v>0</v>
      </c>
    </row>
    <row r="8" spans="1:15" x14ac:dyDescent="0.3">
      <c r="B8">
        <v>56</v>
      </c>
      <c r="C8">
        <v>56</v>
      </c>
      <c r="D8">
        <f t="shared" si="1"/>
        <v>0</v>
      </c>
      <c r="G8">
        <v>65</v>
      </c>
      <c r="H8">
        <v>65</v>
      </c>
      <c r="I8">
        <f t="shared" si="2"/>
        <v>0</v>
      </c>
      <c r="M8">
        <v>29</v>
      </c>
      <c r="N8">
        <v>29</v>
      </c>
      <c r="O8">
        <f t="shared" si="0"/>
        <v>0</v>
      </c>
    </row>
    <row r="9" spans="1:15" x14ac:dyDescent="0.3">
      <c r="B9">
        <v>29</v>
      </c>
      <c r="C9">
        <v>29</v>
      </c>
      <c r="D9">
        <f t="shared" si="1"/>
        <v>0</v>
      </c>
      <c r="G9">
        <v>50</v>
      </c>
      <c r="H9">
        <v>50</v>
      </c>
      <c r="I9">
        <f t="shared" si="2"/>
        <v>0</v>
      </c>
      <c r="M9">
        <v>700</v>
      </c>
      <c r="N9">
        <v>625</v>
      </c>
      <c r="O9">
        <f t="shared" si="0"/>
        <v>75</v>
      </c>
    </row>
    <row r="10" spans="1:15" x14ac:dyDescent="0.3">
      <c r="B10">
        <f>SUM(B4:B9)</f>
        <v>6310</v>
      </c>
      <c r="C10">
        <f>SUM(C4:C9)</f>
        <v>6343</v>
      </c>
      <c r="D10">
        <f>SUM(D4:D9)</f>
        <v>101</v>
      </c>
      <c r="G10">
        <f>SUM(G4:G9)</f>
        <v>3555</v>
      </c>
      <c r="I10">
        <f>SUM(I4:I9)</f>
        <v>259</v>
      </c>
      <c r="M10">
        <v>950</v>
      </c>
      <c r="N10">
        <v>970</v>
      </c>
      <c r="O10">
        <f t="shared" si="0"/>
        <v>20</v>
      </c>
    </row>
    <row r="11" spans="1:15" x14ac:dyDescent="0.3">
      <c r="D11" s="109">
        <f>(D10/B10)</f>
        <v>1.600633914421553E-2</v>
      </c>
      <c r="I11" s="109">
        <f>(I10/G10)</f>
        <v>7.2855133614627282E-2</v>
      </c>
      <c r="M11">
        <v>1240</v>
      </c>
      <c r="N11">
        <v>1230</v>
      </c>
      <c r="O11">
        <f t="shared" si="0"/>
        <v>10</v>
      </c>
    </row>
    <row r="12" spans="1:15" x14ac:dyDescent="0.3">
      <c r="M12">
        <v>1250</v>
      </c>
      <c r="N12">
        <v>1250</v>
      </c>
      <c r="O12">
        <f t="shared" si="0"/>
        <v>0</v>
      </c>
    </row>
    <row r="13" spans="1:15" x14ac:dyDescent="0.3">
      <c r="B13" t="s">
        <v>583</v>
      </c>
      <c r="C13" s="111"/>
      <c r="D13" t="s">
        <v>582</v>
      </c>
      <c r="G13" t="s">
        <v>584</v>
      </c>
      <c r="H13" s="111"/>
      <c r="I13" t="s">
        <v>582</v>
      </c>
      <c r="M13">
        <v>125</v>
      </c>
      <c r="N13">
        <v>115</v>
      </c>
      <c r="O13">
        <f t="shared" si="0"/>
        <v>10</v>
      </c>
    </row>
    <row r="14" spans="1:15" x14ac:dyDescent="0.3">
      <c r="B14">
        <v>700</v>
      </c>
      <c r="C14">
        <v>625</v>
      </c>
      <c r="D14">
        <f>ABS(B14-C14)</f>
        <v>75</v>
      </c>
      <c r="G14">
        <v>300</v>
      </c>
      <c r="H14">
        <v>400</v>
      </c>
      <c r="I14">
        <f>ABS(G14-H14)</f>
        <v>100</v>
      </c>
      <c r="M14">
        <v>70</v>
      </c>
      <c r="N14">
        <v>65</v>
      </c>
      <c r="O14">
        <f t="shared" si="0"/>
        <v>5</v>
      </c>
    </row>
    <row r="15" spans="1:15" x14ac:dyDescent="0.3">
      <c r="B15">
        <v>950</v>
      </c>
      <c r="C15">
        <v>970</v>
      </c>
      <c r="D15">
        <f t="shared" ref="D15:D19" si="3">ABS(B15-C15)</f>
        <v>20</v>
      </c>
      <c r="G15">
        <v>700</v>
      </c>
      <c r="H15">
        <v>690</v>
      </c>
      <c r="I15">
        <f t="shared" ref="I15:I19" si="4">ABS(G15-H15)</f>
        <v>10</v>
      </c>
      <c r="M15">
        <v>100</v>
      </c>
      <c r="N15">
        <v>100</v>
      </c>
      <c r="O15">
        <f t="shared" si="0"/>
        <v>0</v>
      </c>
    </row>
    <row r="16" spans="1:15" x14ac:dyDescent="0.3">
      <c r="B16">
        <v>1240</v>
      </c>
      <c r="C16">
        <v>1230</v>
      </c>
      <c r="D16">
        <f t="shared" si="3"/>
        <v>10</v>
      </c>
      <c r="G16">
        <v>850</v>
      </c>
      <c r="H16">
        <v>850</v>
      </c>
      <c r="I16">
        <f t="shared" si="4"/>
        <v>0</v>
      </c>
      <c r="M16">
        <v>100</v>
      </c>
      <c r="N16">
        <v>100</v>
      </c>
      <c r="O16">
        <f t="shared" si="0"/>
        <v>0</v>
      </c>
    </row>
    <row r="17" spans="2:15" x14ac:dyDescent="0.3">
      <c r="B17">
        <v>1250</v>
      </c>
      <c r="C17">
        <v>1250</v>
      </c>
      <c r="D17">
        <f t="shared" si="3"/>
        <v>0</v>
      </c>
      <c r="G17">
        <v>850</v>
      </c>
      <c r="H17">
        <v>825</v>
      </c>
      <c r="I17">
        <f t="shared" si="4"/>
        <v>25</v>
      </c>
      <c r="M17">
        <v>150</v>
      </c>
      <c r="N17">
        <v>150</v>
      </c>
      <c r="O17">
        <f t="shared" si="0"/>
        <v>0</v>
      </c>
    </row>
    <row r="18" spans="2:15" x14ac:dyDescent="0.3">
      <c r="B18">
        <v>125</v>
      </c>
      <c r="C18">
        <v>115</v>
      </c>
      <c r="D18">
        <f t="shared" si="3"/>
        <v>10</v>
      </c>
      <c r="G18">
        <v>130</v>
      </c>
      <c r="H18">
        <v>125</v>
      </c>
      <c r="I18">
        <f t="shared" si="4"/>
        <v>5</v>
      </c>
      <c r="M18">
        <v>150</v>
      </c>
      <c r="N18">
        <v>150</v>
      </c>
      <c r="O18">
        <f t="shared" si="0"/>
        <v>0</v>
      </c>
    </row>
    <row r="19" spans="2:15" x14ac:dyDescent="0.3">
      <c r="B19">
        <v>70</v>
      </c>
      <c r="C19">
        <v>65</v>
      </c>
      <c r="D19">
        <f t="shared" si="3"/>
        <v>5</v>
      </c>
      <c r="G19">
        <v>110</v>
      </c>
      <c r="H19">
        <v>110</v>
      </c>
      <c r="I19">
        <f t="shared" si="4"/>
        <v>0</v>
      </c>
      <c r="M19">
        <v>50</v>
      </c>
      <c r="N19">
        <v>50</v>
      </c>
      <c r="O19">
        <f t="shared" si="0"/>
        <v>0</v>
      </c>
    </row>
    <row r="20" spans="2:15" x14ac:dyDescent="0.3">
      <c r="B20">
        <f>SUM(B14:B19)</f>
        <v>4335</v>
      </c>
      <c r="D20">
        <f>SUM(D14:D19)</f>
        <v>120</v>
      </c>
      <c r="G20">
        <f>SUM(G14:G19)</f>
        <v>2940</v>
      </c>
      <c r="I20">
        <f>SUM(I14:I19)</f>
        <v>140</v>
      </c>
      <c r="M20">
        <v>32</v>
      </c>
      <c r="N20">
        <v>35</v>
      </c>
      <c r="O20">
        <f t="shared" si="0"/>
        <v>3</v>
      </c>
    </row>
    <row r="21" spans="2:15" x14ac:dyDescent="0.3">
      <c r="D21" s="109">
        <f>(D20/B20)</f>
        <v>2.768166089965398E-2</v>
      </c>
      <c r="I21" s="109">
        <f>(I20/G20)</f>
        <v>4.7619047619047616E-2</v>
      </c>
      <c r="M21">
        <v>80</v>
      </c>
      <c r="N21">
        <v>100</v>
      </c>
      <c r="O21">
        <f t="shared" si="0"/>
        <v>20</v>
      </c>
    </row>
    <row r="22" spans="2:15" x14ac:dyDescent="0.3">
      <c r="M22">
        <v>80</v>
      </c>
      <c r="N22">
        <v>75</v>
      </c>
      <c r="O22">
        <f t="shared" si="0"/>
        <v>5</v>
      </c>
    </row>
    <row r="23" spans="2:15" x14ac:dyDescent="0.3">
      <c r="B23" t="s">
        <v>585</v>
      </c>
      <c r="F23" t="s">
        <v>586</v>
      </c>
      <c r="M23">
        <v>80</v>
      </c>
      <c r="N23">
        <v>75</v>
      </c>
      <c r="O23">
        <f t="shared" si="0"/>
        <v>5</v>
      </c>
    </row>
    <row r="24" spans="2:15" x14ac:dyDescent="0.3">
      <c r="B24">
        <v>100</v>
      </c>
      <c r="C24">
        <v>100</v>
      </c>
      <c r="D24">
        <f>ABS(B24-C24)</f>
        <v>0</v>
      </c>
      <c r="F24">
        <v>65</v>
      </c>
      <c r="G24">
        <v>75</v>
      </c>
      <c r="H24">
        <f>ABS(F24-G24)</f>
        <v>10</v>
      </c>
      <c r="M24">
        <v>100</v>
      </c>
      <c r="N24">
        <v>100</v>
      </c>
      <c r="O24">
        <f t="shared" si="0"/>
        <v>0</v>
      </c>
    </row>
    <row r="25" spans="2:15" x14ac:dyDescent="0.3">
      <c r="B25">
        <v>100</v>
      </c>
      <c r="C25">
        <v>100</v>
      </c>
      <c r="D25">
        <f t="shared" ref="D25:D29" si="5">ABS(B25-C25)</f>
        <v>0</v>
      </c>
      <c r="F25">
        <v>100</v>
      </c>
      <c r="G25">
        <v>100</v>
      </c>
      <c r="H25">
        <f t="shared" ref="H25:H29" si="6">ABS(F25-G25)</f>
        <v>0</v>
      </c>
      <c r="M25">
        <v>100</v>
      </c>
      <c r="N25">
        <v>100</v>
      </c>
      <c r="O25">
        <f t="shared" si="0"/>
        <v>0</v>
      </c>
    </row>
    <row r="26" spans="2:15" x14ac:dyDescent="0.3">
      <c r="B26">
        <v>150</v>
      </c>
      <c r="C26">
        <v>150</v>
      </c>
      <c r="D26">
        <f t="shared" si="5"/>
        <v>0</v>
      </c>
      <c r="F26">
        <v>100</v>
      </c>
      <c r="G26">
        <v>100</v>
      </c>
      <c r="H26">
        <f t="shared" si="6"/>
        <v>0</v>
      </c>
      <c r="M26">
        <v>100</v>
      </c>
      <c r="N26">
        <v>100</v>
      </c>
      <c r="O26">
        <f t="shared" si="0"/>
        <v>0</v>
      </c>
    </row>
    <row r="27" spans="2:15" x14ac:dyDescent="0.3">
      <c r="B27">
        <v>150</v>
      </c>
      <c r="C27">
        <v>150</v>
      </c>
      <c r="D27">
        <f t="shared" si="5"/>
        <v>0</v>
      </c>
      <c r="F27">
        <v>100</v>
      </c>
      <c r="G27">
        <v>100</v>
      </c>
      <c r="H27">
        <f t="shared" si="6"/>
        <v>0</v>
      </c>
      <c r="M27">
        <v>100</v>
      </c>
      <c r="N27">
        <v>100</v>
      </c>
      <c r="O27">
        <f t="shared" si="0"/>
        <v>0</v>
      </c>
    </row>
    <row r="28" spans="2:15" x14ac:dyDescent="0.3">
      <c r="B28">
        <v>50</v>
      </c>
      <c r="C28">
        <v>50</v>
      </c>
      <c r="D28">
        <f t="shared" si="5"/>
        <v>0</v>
      </c>
      <c r="F28">
        <v>50</v>
      </c>
      <c r="G28">
        <v>50</v>
      </c>
      <c r="H28">
        <f t="shared" si="6"/>
        <v>0</v>
      </c>
      <c r="M28">
        <v>100</v>
      </c>
      <c r="N28">
        <v>100</v>
      </c>
      <c r="O28">
        <f t="shared" si="0"/>
        <v>0</v>
      </c>
    </row>
    <row r="29" spans="2:15" x14ac:dyDescent="0.3">
      <c r="B29">
        <v>32</v>
      </c>
      <c r="C29">
        <v>35</v>
      </c>
      <c r="D29">
        <f t="shared" si="5"/>
        <v>3</v>
      </c>
      <c r="F29">
        <v>40</v>
      </c>
      <c r="G29">
        <v>40</v>
      </c>
      <c r="H29">
        <f t="shared" si="6"/>
        <v>0</v>
      </c>
      <c r="M29">
        <v>50</v>
      </c>
      <c r="N29">
        <v>50</v>
      </c>
      <c r="O29">
        <f t="shared" si="0"/>
        <v>0</v>
      </c>
    </row>
    <row r="30" spans="2:15" x14ac:dyDescent="0.3">
      <c r="B30">
        <f>SUM(B24:B29)</f>
        <v>582</v>
      </c>
      <c r="D30">
        <f>SUM(D24:D29)</f>
        <v>3</v>
      </c>
      <c r="F30">
        <f>SUM(F24:F29)</f>
        <v>455</v>
      </c>
      <c r="H30">
        <f>SUM(H24:H29)</f>
        <v>10</v>
      </c>
      <c r="M30">
        <v>32</v>
      </c>
      <c r="N30">
        <v>35</v>
      </c>
      <c r="O30">
        <f t="shared" si="0"/>
        <v>3</v>
      </c>
    </row>
    <row r="31" spans="2:15" x14ac:dyDescent="0.3">
      <c r="D31" s="109">
        <f>(D30/B30)</f>
        <v>5.1546391752577319E-3</v>
      </c>
      <c r="H31" s="109">
        <f>(H30/F30)</f>
        <v>2.197802197802198E-2</v>
      </c>
      <c r="M31">
        <v>600</v>
      </c>
      <c r="N31">
        <v>600</v>
      </c>
      <c r="O31">
        <f t="shared" si="0"/>
        <v>0</v>
      </c>
    </row>
    <row r="32" spans="2:15" x14ac:dyDescent="0.3">
      <c r="M32">
        <v>30</v>
      </c>
      <c r="N32">
        <v>20</v>
      </c>
      <c r="O32">
        <f t="shared" si="0"/>
        <v>10</v>
      </c>
    </row>
    <row r="33" spans="2:15" x14ac:dyDescent="0.3">
      <c r="B33" t="s">
        <v>587</v>
      </c>
      <c r="F33" t="s">
        <v>588</v>
      </c>
      <c r="M33">
        <v>30</v>
      </c>
      <c r="N33">
        <v>23</v>
      </c>
      <c r="O33">
        <f t="shared" si="0"/>
        <v>7</v>
      </c>
    </row>
    <row r="34" spans="2:15" x14ac:dyDescent="0.3">
      <c r="B34">
        <v>80</v>
      </c>
      <c r="C34">
        <v>100</v>
      </c>
      <c r="D34">
        <f>ABS(B34-C34)</f>
        <v>20</v>
      </c>
      <c r="F34">
        <v>65</v>
      </c>
      <c r="G34">
        <v>65</v>
      </c>
      <c r="H34">
        <f>ABS(F34-G34)</f>
        <v>0</v>
      </c>
      <c r="M34">
        <v>30</v>
      </c>
      <c r="N34">
        <v>37</v>
      </c>
      <c r="O34">
        <f t="shared" si="0"/>
        <v>7</v>
      </c>
    </row>
    <row r="35" spans="2:15" x14ac:dyDescent="0.3">
      <c r="B35">
        <v>80</v>
      </c>
      <c r="C35">
        <v>75</v>
      </c>
      <c r="D35">
        <f t="shared" ref="D35:D43" si="7">ABS(B35-C35)</f>
        <v>5</v>
      </c>
      <c r="F35">
        <v>80</v>
      </c>
      <c r="G35">
        <v>65</v>
      </c>
      <c r="H35">
        <f t="shared" ref="H35:H43" si="8">ABS(F35-G35)</f>
        <v>15</v>
      </c>
      <c r="M35">
        <v>960</v>
      </c>
      <c r="N35">
        <v>1035</v>
      </c>
      <c r="O35">
        <f t="shared" si="0"/>
        <v>75</v>
      </c>
    </row>
    <row r="36" spans="2:15" x14ac:dyDescent="0.3">
      <c r="B36">
        <v>80</v>
      </c>
      <c r="C36">
        <v>75</v>
      </c>
      <c r="D36">
        <f t="shared" si="7"/>
        <v>5</v>
      </c>
      <c r="F36">
        <v>65</v>
      </c>
      <c r="G36">
        <v>65</v>
      </c>
      <c r="H36">
        <f t="shared" si="8"/>
        <v>0</v>
      </c>
      <c r="M36">
        <v>1200</v>
      </c>
      <c r="N36">
        <v>1230</v>
      </c>
      <c r="O36">
        <f t="shared" si="0"/>
        <v>30</v>
      </c>
    </row>
    <row r="37" spans="2:15" x14ac:dyDescent="0.3">
      <c r="B37">
        <v>100</v>
      </c>
      <c r="C37">
        <v>100</v>
      </c>
      <c r="D37">
        <f t="shared" si="7"/>
        <v>0</v>
      </c>
      <c r="F37">
        <v>100</v>
      </c>
      <c r="G37">
        <v>75</v>
      </c>
      <c r="H37">
        <f t="shared" si="8"/>
        <v>25</v>
      </c>
      <c r="M37">
        <v>1500</v>
      </c>
      <c r="N37">
        <v>1990</v>
      </c>
      <c r="O37">
        <f t="shared" si="0"/>
        <v>490</v>
      </c>
    </row>
    <row r="38" spans="2:15" x14ac:dyDescent="0.3">
      <c r="B38">
        <v>100</v>
      </c>
      <c r="C38">
        <v>100</v>
      </c>
      <c r="D38">
        <f t="shared" si="7"/>
        <v>0</v>
      </c>
      <c r="F38">
        <v>80</v>
      </c>
      <c r="G38">
        <v>75</v>
      </c>
      <c r="H38">
        <f t="shared" si="8"/>
        <v>5</v>
      </c>
      <c r="M38">
        <v>60</v>
      </c>
      <c r="N38">
        <v>59</v>
      </c>
      <c r="O38">
        <f t="shared" si="0"/>
        <v>1</v>
      </c>
    </row>
    <row r="39" spans="2:15" x14ac:dyDescent="0.3">
      <c r="B39">
        <v>100</v>
      </c>
      <c r="C39">
        <v>100</v>
      </c>
      <c r="D39">
        <f t="shared" si="7"/>
        <v>0</v>
      </c>
      <c r="F39">
        <v>80</v>
      </c>
      <c r="G39">
        <v>75</v>
      </c>
      <c r="H39">
        <f t="shared" si="8"/>
        <v>5</v>
      </c>
      <c r="M39">
        <v>60</v>
      </c>
      <c r="N39">
        <v>59</v>
      </c>
      <c r="O39">
        <f t="shared" si="0"/>
        <v>1</v>
      </c>
    </row>
    <row r="40" spans="2:15" x14ac:dyDescent="0.3">
      <c r="B40">
        <v>100</v>
      </c>
      <c r="C40">
        <v>100</v>
      </c>
      <c r="D40">
        <f t="shared" si="7"/>
        <v>0</v>
      </c>
      <c r="F40">
        <v>80</v>
      </c>
      <c r="G40">
        <v>75</v>
      </c>
      <c r="H40">
        <f t="shared" si="8"/>
        <v>5</v>
      </c>
      <c r="M40">
        <v>60</v>
      </c>
      <c r="N40">
        <v>60</v>
      </c>
      <c r="O40">
        <f t="shared" si="0"/>
        <v>0</v>
      </c>
    </row>
    <row r="41" spans="2:15" x14ac:dyDescent="0.3">
      <c r="B41">
        <v>100</v>
      </c>
      <c r="C41">
        <v>100</v>
      </c>
      <c r="D41">
        <f t="shared" si="7"/>
        <v>0</v>
      </c>
      <c r="F41">
        <v>80</v>
      </c>
      <c r="G41">
        <v>75</v>
      </c>
      <c r="H41">
        <f t="shared" si="8"/>
        <v>5</v>
      </c>
      <c r="M41">
        <v>700</v>
      </c>
      <c r="N41">
        <v>760</v>
      </c>
      <c r="O41">
        <f t="shared" si="0"/>
        <v>60</v>
      </c>
    </row>
    <row r="42" spans="2:15" x14ac:dyDescent="0.3">
      <c r="B42">
        <v>50</v>
      </c>
      <c r="C42">
        <v>50</v>
      </c>
      <c r="D42">
        <f t="shared" si="7"/>
        <v>0</v>
      </c>
      <c r="F42">
        <v>50</v>
      </c>
      <c r="G42">
        <v>50</v>
      </c>
      <c r="H42">
        <f t="shared" si="8"/>
        <v>0</v>
      </c>
      <c r="M42">
        <v>750</v>
      </c>
      <c r="N42">
        <v>827</v>
      </c>
      <c r="O42">
        <f t="shared" si="0"/>
        <v>77</v>
      </c>
    </row>
    <row r="43" spans="2:15" x14ac:dyDescent="0.3">
      <c r="B43">
        <v>32</v>
      </c>
      <c r="C43">
        <v>35</v>
      </c>
      <c r="D43">
        <f t="shared" si="7"/>
        <v>3</v>
      </c>
      <c r="F43">
        <v>40</v>
      </c>
      <c r="G43">
        <v>40</v>
      </c>
      <c r="H43">
        <f t="shared" si="8"/>
        <v>0</v>
      </c>
      <c r="M43">
        <v>850</v>
      </c>
      <c r="N43">
        <v>860</v>
      </c>
      <c r="O43">
        <f t="shared" si="0"/>
        <v>10</v>
      </c>
    </row>
    <row r="44" spans="2:15" x14ac:dyDescent="0.3">
      <c r="B44">
        <f>SUM(B34:B43)</f>
        <v>822</v>
      </c>
      <c r="D44">
        <f>SUM(D34:D43)</f>
        <v>33</v>
      </c>
      <c r="F44">
        <f>SUM(F34:F43)</f>
        <v>720</v>
      </c>
      <c r="H44">
        <f>SUM(H34:H43)</f>
        <v>60</v>
      </c>
      <c r="M44">
        <v>17</v>
      </c>
      <c r="N44">
        <v>17</v>
      </c>
      <c r="O44">
        <f t="shared" si="0"/>
        <v>0</v>
      </c>
    </row>
    <row r="45" spans="2:15" x14ac:dyDescent="0.3">
      <c r="D45" s="109">
        <f>(D44/B44)</f>
        <v>4.0145985401459854E-2</v>
      </c>
      <c r="H45" s="109">
        <f>(H44/F44)</f>
        <v>8.3333333333333329E-2</v>
      </c>
      <c r="M45">
        <v>17</v>
      </c>
      <c r="N45">
        <v>17</v>
      </c>
      <c r="O45">
        <f t="shared" si="0"/>
        <v>0</v>
      </c>
    </row>
    <row r="46" spans="2:15" x14ac:dyDescent="0.3">
      <c r="F46" s="111"/>
      <c r="M46">
        <v>17</v>
      </c>
      <c r="N46">
        <v>17</v>
      </c>
      <c r="O46">
        <f t="shared" si="0"/>
        <v>0</v>
      </c>
    </row>
    <row r="47" spans="2:15" x14ac:dyDescent="0.3">
      <c r="B47" t="s">
        <v>599</v>
      </c>
      <c r="F47" t="s">
        <v>600</v>
      </c>
      <c r="M47">
        <v>250</v>
      </c>
      <c r="N47">
        <v>184.14</v>
      </c>
      <c r="O47">
        <f t="shared" si="0"/>
        <v>65.860000000000014</v>
      </c>
    </row>
    <row r="48" spans="2:15" x14ac:dyDescent="0.3">
      <c r="B48">
        <v>600</v>
      </c>
      <c r="C48">
        <v>600</v>
      </c>
      <c r="D48">
        <f>ABS(B48-C48)</f>
        <v>0</v>
      </c>
      <c r="M48">
        <v>420</v>
      </c>
      <c r="N48">
        <v>420</v>
      </c>
      <c r="O48">
        <f t="shared" si="0"/>
        <v>0</v>
      </c>
    </row>
    <row r="49" spans="2:15" x14ac:dyDescent="0.3">
      <c r="F49">
        <v>400</v>
      </c>
      <c r="G49">
        <v>400</v>
      </c>
      <c r="H49">
        <f t="shared" ref="H49" si="9">ABS(F49-G49)</f>
        <v>0</v>
      </c>
      <c r="M49">
        <v>830</v>
      </c>
      <c r="N49">
        <v>759</v>
      </c>
      <c r="O49">
        <f t="shared" si="0"/>
        <v>71</v>
      </c>
    </row>
    <row r="50" spans="2:15" x14ac:dyDescent="0.3">
      <c r="B50">
        <f>SUM(B48:B49)</f>
        <v>600</v>
      </c>
      <c r="D50">
        <f>SUM(D48:D49)</f>
        <v>0</v>
      </c>
      <c r="F50">
        <f>SUM(F48:F49)</f>
        <v>400</v>
      </c>
      <c r="H50">
        <f>SUM(H48:H49)</f>
        <v>0</v>
      </c>
      <c r="M50">
        <v>1100</v>
      </c>
      <c r="N50">
        <v>1033</v>
      </c>
      <c r="O50">
        <f t="shared" si="0"/>
        <v>67</v>
      </c>
    </row>
    <row r="51" spans="2:15" x14ac:dyDescent="0.3">
      <c r="M51">
        <v>1090</v>
      </c>
      <c r="N51">
        <v>969</v>
      </c>
      <c r="O51">
        <f t="shared" si="0"/>
        <v>121</v>
      </c>
    </row>
    <row r="52" spans="2:15" x14ac:dyDescent="0.3">
      <c r="M52">
        <v>65</v>
      </c>
      <c r="N52">
        <v>65</v>
      </c>
      <c r="O52">
        <f t="shared" si="0"/>
        <v>0</v>
      </c>
    </row>
    <row r="53" spans="2:15" x14ac:dyDescent="0.3">
      <c r="B53" t="s">
        <v>589</v>
      </c>
      <c r="F53" t="s">
        <v>590</v>
      </c>
      <c r="M53">
        <v>50</v>
      </c>
      <c r="N53">
        <v>50</v>
      </c>
      <c r="O53">
        <f t="shared" si="0"/>
        <v>0</v>
      </c>
    </row>
    <row r="54" spans="2:15" x14ac:dyDescent="0.3">
      <c r="B54">
        <v>30</v>
      </c>
      <c r="C54">
        <v>20</v>
      </c>
      <c r="D54">
        <f>ABS(B54-C54)</f>
        <v>10</v>
      </c>
      <c r="F54">
        <v>30</v>
      </c>
      <c r="G54">
        <v>15</v>
      </c>
      <c r="H54">
        <f>ABS(F54-G54)</f>
        <v>15</v>
      </c>
      <c r="M54">
        <v>300</v>
      </c>
      <c r="N54">
        <v>400</v>
      </c>
      <c r="O54">
        <f t="shared" si="0"/>
        <v>100</v>
      </c>
    </row>
    <row r="55" spans="2:15" x14ac:dyDescent="0.3">
      <c r="B55">
        <v>30</v>
      </c>
      <c r="C55">
        <v>23</v>
      </c>
      <c r="D55">
        <f t="shared" ref="D55:D56" si="10">ABS(B55-C55)</f>
        <v>7</v>
      </c>
      <c r="F55">
        <v>30</v>
      </c>
      <c r="G55">
        <v>16</v>
      </c>
      <c r="H55">
        <f t="shared" ref="H55:H56" si="11">ABS(F55-G55)</f>
        <v>14</v>
      </c>
      <c r="M55">
        <v>700</v>
      </c>
      <c r="N55">
        <v>690</v>
      </c>
      <c r="O55">
        <f t="shared" si="0"/>
        <v>10</v>
      </c>
    </row>
    <row r="56" spans="2:15" x14ac:dyDescent="0.3">
      <c r="B56">
        <v>30</v>
      </c>
      <c r="C56">
        <v>37</v>
      </c>
      <c r="D56">
        <f t="shared" si="10"/>
        <v>7</v>
      </c>
      <c r="F56">
        <v>30</v>
      </c>
      <c r="G56">
        <v>26</v>
      </c>
      <c r="H56">
        <f t="shared" si="11"/>
        <v>4</v>
      </c>
      <c r="M56">
        <v>850</v>
      </c>
      <c r="N56">
        <v>850</v>
      </c>
      <c r="O56">
        <f t="shared" si="0"/>
        <v>0</v>
      </c>
    </row>
    <row r="57" spans="2:15" x14ac:dyDescent="0.3">
      <c r="B57">
        <f>SUM(B54:B56)</f>
        <v>90</v>
      </c>
      <c r="D57">
        <f>SUM(D54:D56)</f>
        <v>24</v>
      </c>
      <c r="F57">
        <f>SUM(F54:F56)</f>
        <v>90</v>
      </c>
      <c r="H57">
        <f>SUM(H54:H56)</f>
        <v>33</v>
      </c>
      <c r="M57">
        <v>850</v>
      </c>
      <c r="N57">
        <v>825</v>
      </c>
      <c r="O57">
        <f t="shared" si="0"/>
        <v>25</v>
      </c>
    </row>
    <row r="58" spans="2:15" x14ac:dyDescent="0.3">
      <c r="D58" s="109">
        <f>D57/B57</f>
        <v>0.26666666666666666</v>
      </c>
      <c r="H58" s="109">
        <f>H57/F57</f>
        <v>0.36666666666666664</v>
      </c>
      <c r="M58">
        <v>130</v>
      </c>
      <c r="N58">
        <v>125</v>
      </c>
      <c r="O58">
        <f t="shared" si="0"/>
        <v>5</v>
      </c>
    </row>
    <row r="59" spans="2:15" x14ac:dyDescent="0.3">
      <c r="M59">
        <v>110</v>
      </c>
      <c r="N59">
        <v>110</v>
      </c>
      <c r="O59">
        <f t="shared" si="0"/>
        <v>0</v>
      </c>
    </row>
    <row r="60" spans="2:15" x14ac:dyDescent="0.3">
      <c r="B60" t="s">
        <v>591</v>
      </c>
      <c r="F60" t="s">
        <v>592</v>
      </c>
      <c r="M60">
        <v>65</v>
      </c>
      <c r="N60">
        <v>75</v>
      </c>
      <c r="O60">
        <f t="shared" si="0"/>
        <v>10</v>
      </c>
    </row>
    <row r="61" spans="2:15" x14ac:dyDescent="0.3">
      <c r="B61">
        <v>960</v>
      </c>
      <c r="C61">
        <v>1035</v>
      </c>
      <c r="D61">
        <f>ABS(B61-C61)</f>
        <v>75</v>
      </c>
      <c r="F61">
        <v>650</v>
      </c>
      <c r="G61">
        <v>800</v>
      </c>
      <c r="H61">
        <f>ABS(F61-G61)</f>
        <v>150</v>
      </c>
      <c r="M61">
        <v>100</v>
      </c>
      <c r="N61">
        <v>100</v>
      </c>
      <c r="O61">
        <f t="shared" si="0"/>
        <v>0</v>
      </c>
    </row>
    <row r="62" spans="2:15" x14ac:dyDescent="0.3">
      <c r="B62">
        <v>1200</v>
      </c>
      <c r="C62">
        <v>1230</v>
      </c>
      <c r="D62">
        <f t="shared" ref="D62:D63" si="12">ABS(B62-C62)</f>
        <v>30</v>
      </c>
      <c r="F62">
        <v>800</v>
      </c>
      <c r="G62">
        <v>850</v>
      </c>
      <c r="H62">
        <f t="shared" ref="H62:H63" si="13">ABS(F62-G62)</f>
        <v>50</v>
      </c>
      <c r="M62">
        <v>100</v>
      </c>
      <c r="N62">
        <v>100</v>
      </c>
      <c r="O62">
        <f t="shared" si="0"/>
        <v>0</v>
      </c>
    </row>
    <row r="63" spans="2:15" x14ac:dyDescent="0.3">
      <c r="B63">
        <v>1500</v>
      </c>
      <c r="C63">
        <v>1990</v>
      </c>
      <c r="D63">
        <f t="shared" si="12"/>
        <v>490</v>
      </c>
      <c r="F63">
        <v>1000</v>
      </c>
      <c r="G63">
        <v>1350</v>
      </c>
      <c r="H63">
        <f t="shared" si="13"/>
        <v>350</v>
      </c>
      <c r="M63">
        <v>100</v>
      </c>
      <c r="N63">
        <v>100</v>
      </c>
      <c r="O63">
        <f t="shared" si="0"/>
        <v>0</v>
      </c>
    </row>
    <row r="64" spans="2:15" x14ac:dyDescent="0.3">
      <c r="B64">
        <f>SUM(B61:B63)</f>
        <v>3660</v>
      </c>
      <c r="D64">
        <f>SUM(D61:D63)</f>
        <v>595</v>
      </c>
      <c r="F64">
        <f>SUM(F61:F63)</f>
        <v>2450</v>
      </c>
      <c r="H64">
        <f>SUM(H61:H63)</f>
        <v>550</v>
      </c>
      <c r="M64">
        <v>50</v>
      </c>
      <c r="N64">
        <v>50</v>
      </c>
      <c r="O64">
        <f t="shared" si="0"/>
        <v>0</v>
      </c>
    </row>
    <row r="65" spans="2:15" x14ac:dyDescent="0.3">
      <c r="D65" s="110">
        <f>D64/B64</f>
        <v>0.16256830601092895</v>
      </c>
      <c r="H65" s="110">
        <f>H64/F64</f>
        <v>0.22448979591836735</v>
      </c>
      <c r="M65">
        <v>40</v>
      </c>
      <c r="N65">
        <v>40</v>
      </c>
      <c r="O65">
        <f t="shared" si="0"/>
        <v>0</v>
      </c>
    </row>
    <row r="66" spans="2:15" x14ac:dyDescent="0.3">
      <c r="M66">
        <v>65</v>
      </c>
      <c r="N66">
        <v>65</v>
      </c>
      <c r="O66">
        <f t="shared" si="0"/>
        <v>0</v>
      </c>
    </row>
    <row r="67" spans="2:15" x14ac:dyDescent="0.3">
      <c r="B67" t="s">
        <v>593</v>
      </c>
      <c r="F67" t="s">
        <v>594</v>
      </c>
      <c r="M67">
        <v>80</v>
      </c>
      <c r="N67">
        <v>65</v>
      </c>
      <c r="O67">
        <f t="shared" si="0"/>
        <v>15</v>
      </c>
    </row>
    <row r="68" spans="2:15" x14ac:dyDescent="0.3">
      <c r="B68">
        <v>60</v>
      </c>
      <c r="C68">
        <v>59</v>
      </c>
      <c r="D68">
        <f>ABS(B68-C68)</f>
        <v>1</v>
      </c>
      <c r="F68">
        <v>60</v>
      </c>
      <c r="G68">
        <v>60</v>
      </c>
      <c r="H68">
        <f>ABS(F68-G68)</f>
        <v>0</v>
      </c>
      <c r="M68">
        <v>65</v>
      </c>
      <c r="N68">
        <v>65</v>
      </c>
      <c r="O68">
        <f t="shared" ref="O68:O91" si="14">ABS(M68-N68)</f>
        <v>0</v>
      </c>
    </row>
    <row r="69" spans="2:15" x14ac:dyDescent="0.3">
      <c r="B69">
        <v>60</v>
      </c>
      <c r="C69">
        <v>59</v>
      </c>
      <c r="D69">
        <f t="shared" ref="D69:D70" si="15">ABS(B69-C69)</f>
        <v>1</v>
      </c>
      <c r="F69">
        <v>60</v>
      </c>
      <c r="G69">
        <v>59</v>
      </c>
      <c r="H69">
        <f t="shared" ref="H69:H70" si="16">ABS(F69-G69)</f>
        <v>1</v>
      </c>
      <c r="M69">
        <v>100</v>
      </c>
      <c r="N69">
        <v>75</v>
      </c>
      <c r="O69">
        <f t="shared" si="14"/>
        <v>25</v>
      </c>
    </row>
    <row r="70" spans="2:15" x14ac:dyDescent="0.3">
      <c r="B70">
        <v>60</v>
      </c>
      <c r="C70">
        <v>60</v>
      </c>
      <c r="D70">
        <f t="shared" si="15"/>
        <v>0</v>
      </c>
      <c r="F70">
        <v>60</v>
      </c>
      <c r="G70">
        <v>58</v>
      </c>
      <c r="H70">
        <f t="shared" si="16"/>
        <v>2</v>
      </c>
      <c r="M70">
        <v>80</v>
      </c>
      <c r="N70">
        <v>75</v>
      </c>
      <c r="O70">
        <f t="shared" si="14"/>
        <v>5</v>
      </c>
    </row>
    <row r="71" spans="2:15" x14ac:dyDescent="0.3">
      <c r="B71">
        <f>SUM(B68:B70)</f>
        <v>180</v>
      </c>
      <c r="D71">
        <f>SUM(D68:D70)</f>
        <v>2</v>
      </c>
      <c r="F71">
        <f>SUM(F68:F70)</f>
        <v>180</v>
      </c>
      <c r="H71">
        <f>SUM(H68:H70)</f>
        <v>3</v>
      </c>
      <c r="M71">
        <v>80</v>
      </c>
      <c r="N71">
        <v>75</v>
      </c>
      <c r="O71">
        <f t="shared" si="14"/>
        <v>5</v>
      </c>
    </row>
    <row r="72" spans="2:15" x14ac:dyDescent="0.3">
      <c r="D72" s="110">
        <f>D71/B71</f>
        <v>1.1111111111111112E-2</v>
      </c>
      <c r="H72" s="110">
        <f>H71/F71</f>
        <v>1.6666666666666666E-2</v>
      </c>
      <c r="M72">
        <v>80</v>
      </c>
      <c r="N72">
        <v>75</v>
      </c>
      <c r="O72">
        <f t="shared" si="14"/>
        <v>5</v>
      </c>
    </row>
    <row r="73" spans="2:15" x14ac:dyDescent="0.3">
      <c r="M73">
        <v>80</v>
      </c>
      <c r="N73">
        <v>75</v>
      </c>
      <c r="O73">
        <f t="shared" si="14"/>
        <v>5</v>
      </c>
    </row>
    <row r="74" spans="2:15" x14ac:dyDescent="0.3">
      <c r="B74" t="s">
        <v>595</v>
      </c>
      <c r="F74" t="s">
        <v>596</v>
      </c>
      <c r="M74">
        <v>50</v>
      </c>
      <c r="N74">
        <v>50</v>
      </c>
      <c r="O74">
        <f t="shared" si="14"/>
        <v>0</v>
      </c>
    </row>
    <row r="75" spans="2:15" x14ac:dyDescent="0.3">
      <c r="B75">
        <v>700</v>
      </c>
      <c r="C75">
        <v>760</v>
      </c>
      <c r="D75">
        <f>ABS(B75-C75)</f>
        <v>60</v>
      </c>
      <c r="F75">
        <v>550</v>
      </c>
      <c r="G75">
        <v>450</v>
      </c>
      <c r="H75">
        <f>ABS(F75-G75)</f>
        <v>100</v>
      </c>
      <c r="M75">
        <v>40</v>
      </c>
      <c r="N75">
        <v>40</v>
      </c>
      <c r="O75">
        <f t="shared" si="14"/>
        <v>0</v>
      </c>
    </row>
    <row r="76" spans="2:15" x14ac:dyDescent="0.3">
      <c r="B76">
        <v>750</v>
      </c>
      <c r="C76">
        <v>827</v>
      </c>
      <c r="D76">
        <f t="shared" ref="D76:D77" si="17">ABS(B76-C76)</f>
        <v>77</v>
      </c>
      <c r="F76">
        <v>575</v>
      </c>
      <c r="G76">
        <v>530</v>
      </c>
      <c r="H76">
        <f t="shared" ref="H76:H77" si="18">ABS(F76-G76)</f>
        <v>45</v>
      </c>
      <c r="M76">
        <v>400</v>
      </c>
      <c r="N76">
        <v>400</v>
      </c>
      <c r="O76">
        <f t="shared" si="14"/>
        <v>0</v>
      </c>
    </row>
    <row r="77" spans="2:15" x14ac:dyDescent="0.3">
      <c r="B77">
        <v>850</v>
      </c>
      <c r="C77">
        <v>860</v>
      </c>
      <c r="D77">
        <f t="shared" si="17"/>
        <v>10</v>
      </c>
      <c r="F77">
        <v>875</v>
      </c>
      <c r="G77">
        <v>530</v>
      </c>
      <c r="H77">
        <f t="shared" si="18"/>
        <v>345</v>
      </c>
      <c r="M77">
        <v>30</v>
      </c>
      <c r="N77">
        <v>15</v>
      </c>
      <c r="O77">
        <f t="shared" si="14"/>
        <v>15</v>
      </c>
    </row>
    <row r="78" spans="2:15" x14ac:dyDescent="0.3">
      <c r="B78">
        <f>SUM(B75:B77)</f>
        <v>2300</v>
      </c>
      <c r="D78">
        <f>SUM(D75:D77)</f>
        <v>147</v>
      </c>
      <c r="F78">
        <f>SUM(F75:F77)</f>
        <v>2000</v>
      </c>
      <c r="H78">
        <f>SUM(H75:H77)</f>
        <v>490</v>
      </c>
      <c r="M78">
        <v>30</v>
      </c>
      <c r="N78">
        <v>16</v>
      </c>
      <c r="O78">
        <f t="shared" si="14"/>
        <v>14</v>
      </c>
    </row>
    <row r="79" spans="2:15" x14ac:dyDescent="0.3">
      <c r="D79" s="110">
        <f>D78/B78</f>
        <v>6.3913043478260864E-2</v>
      </c>
      <c r="H79" s="110">
        <f>H78/F78</f>
        <v>0.245</v>
      </c>
      <c r="M79">
        <v>30</v>
      </c>
      <c r="N79">
        <v>26</v>
      </c>
      <c r="O79">
        <f t="shared" si="14"/>
        <v>4</v>
      </c>
    </row>
    <row r="80" spans="2:15" x14ac:dyDescent="0.3">
      <c r="M80">
        <v>650</v>
      </c>
      <c r="N80">
        <v>800</v>
      </c>
      <c r="O80">
        <f t="shared" si="14"/>
        <v>150</v>
      </c>
    </row>
    <row r="81" spans="2:15" x14ac:dyDescent="0.3">
      <c r="B81" t="s">
        <v>597</v>
      </c>
      <c r="F81" t="s">
        <v>598</v>
      </c>
      <c r="M81">
        <v>800</v>
      </c>
      <c r="N81">
        <v>850</v>
      </c>
      <c r="O81">
        <f t="shared" si="14"/>
        <v>50</v>
      </c>
    </row>
    <row r="82" spans="2:15" x14ac:dyDescent="0.3">
      <c r="B82">
        <v>17</v>
      </c>
      <c r="C82">
        <v>17</v>
      </c>
      <c r="D82">
        <f>ABS(B82-C82)</f>
        <v>0</v>
      </c>
      <c r="F82">
        <v>17</v>
      </c>
      <c r="G82">
        <v>17</v>
      </c>
      <c r="H82">
        <f>ABS(F82-G82)</f>
        <v>0</v>
      </c>
      <c r="M82">
        <v>1000</v>
      </c>
      <c r="N82">
        <v>1350</v>
      </c>
      <c r="O82">
        <f t="shared" si="14"/>
        <v>350</v>
      </c>
    </row>
    <row r="83" spans="2:15" x14ac:dyDescent="0.3">
      <c r="B83">
        <v>17</v>
      </c>
      <c r="C83">
        <v>17</v>
      </c>
      <c r="D83">
        <f t="shared" ref="D83:D84" si="19">ABS(B83-C83)</f>
        <v>0</v>
      </c>
      <c r="F83">
        <v>17</v>
      </c>
      <c r="G83">
        <v>17</v>
      </c>
      <c r="H83">
        <f t="shared" ref="H83:H84" si="20">ABS(F83-G83)</f>
        <v>0</v>
      </c>
      <c r="M83">
        <v>60</v>
      </c>
      <c r="N83">
        <v>60</v>
      </c>
      <c r="O83">
        <f t="shared" si="14"/>
        <v>0</v>
      </c>
    </row>
    <row r="84" spans="2:15" x14ac:dyDescent="0.3">
      <c r="B84">
        <v>17</v>
      </c>
      <c r="C84">
        <v>17</v>
      </c>
      <c r="D84">
        <f t="shared" si="19"/>
        <v>0</v>
      </c>
      <c r="F84">
        <v>17</v>
      </c>
      <c r="G84">
        <v>17</v>
      </c>
      <c r="H84">
        <f t="shared" si="20"/>
        <v>0</v>
      </c>
      <c r="M84">
        <v>60</v>
      </c>
      <c r="N84">
        <v>59</v>
      </c>
      <c r="O84">
        <f t="shared" si="14"/>
        <v>1</v>
      </c>
    </row>
    <row r="85" spans="2:15" x14ac:dyDescent="0.3">
      <c r="B85">
        <f>SUM(B82:B84)</f>
        <v>51</v>
      </c>
      <c r="D85">
        <f>SUM(D82:D84)</f>
        <v>0</v>
      </c>
      <c r="F85">
        <f>SUM(F82:F84)</f>
        <v>51</v>
      </c>
      <c r="H85">
        <f>SUM(H82:H84)</f>
        <v>0</v>
      </c>
      <c r="M85">
        <v>60</v>
      </c>
      <c r="N85">
        <v>58</v>
      </c>
      <c r="O85">
        <f t="shared" si="14"/>
        <v>2</v>
      </c>
    </row>
    <row r="86" spans="2:15" x14ac:dyDescent="0.3">
      <c r="D86" s="110">
        <f>D85/B85</f>
        <v>0</v>
      </c>
      <c r="H86" s="110">
        <f>H85/F85</f>
        <v>0</v>
      </c>
      <c r="M86">
        <v>550</v>
      </c>
      <c r="N86">
        <v>450</v>
      </c>
      <c r="O86">
        <f t="shared" si="14"/>
        <v>100</v>
      </c>
    </row>
    <row r="87" spans="2:15" x14ac:dyDescent="0.3">
      <c r="M87">
        <v>575</v>
      </c>
      <c r="N87">
        <v>530</v>
      </c>
      <c r="O87">
        <f t="shared" si="14"/>
        <v>45</v>
      </c>
    </row>
    <row r="88" spans="2:15" x14ac:dyDescent="0.3">
      <c r="M88">
        <v>875</v>
      </c>
      <c r="N88">
        <v>530</v>
      </c>
      <c r="O88">
        <f t="shared" si="14"/>
        <v>345</v>
      </c>
    </row>
    <row r="89" spans="2:15" x14ac:dyDescent="0.3">
      <c r="B89" t="s">
        <v>366</v>
      </c>
      <c r="F89" t="s">
        <v>367</v>
      </c>
      <c r="M89">
        <v>17</v>
      </c>
      <c r="N89">
        <v>17</v>
      </c>
      <c r="O89">
        <f t="shared" si="14"/>
        <v>0</v>
      </c>
    </row>
    <row r="90" spans="2:15" x14ac:dyDescent="0.3">
      <c r="B90">
        <v>250</v>
      </c>
      <c r="C90">
        <v>184.14</v>
      </c>
      <c r="D90">
        <f>ABS(B90-C90)</f>
        <v>65.860000000000014</v>
      </c>
      <c r="F90">
        <v>350</v>
      </c>
      <c r="G90">
        <v>589.72</v>
      </c>
      <c r="H90">
        <f>ABS(F90-G90)</f>
        <v>239.72000000000003</v>
      </c>
      <c r="M90">
        <v>17</v>
      </c>
      <c r="N90">
        <v>17</v>
      </c>
      <c r="O90">
        <f t="shared" si="14"/>
        <v>0</v>
      </c>
    </row>
    <row r="91" spans="2:15" x14ac:dyDescent="0.3">
      <c r="D91" s="110">
        <f>D90/B90</f>
        <v>0.26344000000000006</v>
      </c>
      <c r="H91" s="110">
        <f>H90/F90</f>
        <v>0.68491428571428581</v>
      </c>
      <c r="M91">
        <v>17</v>
      </c>
      <c r="N91">
        <v>17</v>
      </c>
      <c r="O91">
        <f t="shared" si="14"/>
        <v>0</v>
      </c>
    </row>
    <row r="92" spans="2:15" x14ac:dyDescent="0.3">
      <c r="M92">
        <v>350</v>
      </c>
      <c r="N92">
        <v>589.72</v>
      </c>
      <c r="O92">
        <f>ABS(M92-N92)</f>
        <v>239.72000000000003</v>
      </c>
    </row>
    <row r="94" spans="2:15" x14ac:dyDescent="0.3">
      <c r="M94">
        <f>SUM(M3:M92)</f>
        <v>32371</v>
      </c>
      <c r="N94">
        <f>SUM(N3:N92)</f>
        <v>33018.86</v>
      </c>
      <c r="O94">
        <f>SUM(O3:O92)</f>
        <v>2875.58</v>
      </c>
    </row>
    <row r="96" spans="2:15" x14ac:dyDescent="0.3">
      <c r="O96" s="109">
        <f>O94/M94</f>
        <v>8.8831979240678385E-2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8CE77-DC55-4FC6-82F1-6B219689FCAF}">
  <sheetPr>
    <tabColor rgb="FF00B0F0"/>
  </sheetPr>
  <dimension ref="A3:AB144"/>
  <sheetViews>
    <sheetView topLeftCell="H1" zoomScale="62" zoomScaleNormal="62" zoomScaleSheetLayoutView="76" workbookViewId="0">
      <selection activeCell="O4" sqref="O4:AB132"/>
    </sheetView>
  </sheetViews>
  <sheetFormatPr defaultRowHeight="14.4" x14ac:dyDescent="0.3"/>
  <cols>
    <col min="1" max="1" width="4.6640625" style="9" bestFit="1" customWidth="1"/>
    <col min="3" max="3" width="26.33203125" customWidth="1"/>
    <col min="4" max="4" width="20.44140625" bestFit="1" customWidth="1"/>
    <col min="5" max="5" width="21" customWidth="1"/>
    <col min="6" max="6" width="14.109375" bestFit="1" customWidth="1"/>
    <col min="7" max="8" width="15.109375" customWidth="1"/>
    <col min="9" max="9" width="18.33203125" style="5" bestFit="1" customWidth="1"/>
    <col min="10" max="10" width="32.88671875" customWidth="1"/>
    <col min="11" max="12" width="15.109375" customWidth="1"/>
    <col min="13" max="13" width="18.33203125" style="5" bestFit="1" customWidth="1"/>
    <col min="14" max="14" width="11.33203125" customWidth="1"/>
    <col min="15" max="15" width="17" customWidth="1"/>
    <col min="18" max="18" width="17.88671875" customWidth="1"/>
    <col min="19" max="19" width="17.109375" customWidth="1"/>
    <col min="20" max="20" width="19.109375" customWidth="1"/>
  </cols>
  <sheetData>
    <row r="3" spans="1:13" x14ac:dyDescent="0.3">
      <c r="A3" s="10" t="s">
        <v>0</v>
      </c>
      <c r="B3" s="8" t="s">
        <v>75</v>
      </c>
      <c r="C3" s="6"/>
      <c r="D3" s="6"/>
      <c r="E3" s="6"/>
      <c r="F3" s="150" t="s">
        <v>83</v>
      </c>
      <c r="G3" s="150"/>
      <c r="H3" s="150"/>
      <c r="I3" s="150"/>
      <c r="J3" s="150" t="s">
        <v>84</v>
      </c>
      <c r="K3" s="150"/>
      <c r="L3" s="150"/>
      <c r="M3" s="150"/>
    </row>
    <row r="4" spans="1:13" ht="28.8" x14ac:dyDescent="0.3">
      <c r="B4" s="4" t="s">
        <v>2</v>
      </c>
      <c r="C4" s="4" t="s">
        <v>8</v>
      </c>
      <c r="D4" s="13" t="s">
        <v>7</v>
      </c>
      <c r="E4" s="13" t="s">
        <v>82</v>
      </c>
      <c r="F4" s="13" t="s">
        <v>6</v>
      </c>
      <c r="G4" s="13" t="s">
        <v>77</v>
      </c>
      <c r="H4" s="13" t="s">
        <v>78</v>
      </c>
      <c r="I4" s="24" t="s">
        <v>81</v>
      </c>
      <c r="J4" s="13" t="s">
        <v>87</v>
      </c>
      <c r="K4" s="13" t="s">
        <v>77</v>
      </c>
      <c r="L4" s="13" t="s">
        <v>78</v>
      </c>
      <c r="M4" s="24" t="s">
        <v>81</v>
      </c>
    </row>
    <row r="5" spans="1:13" x14ac:dyDescent="0.3">
      <c r="B5" s="155" t="s">
        <v>13</v>
      </c>
      <c r="C5" s="156"/>
      <c r="D5" s="12"/>
      <c r="E5" s="12"/>
      <c r="F5" s="15"/>
      <c r="G5" s="16"/>
      <c r="H5" s="16"/>
      <c r="I5" s="1"/>
      <c r="J5" s="15"/>
      <c r="K5" s="16"/>
      <c r="L5" s="16"/>
      <c r="M5" s="1"/>
    </row>
    <row r="6" spans="1:13" x14ac:dyDescent="0.3">
      <c r="B6" s="2">
        <v>1</v>
      </c>
      <c r="C6" s="3" t="s">
        <v>5</v>
      </c>
      <c r="D6" s="2">
        <v>27</v>
      </c>
      <c r="E6" s="20"/>
      <c r="F6" s="2">
        <v>5</v>
      </c>
      <c r="G6" s="14"/>
      <c r="H6" s="14">
        <f>D6*F6</f>
        <v>135</v>
      </c>
      <c r="I6" s="21"/>
      <c r="J6" s="2">
        <v>5</v>
      </c>
      <c r="K6" s="14"/>
      <c r="L6" s="14">
        <f>D6*J6</f>
        <v>135</v>
      </c>
      <c r="M6" s="21"/>
    </row>
    <row r="7" spans="1:13" x14ac:dyDescent="0.3">
      <c r="B7" s="1">
        <v>2</v>
      </c>
      <c r="C7" s="7" t="s">
        <v>9</v>
      </c>
      <c r="D7" s="1">
        <v>27</v>
      </c>
      <c r="E7" s="21"/>
      <c r="F7" s="1">
        <v>2</v>
      </c>
      <c r="G7" s="11">
        <f>D7*F7</f>
        <v>54</v>
      </c>
      <c r="H7" s="11"/>
      <c r="I7" s="21"/>
      <c r="J7" s="1">
        <v>2</v>
      </c>
      <c r="K7" s="14">
        <f>J7*D7</f>
        <v>54</v>
      </c>
      <c r="L7" s="11"/>
      <c r="M7" s="21"/>
    </row>
    <row r="8" spans="1:13" x14ac:dyDescent="0.3">
      <c r="B8" s="1">
        <v>3</v>
      </c>
      <c r="C8" s="7" t="s">
        <v>4</v>
      </c>
      <c r="D8" s="1">
        <v>33</v>
      </c>
      <c r="E8" s="21">
        <v>20</v>
      </c>
      <c r="F8" s="1">
        <v>2</v>
      </c>
      <c r="G8" s="11">
        <f t="shared" ref="G8" si="0">D8*F8</f>
        <v>66</v>
      </c>
      <c r="H8" s="11"/>
      <c r="I8" s="21">
        <f>E8*F8</f>
        <v>40</v>
      </c>
      <c r="J8" s="1">
        <v>2</v>
      </c>
      <c r="K8" s="14">
        <f>J8*D8</f>
        <v>66</v>
      </c>
      <c r="L8" s="11"/>
      <c r="M8" s="21">
        <f>E8*J8</f>
        <v>40</v>
      </c>
    </row>
    <row r="9" spans="1:13" x14ac:dyDescent="0.3">
      <c r="B9" s="1">
        <v>4</v>
      </c>
      <c r="C9" s="65" t="s">
        <v>10</v>
      </c>
      <c r="D9" s="1">
        <v>15</v>
      </c>
      <c r="E9" s="21">
        <v>15</v>
      </c>
      <c r="F9" s="25">
        <v>4</v>
      </c>
      <c r="G9" s="11">
        <f>D9*F9</f>
        <v>60</v>
      </c>
      <c r="H9" s="11"/>
      <c r="I9" s="21">
        <f>E9*F9</f>
        <v>60</v>
      </c>
      <c r="J9" s="25">
        <v>2</v>
      </c>
      <c r="K9" s="14">
        <f>J9*D9</f>
        <v>30</v>
      </c>
      <c r="L9" s="11"/>
      <c r="M9" s="21">
        <f>E9*J9</f>
        <v>30</v>
      </c>
    </row>
    <row r="10" spans="1:13" x14ac:dyDescent="0.3">
      <c r="B10" s="1">
        <v>5</v>
      </c>
      <c r="C10" s="7" t="s">
        <v>21</v>
      </c>
      <c r="D10" s="1">
        <v>2</v>
      </c>
      <c r="E10" s="21"/>
      <c r="F10" s="1">
        <v>3</v>
      </c>
      <c r="G10" s="11">
        <f>D10*F10</f>
        <v>6</v>
      </c>
      <c r="H10" s="11"/>
      <c r="I10" s="21"/>
      <c r="J10" s="1">
        <v>3</v>
      </c>
      <c r="K10" s="14">
        <f>J10*D10</f>
        <v>6</v>
      </c>
      <c r="L10" s="11"/>
      <c r="M10" s="21"/>
    </row>
    <row r="11" spans="1:13" x14ac:dyDescent="0.3">
      <c r="B11" s="161" t="s">
        <v>14</v>
      </c>
      <c r="C11" s="162"/>
      <c r="D11" s="162"/>
      <c r="E11" s="162"/>
      <c r="F11" s="163"/>
      <c r="G11" s="18">
        <f>SUM(G6:G10)</f>
        <v>186</v>
      </c>
      <c r="H11" s="18">
        <f>SUM(H6:H10)</f>
        <v>135</v>
      </c>
      <c r="I11" s="34">
        <f>SUM(I6:I10)</f>
        <v>100</v>
      </c>
      <c r="J11" s="38" t="s">
        <v>14</v>
      </c>
      <c r="K11" s="18">
        <f>SUM(K6:K10)</f>
        <v>156</v>
      </c>
      <c r="L11" s="18">
        <f>SUM(L6:L10)</f>
        <v>135</v>
      </c>
      <c r="M11" s="34">
        <f>SUM(M6:M10)</f>
        <v>70</v>
      </c>
    </row>
    <row r="12" spans="1:13" x14ac:dyDescent="0.3">
      <c r="B12" s="155" t="s">
        <v>11</v>
      </c>
      <c r="C12" s="156"/>
      <c r="D12" s="12"/>
      <c r="E12" s="12"/>
      <c r="F12" s="15"/>
      <c r="G12" s="16"/>
      <c r="H12" s="16"/>
      <c r="I12" s="1"/>
      <c r="J12" s="15"/>
      <c r="K12" s="16"/>
      <c r="L12" s="16"/>
      <c r="M12" s="1"/>
    </row>
    <row r="13" spans="1:13" x14ac:dyDescent="0.3">
      <c r="B13" s="2">
        <v>1</v>
      </c>
      <c r="C13" s="3" t="s">
        <v>5</v>
      </c>
      <c r="D13" s="2">
        <v>6</v>
      </c>
      <c r="E13" s="20"/>
      <c r="F13" s="2">
        <v>5</v>
      </c>
      <c r="G13" s="14"/>
      <c r="H13" s="14">
        <f t="shared" ref="H13" si="1">D13*F13</f>
        <v>30</v>
      </c>
      <c r="I13" s="21"/>
      <c r="J13" s="2">
        <v>5</v>
      </c>
      <c r="K13" s="14"/>
      <c r="L13" s="14">
        <f>D13*J13</f>
        <v>30</v>
      </c>
      <c r="M13" s="21"/>
    </row>
    <row r="14" spans="1:13" x14ac:dyDescent="0.3">
      <c r="B14" s="2">
        <v>2</v>
      </c>
      <c r="C14" s="3" t="s">
        <v>54</v>
      </c>
      <c r="D14" s="2">
        <v>2</v>
      </c>
      <c r="E14" s="20"/>
      <c r="F14" s="2">
        <v>10</v>
      </c>
      <c r="G14" s="14">
        <f>D14*F14</f>
        <v>20</v>
      </c>
      <c r="H14" s="14"/>
      <c r="I14" s="21"/>
      <c r="J14" s="2">
        <v>10</v>
      </c>
      <c r="K14" s="14">
        <f t="shared" ref="K14:K19" si="2">J14*D14</f>
        <v>20</v>
      </c>
      <c r="L14" s="14"/>
      <c r="M14" s="21"/>
    </row>
    <row r="15" spans="1:13" x14ac:dyDescent="0.3">
      <c r="B15" s="1">
        <v>3</v>
      </c>
      <c r="C15" s="7" t="s">
        <v>9</v>
      </c>
      <c r="D15" s="1">
        <v>12</v>
      </c>
      <c r="E15" s="21"/>
      <c r="F15" s="1">
        <v>2</v>
      </c>
      <c r="G15" s="11">
        <f t="shared" ref="G15:G17" si="3">D15*F15</f>
        <v>24</v>
      </c>
      <c r="H15" s="11"/>
      <c r="I15" s="21"/>
      <c r="J15" s="1">
        <v>2</v>
      </c>
      <c r="K15" s="14">
        <f t="shared" si="2"/>
        <v>24</v>
      </c>
      <c r="L15" s="11"/>
      <c r="M15" s="21"/>
    </row>
    <row r="16" spans="1:13" x14ac:dyDescent="0.3">
      <c r="B16" s="1">
        <v>4</v>
      </c>
      <c r="C16" s="7" t="s">
        <v>4</v>
      </c>
      <c r="D16" s="1">
        <v>12</v>
      </c>
      <c r="E16" s="21">
        <v>7</v>
      </c>
      <c r="F16" s="1">
        <v>2</v>
      </c>
      <c r="G16" s="11">
        <f t="shared" si="3"/>
        <v>24</v>
      </c>
      <c r="H16" s="11"/>
      <c r="I16" s="21">
        <f>E16*F16</f>
        <v>14</v>
      </c>
      <c r="J16" s="1">
        <v>2</v>
      </c>
      <c r="K16" s="14">
        <f t="shared" si="2"/>
        <v>24</v>
      </c>
      <c r="L16" s="11"/>
      <c r="M16" s="21">
        <f>E16*J16</f>
        <v>14</v>
      </c>
    </row>
    <row r="17" spans="1:28" x14ac:dyDescent="0.3">
      <c r="B17" s="1">
        <v>5</v>
      </c>
      <c r="C17" s="65" t="s">
        <v>3</v>
      </c>
      <c r="D17" s="1">
        <v>1</v>
      </c>
      <c r="E17" s="21">
        <v>1</v>
      </c>
      <c r="F17" s="25">
        <v>4</v>
      </c>
      <c r="G17" s="11">
        <f t="shared" si="3"/>
        <v>4</v>
      </c>
      <c r="H17" s="11"/>
      <c r="I17" s="21">
        <f>E17*F17</f>
        <v>4</v>
      </c>
      <c r="J17" s="25">
        <v>2</v>
      </c>
      <c r="K17" s="14">
        <f t="shared" si="2"/>
        <v>2</v>
      </c>
      <c r="L17" s="11"/>
      <c r="M17" s="21">
        <f>E17*J17</f>
        <v>2</v>
      </c>
    </row>
    <row r="18" spans="1:28" x14ac:dyDescent="0.3">
      <c r="B18" s="1">
        <v>6</v>
      </c>
      <c r="C18" s="7" t="s">
        <v>16</v>
      </c>
      <c r="D18" s="1">
        <v>1</v>
      </c>
      <c r="E18" s="21"/>
      <c r="F18" s="1">
        <v>5</v>
      </c>
      <c r="G18" s="11">
        <f>D18*F18</f>
        <v>5</v>
      </c>
      <c r="H18" s="11"/>
      <c r="I18" s="21"/>
      <c r="J18" s="1">
        <v>5</v>
      </c>
      <c r="K18" s="14">
        <f t="shared" si="2"/>
        <v>5</v>
      </c>
      <c r="L18" s="11"/>
      <c r="M18" s="21"/>
    </row>
    <row r="19" spans="1:28" x14ac:dyDescent="0.3">
      <c r="B19" s="1">
        <v>7</v>
      </c>
      <c r="C19" s="7" t="s">
        <v>21</v>
      </c>
      <c r="D19" s="1">
        <v>1</v>
      </c>
      <c r="E19" s="21"/>
      <c r="F19" s="1">
        <v>3</v>
      </c>
      <c r="G19" s="11">
        <f>D19*F19</f>
        <v>3</v>
      </c>
      <c r="H19" s="11"/>
      <c r="I19" s="21"/>
      <c r="J19" s="1">
        <v>3</v>
      </c>
      <c r="K19" s="14">
        <f t="shared" si="2"/>
        <v>3</v>
      </c>
      <c r="L19" s="11"/>
      <c r="M19" s="21"/>
    </row>
    <row r="20" spans="1:28" s="33" customFormat="1" x14ac:dyDescent="0.3">
      <c r="A20" s="10"/>
      <c r="B20" s="161" t="s">
        <v>12</v>
      </c>
      <c r="C20" s="162"/>
      <c r="D20" s="162"/>
      <c r="E20" s="162"/>
      <c r="F20" s="163"/>
      <c r="G20" s="18">
        <f>SUM(G13:G19)</f>
        <v>80</v>
      </c>
      <c r="H20" s="18">
        <f>SUM(H13:H19)</f>
        <v>30</v>
      </c>
      <c r="I20" s="34">
        <f>SUM(I13:I19)</f>
        <v>18</v>
      </c>
      <c r="J20" s="38" t="s">
        <v>12</v>
      </c>
      <c r="K20" s="18">
        <f>SUM(K13:K19)</f>
        <v>78</v>
      </c>
      <c r="L20" s="18">
        <f>SUM(L13:L19)</f>
        <v>30</v>
      </c>
      <c r="M20" s="34">
        <f>SUM(M13:M19)</f>
        <v>16</v>
      </c>
      <c r="O20"/>
      <c r="P20"/>
      <c r="Q20"/>
      <c r="R20"/>
      <c r="S20"/>
      <c r="T20"/>
      <c r="U20"/>
      <c r="V20"/>
      <c r="W20"/>
      <c r="X20"/>
      <c r="Y20"/>
      <c r="Z20"/>
      <c r="AA20"/>
      <c r="AB20"/>
    </row>
    <row r="21" spans="1:28" x14ac:dyDescent="0.3">
      <c r="B21" s="155" t="s">
        <v>17</v>
      </c>
      <c r="C21" s="156"/>
      <c r="D21" s="12"/>
      <c r="E21" s="12"/>
      <c r="F21" s="15"/>
      <c r="G21" s="16"/>
      <c r="H21" s="16"/>
      <c r="I21" s="1"/>
      <c r="J21" s="15"/>
      <c r="K21" s="16"/>
      <c r="L21" s="16"/>
      <c r="M21" s="1"/>
    </row>
    <row r="22" spans="1:28" x14ac:dyDescent="0.3">
      <c r="B22" s="2">
        <v>1</v>
      </c>
      <c r="C22" s="3" t="s">
        <v>5</v>
      </c>
      <c r="D22" s="2">
        <v>6</v>
      </c>
      <c r="E22" s="20"/>
      <c r="F22" s="2">
        <v>5</v>
      </c>
      <c r="G22" s="14"/>
      <c r="H22" s="14">
        <f t="shared" ref="H22" si="4">D22*F22</f>
        <v>30</v>
      </c>
      <c r="I22" s="21"/>
      <c r="J22" s="2">
        <v>5</v>
      </c>
      <c r="K22" s="14"/>
      <c r="L22" s="14">
        <f>D22*J22</f>
        <v>30</v>
      </c>
      <c r="M22" s="21"/>
    </row>
    <row r="23" spans="1:28" x14ac:dyDescent="0.3">
      <c r="B23" s="2">
        <v>2</v>
      </c>
      <c r="C23" s="3" t="s">
        <v>54</v>
      </c>
      <c r="D23" s="2">
        <v>2</v>
      </c>
      <c r="E23" s="20"/>
      <c r="F23" s="2">
        <v>10</v>
      </c>
      <c r="G23" s="14">
        <f>D23*F23</f>
        <v>20</v>
      </c>
      <c r="H23" s="14"/>
      <c r="I23" s="21"/>
      <c r="J23" s="2">
        <f>J14</f>
        <v>10</v>
      </c>
      <c r="K23" s="14">
        <f t="shared" ref="K23:K28" si="5">J23*D23</f>
        <v>20</v>
      </c>
      <c r="L23" s="14"/>
      <c r="M23" s="21"/>
    </row>
    <row r="24" spans="1:28" x14ac:dyDescent="0.3">
      <c r="B24" s="2">
        <v>3</v>
      </c>
      <c r="C24" s="7" t="s">
        <v>9</v>
      </c>
      <c r="D24" s="1">
        <v>12</v>
      </c>
      <c r="E24" s="21"/>
      <c r="F24" s="1">
        <v>2</v>
      </c>
      <c r="G24" s="11">
        <f t="shared" ref="G24:G26" si="6">D24*F24</f>
        <v>24</v>
      </c>
      <c r="H24" s="11"/>
      <c r="I24" s="21"/>
      <c r="J24" s="1">
        <v>2</v>
      </c>
      <c r="K24" s="14">
        <f t="shared" si="5"/>
        <v>24</v>
      </c>
      <c r="L24" s="11"/>
      <c r="M24" s="21"/>
    </row>
    <row r="25" spans="1:28" x14ac:dyDescent="0.3">
      <c r="B25" s="2">
        <v>4</v>
      </c>
      <c r="C25" s="7" t="s">
        <v>4</v>
      </c>
      <c r="D25" s="25">
        <v>30</v>
      </c>
      <c r="E25" s="21">
        <v>30</v>
      </c>
      <c r="F25" s="1">
        <v>2</v>
      </c>
      <c r="G25" s="11">
        <f t="shared" si="6"/>
        <v>60</v>
      </c>
      <c r="H25" s="11"/>
      <c r="I25" s="21">
        <f>E25*F25</f>
        <v>60</v>
      </c>
      <c r="J25" s="1">
        <v>2</v>
      </c>
      <c r="K25" s="14">
        <f t="shared" si="5"/>
        <v>60</v>
      </c>
      <c r="L25" s="11"/>
      <c r="M25" s="21">
        <f>E25*J25</f>
        <v>60</v>
      </c>
    </row>
    <row r="26" spans="1:28" x14ac:dyDescent="0.3">
      <c r="B26" s="2">
        <v>5</v>
      </c>
      <c r="C26" s="65" t="s">
        <v>3</v>
      </c>
      <c r="D26" s="1">
        <v>1</v>
      </c>
      <c r="E26" s="21">
        <v>1</v>
      </c>
      <c r="F26" s="25">
        <v>4</v>
      </c>
      <c r="G26" s="11">
        <f t="shared" si="6"/>
        <v>4</v>
      </c>
      <c r="H26" s="11"/>
      <c r="I26" s="21">
        <f t="shared" ref="I26:I28" si="7">E26*F26</f>
        <v>4</v>
      </c>
      <c r="J26" s="25">
        <v>2</v>
      </c>
      <c r="K26" s="14">
        <f t="shared" si="5"/>
        <v>2</v>
      </c>
      <c r="L26" s="11"/>
      <c r="M26" s="21">
        <f>E26*J26</f>
        <v>2</v>
      </c>
    </row>
    <row r="27" spans="1:28" x14ac:dyDescent="0.3">
      <c r="B27" s="2">
        <v>6</v>
      </c>
      <c r="C27" s="7" t="s">
        <v>16</v>
      </c>
      <c r="D27" s="1">
        <v>2</v>
      </c>
      <c r="E27" s="21">
        <v>2</v>
      </c>
      <c r="F27" s="1">
        <v>5</v>
      </c>
      <c r="G27" s="11">
        <f>D27*F27</f>
        <v>10</v>
      </c>
      <c r="H27" s="11"/>
      <c r="I27" s="21">
        <f t="shared" si="7"/>
        <v>10</v>
      </c>
      <c r="J27" s="1">
        <v>5</v>
      </c>
      <c r="K27" s="14">
        <f t="shared" si="5"/>
        <v>10</v>
      </c>
      <c r="L27" s="11"/>
      <c r="M27" s="21">
        <f>E27*J27</f>
        <v>10</v>
      </c>
    </row>
    <row r="28" spans="1:28" x14ac:dyDescent="0.3">
      <c r="B28" s="2">
        <v>7</v>
      </c>
      <c r="C28" s="7" t="s">
        <v>55</v>
      </c>
      <c r="D28" s="1">
        <v>2</v>
      </c>
      <c r="E28" s="21">
        <v>2</v>
      </c>
      <c r="F28" s="1">
        <v>2</v>
      </c>
      <c r="G28" s="11">
        <f>D28*F28</f>
        <v>4</v>
      </c>
      <c r="H28" s="11"/>
      <c r="I28" s="21">
        <f t="shared" si="7"/>
        <v>4</v>
      </c>
      <c r="J28" s="1">
        <v>2</v>
      </c>
      <c r="K28" s="14">
        <f t="shared" si="5"/>
        <v>4</v>
      </c>
      <c r="L28" s="11"/>
      <c r="M28" s="21">
        <f>E28*J28</f>
        <v>4</v>
      </c>
    </row>
    <row r="29" spans="1:28" s="33" customFormat="1" x14ac:dyDescent="0.3">
      <c r="A29" s="10"/>
      <c r="B29" s="161" t="s">
        <v>18</v>
      </c>
      <c r="C29" s="162"/>
      <c r="D29" s="162"/>
      <c r="E29" s="162"/>
      <c r="F29" s="163"/>
      <c r="G29" s="18">
        <f>SUM(G22:G28)</f>
        <v>122</v>
      </c>
      <c r="H29" s="18">
        <f>SUM(H22:H28)</f>
        <v>30</v>
      </c>
      <c r="I29" s="34">
        <f>SUM(I22:I28)</f>
        <v>78</v>
      </c>
      <c r="J29" s="38" t="s">
        <v>18</v>
      </c>
      <c r="K29" s="18">
        <f>SUM(K22:K28)</f>
        <v>120</v>
      </c>
      <c r="L29" s="18">
        <f>SUM(L22:L28)</f>
        <v>30</v>
      </c>
      <c r="M29" s="34">
        <f>SUM(M22:M28)</f>
        <v>76</v>
      </c>
      <c r="O29"/>
      <c r="P29"/>
      <c r="Q29"/>
      <c r="R29"/>
      <c r="S29"/>
      <c r="T29"/>
      <c r="U29"/>
      <c r="V29"/>
      <c r="W29"/>
      <c r="X29"/>
      <c r="Y29"/>
      <c r="Z29"/>
      <c r="AA29"/>
      <c r="AB29"/>
    </row>
    <row r="30" spans="1:28" x14ac:dyDescent="0.3">
      <c r="B30" s="155" t="s">
        <v>25</v>
      </c>
      <c r="C30" s="156"/>
      <c r="D30" s="12"/>
      <c r="E30" s="12"/>
      <c r="F30" s="15"/>
      <c r="G30" s="16"/>
      <c r="H30" s="16"/>
      <c r="I30" s="1"/>
      <c r="J30" s="15"/>
      <c r="K30" s="16"/>
      <c r="L30" s="16"/>
      <c r="M30" s="1"/>
    </row>
    <row r="31" spans="1:28" x14ac:dyDescent="0.3">
      <c r="B31" s="2">
        <v>1</v>
      </c>
      <c r="C31" s="3" t="s">
        <v>5</v>
      </c>
      <c r="D31" s="2">
        <f>1+2+1+2</f>
        <v>6</v>
      </c>
      <c r="E31" s="20"/>
      <c r="F31" s="2">
        <v>5</v>
      </c>
      <c r="G31" s="14"/>
      <c r="H31" s="14">
        <f t="shared" ref="H31" si="8">D31*F31</f>
        <v>30</v>
      </c>
      <c r="I31" s="21"/>
      <c r="J31" s="2">
        <v>5</v>
      </c>
      <c r="K31" s="14"/>
      <c r="L31" s="14">
        <f>D31*J31</f>
        <v>30</v>
      </c>
      <c r="M31" s="21"/>
    </row>
    <row r="32" spans="1:28" x14ac:dyDescent="0.3">
      <c r="B32" s="2">
        <v>2</v>
      </c>
      <c r="C32" s="7" t="s">
        <v>9</v>
      </c>
      <c r="D32" s="1">
        <f>3+2+1+2</f>
        <v>8</v>
      </c>
      <c r="E32" s="21"/>
      <c r="F32" s="1">
        <v>2</v>
      </c>
      <c r="G32" s="11">
        <f t="shared" ref="G32:G36" si="9">D32*F32</f>
        <v>16</v>
      </c>
      <c r="H32" s="11"/>
      <c r="I32" s="21"/>
      <c r="J32" s="1">
        <v>2</v>
      </c>
      <c r="K32" s="14">
        <f>J32*D32</f>
        <v>16</v>
      </c>
      <c r="L32" s="11"/>
      <c r="M32" s="21"/>
    </row>
    <row r="33" spans="1:28" x14ac:dyDescent="0.3">
      <c r="B33" s="2">
        <v>3</v>
      </c>
      <c r="C33" s="7" t="s">
        <v>4</v>
      </c>
      <c r="D33" s="1">
        <f>1+1</f>
        <v>2</v>
      </c>
      <c r="E33" s="21">
        <v>1</v>
      </c>
      <c r="F33" s="1">
        <v>2</v>
      </c>
      <c r="G33" s="11">
        <f t="shared" si="9"/>
        <v>4</v>
      </c>
      <c r="H33" s="11"/>
      <c r="I33" s="21">
        <f>E33*F33</f>
        <v>2</v>
      </c>
      <c r="J33" s="1">
        <v>2</v>
      </c>
      <c r="K33" s="14">
        <f>J33*D33</f>
        <v>4</v>
      </c>
      <c r="L33" s="11"/>
      <c r="M33" s="21">
        <f>E33*J33</f>
        <v>2</v>
      </c>
    </row>
    <row r="34" spans="1:28" x14ac:dyDescent="0.3">
      <c r="B34" s="2">
        <v>4</v>
      </c>
      <c r="C34" s="7" t="s">
        <v>10</v>
      </c>
      <c r="D34" s="1">
        <f>4</f>
        <v>4</v>
      </c>
      <c r="E34" s="21">
        <v>4</v>
      </c>
      <c r="F34" s="1">
        <v>2</v>
      </c>
      <c r="G34" s="11">
        <f t="shared" si="9"/>
        <v>8</v>
      </c>
      <c r="H34" s="11"/>
      <c r="I34" s="21">
        <f t="shared" ref="I34:I36" si="10">E34*F34</f>
        <v>8</v>
      </c>
      <c r="J34" s="1">
        <v>2</v>
      </c>
      <c r="K34" s="14">
        <f>J34*D34</f>
        <v>8</v>
      </c>
      <c r="L34" s="11"/>
      <c r="M34" s="21">
        <f>E34*J34</f>
        <v>8</v>
      </c>
    </row>
    <row r="35" spans="1:28" x14ac:dyDescent="0.3">
      <c r="B35" s="2">
        <v>5</v>
      </c>
      <c r="C35" s="7" t="s">
        <v>19</v>
      </c>
      <c r="D35" s="1">
        <f>1</f>
        <v>1</v>
      </c>
      <c r="E35" s="21">
        <v>1</v>
      </c>
      <c r="F35" s="1">
        <v>3</v>
      </c>
      <c r="G35" s="11">
        <f t="shared" si="9"/>
        <v>3</v>
      </c>
      <c r="H35" s="11"/>
      <c r="I35" s="21">
        <f t="shared" si="10"/>
        <v>3</v>
      </c>
      <c r="J35" s="1">
        <v>3</v>
      </c>
      <c r="K35" s="14">
        <f>J35*D35</f>
        <v>3</v>
      </c>
      <c r="L35" s="11"/>
      <c r="M35" s="21">
        <f>E35*J35</f>
        <v>3</v>
      </c>
    </row>
    <row r="36" spans="1:28" x14ac:dyDescent="0.3">
      <c r="B36" s="2">
        <v>6</v>
      </c>
      <c r="C36" s="7" t="s">
        <v>20</v>
      </c>
      <c r="D36" s="30">
        <v>6</v>
      </c>
      <c r="E36" s="21">
        <v>6</v>
      </c>
      <c r="F36" s="1">
        <v>4</v>
      </c>
      <c r="G36" s="11">
        <f t="shared" si="9"/>
        <v>24</v>
      </c>
      <c r="H36" s="11"/>
      <c r="I36" s="21">
        <f t="shared" si="10"/>
        <v>24</v>
      </c>
      <c r="J36" s="1">
        <v>4</v>
      </c>
      <c r="K36" s="14">
        <f>J36*D36</f>
        <v>24</v>
      </c>
      <c r="L36" s="11"/>
      <c r="M36" s="21">
        <f>E36*J36</f>
        <v>24</v>
      </c>
    </row>
    <row r="37" spans="1:28" s="33" customFormat="1" x14ac:dyDescent="0.3">
      <c r="A37" s="10"/>
      <c r="B37" s="161" t="s">
        <v>26</v>
      </c>
      <c r="C37" s="162"/>
      <c r="D37" s="162"/>
      <c r="E37" s="162"/>
      <c r="F37" s="163"/>
      <c r="G37" s="18">
        <f>SUM(G31:G36)</f>
        <v>55</v>
      </c>
      <c r="H37" s="18">
        <f>SUM(H31:H36)</f>
        <v>30</v>
      </c>
      <c r="I37" s="34">
        <f>SUM(I30:I36)</f>
        <v>37</v>
      </c>
      <c r="J37" s="38" t="s">
        <v>26</v>
      </c>
      <c r="K37" s="18">
        <f>SUM(K31:K36)</f>
        <v>55</v>
      </c>
      <c r="L37" s="18">
        <f>SUM(L31:L36)</f>
        <v>30</v>
      </c>
      <c r="M37" s="34">
        <f>SUM(M30:M36)</f>
        <v>37</v>
      </c>
      <c r="O37"/>
      <c r="P37"/>
      <c r="Q37"/>
      <c r="R37"/>
      <c r="S37"/>
      <c r="T37"/>
      <c r="U37"/>
      <c r="V37"/>
      <c r="W37"/>
      <c r="X37"/>
      <c r="Y37"/>
      <c r="Z37"/>
      <c r="AA37"/>
      <c r="AB37"/>
    </row>
    <row r="38" spans="1:28" x14ac:dyDescent="0.3">
      <c r="B38" s="155" t="s">
        <v>35</v>
      </c>
      <c r="C38" s="156"/>
      <c r="D38" s="12"/>
      <c r="E38" s="12"/>
      <c r="F38" s="15"/>
      <c r="G38" s="16"/>
      <c r="H38" s="16"/>
      <c r="I38" s="1"/>
      <c r="J38" s="15"/>
      <c r="K38" s="16"/>
      <c r="L38" s="16"/>
      <c r="M38" s="1"/>
    </row>
    <row r="39" spans="1:28" x14ac:dyDescent="0.3">
      <c r="B39" s="2">
        <v>1</v>
      </c>
      <c r="C39" s="3" t="s">
        <v>5</v>
      </c>
      <c r="D39" s="2">
        <v>1</v>
      </c>
      <c r="E39" s="20"/>
      <c r="F39" s="2">
        <v>5</v>
      </c>
      <c r="G39" s="14"/>
      <c r="H39" s="14">
        <f t="shared" ref="H39" si="11">D39*F39</f>
        <v>5</v>
      </c>
      <c r="I39" s="1"/>
      <c r="J39" s="2">
        <v>5</v>
      </c>
      <c r="K39" s="14"/>
      <c r="L39" s="14">
        <f>J39*D39</f>
        <v>5</v>
      </c>
      <c r="M39" s="21"/>
    </row>
    <row r="40" spans="1:28" x14ac:dyDescent="0.3">
      <c r="B40" s="2">
        <v>2</v>
      </c>
      <c r="C40" s="7" t="s">
        <v>9</v>
      </c>
      <c r="D40" s="1">
        <v>3</v>
      </c>
      <c r="E40" s="21"/>
      <c r="F40" s="1">
        <v>2</v>
      </c>
      <c r="G40" s="11">
        <f t="shared" ref="G40" si="12">D40*F40</f>
        <v>6</v>
      </c>
      <c r="H40" s="11"/>
      <c r="I40" s="1"/>
      <c r="J40" s="1">
        <v>2</v>
      </c>
      <c r="K40" s="14">
        <f>J40*D40</f>
        <v>6</v>
      </c>
      <c r="L40" s="11"/>
      <c r="M40" s="21"/>
    </row>
    <row r="41" spans="1:28" x14ac:dyDescent="0.3">
      <c r="B41" s="161" t="s">
        <v>36</v>
      </c>
      <c r="C41" s="162"/>
      <c r="D41" s="162"/>
      <c r="E41" s="162"/>
      <c r="F41" s="163"/>
      <c r="G41" s="17">
        <f>SUM(G39:G40)</f>
        <v>6</v>
      </c>
      <c r="H41" s="17">
        <f>SUM(H39:H40)</f>
        <v>5</v>
      </c>
      <c r="I41" s="1"/>
      <c r="J41" s="38" t="s">
        <v>36</v>
      </c>
      <c r="K41" s="17">
        <f>SUM(K39:K40)</f>
        <v>6</v>
      </c>
      <c r="L41" s="17">
        <f>SUM(L39:L40)</f>
        <v>5</v>
      </c>
      <c r="M41" s="21">
        <f>SUM(M39:M40)</f>
        <v>0</v>
      </c>
    </row>
    <row r="42" spans="1:28" x14ac:dyDescent="0.3">
      <c r="B42" s="155" t="s">
        <v>27</v>
      </c>
      <c r="C42" s="156"/>
      <c r="D42" s="12"/>
      <c r="E42" s="12"/>
      <c r="F42" s="15"/>
      <c r="G42" s="16"/>
      <c r="H42" s="16"/>
      <c r="I42" s="1"/>
      <c r="J42" s="15"/>
      <c r="K42" s="16"/>
      <c r="L42" s="16"/>
      <c r="M42" s="1"/>
    </row>
    <row r="43" spans="1:28" x14ac:dyDescent="0.3">
      <c r="B43" s="2">
        <v>1</v>
      </c>
      <c r="C43" s="3" t="s">
        <v>5</v>
      </c>
      <c r="D43" s="2">
        <f>1+2+2+1+2</f>
        <v>8</v>
      </c>
      <c r="E43" s="20"/>
      <c r="F43" s="2">
        <v>5</v>
      </c>
      <c r="G43" s="14"/>
      <c r="H43" s="14">
        <f t="shared" ref="H43" si="13">D43*F43</f>
        <v>40</v>
      </c>
      <c r="I43" s="21"/>
      <c r="J43" s="2">
        <v>5</v>
      </c>
      <c r="K43" s="14"/>
      <c r="L43" s="14">
        <f>D43*J43</f>
        <v>40</v>
      </c>
      <c r="M43" s="21"/>
    </row>
    <row r="44" spans="1:28" x14ac:dyDescent="0.3">
      <c r="B44" s="2">
        <v>2</v>
      </c>
      <c r="C44" s="7" t="s">
        <v>9</v>
      </c>
      <c r="D44" s="1">
        <f>3+2+2+1+2</f>
        <v>10</v>
      </c>
      <c r="E44" s="21"/>
      <c r="F44" s="1">
        <v>2</v>
      </c>
      <c r="G44" s="11">
        <f t="shared" ref="G44:G48" si="14">D44*F44</f>
        <v>20</v>
      </c>
      <c r="H44" s="11"/>
      <c r="I44" s="21"/>
      <c r="J44" s="1">
        <v>2</v>
      </c>
      <c r="K44" s="14">
        <f>J44*D44</f>
        <v>20</v>
      </c>
      <c r="L44" s="11"/>
      <c r="M44" s="21"/>
    </row>
    <row r="45" spans="1:28" x14ac:dyDescent="0.3">
      <c r="B45" s="2">
        <v>3</v>
      </c>
      <c r="C45" s="7" t="s">
        <v>4</v>
      </c>
      <c r="D45" s="1">
        <f>1+1+1</f>
        <v>3</v>
      </c>
      <c r="E45" s="21">
        <v>2</v>
      </c>
      <c r="F45" s="1">
        <v>2</v>
      </c>
      <c r="G45" s="11">
        <f t="shared" si="14"/>
        <v>6</v>
      </c>
      <c r="H45" s="11"/>
      <c r="I45" s="21">
        <f t="shared" ref="I45:I47" si="15">E45*F45</f>
        <v>4</v>
      </c>
      <c r="J45" s="1">
        <v>2</v>
      </c>
      <c r="K45" s="14">
        <f>J45*D45</f>
        <v>6</v>
      </c>
      <c r="L45" s="11"/>
      <c r="M45" s="21">
        <f>E45*J45</f>
        <v>4</v>
      </c>
    </row>
    <row r="46" spans="1:28" x14ac:dyDescent="0.3">
      <c r="B46" s="2">
        <v>4</v>
      </c>
      <c r="C46" s="7" t="s">
        <v>3</v>
      </c>
      <c r="D46" s="1">
        <f>1</f>
        <v>1</v>
      </c>
      <c r="E46" s="21">
        <v>1</v>
      </c>
      <c r="F46" s="1">
        <v>2</v>
      </c>
      <c r="G46" s="11">
        <f t="shared" si="14"/>
        <v>2</v>
      </c>
      <c r="H46" s="11"/>
      <c r="I46" s="21">
        <f t="shared" si="15"/>
        <v>2</v>
      </c>
      <c r="J46" s="1">
        <v>2</v>
      </c>
      <c r="K46" s="14">
        <f>J46*D46</f>
        <v>2</v>
      </c>
      <c r="L46" s="11"/>
      <c r="M46" s="21">
        <f>E46*J46</f>
        <v>2</v>
      </c>
    </row>
    <row r="47" spans="1:28" x14ac:dyDescent="0.3">
      <c r="B47" s="2">
        <v>5</v>
      </c>
      <c r="C47" s="7" t="s">
        <v>19</v>
      </c>
      <c r="D47" s="1">
        <f>3+3</f>
        <v>6</v>
      </c>
      <c r="E47" s="21">
        <v>3</v>
      </c>
      <c r="F47" s="1">
        <v>3</v>
      </c>
      <c r="G47" s="11">
        <f t="shared" si="14"/>
        <v>18</v>
      </c>
      <c r="H47" s="11"/>
      <c r="I47" s="21">
        <f t="shared" si="15"/>
        <v>9</v>
      </c>
      <c r="J47" s="1">
        <v>3</v>
      </c>
      <c r="K47" s="14">
        <f>J47*D47</f>
        <v>18</v>
      </c>
      <c r="L47" s="11"/>
      <c r="M47" s="21">
        <f>E47*J47</f>
        <v>9</v>
      </c>
    </row>
    <row r="48" spans="1:28" x14ac:dyDescent="0.3">
      <c r="B48" s="2">
        <v>6</v>
      </c>
      <c r="C48" s="7" t="s">
        <v>21</v>
      </c>
      <c r="D48" s="1">
        <f>1</f>
        <v>1</v>
      </c>
      <c r="E48" s="21"/>
      <c r="F48" s="1">
        <f>3</f>
        <v>3</v>
      </c>
      <c r="G48" s="11">
        <f t="shared" si="14"/>
        <v>3</v>
      </c>
      <c r="H48" s="11"/>
      <c r="I48" s="21"/>
      <c r="J48" s="1">
        <f>3</f>
        <v>3</v>
      </c>
      <c r="K48" s="14">
        <f>J48*D48</f>
        <v>3</v>
      </c>
      <c r="L48" s="11"/>
      <c r="M48" s="21"/>
    </row>
    <row r="49" spans="1:28" s="33" customFormat="1" x14ac:dyDescent="0.3">
      <c r="A49" s="10"/>
      <c r="B49" s="161" t="s">
        <v>28</v>
      </c>
      <c r="C49" s="162"/>
      <c r="D49" s="162"/>
      <c r="E49" s="162"/>
      <c r="F49" s="163"/>
      <c r="G49" s="18">
        <f>SUM(G43:G48)</f>
        <v>49</v>
      </c>
      <c r="H49" s="18">
        <f>SUM(H43:H48)</f>
        <v>40</v>
      </c>
      <c r="I49" s="34">
        <f>SUM(I42:I48)</f>
        <v>15</v>
      </c>
      <c r="J49" s="38" t="s">
        <v>28</v>
      </c>
      <c r="K49" s="18">
        <f>SUM(K43:K48)</f>
        <v>49</v>
      </c>
      <c r="L49" s="18">
        <f>SUM(L43:L48)</f>
        <v>40</v>
      </c>
      <c r="M49" s="34">
        <f>SUM(M42:M48)</f>
        <v>15</v>
      </c>
      <c r="O49"/>
      <c r="P49"/>
      <c r="Q49"/>
      <c r="R49"/>
      <c r="S49"/>
      <c r="T49"/>
      <c r="U49"/>
      <c r="V49"/>
      <c r="W49"/>
      <c r="X49"/>
      <c r="Y49"/>
      <c r="Z49"/>
      <c r="AA49"/>
      <c r="AB49"/>
    </row>
    <row r="50" spans="1:28" x14ac:dyDescent="0.3">
      <c r="B50" s="155" t="s">
        <v>29</v>
      </c>
      <c r="C50" s="156"/>
      <c r="D50" s="12"/>
      <c r="E50" s="12"/>
      <c r="F50" s="15"/>
      <c r="G50" s="16"/>
      <c r="H50" s="16"/>
      <c r="I50" s="1"/>
      <c r="J50" s="15"/>
      <c r="K50" s="16"/>
      <c r="L50" s="16"/>
      <c r="M50" s="1"/>
    </row>
    <row r="51" spans="1:28" x14ac:dyDescent="0.3">
      <c r="B51" s="2">
        <v>1</v>
      </c>
      <c r="C51" s="3" t="s">
        <v>5</v>
      </c>
      <c r="D51" s="2">
        <f>2+1+10+2</f>
        <v>15</v>
      </c>
      <c r="E51" s="20"/>
      <c r="F51" s="2">
        <v>5</v>
      </c>
      <c r="G51" s="14"/>
      <c r="H51" s="14">
        <f t="shared" ref="H51" si="16">D51*F51</f>
        <v>75</v>
      </c>
      <c r="I51" s="21"/>
      <c r="J51" s="2">
        <v>5</v>
      </c>
      <c r="K51" s="14"/>
      <c r="L51" s="14">
        <f>D51*J51</f>
        <v>75</v>
      </c>
      <c r="M51" s="21"/>
    </row>
    <row r="52" spans="1:28" x14ac:dyDescent="0.3">
      <c r="B52" s="2">
        <v>2</v>
      </c>
      <c r="C52" s="7" t="s">
        <v>9</v>
      </c>
      <c r="D52" s="1">
        <f>2+1+10+2</f>
        <v>15</v>
      </c>
      <c r="E52" s="21"/>
      <c r="F52" s="1">
        <v>2</v>
      </c>
      <c r="G52" s="11">
        <f t="shared" ref="G52:G57" si="17">D52*F52</f>
        <v>30</v>
      </c>
      <c r="H52" s="11"/>
      <c r="I52" s="21"/>
      <c r="J52" s="1">
        <v>2</v>
      </c>
      <c r="K52" s="14">
        <f t="shared" ref="K52:K57" si="18">J52*D52</f>
        <v>30</v>
      </c>
      <c r="L52" s="11"/>
      <c r="M52" s="21"/>
    </row>
    <row r="53" spans="1:28" x14ac:dyDescent="0.3">
      <c r="B53" s="2">
        <v>3</v>
      </c>
      <c r="C53" s="7" t="s">
        <v>4</v>
      </c>
      <c r="D53" s="25">
        <v>20</v>
      </c>
      <c r="E53" s="21">
        <v>20</v>
      </c>
      <c r="F53" s="1">
        <v>2</v>
      </c>
      <c r="G53" s="11">
        <f t="shared" si="17"/>
        <v>40</v>
      </c>
      <c r="H53" s="11"/>
      <c r="I53" s="21">
        <f>E53*F53</f>
        <v>40</v>
      </c>
      <c r="J53" s="1">
        <v>2</v>
      </c>
      <c r="K53" s="14">
        <f t="shared" si="18"/>
        <v>40</v>
      </c>
      <c r="L53" s="11"/>
      <c r="M53" s="21">
        <f>E53*J53</f>
        <v>40</v>
      </c>
    </row>
    <row r="54" spans="1:28" x14ac:dyDescent="0.3">
      <c r="B54" s="2">
        <v>4</v>
      </c>
      <c r="C54" s="7" t="s">
        <v>3</v>
      </c>
      <c r="D54" s="1">
        <f>1</f>
        <v>1</v>
      </c>
      <c r="E54" s="21">
        <v>1</v>
      </c>
      <c r="F54" s="1">
        <v>2</v>
      </c>
      <c r="G54" s="11">
        <f t="shared" si="17"/>
        <v>2</v>
      </c>
      <c r="H54" s="11"/>
      <c r="I54" s="21">
        <f t="shared" ref="I54:I56" si="19">E54*F54</f>
        <v>2</v>
      </c>
      <c r="J54" s="1">
        <v>2</v>
      </c>
      <c r="K54" s="14">
        <f t="shared" si="18"/>
        <v>2</v>
      </c>
      <c r="L54" s="11"/>
      <c r="M54" s="21">
        <f>E54*J54</f>
        <v>2</v>
      </c>
    </row>
    <row r="55" spans="1:28" x14ac:dyDescent="0.3">
      <c r="B55" s="2">
        <v>5</v>
      </c>
      <c r="C55" s="7" t="s">
        <v>10</v>
      </c>
      <c r="D55" s="1">
        <f>10</f>
        <v>10</v>
      </c>
      <c r="E55" s="21">
        <v>6</v>
      </c>
      <c r="F55" s="1">
        <v>2</v>
      </c>
      <c r="G55" s="11">
        <f t="shared" si="17"/>
        <v>20</v>
      </c>
      <c r="H55" s="11"/>
      <c r="I55" s="21">
        <f t="shared" si="19"/>
        <v>12</v>
      </c>
      <c r="J55" s="1">
        <v>2</v>
      </c>
      <c r="K55" s="14">
        <f t="shared" si="18"/>
        <v>20</v>
      </c>
      <c r="L55" s="11"/>
      <c r="M55" s="21">
        <f>E55*J55</f>
        <v>12</v>
      </c>
    </row>
    <row r="56" spans="1:28" x14ac:dyDescent="0.3">
      <c r="B56" s="2">
        <v>6</v>
      </c>
      <c r="C56" s="7" t="s">
        <v>19</v>
      </c>
      <c r="D56" s="1">
        <f>1</f>
        <v>1</v>
      </c>
      <c r="E56" s="21">
        <v>1</v>
      </c>
      <c r="F56" s="1">
        <v>3</v>
      </c>
      <c r="G56" s="11">
        <f t="shared" si="17"/>
        <v>3</v>
      </c>
      <c r="H56" s="11"/>
      <c r="I56" s="21">
        <f t="shared" si="19"/>
        <v>3</v>
      </c>
      <c r="J56" s="1">
        <v>3</v>
      </c>
      <c r="K56" s="14">
        <f t="shared" si="18"/>
        <v>3</v>
      </c>
      <c r="L56" s="11"/>
      <c r="M56" s="21">
        <f>E56*J56</f>
        <v>3</v>
      </c>
    </row>
    <row r="57" spans="1:28" x14ac:dyDescent="0.3">
      <c r="B57" s="2">
        <v>7</v>
      </c>
      <c r="C57" s="7" t="s">
        <v>21</v>
      </c>
      <c r="D57" s="1">
        <f>1</f>
        <v>1</v>
      </c>
      <c r="E57" s="21"/>
      <c r="F57" s="1">
        <f>3</f>
        <v>3</v>
      </c>
      <c r="G57" s="11">
        <f t="shared" si="17"/>
        <v>3</v>
      </c>
      <c r="H57" s="11"/>
      <c r="I57" s="21"/>
      <c r="J57" s="1">
        <f>3</f>
        <v>3</v>
      </c>
      <c r="K57" s="14">
        <f t="shared" si="18"/>
        <v>3</v>
      </c>
      <c r="L57" s="11"/>
      <c r="M57" s="21"/>
    </row>
    <row r="58" spans="1:28" s="33" customFormat="1" x14ac:dyDescent="0.3">
      <c r="A58" s="10"/>
      <c r="B58" s="161" t="s">
        <v>30</v>
      </c>
      <c r="C58" s="162"/>
      <c r="D58" s="162"/>
      <c r="E58" s="162"/>
      <c r="F58" s="163"/>
      <c r="G58" s="18">
        <f>SUM(G51:G57)</f>
        <v>98</v>
      </c>
      <c r="H58" s="18">
        <f>SUM(H51:H57)</f>
        <v>75</v>
      </c>
      <c r="I58" s="34">
        <f>SUM(I51:I57)</f>
        <v>57</v>
      </c>
      <c r="J58" s="38" t="s">
        <v>30</v>
      </c>
      <c r="K58" s="18">
        <f>SUM(K51:K57)</f>
        <v>98</v>
      </c>
      <c r="L58" s="18">
        <f>SUM(L51:L57)</f>
        <v>75</v>
      </c>
      <c r="M58" s="34">
        <f>SUM(M51:M57)</f>
        <v>57</v>
      </c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x14ac:dyDescent="0.3">
      <c r="B59" s="155" t="s">
        <v>37</v>
      </c>
      <c r="C59" s="156"/>
      <c r="D59" s="12"/>
      <c r="E59" s="12"/>
      <c r="F59" s="15"/>
      <c r="G59" s="16"/>
      <c r="H59" s="16"/>
      <c r="I59" s="1"/>
      <c r="J59" s="15"/>
      <c r="K59" s="16"/>
      <c r="L59" s="16"/>
      <c r="M59" s="1"/>
    </row>
    <row r="60" spans="1:28" x14ac:dyDescent="0.3">
      <c r="B60" s="2">
        <v>1</v>
      </c>
      <c r="C60" s="3" t="s">
        <v>5</v>
      </c>
      <c r="D60" s="2">
        <f>1</f>
        <v>1</v>
      </c>
      <c r="E60" s="20"/>
      <c r="F60" s="2">
        <v>5</v>
      </c>
      <c r="G60" s="14"/>
      <c r="H60" s="14">
        <f t="shared" ref="H60" si="20">D60*F60</f>
        <v>5</v>
      </c>
      <c r="I60" s="21"/>
      <c r="J60" s="2">
        <v>5</v>
      </c>
      <c r="K60" s="14"/>
      <c r="L60" s="14">
        <f>D60*J60</f>
        <v>5</v>
      </c>
      <c r="M60" s="21"/>
    </row>
    <row r="61" spans="1:28" x14ac:dyDescent="0.3">
      <c r="B61" s="2">
        <v>2</v>
      </c>
      <c r="C61" s="7" t="s">
        <v>9</v>
      </c>
      <c r="D61" s="1">
        <f>3</f>
        <v>3</v>
      </c>
      <c r="E61" s="21"/>
      <c r="F61" s="1">
        <v>2</v>
      </c>
      <c r="G61" s="11">
        <f t="shared" ref="G61" si="21">D61*F61</f>
        <v>6</v>
      </c>
      <c r="H61" s="11"/>
      <c r="I61" s="21"/>
      <c r="J61" s="1">
        <v>2</v>
      </c>
      <c r="K61" s="14">
        <f>J61*D61</f>
        <v>6</v>
      </c>
      <c r="L61" s="11"/>
      <c r="M61" s="21"/>
    </row>
    <row r="62" spans="1:28" s="33" customFormat="1" x14ac:dyDescent="0.3">
      <c r="A62" s="10"/>
      <c r="B62" s="161" t="s">
        <v>38</v>
      </c>
      <c r="C62" s="162"/>
      <c r="D62" s="162"/>
      <c r="E62" s="162"/>
      <c r="F62" s="163"/>
      <c r="G62" s="18">
        <f>SUM(G60:G61)</f>
        <v>6</v>
      </c>
      <c r="H62" s="18">
        <f>SUM(H60:H61)</f>
        <v>5</v>
      </c>
      <c r="I62" s="34">
        <f>SUM(I60:I61)</f>
        <v>0</v>
      </c>
      <c r="J62" s="38" t="s">
        <v>38</v>
      </c>
      <c r="K62" s="18">
        <f>SUM(K60:K61)</f>
        <v>6</v>
      </c>
      <c r="L62" s="18">
        <f>SUM(L60:L61)</f>
        <v>5</v>
      </c>
      <c r="M62" s="34">
        <f>SUM(M60:M61)</f>
        <v>0</v>
      </c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x14ac:dyDescent="0.3">
      <c r="B63" s="155" t="s">
        <v>31</v>
      </c>
      <c r="C63" s="156"/>
      <c r="D63" s="12"/>
      <c r="E63" s="12"/>
      <c r="F63" s="15"/>
      <c r="G63" s="16"/>
      <c r="H63" s="16"/>
      <c r="I63" s="1"/>
      <c r="J63" s="15"/>
      <c r="K63" s="16"/>
      <c r="L63" s="16"/>
      <c r="M63" s="1"/>
    </row>
    <row r="64" spans="1:28" x14ac:dyDescent="0.3">
      <c r="B64" s="2">
        <v>1</v>
      </c>
      <c r="C64" s="3" t="s">
        <v>5</v>
      </c>
      <c r="D64" s="2">
        <f>6+25+2</f>
        <v>33</v>
      </c>
      <c r="E64" s="20"/>
      <c r="F64" s="2">
        <v>5</v>
      </c>
      <c r="G64" s="14"/>
      <c r="H64" s="14">
        <f t="shared" ref="H64" si="22">D64*F64</f>
        <v>165</v>
      </c>
      <c r="I64" s="21"/>
      <c r="J64" s="2">
        <v>5</v>
      </c>
      <c r="K64" s="14"/>
      <c r="L64" s="14">
        <f>D64*J64</f>
        <v>165</v>
      </c>
      <c r="M64" s="21"/>
    </row>
    <row r="65" spans="1:15" x14ac:dyDescent="0.3">
      <c r="B65" s="1">
        <v>2</v>
      </c>
      <c r="C65" s="3" t="s">
        <v>24</v>
      </c>
      <c r="D65" s="2">
        <f>4</f>
        <v>4</v>
      </c>
      <c r="E65" s="20"/>
      <c r="F65" s="2">
        <f>10</f>
        <v>10</v>
      </c>
      <c r="G65" s="14">
        <f>D65*F65</f>
        <v>40</v>
      </c>
      <c r="H65" s="14"/>
      <c r="I65" s="21"/>
      <c r="J65" s="2">
        <v>10</v>
      </c>
      <c r="K65" s="14">
        <f t="shared" ref="K65:K72" si="23">J65*D65</f>
        <v>40</v>
      </c>
      <c r="L65" s="14"/>
      <c r="M65" s="21"/>
    </row>
    <row r="66" spans="1:15" x14ac:dyDescent="0.3">
      <c r="B66" s="2">
        <v>3</v>
      </c>
      <c r="C66" s="7" t="s">
        <v>9</v>
      </c>
      <c r="D66" s="1">
        <f>10+6+25+2+3</f>
        <v>46</v>
      </c>
      <c r="E66" s="21"/>
      <c r="F66" s="1">
        <v>2</v>
      </c>
      <c r="G66" s="11">
        <f t="shared" ref="G66:G72" si="24">D66*F66</f>
        <v>92</v>
      </c>
      <c r="H66" s="11"/>
      <c r="I66" s="21"/>
      <c r="J66" s="1">
        <v>2</v>
      </c>
      <c r="K66" s="14">
        <f t="shared" si="23"/>
        <v>92</v>
      </c>
      <c r="L66" s="11"/>
      <c r="M66" s="21"/>
    </row>
    <row r="67" spans="1:15" x14ac:dyDescent="0.3">
      <c r="B67" s="1">
        <v>4</v>
      </c>
      <c r="C67" s="7" t="s">
        <v>4</v>
      </c>
      <c r="D67" s="1">
        <f>6+25+7</f>
        <v>38</v>
      </c>
      <c r="E67" s="21">
        <v>31</v>
      </c>
      <c r="F67" s="1">
        <v>2</v>
      </c>
      <c r="G67" s="11">
        <f t="shared" si="24"/>
        <v>76</v>
      </c>
      <c r="H67" s="11"/>
      <c r="I67" s="21">
        <f>E67*F67</f>
        <v>62</v>
      </c>
      <c r="J67" s="1">
        <v>2</v>
      </c>
      <c r="K67" s="14">
        <f t="shared" si="23"/>
        <v>76</v>
      </c>
      <c r="L67" s="11"/>
      <c r="M67" s="21">
        <f>J67*E67</f>
        <v>62</v>
      </c>
    </row>
    <row r="68" spans="1:15" x14ac:dyDescent="0.3">
      <c r="B68" s="2">
        <v>5</v>
      </c>
      <c r="C68" s="7" t="s">
        <v>16</v>
      </c>
      <c r="D68" s="1">
        <f>3</f>
        <v>3</v>
      </c>
      <c r="E68" s="21"/>
      <c r="F68" s="1">
        <v>5</v>
      </c>
      <c r="G68" s="11">
        <f t="shared" si="24"/>
        <v>15</v>
      </c>
      <c r="H68" s="11"/>
      <c r="I68" s="21"/>
      <c r="J68" s="1">
        <v>5</v>
      </c>
      <c r="K68" s="14">
        <f t="shared" si="23"/>
        <v>15</v>
      </c>
      <c r="L68" s="11"/>
      <c r="M68" s="21"/>
    </row>
    <row r="69" spans="1:15" x14ac:dyDescent="0.3">
      <c r="B69" s="1">
        <v>6</v>
      </c>
      <c r="C69" s="7" t="s">
        <v>3</v>
      </c>
      <c r="D69" s="1">
        <f>2</f>
        <v>2</v>
      </c>
      <c r="E69" s="21">
        <v>2</v>
      </c>
      <c r="F69" s="1">
        <v>2</v>
      </c>
      <c r="G69" s="11">
        <f t="shared" si="24"/>
        <v>4</v>
      </c>
      <c r="H69" s="11"/>
      <c r="I69" s="21">
        <f t="shared" ref="I69:I71" si="25">E69*F69</f>
        <v>4</v>
      </c>
      <c r="J69" s="1">
        <v>2</v>
      </c>
      <c r="K69" s="14">
        <f t="shared" si="23"/>
        <v>4</v>
      </c>
      <c r="L69" s="11"/>
      <c r="M69" s="21">
        <f>J69*E69</f>
        <v>4</v>
      </c>
    </row>
    <row r="70" spans="1:15" x14ac:dyDescent="0.3">
      <c r="B70" s="2">
        <v>7</v>
      </c>
      <c r="C70" s="7" t="s">
        <v>10</v>
      </c>
      <c r="D70" s="25">
        <v>36</v>
      </c>
      <c r="E70" s="21">
        <v>36</v>
      </c>
      <c r="F70" s="1">
        <v>2</v>
      </c>
      <c r="G70" s="11">
        <f t="shared" si="24"/>
        <v>72</v>
      </c>
      <c r="H70" s="11"/>
      <c r="I70" s="21">
        <f t="shared" si="25"/>
        <v>72</v>
      </c>
      <c r="J70" s="1">
        <v>2</v>
      </c>
      <c r="K70" s="14">
        <f t="shared" si="23"/>
        <v>72</v>
      </c>
      <c r="L70" s="11"/>
      <c r="M70" s="21">
        <f>J70*E70</f>
        <v>72</v>
      </c>
    </row>
    <row r="71" spans="1:15" x14ac:dyDescent="0.3">
      <c r="B71" s="1">
        <v>8</v>
      </c>
      <c r="C71" s="7" t="s">
        <v>19</v>
      </c>
      <c r="D71" s="1">
        <f>2</f>
        <v>2</v>
      </c>
      <c r="E71" s="21">
        <v>2</v>
      </c>
      <c r="F71" s="1">
        <v>3</v>
      </c>
      <c r="G71" s="11">
        <f t="shared" si="24"/>
        <v>6</v>
      </c>
      <c r="H71" s="11"/>
      <c r="I71" s="21">
        <f t="shared" si="25"/>
        <v>6</v>
      </c>
      <c r="J71" s="1">
        <v>3</v>
      </c>
      <c r="K71" s="14">
        <f t="shared" si="23"/>
        <v>6</v>
      </c>
      <c r="L71" s="11"/>
      <c r="M71" s="21">
        <f>J71*E71</f>
        <v>6</v>
      </c>
    </row>
    <row r="72" spans="1:15" x14ac:dyDescent="0.3">
      <c r="B72" s="2">
        <v>9</v>
      </c>
      <c r="C72" s="7" t="s">
        <v>21</v>
      </c>
      <c r="D72" s="1">
        <f>1</f>
        <v>1</v>
      </c>
      <c r="E72" s="21"/>
      <c r="F72" s="1">
        <f>3</f>
        <v>3</v>
      </c>
      <c r="G72" s="11">
        <f t="shared" si="24"/>
        <v>3</v>
      </c>
      <c r="H72" s="11"/>
      <c r="I72" s="21"/>
      <c r="J72" s="1">
        <f>3</f>
        <v>3</v>
      </c>
      <c r="K72" s="14">
        <f t="shared" si="23"/>
        <v>3</v>
      </c>
      <c r="L72" s="11"/>
      <c r="M72" s="21"/>
    </row>
    <row r="73" spans="1:15" s="33" customFormat="1" x14ac:dyDescent="0.3">
      <c r="A73" s="10"/>
      <c r="B73" s="161" t="s">
        <v>32</v>
      </c>
      <c r="C73" s="162"/>
      <c r="D73" s="162"/>
      <c r="E73" s="162"/>
      <c r="F73" s="163"/>
      <c r="G73" s="18">
        <f>SUM(G64:G72)</f>
        <v>308</v>
      </c>
      <c r="H73" s="18">
        <f>SUM(H64:H72)</f>
        <v>165</v>
      </c>
      <c r="I73" s="34">
        <f>SUM(I66:I72)</f>
        <v>144</v>
      </c>
      <c r="J73" s="38" t="s">
        <v>32</v>
      </c>
      <c r="K73" s="18">
        <f>SUM(K64:K72)</f>
        <v>308</v>
      </c>
      <c r="L73" s="18">
        <f>SUM(L64:L72)</f>
        <v>165</v>
      </c>
      <c r="M73" s="34">
        <f>SUM(M64:M72)</f>
        <v>144</v>
      </c>
      <c r="O73"/>
    </row>
    <row r="74" spans="1:15" x14ac:dyDescent="0.3">
      <c r="B74" s="155" t="s">
        <v>39</v>
      </c>
      <c r="C74" s="156"/>
      <c r="D74" s="12"/>
      <c r="E74" s="12"/>
      <c r="F74" s="15"/>
      <c r="G74" s="16"/>
      <c r="H74" s="16"/>
      <c r="I74" s="1"/>
      <c r="J74" s="15"/>
      <c r="K74" s="16"/>
      <c r="L74" s="16"/>
      <c r="M74" s="1"/>
    </row>
    <row r="75" spans="1:15" x14ac:dyDescent="0.3">
      <c r="B75" s="2">
        <v>1</v>
      </c>
      <c r="C75" s="3" t="s">
        <v>5</v>
      </c>
      <c r="D75" s="2">
        <f>15+2+1+2+16+2</f>
        <v>38</v>
      </c>
      <c r="E75" s="20"/>
      <c r="F75" s="2">
        <v>5</v>
      </c>
      <c r="G75" s="14"/>
      <c r="H75" s="14">
        <f t="shared" ref="H75" si="26">D75*F75</f>
        <v>190</v>
      </c>
      <c r="I75" s="21"/>
      <c r="J75" s="2">
        <f>J64</f>
        <v>5</v>
      </c>
      <c r="K75" s="14"/>
      <c r="L75" s="14">
        <f>D75*J75</f>
        <v>190</v>
      </c>
      <c r="M75" s="21"/>
    </row>
    <row r="76" spans="1:15" x14ac:dyDescent="0.3">
      <c r="B76" s="1">
        <v>2</v>
      </c>
      <c r="C76" s="3" t="s">
        <v>24</v>
      </c>
      <c r="D76" s="2">
        <f>2+1</f>
        <v>3</v>
      </c>
      <c r="E76" s="20"/>
      <c r="F76" s="2">
        <f>10</f>
        <v>10</v>
      </c>
      <c r="G76" s="14">
        <f>D76*F76</f>
        <v>30</v>
      </c>
      <c r="H76" s="14"/>
      <c r="I76" s="21"/>
      <c r="J76" s="2">
        <v>10</v>
      </c>
      <c r="K76" s="14">
        <f t="shared" ref="K76:K83" si="27">J76*D76</f>
        <v>30</v>
      </c>
      <c r="L76" s="14"/>
      <c r="M76" s="21"/>
    </row>
    <row r="77" spans="1:15" x14ac:dyDescent="0.3">
      <c r="B77" s="2">
        <v>3</v>
      </c>
      <c r="C77" s="7" t="s">
        <v>9</v>
      </c>
      <c r="D77" s="1">
        <f>15+4+1+3+16+3+2</f>
        <v>44</v>
      </c>
      <c r="E77" s="21"/>
      <c r="F77" s="1">
        <v>2</v>
      </c>
      <c r="G77" s="11">
        <f t="shared" ref="G77:G83" si="28">D77*F77</f>
        <v>88</v>
      </c>
      <c r="H77" s="11"/>
      <c r="I77" s="21"/>
      <c r="J77" s="2">
        <f t="shared" ref="J77:J83" si="29">J66</f>
        <v>2</v>
      </c>
      <c r="K77" s="14">
        <f t="shared" si="27"/>
        <v>88</v>
      </c>
      <c r="L77" s="11"/>
      <c r="M77" s="21"/>
    </row>
    <row r="78" spans="1:15" x14ac:dyDescent="0.3">
      <c r="B78" s="1">
        <v>4</v>
      </c>
      <c r="C78" s="7" t="s">
        <v>4</v>
      </c>
      <c r="D78" s="1">
        <f>15+15+1+1+2+16+7+2</f>
        <v>59</v>
      </c>
      <c r="E78" s="21">
        <v>39</v>
      </c>
      <c r="F78" s="1">
        <v>2</v>
      </c>
      <c r="G78" s="11">
        <f t="shared" si="28"/>
        <v>118</v>
      </c>
      <c r="H78" s="11"/>
      <c r="I78" s="21">
        <f>E78*F78</f>
        <v>78</v>
      </c>
      <c r="J78" s="2">
        <f t="shared" si="29"/>
        <v>2</v>
      </c>
      <c r="K78" s="14">
        <f t="shared" si="27"/>
        <v>118</v>
      </c>
      <c r="L78" s="11"/>
      <c r="M78" s="21">
        <f>E78*J78</f>
        <v>78</v>
      </c>
    </row>
    <row r="79" spans="1:15" x14ac:dyDescent="0.3">
      <c r="B79" s="2">
        <v>5</v>
      </c>
      <c r="C79" s="7" t="s">
        <v>16</v>
      </c>
      <c r="D79" s="1">
        <f>2</f>
        <v>2</v>
      </c>
      <c r="E79" s="21"/>
      <c r="F79" s="1">
        <v>5</v>
      </c>
      <c r="G79" s="11">
        <f t="shared" si="28"/>
        <v>10</v>
      </c>
      <c r="H79" s="11"/>
      <c r="I79" s="21"/>
      <c r="J79" s="2">
        <f t="shared" si="29"/>
        <v>5</v>
      </c>
      <c r="K79" s="14">
        <f t="shared" si="27"/>
        <v>10</v>
      </c>
      <c r="L79" s="11"/>
      <c r="M79" s="21"/>
    </row>
    <row r="80" spans="1:15" x14ac:dyDescent="0.3">
      <c r="B80" s="1">
        <v>6</v>
      </c>
      <c r="C80" s="7" t="s">
        <v>3</v>
      </c>
      <c r="D80" s="1">
        <f>1+2</f>
        <v>3</v>
      </c>
      <c r="E80" s="21">
        <v>3</v>
      </c>
      <c r="F80" s="1">
        <v>2</v>
      </c>
      <c r="G80" s="11">
        <f t="shared" si="28"/>
        <v>6</v>
      </c>
      <c r="H80" s="11"/>
      <c r="I80" s="21">
        <f t="shared" ref="I80:I82" si="30">E80*F80</f>
        <v>6</v>
      </c>
      <c r="J80" s="2">
        <f t="shared" si="29"/>
        <v>2</v>
      </c>
      <c r="K80" s="14">
        <f t="shared" si="27"/>
        <v>6</v>
      </c>
      <c r="L80" s="11"/>
      <c r="M80" s="21">
        <f>E80*J80</f>
        <v>6</v>
      </c>
    </row>
    <row r="81" spans="1:15" x14ac:dyDescent="0.3">
      <c r="B81" s="2">
        <v>7</v>
      </c>
      <c r="C81" s="7" t="s">
        <v>10</v>
      </c>
      <c r="D81" s="1">
        <f>15+16</f>
        <v>31</v>
      </c>
      <c r="E81" s="21">
        <v>31</v>
      </c>
      <c r="F81" s="1">
        <v>2</v>
      </c>
      <c r="G81" s="11">
        <f t="shared" si="28"/>
        <v>62</v>
      </c>
      <c r="H81" s="11"/>
      <c r="I81" s="21">
        <f t="shared" si="30"/>
        <v>62</v>
      </c>
      <c r="J81" s="2">
        <f t="shared" si="29"/>
        <v>2</v>
      </c>
      <c r="K81" s="14">
        <f t="shared" si="27"/>
        <v>62</v>
      </c>
      <c r="L81" s="11"/>
      <c r="M81" s="21">
        <f>E81*J81</f>
        <v>62</v>
      </c>
    </row>
    <row r="82" spans="1:15" x14ac:dyDescent="0.3">
      <c r="B82" s="1">
        <v>8</v>
      </c>
      <c r="C82" s="7" t="s">
        <v>19</v>
      </c>
      <c r="D82" s="1">
        <f>2</f>
        <v>2</v>
      </c>
      <c r="E82" s="21">
        <v>2</v>
      </c>
      <c r="F82" s="1">
        <v>3</v>
      </c>
      <c r="G82" s="11">
        <f t="shared" si="28"/>
        <v>6</v>
      </c>
      <c r="H82" s="11"/>
      <c r="I82" s="21">
        <f t="shared" si="30"/>
        <v>6</v>
      </c>
      <c r="J82" s="2">
        <f t="shared" si="29"/>
        <v>3</v>
      </c>
      <c r="K82" s="14">
        <f t="shared" si="27"/>
        <v>6</v>
      </c>
      <c r="L82" s="11"/>
      <c r="M82" s="21">
        <f>E82*J82</f>
        <v>6</v>
      </c>
    </row>
    <row r="83" spans="1:15" x14ac:dyDescent="0.3">
      <c r="B83" s="2">
        <v>9</v>
      </c>
      <c r="C83" s="7" t="s">
        <v>21</v>
      </c>
      <c r="D83" s="1">
        <f>1+1</f>
        <v>2</v>
      </c>
      <c r="E83" s="21"/>
      <c r="F83" s="1">
        <f>3</f>
        <v>3</v>
      </c>
      <c r="G83" s="11">
        <f t="shared" si="28"/>
        <v>6</v>
      </c>
      <c r="H83" s="11"/>
      <c r="I83" s="21"/>
      <c r="J83" s="2">
        <f t="shared" si="29"/>
        <v>3</v>
      </c>
      <c r="K83" s="14">
        <f t="shared" si="27"/>
        <v>6</v>
      </c>
      <c r="L83" s="11"/>
      <c r="M83" s="21"/>
    </row>
    <row r="84" spans="1:15" s="33" customFormat="1" x14ac:dyDescent="0.3">
      <c r="A84" s="10"/>
      <c r="B84" s="161" t="s">
        <v>40</v>
      </c>
      <c r="C84" s="162"/>
      <c r="D84" s="162"/>
      <c r="E84" s="162"/>
      <c r="F84" s="163"/>
      <c r="G84" s="18">
        <f>SUM(G75:G83)</f>
        <v>326</v>
      </c>
      <c r="H84" s="18">
        <f>SUM(H75:H83)</f>
        <v>190</v>
      </c>
      <c r="I84" s="34">
        <f>SUM(I77:I83)</f>
        <v>152</v>
      </c>
      <c r="J84" s="38" t="s">
        <v>40</v>
      </c>
      <c r="K84" s="18">
        <f>SUM(K75:K83)</f>
        <v>326</v>
      </c>
      <c r="L84" s="18">
        <f>SUM(L75:L83)</f>
        <v>190</v>
      </c>
      <c r="M84" s="34">
        <f>SUM(M77:M83)</f>
        <v>152</v>
      </c>
      <c r="O84"/>
    </row>
    <row r="85" spans="1:15" x14ac:dyDescent="0.3">
      <c r="B85" s="155" t="s">
        <v>41</v>
      </c>
      <c r="C85" s="156"/>
      <c r="D85" s="12"/>
      <c r="E85" s="12"/>
      <c r="F85" s="15"/>
      <c r="G85" s="16"/>
      <c r="H85" s="16"/>
      <c r="I85" s="1"/>
      <c r="J85" s="15"/>
      <c r="K85" s="16"/>
      <c r="L85" s="16"/>
      <c r="M85" s="1"/>
    </row>
    <row r="86" spans="1:15" x14ac:dyDescent="0.3">
      <c r="B86" s="2">
        <v>1</v>
      </c>
      <c r="C86" s="3" t="s">
        <v>5</v>
      </c>
      <c r="D86" s="2">
        <f>2+4+2+2+1+2+16+2</f>
        <v>31</v>
      </c>
      <c r="E86" s="20"/>
      <c r="F86" s="2">
        <v>5</v>
      </c>
      <c r="G86" s="14"/>
      <c r="H86" s="14">
        <f t="shared" ref="H86" si="31">D86*F86</f>
        <v>155</v>
      </c>
      <c r="I86" s="21"/>
      <c r="J86" s="2">
        <f t="shared" ref="J86:J94" si="32">J75</f>
        <v>5</v>
      </c>
      <c r="K86" s="14"/>
      <c r="L86" s="14">
        <f>D86*J86</f>
        <v>155</v>
      </c>
      <c r="M86" s="21"/>
    </row>
    <row r="87" spans="1:15" x14ac:dyDescent="0.3">
      <c r="B87" s="1">
        <v>2</v>
      </c>
      <c r="C87" s="3" t="s">
        <v>24</v>
      </c>
      <c r="D87" s="2">
        <f>2+1</f>
        <v>3</v>
      </c>
      <c r="E87" s="20"/>
      <c r="F87" s="2">
        <f>10</f>
        <v>10</v>
      </c>
      <c r="G87" s="14">
        <f>D87*F87</f>
        <v>30</v>
      </c>
      <c r="H87" s="14"/>
      <c r="I87" s="21"/>
      <c r="J87" s="2">
        <f t="shared" si="32"/>
        <v>10</v>
      </c>
      <c r="K87" s="14">
        <f t="shared" ref="K87:K94" si="33">J87*D87</f>
        <v>30</v>
      </c>
      <c r="L87" s="14"/>
      <c r="M87" s="21"/>
    </row>
    <row r="88" spans="1:15" x14ac:dyDescent="0.3">
      <c r="B88" s="2">
        <v>3</v>
      </c>
      <c r="C88" s="7" t="s">
        <v>9</v>
      </c>
      <c r="D88" s="1">
        <f>2+4+4+2+4+1+3+16+3</f>
        <v>39</v>
      </c>
      <c r="E88" s="21"/>
      <c r="F88" s="1">
        <v>2</v>
      </c>
      <c r="G88" s="11">
        <f t="shared" ref="G88:G94" si="34">D88*F88</f>
        <v>78</v>
      </c>
      <c r="H88" s="11"/>
      <c r="I88" s="21"/>
      <c r="J88" s="2">
        <f t="shared" si="32"/>
        <v>2</v>
      </c>
      <c r="K88" s="14">
        <f t="shared" si="33"/>
        <v>78</v>
      </c>
      <c r="L88" s="11"/>
      <c r="M88" s="21"/>
    </row>
    <row r="89" spans="1:15" x14ac:dyDescent="0.3">
      <c r="B89" s="1">
        <v>4</v>
      </c>
      <c r="C89" s="7" t="s">
        <v>4</v>
      </c>
      <c r="D89" s="1">
        <f>6+4+1+1+2+16+7+2</f>
        <v>39</v>
      </c>
      <c r="E89" s="21">
        <v>32</v>
      </c>
      <c r="F89" s="1">
        <v>2</v>
      </c>
      <c r="G89" s="11">
        <f t="shared" si="34"/>
        <v>78</v>
      </c>
      <c r="H89" s="11"/>
      <c r="I89" s="21">
        <f>E89*F89</f>
        <v>64</v>
      </c>
      <c r="J89" s="2">
        <f t="shared" si="32"/>
        <v>2</v>
      </c>
      <c r="K89" s="14">
        <f t="shared" si="33"/>
        <v>78</v>
      </c>
      <c r="L89" s="11"/>
      <c r="M89" s="21">
        <f>E89*J89</f>
        <v>64</v>
      </c>
    </row>
    <row r="90" spans="1:15" x14ac:dyDescent="0.3">
      <c r="B90" s="2">
        <v>5</v>
      </c>
      <c r="C90" s="7" t="s">
        <v>16</v>
      </c>
      <c r="D90" s="1">
        <f>2</f>
        <v>2</v>
      </c>
      <c r="E90" s="21"/>
      <c r="F90" s="1">
        <v>5</v>
      </c>
      <c r="G90" s="11">
        <f t="shared" si="34"/>
        <v>10</v>
      </c>
      <c r="H90" s="11"/>
      <c r="I90" s="21"/>
      <c r="J90" s="2">
        <f t="shared" si="32"/>
        <v>5</v>
      </c>
      <c r="K90" s="14">
        <f t="shared" si="33"/>
        <v>10</v>
      </c>
      <c r="L90" s="11"/>
      <c r="M90" s="21"/>
    </row>
    <row r="91" spans="1:15" x14ac:dyDescent="0.3">
      <c r="B91" s="1">
        <v>6</v>
      </c>
      <c r="C91" s="7" t="s">
        <v>3</v>
      </c>
      <c r="D91" s="1">
        <f>1+3+1+2</f>
        <v>7</v>
      </c>
      <c r="E91" s="21">
        <v>7</v>
      </c>
      <c r="F91" s="1">
        <v>2</v>
      </c>
      <c r="G91" s="11">
        <f t="shared" si="34"/>
        <v>14</v>
      </c>
      <c r="H91" s="11"/>
      <c r="I91" s="21">
        <f t="shared" ref="I91:I92" si="35">E91*F91</f>
        <v>14</v>
      </c>
      <c r="J91" s="2">
        <f t="shared" si="32"/>
        <v>2</v>
      </c>
      <c r="K91" s="14">
        <f t="shared" si="33"/>
        <v>14</v>
      </c>
      <c r="L91" s="11"/>
      <c r="M91" s="21">
        <f>E91*J91</f>
        <v>14</v>
      </c>
    </row>
    <row r="92" spans="1:15" x14ac:dyDescent="0.3">
      <c r="B92" s="2">
        <v>7</v>
      </c>
      <c r="C92" s="7" t="s">
        <v>10</v>
      </c>
      <c r="D92" s="1">
        <f>4+4+16</f>
        <v>24</v>
      </c>
      <c r="E92" s="21">
        <v>24</v>
      </c>
      <c r="F92" s="1">
        <v>2</v>
      </c>
      <c r="G92" s="11">
        <f t="shared" si="34"/>
        <v>48</v>
      </c>
      <c r="H92" s="11"/>
      <c r="I92" s="21">
        <f t="shared" si="35"/>
        <v>48</v>
      </c>
      <c r="J92" s="2">
        <f t="shared" si="32"/>
        <v>2</v>
      </c>
      <c r="K92" s="14">
        <f t="shared" si="33"/>
        <v>48</v>
      </c>
      <c r="L92" s="11"/>
      <c r="M92" s="21">
        <f t="shared" ref="M92:M93" si="36">E92*J92</f>
        <v>48</v>
      </c>
    </row>
    <row r="93" spans="1:15" x14ac:dyDescent="0.3">
      <c r="B93" s="1">
        <v>8</v>
      </c>
      <c r="C93" s="7" t="s">
        <v>19</v>
      </c>
      <c r="D93" s="1">
        <f>2</f>
        <v>2</v>
      </c>
      <c r="E93" s="21">
        <v>2</v>
      </c>
      <c r="F93" s="1">
        <v>3</v>
      </c>
      <c r="G93" s="11">
        <f t="shared" si="34"/>
        <v>6</v>
      </c>
      <c r="H93" s="11"/>
      <c r="I93" s="21">
        <f>E93*F93</f>
        <v>6</v>
      </c>
      <c r="J93" s="2">
        <f t="shared" si="32"/>
        <v>3</v>
      </c>
      <c r="K93" s="14">
        <f t="shared" si="33"/>
        <v>6</v>
      </c>
      <c r="L93" s="11"/>
      <c r="M93" s="21">
        <f t="shared" si="36"/>
        <v>6</v>
      </c>
    </row>
    <row r="94" spans="1:15" x14ac:dyDescent="0.3">
      <c r="B94" s="2">
        <v>9</v>
      </c>
      <c r="C94" s="7" t="s">
        <v>21</v>
      </c>
      <c r="D94" s="1">
        <f>1+1</f>
        <v>2</v>
      </c>
      <c r="E94" s="21"/>
      <c r="F94" s="1">
        <f>3</f>
        <v>3</v>
      </c>
      <c r="G94" s="11">
        <f t="shared" si="34"/>
        <v>6</v>
      </c>
      <c r="H94" s="11"/>
      <c r="I94" s="21"/>
      <c r="J94" s="2">
        <f t="shared" si="32"/>
        <v>3</v>
      </c>
      <c r="K94" s="14">
        <f t="shared" si="33"/>
        <v>6</v>
      </c>
      <c r="L94" s="11"/>
      <c r="M94" s="21"/>
    </row>
    <row r="95" spans="1:15" s="33" customFormat="1" x14ac:dyDescent="0.3">
      <c r="A95" s="10"/>
      <c r="B95" s="161" t="s">
        <v>42</v>
      </c>
      <c r="C95" s="162"/>
      <c r="D95" s="162"/>
      <c r="E95" s="162"/>
      <c r="F95" s="163"/>
      <c r="G95" s="18">
        <f>SUM(G86:G94)</f>
        <v>270</v>
      </c>
      <c r="H95" s="18">
        <f>SUM(H86:H94)</f>
        <v>155</v>
      </c>
      <c r="I95" s="34">
        <f>SUM(I88:I94)</f>
        <v>132</v>
      </c>
      <c r="J95" s="38" t="s">
        <v>42</v>
      </c>
      <c r="K95" s="18">
        <f>SUM(K86:K94)</f>
        <v>270</v>
      </c>
      <c r="L95" s="18">
        <f>SUM(L86:L94)</f>
        <v>155</v>
      </c>
      <c r="M95" s="34">
        <f>SUM(M88:M94)</f>
        <v>132</v>
      </c>
      <c r="O95"/>
    </row>
    <row r="96" spans="1:15" x14ac:dyDescent="0.3">
      <c r="B96" s="155" t="s">
        <v>43</v>
      </c>
      <c r="C96" s="156"/>
      <c r="D96" s="12"/>
      <c r="E96" s="12"/>
      <c r="F96" s="15"/>
      <c r="G96" s="16"/>
      <c r="H96" s="16"/>
      <c r="I96" s="1"/>
      <c r="J96" s="15"/>
      <c r="K96" s="16"/>
      <c r="L96" s="16"/>
      <c r="M96" s="1"/>
    </row>
    <row r="97" spans="1:15" x14ac:dyDescent="0.3">
      <c r="B97" s="2">
        <v>1</v>
      </c>
      <c r="C97" s="3" t="s">
        <v>5</v>
      </c>
      <c r="D97" s="2">
        <f>1+6+16+2</f>
        <v>25</v>
      </c>
      <c r="E97" s="20"/>
      <c r="F97" s="2">
        <v>5</v>
      </c>
      <c r="G97" s="14"/>
      <c r="H97" s="14">
        <f t="shared" ref="H97" si="37">D97*F97</f>
        <v>125</v>
      </c>
      <c r="I97" s="1"/>
      <c r="J97" s="2">
        <f>J86</f>
        <v>5</v>
      </c>
      <c r="K97" s="14"/>
      <c r="L97" s="14">
        <f>D97*J97</f>
        <v>125</v>
      </c>
      <c r="M97" s="1"/>
    </row>
    <row r="98" spans="1:15" x14ac:dyDescent="0.3">
      <c r="B98" s="1">
        <v>2</v>
      </c>
      <c r="C98" s="3" t="s">
        <v>24</v>
      </c>
      <c r="D98" s="2">
        <f>2+16</f>
        <v>18</v>
      </c>
      <c r="E98" s="20"/>
      <c r="F98" s="2">
        <f>10</f>
        <v>10</v>
      </c>
      <c r="G98" s="14">
        <f>D98*F98</f>
        <v>180</v>
      </c>
      <c r="H98" s="14"/>
      <c r="I98" s="21"/>
      <c r="J98" s="2">
        <v>10</v>
      </c>
      <c r="K98" s="14">
        <f t="shared" ref="K98:K105" si="38">J98*D98</f>
        <v>180</v>
      </c>
      <c r="L98" s="14"/>
      <c r="M98" s="21"/>
    </row>
    <row r="99" spans="1:15" x14ac:dyDescent="0.3">
      <c r="B99" s="2">
        <v>3</v>
      </c>
      <c r="C99" s="7" t="s">
        <v>9</v>
      </c>
      <c r="D99" s="1">
        <f>1+8+16+3+2</f>
        <v>30</v>
      </c>
      <c r="E99" s="21"/>
      <c r="F99" s="1">
        <v>2</v>
      </c>
      <c r="G99" s="11">
        <f t="shared" ref="G99:G105" si="39">D99*F99</f>
        <v>60</v>
      </c>
      <c r="H99" s="11"/>
      <c r="I99" s="21"/>
      <c r="J99" s="2">
        <f t="shared" ref="J99:J105" si="40">J88</f>
        <v>2</v>
      </c>
      <c r="K99" s="14">
        <f t="shared" si="38"/>
        <v>60</v>
      </c>
      <c r="L99" s="11"/>
      <c r="M99" s="21"/>
    </row>
    <row r="100" spans="1:15" x14ac:dyDescent="0.3">
      <c r="B100" s="1">
        <v>4</v>
      </c>
      <c r="C100" s="7" t="s">
        <v>4</v>
      </c>
      <c r="D100" s="25">
        <v>24</v>
      </c>
      <c r="E100" s="21">
        <v>24</v>
      </c>
      <c r="F100" s="1">
        <v>2</v>
      </c>
      <c r="G100" s="11">
        <f t="shared" si="39"/>
        <v>48</v>
      </c>
      <c r="H100" s="11"/>
      <c r="I100" s="21">
        <f>E100*F100</f>
        <v>48</v>
      </c>
      <c r="J100" s="2">
        <f t="shared" si="40"/>
        <v>2</v>
      </c>
      <c r="K100" s="14">
        <f t="shared" si="38"/>
        <v>48</v>
      </c>
      <c r="L100" s="11"/>
      <c r="M100" s="21">
        <f>E100*J100</f>
        <v>48</v>
      </c>
    </row>
    <row r="101" spans="1:15" x14ac:dyDescent="0.3">
      <c r="B101" s="2">
        <v>5</v>
      </c>
      <c r="C101" s="7" t="s">
        <v>16</v>
      </c>
      <c r="D101" s="1">
        <f>3</f>
        <v>3</v>
      </c>
      <c r="E101" s="21"/>
      <c r="F101" s="1">
        <v>5</v>
      </c>
      <c r="G101" s="11">
        <f t="shared" si="39"/>
        <v>15</v>
      </c>
      <c r="H101" s="11"/>
      <c r="I101" s="21"/>
      <c r="J101" s="2">
        <f t="shared" si="40"/>
        <v>5</v>
      </c>
      <c r="K101" s="14">
        <f t="shared" si="38"/>
        <v>15</v>
      </c>
      <c r="L101" s="11"/>
      <c r="M101" s="21"/>
    </row>
    <row r="102" spans="1:15" x14ac:dyDescent="0.3">
      <c r="B102" s="1">
        <v>6</v>
      </c>
      <c r="C102" s="7" t="s">
        <v>3</v>
      </c>
      <c r="D102" s="1">
        <f>1+1+2</f>
        <v>4</v>
      </c>
      <c r="E102" s="21">
        <v>4</v>
      </c>
      <c r="F102" s="1">
        <v>2</v>
      </c>
      <c r="G102" s="11">
        <f t="shared" si="39"/>
        <v>8</v>
      </c>
      <c r="H102" s="11"/>
      <c r="I102" s="21">
        <f t="shared" ref="I102:I104" si="41">E102*F102</f>
        <v>8</v>
      </c>
      <c r="J102" s="2">
        <f t="shared" si="40"/>
        <v>2</v>
      </c>
      <c r="K102" s="14">
        <f t="shared" si="38"/>
        <v>8</v>
      </c>
      <c r="L102" s="11"/>
      <c r="M102" s="21">
        <f>E102*J102</f>
        <v>8</v>
      </c>
    </row>
    <row r="103" spans="1:15" x14ac:dyDescent="0.3">
      <c r="B103" s="2">
        <v>7</v>
      </c>
      <c r="C103" s="7" t="s">
        <v>10</v>
      </c>
      <c r="D103" s="1">
        <f>16</f>
        <v>16</v>
      </c>
      <c r="E103" s="21">
        <v>16</v>
      </c>
      <c r="F103" s="1">
        <v>2</v>
      </c>
      <c r="G103" s="11">
        <f t="shared" si="39"/>
        <v>32</v>
      </c>
      <c r="H103" s="11"/>
      <c r="I103" s="21">
        <f t="shared" si="41"/>
        <v>32</v>
      </c>
      <c r="J103" s="2">
        <f t="shared" si="40"/>
        <v>2</v>
      </c>
      <c r="K103" s="14">
        <f t="shared" si="38"/>
        <v>32</v>
      </c>
      <c r="L103" s="11"/>
      <c r="M103" s="21">
        <f>E103*J103</f>
        <v>32</v>
      </c>
    </row>
    <row r="104" spans="1:15" x14ac:dyDescent="0.3">
      <c r="B104" s="1">
        <v>8</v>
      </c>
      <c r="C104" s="7" t="s">
        <v>19</v>
      </c>
      <c r="D104" s="1">
        <f>2</f>
        <v>2</v>
      </c>
      <c r="E104" s="21">
        <v>2</v>
      </c>
      <c r="F104" s="1">
        <v>3</v>
      </c>
      <c r="G104" s="11">
        <f t="shared" si="39"/>
        <v>6</v>
      </c>
      <c r="H104" s="11"/>
      <c r="I104" s="21">
        <f t="shared" si="41"/>
        <v>6</v>
      </c>
      <c r="J104" s="2">
        <f t="shared" si="40"/>
        <v>3</v>
      </c>
      <c r="K104" s="14">
        <f t="shared" si="38"/>
        <v>6</v>
      </c>
      <c r="L104" s="11"/>
      <c r="M104" s="21">
        <f>E104*J104</f>
        <v>6</v>
      </c>
    </row>
    <row r="105" spans="1:15" x14ac:dyDescent="0.3">
      <c r="B105" s="2">
        <v>9</v>
      </c>
      <c r="C105" s="7" t="s">
        <v>21</v>
      </c>
      <c r="D105" s="1">
        <f>1+1</f>
        <v>2</v>
      </c>
      <c r="E105" s="21"/>
      <c r="F105" s="1">
        <f>3</f>
        <v>3</v>
      </c>
      <c r="G105" s="11">
        <f t="shared" si="39"/>
        <v>6</v>
      </c>
      <c r="H105" s="11"/>
      <c r="I105" s="21"/>
      <c r="J105" s="2">
        <f t="shared" si="40"/>
        <v>3</v>
      </c>
      <c r="K105" s="14">
        <f t="shared" si="38"/>
        <v>6</v>
      </c>
      <c r="L105" s="11"/>
      <c r="M105" s="21"/>
    </row>
    <row r="106" spans="1:15" s="33" customFormat="1" x14ac:dyDescent="0.3">
      <c r="A106" s="10"/>
      <c r="B106" s="161" t="s">
        <v>44</v>
      </c>
      <c r="C106" s="162"/>
      <c r="D106" s="162"/>
      <c r="E106" s="162"/>
      <c r="F106" s="163"/>
      <c r="G106" s="18">
        <f>SUM(G97:G105)</f>
        <v>355</v>
      </c>
      <c r="H106" s="18">
        <f>SUM(H97:H105)</f>
        <v>125</v>
      </c>
      <c r="I106" s="34">
        <f>SUM(I99:I105)</f>
        <v>94</v>
      </c>
      <c r="J106" s="38" t="s">
        <v>44</v>
      </c>
      <c r="K106" s="18">
        <f>SUM(K97:K105)</f>
        <v>355</v>
      </c>
      <c r="L106" s="18">
        <f>SUM(L97:L105)</f>
        <v>125</v>
      </c>
      <c r="M106" s="34">
        <f>SUM(M97:M105)</f>
        <v>94</v>
      </c>
      <c r="O106"/>
    </row>
    <row r="107" spans="1:15" x14ac:dyDescent="0.3">
      <c r="B107" s="155" t="s">
        <v>45</v>
      </c>
      <c r="C107" s="156"/>
      <c r="D107" s="12"/>
      <c r="E107" s="12"/>
      <c r="F107" s="15"/>
      <c r="G107" s="16"/>
      <c r="H107" s="16"/>
      <c r="I107" s="1"/>
      <c r="J107" s="15"/>
      <c r="K107" s="16"/>
      <c r="L107" s="16"/>
      <c r="M107" s="1"/>
    </row>
    <row r="108" spans="1:15" x14ac:dyDescent="0.3">
      <c r="B108" s="2">
        <v>1</v>
      </c>
      <c r="C108" s="3" t="s">
        <v>5</v>
      </c>
      <c r="D108" s="2">
        <f>19+2</f>
        <v>21</v>
      </c>
      <c r="E108" s="20"/>
      <c r="F108" s="2">
        <v>5</v>
      </c>
      <c r="G108" s="14"/>
      <c r="H108" s="14">
        <f t="shared" ref="H108" si="42">D108*F108</f>
        <v>105</v>
      </c>
      <c r="I108" s="21"/>
      <c r="J108" s="2">
        <v>5</v>
      </c>
      <c r="K108" s="14"/>
      <c r="L108" s="14">
        <f>D108*J108</f>
        <v>105</v>
      </c>
      <c r="M108" s="21"/>
    </row>
    <row r="109" spans="1:15" x14ac:dyDescent="0.3">
      <c r="B109" s="2">
        <v>2</v>
      </c>
      <c r="C109" s="7" t="s">
        <v>9</v>
      </c>
      <c r="D109" s="1">
        <f>19+2+3</f>
        <v>24</v>
      </c>
      <c r="E109" s="21"/>
      <c r="F109" s="1">
        <v>2</v>
      </c>
      <c r="G109" s="11">
        <f t="shared" ref="G109:G114" si="43">D109*F109</f>
        <v>48</v>
      </c>
      <c r="H109" s="11"/>
      <c r="I109" s="21"/>
      <c r="J109" s="1">
        <v>2</v>
      </c>
      <c r="K109" s="14">
        <f t="shared" ref="K109:K114" si="44">J109*D109</f>
        <v>48</v>
      </c>
      <c r="L109" s="11"/>
      <c r="M109" s="21"/>
    </row>
    <row r="110" spans="1:15" x14ac:dyDescent="0.3">
      <c r="B110" s="1">
        <v>3</v>
      </c>
      <c r="C110" s="7" t="s">
        <v>4</v>
      </c>
      <c r="D110" s="1">
        <f>19+5+2</f>
        <v>26</v>
      </c>
      <c r="E110" s="21">
        <v>23</v>
      </c>
      <c r="F110" s="1">
        <v>2</v>
      </c>
      <c r="G110" s="11">
        <f t="shared" si="43"/>
        <v>52</v>
      </c>
      <c r="H110" s="11"/>
      <c r="I110" s="21">
        <f>E110*F110</f>
        <v>46</v>
      </c>
      <c r="J110" s="1">
        <v>2</v>
      </c>
      <c r="K110" s="14">
        <f t="shared" si="44"/>
        <v>52</v>
      </c>
      <c r="L110" s="11"/>
      <c r="M110" s="21">
        <f>E110*J110</f>
        <v>46</v>
      </c>
    </row>
    <row r="111" spans="1:15" x14ac:dyDescent="0.3">
      <c r="B111" s="1">
        <v>4</v>
      </c>
      <c r="C111" s="7" t="s">
        <v>3</v>
      </c>
      <c r="D111" s="1">
        <f>1+7</f>
        <v>8</v>
      </c>
      <c r="E111" s="21">
        <v>2</v>
      </c>
      <c r="F111" s="1">
        <v>2</v>
      </c>
      <c r="G111" s="11">
        <f t="shared" si="43"/>
        <v>16</v>
      </c>
      <c r="H111" s="11"/>
      <c r="I111" s="21">
        <f t="shared" ref="I111:I112" si="45">E111*F111</f>
        <v>4</v>
      </c>
      <c r="J111" s="1">
        <v>2</v>
      </c>
      <c r="K111" s="14">
        <f t="shared" si="44"/>
        <v>16</v>
      </c>
      <c r="L111" s="11"/>
      <c r="M111" s="21">
        <f>E111*J111</f>
        <v>4</v>
      </c>
    </row>
    <row r="112" spans="1:15" x14ac:dyDescent="0.3">
      <c r="B112" s="1">
        <v>5</v>
      </c>
      <c r="C112" s="7" t="s">
        <v>10</v>
      </c>
      <c r="D112" s="1">
        <f>19</f>
        <v>19</v>
      </c>
      <c r="E112" s="21">
        <v>19</v>
      </c>
      <c r="F112" s="1">
        <v>2</v>
      </c>
      <c r="G112" s="11">
        <f t="shared" si="43"/>
        <v>38</v>
      </c>
      <c r="H112" s="11"/>
      <c r="I112" s="21">
        <f t="shared" si="45"/>
        <v>38</v>
      </c>
      <c r="J112" s="1">
        <v>2</v>
      </c>
      <c r="K112" s="14">
        <f t="shared" si="44"/>
        <v>38</v>
      </c>
      <c r="L112" s="11"/>
      <c r="M112" s="21">
        <f>E112*J112</f>
        <v>38</v>
      </c>
    </row>
    <row r="113" spans="2:13" x14ac:dyDescent="0.3">
      <c r="B113" s="2">
        <v>6</v>
      </c>
      <c r="C113" s="7" t="s">
        <v>19</v>
      </c>
      <c r="D113" s="25">
        <v>18</v>
      </c>
      <c r="E113" s="21">
        <v>18</v>
      </c>
      <c r="F113" s="1">
        <v>3</v>
      </c>
      <c r="G113" s="11">
        <f t="shared" si="43"/>
        <v>54</v>
      </c>
      <c r="H113" s="11"/>
      <c r="I113" s="21">
        <f>E113*F113</f>
        <v>54</v>
      </c>
      <c r="J113" s="1">
        <v>3</v>
      </c>
      <c r="K113" s="14">
        <f t="shared" si="44"/>
        <v>54</v>
      </c>
      <c r="L113" s="11"/>
      <c r="M113" s="21">
        <f>E113*J113</f>
        <v>54</v>
      </c>
    </row>
    <row r="114" spans="2:13" x14ac:dyDescent="0.3">
      <c r="B114" s="2">
        <v>7</v>
      </c>
      <c r="C114" s="7" t="s">
        <v>21</v>
      </c>
      <c r="D114" s="1">
        <f>1</f>
        <v>1</v>
      </c>
      <c r="E114" s="21"/>
      <c r="F114" s="1">
        <f>3</f>
        <v>3</v>
      </c>
      <c r="G114" s="11">
        <f t="shared" si="43"/>
        <v>3</v>
      </c>
      <c r="H114" s="11"/>
      <c r="I114" s="21"/>
      <c r="J114" s="1">
        <f>3</f>
        <v>3</v>
      </c>
      <c r="K114" s="14">
        <f t="shared" si="44"/>
        <v>3</v>
      </c>
      <c r="L114" s="11"/>
      <c r="M114" s="21"/>
    </row>
    <row r="115" spans="2:13" x14ac:dyDescent="0.3">
      <c r="B115" s="165" t="s">
        <v>46</v>
      </c>
      <c r="C115" s="165"/>
      <c r="D115" s="165"/>
      <c r="E115" s="165"/>
      <c r="F115" s="165"/>
      <c r="G115" s="11">
        <f>SUM(G108:G114)</f>
        <v>211</v>
      </c>
      <c r="H115" s="11">
        <f>SUM(H108:H114)</f>
        <v>105</v>
      </c>
      <c r="I115" s="1">
        <f>SUM(I108:I114)</f>
        <v>142</v>
      </c>
      <c r="J115" s="39" t="s">
        <v>46</v>
      </c>
      <c r="K115" s="11">
        <f>SUM(K108:K114)</f>
        <v>211</v>
      </c>
      <c r="L115" s="11">
        <f>SUM(L108:L114)</f>
        <v>105</v>
      </c>
      <c r="M115" s="1">
        <f>SUM(M108:M114)</f>
        <v>142</v>
      </c>
    </row>
    <row r="116" spans="2:13" x14ac:dyDescent="0.3">
      <c r="B116" s="165" t="s">
        <v>53</v>
      </c>
      <c r="C116" s="165"/>
      <c r="D116" s="165"/>
      <c r="E116" s="165"/>
      <c r="F116" s="165"/>
      <c r="G116" s="17">
        <f>SUM(G11,G20,G29,G37,G41,G49,G58,G62,G73)</f>
        <v>910</v>
      </c>
      <c r="H116" s="17">
        <f>SUM(H11,H20,H29,H37,H41,H49,H58,H62,H73)</f>
        <v>515</v>
      </c>
      <c r="I116" s="1"/>
      <c r="J116" s="39" t="s">
        <v>53</v>
      </c>
      <c r="K116" s="17">
        <f>SUM(K11,K20,K29,K37,K41,K49,K58,K62,K73)</f>
        <v>876</v>
      </c>
      <c r="L116" s="17">
        <f>SUM(L11,L20,L29,L37,L41,L49,L58,L62,L73)</f>
        <v>515</v>
      </c>
      <c r="M116" s="1"/>
    </row>
    <row r="117" spans="2:13" x14ac:dyDescent="0.3">
      <c r="B117" s="165" t="s">
        <v>52</v>
      </c>
      <c r="C117" s="165"/>
      <c r="D117" s="165"/>
      <c r="E117" s="165"/>
      <c r="F117" s="165"/>
      <c r="G117" s="17">
        <f>SUM(G84,G95,G106,G115)</f>
        <v>1162</v>
      </c>
      <c r="H117" s="17">
        <f>SUM(H84,H95,H106,H115)</f>
        <v>575</v>
      </c>
      <c r="I117" s="1"/>
      <c r="J117" s="39" t="s">
        <v>52</v>
      </c>
      <c r="K117" s="17">
        <f>SUM(K84,K95,K106,K115)</f>
        <v>1162</v>
      </c>
      <c r="L117" s="17">
        <f>SUM(L84,L95,L106,L115)</f>
        <v>575</v>
      </c>
      <c r="M117" s="1"/>
    </row>
    <row r="118" spans="2:13" x14ac:dyDescent="0.3">
      <c r="B118" s="165" t="s">
        <v>1</v>
      </c>
      <c r="C118" s="165"/>
      <c r="D118" s="165"/>
      <c r="E118" s="165"/>
      <c r="F118" s="165"/>
      <c r="G118" s="17">
        <f>SUM(G11,G20,G29,G37,G41,G49,G58,G62,G73,G84,G95,G106,G115)</f>
        <v>2072</v>
      </c>
      <c r="H118" s="17">
        <f>SUM(H11,H20,H29,H37,H41,H49,H58,H62,H73,H84,H95,H106,H115)</f>
        <v>1090</v>
      </c>
      <c r="I118" s="23">
        <f>SUM(I11,I20,I29,I37,I41,I49,I58,I62,I73,I84,I95,I106,I115)</f>
        <v>969</v>
      </c>
      <c r="J118" s="39" t="s">
        <v>1</v>
      </c>
      <c r="K118" s="17">
        <f>SUM(K11,K20,K29,K37,K41,K49,K58,K62,K73,K84,K95,K106,K115)</f>
        <v>2038</v>
      </c>
      <c r="L118" s="17">
        <f>SUM(L11,L20,L29,L37,L41,L49,L58,L62,L73,L84,L95,L106,L115)</f>
        <v>1090</v>
      </c>
      <c r="M118" s="23">
        <f>SUM(M11,M20,M29,M37,M41,M49,M58,M62,M73,M84,M95,M106,M115)</f>
        <v>935</v>
      </c>
    </row>
    <row r="121" spans="2:13" x14ac:dyDescent="0.3">
      <c r="B121" t="s">
        <v>85</v>
      </c>
    </row>
    <row r="122" spans="2:13" x14ac:dyDescent="0.3">
      <c r="B122" s="154" t="s">
        <v>86</v>
      </c>
      <c r="C122" s="154"/>
      <c r="D122" s="154"/>
      <c r="E122" s="154"/>
      <c r="F122" s="154"/>
      <c r="G122" s="154"/>
    </row>
    <row r="144" spans="2:7" x14ac:dyDescent="0.3">
      <c r="B144" s="154" t="s">
        <v>271</v>
      </c>
      <c r="C144" s="154"/>
      <c r="D144" s="154"/>
      <c r="E144" s="154"/>
      <c r="F144" s="154"/>
      <c r="G144" s="154"/>
    </row>
  </sheetData>
  <mergeCells count="33">
    <mergeCell ref="F3:I3"/>
    <mergeCell ref="B107:C107"/>
    <mergeCell ref="B106:F106"/>
    <mergeCell ref="J3:M3"/>
    <mergeCell ref="B96:C96"/>
    <mergeCell ref="B30:C30"/>
    <mergeCell ref="B74:C74"/>
    <mergeCell ref="B20:F20"/>
    <mergeCell ref="B5:C5"/>
    <mergeCell ref="B11:F11"/>
    <mergeCell ref="B12:C12"/>
    <mergeCell ref="B21:C21"/>
    <mergeCell ref="B84:F84"/>
    <mergeCell ref="B63:C63"/>
    <mergeCell ref="B73:F73"/>
    <mergeCell ref="B37:F37"/>
    <mergeCell ref="B62:F62"/>
    <mergeCell ref="B115:F115"/>
    <mergeCell ref="B59:C59"/>
    <mergeCell ref="B144:G144"/>
    <mergeCell ref="B95:F95"/>
    <mergeCell ref="B85:C85"/>
    <mergeCell ref="B118:F118"/>
    <mergeCell ref="B117:F117"/>
    <mergeCell ref="B122:G122"/>
    <mergeCell ref="B116:F116"/>
    <mergeCell ref="B29:F29"/>
    <mergeCell ref="B50:C50"/>
    <mergeCell ref="B58:F58"/>
    <mergeCell ref="B42:C42"/>
    <mergeCell ref="B49:F49"/>
    <mergeCell ref="B38:C38"/>
    <mergeCell ref="B41:F41"/>
  </mergeCells>
  <pageMargins left="0.7" right="0.7" top="0.75" bottom="0.75" header="0.3" footer="0.3"/>
  <pageSetup paperSize="9" scale="3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AE842-B9DC-4EA0-9B3C-B4CB660D3D80}">
  <sheetPr>
    <tabColor rgb="FF00B0F0"/>
  </sheetPr>
  <dimension ref="A3:J63"/>
  <sheetViews>
    <sheetView topLeftCell="A4" zoomScale="85" zoomScaleNormal="85" workbookViewId="0">
      <selection activeCell="E8" sqref="E8"/>
    </sheetView>
  </sheetViews>
  <sheetFormatPr defaultRowHeight="14.4" x14ac:dyDescent="0.3"/>
  <cols>
    <col min="1" max="1" width="9.109375" style="9"/>
    <col min="3" max="3" width="26.33203125" customWidth="1"/>
    <col min="4" max="4" width="20.44140625" bestFit="1" customWidth="1"/>
    <col min="5" max="5" width="14.109375" bestFit="1" customWidth="1"/>
    <col min="6" max="7" width="13.6640625" customWidth="1"/>
    <col min="8" max="8" width="16.77734375" customWidth="1"/>
    <col min="9" max="10" width="13.6640625" customWidth="1"/>
    <col min="11" max="11" width="12.88671875" customWidth="1"/>
    <col min="12" max="12" width="16" bestFit="1" customWidth="1"/>
    <col min="13" max="13" width="11.33203125" customWidth="1"/>
  </cols>
  <sheetData>
    <row r="3" spans="1:10" x14ac:dyDescent="0.3">
      <c r="A3" s="10" t="s">
        <v>0</v>
      </c>
      <c r="B3" s="8" t="s">
        <v>49</v>
      </c>
      <c r="C3" s="6"/>
      <c r="D3" s="6"/>
      <c r="E3" s="150" t="s">
        <v>83</v>
      </c>
      <c r="F3" s="150"/>
      <c r="G3" s="150"/>
      <c r="H3" s="150" t="s">
        <v>84</v>
      </c>
      <c r="I3" s="150"/>
      <c r="J3" s="150"/>
    </row>
    <row r="4" spans="1:10" ht="28.8" x14ac:dyDescent="0.3">
      <c r="B4" s="4" t="s">
        <v>2</v>
      </c>
      <c r="C4" s="4" t="s">
        <v>8</v>
      </c>
      <c r="D4" s="4" t="s">
        <v>7</v>
      </c>
      <c r="E4" s="13" t="s">
        <v>6</v>
      </c>
      <c r="F4" s="13" t="s">
        <v>77</v>
      </c>
      <c r="G4" s="13" t="s">
        <v>78</v>
      </c>
      <c r="H4" s="13" t="s">
        <v>87</v>
      </c>
      <c r="I4" s="13" t="s">
        <v>77</v>
      </c>
      <c r="J4" s="13" t="s">
        <v>78</v>
      </c>
    </row>
    <row r="5" spans="1:10" x14ac:dyDescent="0.3">
      <c r="B5" s="155" t="s">
        <v>11</v>
      </c>
      <c r="C5" s="156"/>
      <c r="D5" s="12"/>
      <c r="E5" s="15"/>
      <c r="F5" s="16"/>
      <c r="G5" s="16"/>
      <c r="H5" s="15"/>
      <c r="I5" s="16"/>
      <c r="J5" s="16"/>
    </row>
    <row r="6" spans="1:10" x14ac:dyDescent="0.3">
      <c r="B6" s="2">
        <v>1</v>
      </c>
      <c r="C6" s="3" t="s">
        <v>5</v>
      </c>
      <c r="D6" s="2">
        <f>1*5</f>
        <v>5</v>
      </c>
      <c r="E6" s="2">
        <v>5</v>
      </c>
      <c r="F6" s="14"/>
      <c r="G6" s="14">
        <f>D6*E6</f>
        <v>25</v>
      </c>
      <c r="H6" s="2">
        <v>5</v>
      </c>
      <c r="I6" s="14"/>
      <c r="J6" s="14">
        <f>H6*D6</f>
        <v>25</v>
      </c>
    </row>
    <row r="7" spans="1:10" x14ac:dyDescent="0.3">
      <c r="B7" s="1">
        <v>2</v>
      </c>
      <c r="C7" s="7" t="s">
        <v>15</v>
      </c>
      <c r="D7" s="1">
        <f>1*5</f>
        <v>5</v>
      </c>
      <c r="E7" s="1">
        <v>2</v>
      </c>
      <c r="F7" s="11">
        <f>D7*E7</f>
        <v>10</v>
      </c>
      <c r="G7" s="14"/>
      <c r="H7" s="1">
        <v>2</v>
      </c>
      <c r="I7" s="14">
        <f>D7*H7</f>
        <v>10</v>
      </c>
      <c r="J7" s="14"/>
    </row>
    <row r="8" spans="1:10" x14ac:dyDescent="0.3">
      <c r="B8" s="1">
        <v>3</v>
      </c>
      <c r="C8" s="7" t="s">
        <v>4</v>
      </c>
      <c r="D8" s="1">
        <f>1*3</f>
        <v>3</v>
      </c>
      <c r="E8" s="1">
        <v>2</v>
      </c>
      <c r="F8" s="11">
        <f t="shared" ref="F8" si="0">D8*E8</f>
        <v>6</v>
      </c>
      <c r="G8" s="14"/>
      <c r="H8" s="1">
        <v>2</v>
      </c>
      <c r="I8" s="14">
        <f>D8*H8</f>
        <v>6</v>
      </c>
      <c r="J8" s="14"/>
    </row>
    <row r="9" spans="1:10" x14ac:dyDescent="0.3">
      <c r="B9" s="161" t="s">
        <v>12</v>
      </c>
      <c r="C9" s="162"/>
      <c r="D9" s="162"/>
      <c r="E9" s="163"/>
      <c r="F9" s="17">
        <f>SUM(F6:F8)</f>
        <v>16</v>
      </c>
      <c r="G9" s="17">
        <f>SUM(G6:G8)</f>
        <v>25</v>
      </c>
      <c r="H9" s="38" t="s">
        <v>12</v>
      </c>
      <c r="I9" s="17">
        <f>SUM(I6:I8)</f>
        <v>16</v>
      </c>
      <c r="J9" s="17">
        <f>SUM(J6:J8)</f>
        <v>25</v>
      </c>
    </row>
    <row r="10" spans="1:10" x14ac:dyDescent="0.3">
      <c r="B10" s="155" t="s">
        <v>17</v>
      </c>
      <c r="C10" s="156"/>
      <c r="D10" s="12"/>
      <c r="E10" s="15"/>
      <c r="F10" s="16"/>
      <c r="G10" s="16"/>
      <c r="H10" s="15"/>
      <c r="I10" s="16"/>
      <c r="J10" s="16"/>
    </row>
    <row r="11" spans="1:10" x14ac:dyDescent="0.3">
      <c r="B11" s="2">
        <v>1</v>
      </c>
      <c r="C11" s="3" t="s">
        <v>5</v>
      </c>
      <c r="D11" s="2">
        <f>2+1+1*5</f>
        <v>8</v>
      </c>
      <c r="E11" s="2">
        <v>5</v>
      </c>
      <c r="F11" s="14"/>
      <c r="G11" s="14">
        <f t="shared" ref="G11" si="1">D11*E11</f>
        <v>40</v>
      </c>
      <c r="H11" s="2">
        <v>5</v>
      </c>
      <c r="I11" s="14"/>
      <c r="J11" s="14">
        <f>D11*H11</f>
        <v>40</v>
      </c>
    </row>
    <row r="12" spans="1:10" x14ac:dyDescent="0.3">
      <c r="B12" s="1">
        <v>2</v>
      </c>
      <c r="C12" s="7" t="s">
        <v>15</v>
      </c>
      <c r="D12" s="1">
        <f>2+1+1*5+1</f>
        <v>9</v>
      </c>
      <c r="E12" s="1">
        <v>2</v>
      </c>
      <c r="F12" s="11">
        <f t="shared" ref="F12:F15" si="2">D12*E12</f>
        <v>18</v>
      </c>
      <c r="G12" s="14"/>
      <c r="H12" s="1">
        <v>2</v>
      </c>
      <c r="I12" s="14">
        <f>D12*H12</f>
        <v>18</v>
      </c>
      <c r="J12" s="14"/>
    </row>
    <row r="13" spans="1:10" x14ac:dyDescent="0.3">
      <c r="B13" s="1">
        <v>3</v>
      </c>
      <c r="C13" s="7" t="s">
        <v>4</v>
      </c>
      <c r="D13" s="1">
        <f>1+1*5</f>
        <v>6</v>
      </c>
      <c r="E13" s="1">
        <v>2</v>
      </c>
      <c r="F13" s="11">
        <f t="shared" si="2"/>
        <v>12</v>
      </c>
      <c r="G13" s="14"/>
      <c r="H13" s="1">
        <v>2</v>
      </c>
      <c r="I13" s="14">
        <f t="shared" ref="I13:I15" si="3">D13*H13</f>
        <v>12</v>
      </c>
      <c r="J13" s="14"/>
    </row>
    <row r="14" spans="1:10" x14ac:dyDescent="0.3">
      <c r="B14" s="1">
        <v>4</v>
      </c>
      <c r="C14" s="7" t="s">
        <v>3</v>
      </c>
      <c r="D14" s="1">
        <f>1+1</f>
        <v>2</v>
      </c>
      <c r="E14" s="1">
        <v>2</v>
      </c>
      <c r="F14" s="11">
        <f t="shared" si="2"/>
        <v>4</v>
      </c>
      <c r="G14" s="14"/>
      <c r="H14" s="1">
        <v>2</v>
      </c>
      <c r="I14" s="14">
        <f t="shared" si="3"/>
        <v>4</v>
      </c>
      <c r="J14" s="14"/>
    </row>
    <row r="15" spans="1:10" x14ac:dyDescent="0.3">
      <c r="B15" s="1">
        <v>5</v>
      </c>
      <c r="C15" s="7" t="s">
        <v>10</v>
      </c>
      <c r="D15" s="1">
        <f>1*3</f>
        <v>3</v>
      </c>
      <c r="E15" s="1">
        <v>2</v>
      </c>
      <c r="F15" s="11">
        <f t="shared" si="2"/>
        <v>6</v>
      </c>
      <c r="G15" s="14"/>
      <c r="H15" s="1">
        <v>2</v>
      </c>
      <c r="I15" s="14">
        <f t="shared" si="3"/>
        <v>6</v>
      </c>
      <c r="J15" s="14"/>
    </row>
    <row r="16" spans="1:10" x14ac:dyDescent="0.3">
      <c r="B16" s="161" t="s">
        <v>18</v>
      </c>
      <c r="C16" s="162"/>
      <c r="D16" s="162"/>
      <c r="E16" s="163"/>
      <c r="F16" s="17">
        <f>SUM(F11:F15)</f>
        <v>40</v>
      </c>
      <c r="G16" s="17">
        <f>SUM(G11:G15)</f>
        <v>40</v>
      </c>
      <c r="H16" s="39" t="s">
        <v>18</v>
      </c>
      <c r="I16" s="17">
        <f>SUM(I11:I15)</f>
        <v>40</v>
      </c>
      <c r="J16" s="17">
        <f>SUM(J11:J15)</f>
        <v>40</v>
      </c>
    </row>
    <row r="17" spans="2:10" x14ac:dyDescent="0.3">
      <c r="B17" s="166" t="s">
        <v>1</v>
      </c>
      <c r="C17" s="166"/>
      <c r="D17" s="166"/>
      <c r="E17" s="167"/>
      <c r="F17" s="18">
        <f>SUM(F9,F16)</f>
        <v>56</v>
      </c>
      <c r="G17" s="18">
        <f>SUM(G9,G16)</f>
        <v>65</v>
      </c>
      <c r="H17" s="39" t="s">
        <v>1</v>
      </c>
      <c r="I17" s="18">
        <f>SUM(I9,I16)</f>
        <v>56</v>
      </c>
      <c r="J17" s="18">
        <f>SUM(J9,J16)</f>
        <v>65</v>
      </c>
    </row>
    <row r="19" spans="2:10" x14ac:dyDescent="0.3">
      <c r="B19" t="s">
        <v>85</v>
      </c>
      <c r="I19" s="5"/>
    </row>
    <row r="20" spans="2:10" x14ac:dyDescent="0.3">
      <c r="B20" s="154" t="s">
        <v>86</v>
      </c>
      <c r="C20" s="154"/>
      <c r="D20" s="154"/>
      <c r="E20" s="154"/>
      <c r="F20" s="154"/>
      <c r="G20" s="154"/>
      <c r="I20" s="5"/>
    </row>
    <row r="21" spans="2:10" x14ac:dyDescent="0.3">
      <c r="I21" s="5"/>
    </row>
    <row r="22" spans="2:10" x14ac:dyDescent="0.3">
      <c r="I22" s="5"/>
    </row>
    <row r="23" spans="2:10" x14ac:dyDescent="0.3">
      <c r="I23" s="5"/>
    </row>
    <row r="24" spans="2:10" x14ac:dyDescent="0.3">
      <c r="I24" s="5"/>
    </row>
    <row r="25" spans="2:10" x14ac:dyDescent="0.3">
      <c r="I25" s="5"/>
    </row>
    <row r="26" spans="2:10" x14ac:dyDescent="0.3">
      <c r="I26" s="5"/>
    </row>
    <row r="27" spans="2:10" x14ac:dyDescent="0.3">
      <c r="I27" s="5"/>
    </row>
    <row r="28" spans="2:10" x14ac:dyDescent="0.3">
      <c r="I28" s="5"/>
    </row>
    <row r="29" spans="2:10" x14ac:dyDescent="0.3">
      <c r="I29" s="5"/>
    </row>
    <row r="30" spans="2:10" x14ac:dyDescent="0.3">
      <c r="I30" s="5"/>
    </row>
    <row r="31" spans="2:10" x14ac:dyDescent="0.3">
      <c r="I31" s="5"/>
    </row>
    <row r="32" spans="2:10" x14ac:dyDescent="0.3">
      <c r="I32" s="5"/>
    </row>
    <row r="33" spans="2:9" x14ac:dyDescent="0.3">
      <c r="I33" s="5"/>
    </row>
    <row r="34" spans="2:9" x14ac:dyDescent="0.3">
      <c r="I34" s="5"/>
    </row>
    <row r="35" spans="2:9" x14ac:dyDescent="0.3">
      <c r="I35" s="5"/>
    </row>
    <row r="36" spans="2:9" x14ac:dyDescent="0.3">
      <c r="I36" s="5"/>
    </row>
    <row r="37" spans="2:9" x14ac:dyDescent="0.3">
      <c r="I37" s="5"/>
    </row>
    <row r="38" spans="2:9" x14ac:dyDescent="0.3">
      <c r="I38" s="5"/>
    </row>
    <row r="39" spans="2:9" x14ac:dyDescent="0.3">
      <c r="I39" s="5"/>
    </row>
    <row r="40" spans="2:9" x14ac:dyDescent="0.3">
      <c r="I40" s="5"/>
    </row>
    <row r="41" spans="2:9" x14ac:dyDescent="0.3">
      <c r="B41" s="154" t="s">
        <v>271</v>
      </c>
      <c r="C41" s="154"/>
      <c r="D41" s="154"/>
      <c r="E41" s="154"/>
      <c r="F41" s="154"/>
      <c r="G41" s="154"/>
      <c r="I41" s="5"/>
    </row>
    <row r="42" spans="2:9" x14ac:dyDescent="0.3">
      <c r="I42" s="5"/>
    </row>
    <row r="43" spans="2:9" x14ac:dyDescent="0.3">
      <c r="I43" s="5"/>
    </row>
    <row r="44" spans="2:9" x14ac:dyDescent="0.3">
      <c r="I44" s="5"/>
    </row>
    <row r="45" spans="2:9" x14ac:dyDescent="0.3">
      <c r="I45" s="5"/>
    </row>
    <row r="46" spans="2:9" x14ac:dyDescent="0.3">
      <c r="I46" s="5"/>
    </row>
    <row r="47" spans="2:9" x14ac:dyDescent="0.3">
      <c r="I47" s="5"/>
    </row>
    <row r="48" spans="2:9" x14ac:dyDescent="0.3">
      <c r="I48" s="5"/>
    </row>
    <row r="49" spans="9:9" x14ac:dyDescent="0.3">
      <c r="I49" s="5"/>
    </row>
    <row r="50" spans="9:9" x14ac:dyDescent="0.3">
      <c r="I50" s="5"/>
    </row>
    <row r="51" spans="9:9" x14ac:dyDescent="0.3">
      <c r="I51" s="5"/>
    </row>
    <row r="52" spans="9:9" x14ac:dyDescent="0.3">
      <c r="I52" s="5"/>
    </row>
    <row r="53" spans="9:9" x14ac:dyDescent="0.3">
      <c r="I53" s="5"/>
    </row>
    <row r="54" spans="9:9" x14ac:dyDescent="0.3">
      <c r="I54" s="5"/>
    </row>
    <row r="55" spans="9:9" x14ac:dyDescent="0.3">
      <c r="I55" s="5"/>
    </row>
    <row r="56" spans="9:9" x14ac:dyDescent="0.3">
      <c r="I56" s="5"/>
    </row>
    <row r="57" spans="9:9" x14ac:dyDescent="0.3">
      <c r="I57" s="5"/>
    </row>
    <row r="58" spans="9:9" x14ac:dyDescent="0.3">
      <c r="I58" s="5"/>
    </row>
    <row r="59" spans="9:9" x14ac:dyDescent="0.3">
      <c r="I59" s="5"/>
    </row>
    <row r="60" spans="9:9" x14ac:dyDescent="0.3">
      <c r="I60" s="5"/>
    </row>
    <row r="61" spans="9:9" x14ac:dyDescent="0.3">
      <c r="I61" s="5"/>
    </row>
    <row r="62" spans="9:9" x14ac:dyDescent="0.3">
      <c r="I62" s="5"/>
    </row>
    <row r="63" spans="9:9" x14ac:dyDescent="0.3">
      <c r="I63" s="5"/>
    </row>
  </sheetData>
  <mergeCells count="9">
    <mergeCell ref="E3:G3"/>
    <mergeCell ref="H3:J3"/>
    <mergeCell ref="B20:G20"/>
    <mergeCell ref="B41:G41"/>
    <mergeCell ref="B5:C5"/>
    <mergeCell ref="B9:E9"/>
    <mergeCell ref="B10:C10"/>
    <mergeCell ref="B16:E16"/>
    <mergeCell ref="B17:E17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1ADF4-68BA-4192-AAA7-AA1E15A4ABF5}">
  <sheetPr>
    <tabColor rgb="FF00B0F0"/>
  </sheetPr>
  <dimension ref="A3:J62"/>
  <sheetViews>
    <sheetView topLeftCell="C1" zoomScale="85" zoomScaleNormal="85" workbookViewId="0">
      <selection activeCell="L4" sqref="L4"/>
    </sheetView>
  </sheetViews>
  <sheetFormatPr defaultRowHeight="14.4" x14ac:dyDescent="0.3"/>
  <cols>
    <col min="1" max="1" width="9.109375" style="9"/>
    <col min="3" max="3" width="26.33203125" customWidth="1"/>
    <col min="4" max="4" width="20.44140625" bestFit="1" customWidth="1"/>
    <col min="5" max="5" width="14.109375" bestFit="1" customWidth="1"/>
    <col min="6" max="7" width="15" customWidth="1"/>
    <col min="8" max="8" width="16.5546875" customWidth="1"/>
    <col min="9" max="10" width="15" customWidth="1"/>
    <col min="11" max="11" width="12.88671875" customWidth="1"/>
    <col min="12" max="12" width="16" bestFit="1" customWidth="1"/>
    <col min="13" max="13" width="11.33203125" customWidth="1"/>
  </cols>
  <sheetData>
    <row r="3" spans="1:10" x14ac:dyDescent="0.3">
      <c r="A3" s="10" t="s">
        <v>0</v>
      </c>
      <c r="B3" s="8" t="s">
        <v>76</v>
      </c>
      <c r="C3" s="6"/>
      <c r="D3" s="6"/>
      <c r="E3" s="150" t="s">
        <v>83</v>
      </c>
      <c r="F3" s="150"/>
      <c r="G3" s="150"/>
      <c r="H3" s="150" t="s">
        <v>84</v>
      </c>
      <c r="I3" s="150"/>
      <c r="J3" s="150"/>
    </row>
    <row r="4" spans="1:10" ht="28.8" x14ac:dyDescent="0.3">
      <c r="B4" s="4" t="s">
        <v>2</v>
      </c>
      <c r="C4" s="4" t="s">
        <v>8</v>
      </c>
      <c r="D4" s="4" t="s">
        <v>7</v>
      </c>
      <c r="E4" s="13" t="s">
        <v>6</v>
      </c>
      <c r="F4" s="13" t="s">
        <v>77</v>
      </c>
      <c r="G4" s="13" t="s">
        <v>78</v>
      </c>
      <c r="H4" s="13" t="s">
        <v>87</v>
      </c>
      <c r="I4" s="13" t="s">
        <v>77</v>
      </c>
      <c r="J4" s="13" t="s">
        <v>78</v>
      </c>
    </row>
    <row r="5" spans="1:10" x14ac:dyDescent="0.3">
      <c r="B5" s="155" t="s">
        <v>11</v>
      </c>
      <c r="C5" s="156"/>
      <c r="D5" s="12"/>
      <c r="E5" s="15"/>
      <c r="F5" s="16"/>
      <c r="G5" s="16"/>
      <c r="H5" s="15"/>
      <c r="I5" s="16"/>
      <c r="J5" s="16"/>
    </row>
    <row r="6" spans="1:10" x14ac:dyDescent="0.3">
      <c r="B6" s="2">
        <v>1</v>
      </c>
      <c r="C6" s="3" t="s">
        <v>5</v>
      </c>
      <c r="D6" s="2">
        <f>8</f>
        <v>8</v>
      </c>
      <c r="E6" s="2">
        <v>5</v>
      </c>
      <c r="F6" s="14"/>
      <c r="G6" s="14">
        <f>D6*E6</f>
        <v>40</v>
      </c>
      <c r="H6" s="2">
        <v>5</v>
      </c>
      <c r="I6" s="14"/>
      <c r="J6" s="14">
        <f>H6*D6</f>
        <v>40</v>
      </c>
    </row>
    <row r="7" spans="1:10" x14ac:dyDescent="0.3">
      <c r="B7" s="2">
        <v>2</v>
      </c>
      <c r="C7" s="7" t="s">
        <v>9</v>
      </c>
      <c r="D7" s="1">
        <f>8</f>
        <v>8</v>
      </c>
      <c r="E7" s="1">
        <v>2</v>
      </c>
      <c r="F7" s="11">
        <f t="shared" ref="F7" si="0">D7*E7</f>
        <v>16</v>
      </c>
      <c r="G7" s="14"/>
      <c r="H7" s="1">
        <v>2</v>
      </c>
      <c r="I7" s="11">
        <f>D7*H7</f>
        <v>16</v>
      </c>
      <c r="J7" s="14"/>
    </row>
    <row r="8" spans="1:10" x14ac:dyDescent="0.3">
      <c r="B8" s="161" t="s">
        <v>12</v>
      </c>
      <c r="C8" s="162"/>
      <c r="D8" s="162"/>
      <c r="E8" s="163"/>
      <c r="F8" s="17">
        <f>SUM(F6:F7)</f>
        <v>16</v>
      </c>
      <c r="G8" s="17">
        <f>SUM(G6:G7)</f>
        <v>40</v>
      </c>
      <c r="H8" s="38" t="s">
        <v>12</v>
      </c>
      <c r="I8" s="17">
        <f>SUM(I6:I7)</f>
        <v>16</v>
      </c>
      <c r="J8" s="17">
        <f>SUM(J6:J7)</f>
        <v>40</v>
      </c>
    </row>
    <row r="9" spans="1:10" x14ac:dyDescent="0.3">
      <c r="B9" s="155" t="s">
        <v>17</v>
      </c>
      <c r="C9" s="156"/>
      <c r="D9" s="12"/>
      <c r="E9" s="15"/>
      <c r="F9" s="16"/>
      <c r="G9" s="16"/>
      <c r="H9" s="15"/>
      <c r="I9" s="16"/>
      <c r="J9" s="16"/>
    </row>
    <row r="10" spans="1:10" x14ac:dyDescent="0.3">
      <c r="B10" s="2">
        <v>1</v>
      </c>
      <c r="C10" s="3" t="s">
        <v>5</v>
      </c>
      <c r="D10" s="2">
        <f>2</f>
        <v>2</v>
      </c>
      <c r="E10" s="2">
        <v>5</v>
      </c>
      <c r="F10" s="14"/>
      <c r="G10" s="14">
        <f>D10*E10</f>
        <v>10</v>
      </c>
      <c r="H10" s="2">
        <v>5</v>
      </c>
      <c r="I10" s="14"/>
      <c r="J10" s="14">
        <f>D10*H10</f>
        <v>10</v>
      </c>
    </row>
    <row r="11" spans="1:10" x14ac:dyDescent="0.3">
      <c r="B11" s="2">
        <v>2</v>
      </c>
      <c r="C11" s="7" t="s">
        <v>9</v>
      </c>
      <c r="D11" s="1">
        <f>2</f>
        <v>2</v>
      </c>
      <c r="E11" s="1">
        <v>2</v>
      </c>
      <c r="F11" s="11">
        <f t="shared" ref="F11:F14" si="1">D11*E11</f>
        <v>4</v>
      </c>
      <c r="G11" s="14"/>
      <c r="H11" s="1">
        <v>2</v>
      </c>
      <c r="I11" s="11">
        <f>D11*H11</f>
        <v>4</v>
      </c>
      <c r="J11" s="14"/>
    </row>
    <row r="12" spans="1:10" x14ac:dyDescent="0.3">
      <c r="B12" s="2">
        <v>3</v>
      </c>
      <c r="C12" s="7" t="s">
        <v>4</v>
      </c>
      <c r="D12" s="1">
        <f>2</f>
        <v>2</v>
      </c>
      <c r="E12" s="1">
        <v>2</v>
      </c>
      <c r="F12" s="11">
        <f t="shared" si="1"/>
        <v>4</v>
      </c>
      <c r="G12" s="14"/>
      <c r="H12" s="1">
        <v>2</v>
      </c>
      <c r="I12" s="11">
        <f t="shared" ref="I12:I14" si="2">D12*H12</f>
        <v>4</v>
      </c>
      <c r="J12" s="14"/>
    </row>
    <row r="13" spans="1:10" x14ac:dyDescent="0.3">
      <c r="B13" s="2">
        <v>4</v>
      </c>
      <c r="C13" s="7" t="s">
        <v>3</v>
      </c>
      <c r="D13" s="1">
        <f>1</f>
        <v>1</v>
      </c>
      <c r="E13" s="1">
        <v>2</v>
      </c>
      <c r="F13" s="11">
        <f t="shared" si="1"/>
        <v>2</v>
      </c>
      <c r="G13" s="14"/>
      <c r="H13" s="1">
        <v>2</v>
      </c>
      <c r="I13" s="11">
        <f t="shared" si="2"/>
        <v>2</v>
      </c>
      <c r="J13" s="14"/>
    </row>
    <row r="14" spans="1:10" x14ac:dyDescent="0.3">
      <c r="B14" s="2">
        <v>5</v>
      </c>
      <c r="C14" s="7" t="s">
        <v>21</v>
      </c>
      <c r="D14" s="1">
        <f>1</f>
        <v>1</v>
      </c>
      <c r="E14" s="1">
        <f>3</f>
        <v>3</v>
      </c>
      <c r="F14" s="11">
        <f t="shared" si="1"/>
        <v>3</v>
      </c>
      <c r="G14" s="14"/>
      <c r="H14" s="1">
        <f>3</f>
        <v>3</v>
      </c>
      <c r="I14" s="11">
        <f t="shared" si="2"/>
        <v>3</v>
      </c>
      <c r="J14" s="14"/>
    </row>
    <row r="15" spans="1:10" x14ac:dyDescent="0.3">
      <c r="B15" s="161" t="s">
        <v>18</v>
      </c>
      <c r="C15" s="162"/>
      <c r="D15" s="162"/>
      <c r="E15" s="163"/>
      <c r="F15" s="17">
        <f>SUM(F10:F14)</f>
        <v>13</v>
      </c>
      <c r="G15" s="17">
        <f>SUM(G10:G14)</f>
        <v>10</v>
      </c>
      <c r="H15" s="39" t="s">
        <v>18</v>
      </c>
      <c r="I15" s="17">
        <f>SUM(I10:I14)</f>
        <v>13</v>
      </c>
      <c r="J15" s="17">
        <f>SUM(J10:J14)</f>
        <v>10</v>
      </c>
    </row>
    <row r="16" spans="1:10" x14ac:dyDescent="0.3">
      <c r="B16" s="166" t="s">
        <v>1</v>
      </c>
      <c r="C16" s="166"/>
      <c r="D16" s="166"/>
      <c r="E16" s="167"/>
      <c r="F16" s="17">
        <f>SUM(F8,F15)</f>
        <v>29</v>
      </c>
      <c r="G16" s="17">
        <f>SUM(G8,G15)</f>
        <v>50</v>
      </c>
      <c r="H16" s="39" t="s">
        <v>1</v>
      </c>
      <c r="I16" s="17">
        <f>SUM(I8,I15)</f>
        <v>29</v>
      </c>
      <c r="J16" s="17">
        <f>SUM(J8,J15)</f>
        <v>50</v>
      </c>
    </row>
    <row r="18" spans="2:9" x14ac:dyDescent="0.3">
      <c r="B18" t="s">
        <v>85</v>
      </c>
      <c r="I18" s="5"/>
    </row>
    <row r="19" spans="2:9" x14ac:dyDescent="0.3">
      <c r="B19" s="154" t="s">
        <v>86</v>
      </c>
      <c r="C19" s="154"/>
      <c r="D19" s="154"/>
      <c r="E19" s="154"/>
      <c r="F19" s="154"/>
      <c r="G19" s="154"/>
      <c r="I19" s="5"/>
    </row>
    <row r="20" spans="2:9" x14ac:dyDescent="0.3">
      <c r="I20" s="5"/>
    </row>
    <row r="21" spans="2:9" x14ac:dyDescent="0.3">
      <c r="I21" s="5"/>
    </row>
    <row r="22" spans="2:9" x14ac:dyDescent="0.3">
      <c r="I22" s="5"/>
    </row>
    <row r="23" spans="2:9" x14ac:dyDescent="0.3">
      <c r="I23" s="5"/>
    </row>
    <row r="24" spans="2:9" x14ac:dyDescent="0.3">
      <c r="I24" s="5"/>
    </row>
    <row r="25" spans="2:9" x14ac:dyDescent="0.3">
      <c r="I25" s="5"/>
    </row>
    <row r="26" spans="2:9" x14ac:dyDescent="0.3">
      <c r="I26" s="5"/>
    </row>
    <row r="27" spans="2:9" x14ac:dyDescent="0.3">
      <c r="I27" s="5"/>
    </row>
    <row r="28" spans="2:9" x14ac:dyDescent="0.3">
      <c r="I28" s="5"/>
    </row>
    <row r="29" spans="2:9" x14ac:dyDescent="0.3">
      <c r="I29" s="5"/>
    </row>
    <row r="30" spans="2:9" x14ac:dyDescent="0.3">
      <c r="I30" s="5"/>
    </row>
    <row r="31" spans="2:9" x14ac:dyDescent="0.3">
      <c r="I31" s="5"/>
    </row>
    <row r="32" spans="2:9" x14ac:dyDescent="0.3">
      <c r="I32" s="5"/>
    </row>
    <row r="33" spans="2:9" x14ac:dyDescent="0.3">
      <c r="I33" s="5"/>
    </row>
    <row r="34" spans="2:9" x14ac:dyDescent="0.3">
      <c r="I34" s="5"/>
    </row>
    <row r="35" spans="2:9" x14ac:dyDescent="0.3">
      <c r="I35" s="5"/>
    </row>
    <row r="36" spans="2:9" x14ac:dyDescent="0.3">
      <c r="I36" s="5"/>
    </row>
    <row r="37" spans="2:9" x14ac:dyDescent="0.3">
      <c r="I37" s="5"/>
    </row>
    <row r="38" spans="2:9" x14ac:dyDescent="0.3">
      <c r="I38" s="5"/>
    </row>
    <row r="39" spans="2:9" x14ac:dyDescent="0.3">
      <c r="I39" s="5"/>
    </row>
    <row r="40" spans="2:9" x14ac:dyDescent="0.3">
      <c r="B40" s="154" t="s">
        <v>271</v>
      </c>
      <c r="C40" s="154"/>
      <c r="D40" s="154"/>
      <c r="E40" s="154"/>
      <c r="F40" s="154"/>
      <c r="G40" s="154"/>
      <c r="I40" s="5"/>
    </row>
    <row r="41" spans="2:9" x14ac:dyDescent="0.3">
      <c r="I41" s="5"/>
    </row>
    <row r="42" spans="2:9" x14ac:dyDescent="0.3">
      <c r="I42" s="5"/>
    </row>
    <row r="43" spans="2:9" x14ac:dyDescent="0.3">
      <c r="I43" s="5"/>
    </row>
    <row r="44" spans="2:9" x14ac:dyDescent="0.3">
      <c r="I44" s="5"/>
    </row>
    <row r="45" spans="2:9" x14ac:dyDescent="0.3">
      <c r="I45" s="5"/>
    </row>
    <row r="46" spans="2:9" x14ac:dyDescent="0.3">
      <c r="I46" s="5"/>
    </row>
    <row r="47" spans="2:9" x14ac:dyDescent="0.3">
      <c r="I47" s="5"/>
    </row>
    <row r="48" spans="2:9" x14ac:dyDescent="0.3">
      <c r="I48" s="5"/>
    </row>
    <row r="49" spans="9:9" x14ac:dyDescent="0.3">
      <c r="I49" s="5"/>
    </row>
    <row r="50" spans="9:9" x14ac:dyDescent="0.3">
      <c r="I50" s="5"/>
    </row>
    <row r="51" spans="9:9" x14ac:dyDescent="0.3">
      <c r="I51" s="5"/>
    </row>
    <row r="52" spans="9:9" x14ac:dyDescent="0.3">
      <c r="I52" s="5"/>
    </row>
    <row r="53" spans="9:9" x14ac:dyDescent="0.3">
      <c r="I53" s="5"/>
    </row>
    <row r="54" spans="9:9" x14ac:dyDescent="0.3">
      <c r="I54" s="5"/>
    </row>
    <row r="55" spans="9:9" x14ac:dyDescent="0.3">
      <c r="I55" s="5"/>
    </row>
    <row r="56" spans="9:9" x14ac:dyDescent="0.3">
      <c r="I56" s="5"/>
    </row>
    <row r="57" spans="9:9" x14ac:dyDescent="0.3">
      <c r="I57" s="5"/>
    </row>
    <row r="58" spans="9:9" x14ac:dyDescent="0.3">
      <c r="I58" s="5"/>
    </row>
    <row r="59" spans="9:9" x14ac:dyDescent="0.3">
      <c r="I59" s="5"/>
    </row>
    <row r="60" spans="9:9" x14ac:dyDescent="0.3">
      <c r="I60" s="5"/>
    </row>
    <row r="61" spans="9:9" x14ac:dyDescent="0.3">
      <c r="I61" s="5"/>
    </row>
    <row r="62" spans="9:9" x14ac:dyDescent="0.3">
      <c r="I62" s="5"/>
    </row>
  </sheetData>
  <mergeCells count="9">
    <mergeCell ref="E3:G3"/>
    <mergeCell ref="H3:J3"/>
    <mergeCell ref="B19:G19"/>
    <mergeCell ref="B40:G40"/>
    <mergeCell ref="B5:C5"/>
    <mergeCell ref="B8:E8"/>
    <mergeCell ref="B9:C9"/>
    <mergeCell ref="B15:E15"/>
    <mergeCell ref="B16:E1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CFB5D-DD58-4897-9629-91E31F62AC27}">
  <dimension ref="B2:S123"/>
  <sheetViews>
    <sheetView topLeftCell="A108" zoomScale="102" zoomScaleNormal="102" workbookViewId="0">
      <selection activeCell="F117" sqref="F117"/>
    </sheetView>
  </sheetViews>
  <sheetFormatPr defaultRowHeight="14.4" x14ac:dyDescent="0.3"/>
  <cols>
    <col min="2" max="2" width="17" customWidth="1"/>
    <col min="6" max="6" width="17.33203125" customWidth="1"/>
  </cols>
  <sheetData>
    <row r="2" spans="2:8" x14ac:dyDescent="0.3">
      <c r="B2" s="33" t="s">
        <v>100</v>
      </c>
      <c r="C2" s="33"/>
      <c r="D2" s="33"/>
      <c r="E2" s="33"/>
    </row>
    <row r="3" spans="2:8" x14ac:dyDescent="0.3">
      <c r="B3" s="42" t="s">
        <v>99</v>
      </c>
      <c r="C3" s="32">
        <f>'UBAP BERSIH GD.A'!K60</f>
        <v>745</v>
      </c>
      <c r="D3" s="32"/>
      <c r="F3" s="168" t="s">
        <v>142</v>
      </c>
      <c r="G3" s="32">
        <f>'UBAP BERSIH GD.A'!K58</f>
        <v>431</v>
      </c>
      <c r="H3" s="41"/>
    </row>
    <row r="4" spans="2:8" x14ac:dyDescent="0.3">
      <c r="B4" s="32"/>
      <c r="C4" s="32">
        <v>625</v>
      </c>
      <c r="D4" s="32" t="s">
        <v>96</v>
      </c>
      <c r="F4" s="168"/>
      <c r="G4" s="32">
        <v>410</v>
      </c>
      <c r="H4" s="41" t="s">
        <v>96</v>
      </c>
    </row>
    <row r="5" spans="2:8" x14ac:dyDescent="0.3">
      <c r="B5" s="32"/>
      <c r="C5" s="32">
        <f>(C4/1000)/(1/1440)</f>
        <v>900</v>
      </c>
      <c r="D5" s="32" t="s">
        <v>97</v>
      </c>
      <c r="F5" s="168"/>
      <c r="G5" s="32">
        <f>(G4/1000)/(1/1440)</f>
        <v>590.4</v>
      </c>
      <c r="H5" s="41" t="s">
        <v>97</v>
      </c>
    </row>
    <row r="7" spans="2:8" x14ac:dyDescent="0.3">
      <c r="B7" s="43" t="s">
        <v>106</v>
      </c>
      <c r="C7" s="32">
        <f>'UBAP BERSIH GD.A'!L60</f>
        <v>420</v>
      </c>
      <c r="D7" s="32"/>
      <c r="F7" s="168" t="s">
        <v>144</v>
      </c>
      <c r="G7" s="32">
        <f>'UBAP BERSIH GD.A'!K59</f>
        <v>314</v>
      </c>
      <c r="H7" s="32"/>
    </row>
    <row r="8" spans="2:8" x14ac:dyDescent="0.3">
      <c r="B8" s="32"/>
      <c r="C8" s="32">
        <v>400</v>
      </c>
      <c r="D8" s="32" t="s">
        <v>107</v>
      </c>
      <c r="F8" s="168"/>
      <c r="G8" s="32">
        <v>305</v>
      </c>
      <c r="H8" s="32" t="s">
        <v>96</v>
      </c>
    </row>
    <row r="9" spans="2:8" x14ac:dyDescent="0.3">
      <c r="B9" s="32"/>
      <c r="C9" s="32">
        <f>(C8/1000)/(1/1440)</f>
        <v>576</v>
      </c>
      <c r="D9" s="32" t="s">
        <v>97</v>
      </c>
      <c r="F9" s="168"/>
      <c r="G9" s="32">
        <f>(G8/1000)/(1/1440)</f>
        <v>439.2</v>
      </c>
      <c r="H9" s="32" t="s">
        <v>97</v>
      </c>
    </row>
    <row r="11" spans="2:8" x14ac:dyDescent="0.3">
      <c r="B11" s="44" t="s">
        <v>108</v>
      </c>
      <c r="C11" s="32">
        <f>'UBAP BERSIH GD.A'!M60</f>
        <v>345</v>
      </c>
      <c r="D11" s="32"/>
      <c r="F11" s="169" t="s">
        <v>202</v>
      </c>
      <c r="G11" s="32">
        <f>'UBAP BERSIH GD.A'!L58</f>
        <v>210</v>
      </c>
      <c r="H11" s="41"/>
    </row>
    <row r="12" spans="2:8" x14ac:dyDescent="0.3">
      <c r="B12" s="32"/>
      <c r="C12" s="32">
        <v>348</v>
      </c>
      <c r="D12" s="32" t="s">
        <v>107</v>
      </c>
      <c r="F12" s="169"/>
      <c r="G12" s="32">
        <v>260</v>
      </c>
      <c r="H12" s="41" t="s">
        <v>96</v>
      </c>
    </row>
    <row r="13" spans="2:8" x14ac:dyDescent="0.3">
      <c r="B13" s="32"/>
      <c r="C13" s="32">
        <f>(C12/1000)/(1/1440)</f>
        <v>501.11999999999995</v>
      </c>
      <c r="D13" s="32" t="s">
        <v>97</v>
      </c>
      <c r="F13" s="169"/>
      <c r="G13" s="32">
        <f>(G12/1000)/(1/1440)</f>
        <v>374.4</v>
      </c>
      <c r="H13" s="41" t="s">
        <v>97</v>
      </c>
    </row>
    <row r="15" spans="2:8" x14ac:dyDescent="0.3">
      <c r="F15" s="169" t="s">
        <v>203</v>
      </c>
      <c r="G15" s="32">
        <f>'UBAP BERSIH GD.A'!L59</f>
        <v>210</v>
      </c>
      <c r="H15" s="32"/>
    </row>
    <row r="16" spans="2:8" x14ac:dyDescent="0.3">
      <c r="F16" s="169"/>
      <c r="G16" s="32">
        <v>260</v>
      </c>
      <c r="H16" s="32" t="s">
        <v>96</v>
      </c>
    </row>
    <row r="17" spans="2:19" x14ac:dyDescent="0.3">
      <c r="F17" s="169"/>
      <c r="G17" s="32">
        <f>(G16/1000)/(1/1440)</f>
        <v>374.4</v>
      </c>
      <c r="H17" s="32" t="s">
        <v>97</v>
      </c>
    </row>
    <row r="19" spans="2:19" x14ac:dyDescent="0.3">
      <c r="L19" s="170" t="s">
        <v>94</v>
      </c>
      <c r="M19" s="170"/>
      <c r="N19" s="170"/>
      <c r="O19" s="170"/>
      <c r="P19" s="170"/>
      <c r="Q19" s="170"/>
      <c r="R19" s="170"/>
      <c r="S19" s="170"/>
    </row>
    <row r="22" spans="2:19" x14ac:dyDescent="0.3">
      <c r="B22" s="33" t="s">
        <v>101</v>
      </c>
    </row>
    <row r="23" spans="2:19" x14ac:dyDescent="0.3">
      <c r="B23" s="42" t="s">
        <v>99</v>
      </c>
      <c r="C23" s="32">
        <f>'UBAP BERSIH GD.B'!K138</f>
        <v>1446</v>
      </c>
      <c r="D23" s="32"/>
      <c r="F23" s="168" t="s">
        <v>145</v>
      </c>
      <c r="G23" s="32">
        <f>'UBAP BERSIH GD.B'!K136</f>
        <v>461</v>
      </c>
      <c r="H23" s="32"/>
    </row>
    <row r="24" spans="2:19" x14ac:dyDescent="0.3">
      <c r="B24" s="32"/>
      <c r="C24" s="32">
        <v>970</v>
      </c>
      <c r="D24" s="32" t="s">
        <v>96</v>
      </c>
      <c r="F24" s="168"/>
      <c r="G24" s="32">
        <v>450</v>
      </c>
      <c r="H24" s="32" t="s">
        <v>96</v>
      </c>
    </row>
    <row r="25" spans="2:19" x14ac:dyDescent="0.3">
      <c r="B25" s="32"/>
      <c r="C25" s="32">
        <f>(C24/1000)/(1/1440)</f>
        <v>1396.8</v>
      </c>
      <c r="D25" s="32" t="s">
        <v>97</v>
      </c>
      <c r="F25" s="168"/>
      <c r="G25" s="32">
        <f>(G24/1000)/(1/1440)</f>
        <v>648</v>
      </c>
      <c r="H25" s="32" t="s">
        <v>97</v>
      </c>
    </row>
    <row r="27" spans="2:19" x14ac:dyDescent="0.3">
      <c r="B27" s="43" t="s">
        <v>106</v>
      </c>
      <c r="C27" s="32">
        <f>'UBAP BERSIH GD.B'!L138</f>
        <v>830</v>
      </c>
      <c r="D27" s="32"/>
      <c r="F27" s="168" t="s">
        <v>146</v>
      </c>
      <c r="G27" s="32">
        <f>'UBAP BERSIH GD.B'!K137</f>
        <v>985</v>
      </c>
      <c r="H27" s="32"/>
    </row>
    <row r="28" spans="2:19" x14ac:dyDescent="0.3">
      <c r="B28" s="32"/>
      <c r="C28" s="32">
        <v>690</v>
      </c>
      <c r="D28" s="32" t="s">
        <v>96</v>
      </c>
      <c r="F28" s="168"/>
      <c r="G28" s="32">
        <v>760</v>
      </c>
      <c r="H28" s="32" t="s">
        <v>96</v>
      </c>
    </row>
    <row r="29" spans="2:19" x14ac:dyDescent="0.3">
      <c r="B29" s="32"/>
      <c r="C29" s="32">
        <f>(C28/1000)/(1/1440)</f>
        <v>993.59999999999991</v>
      </c>
      <c r="D29" s="32" t="s">
        <v>97</v>
      </c>
      <c r="F29" s="168"/>
      <c r="G29" s="32">
        <f>(G28/1000)/(1/1440)</f>
        <v>1094.3999999999999</v>
      </c>
      <c r="H29" s="32" t="s">
        <v>97</v>
      </c>
    </row>
    <row r="31" spans="2:19" x14ac:dyDescent="0.3">
      <c r="B31" s="44" t="s">
        <v>108</v>
      </c>
      <c r="C31" s="32">
        <f>'UBAP BERSIH GD.B'!M138</f>
        <v>759</v>
      </c>
      <c r="D31" s="32"/>
      <c r="F31" s="169" t="s">
        <v>205</v>
      </c>
      <c r="G31" s="32">
        <f>'UBAP BERSIH GD.B'!L136</f>
        <v>235</v>
      </c>
      <c r="H31" s="41"/>
    </row>
    <row r="32" spans="2:19" x14ac:dyDescent="0.3">
      <c r="B32" s="32"/>
      <c r="C32" s="32">
        <v>649</v>
      </c>
      <c r="D32" s="32" t="s">
        <v>96</v>
      </c>
      <c r="F32" s="169"/>
      <c r="G32" s="32">
        <v>215</v>
      </c>
      <c r="H32" s="41" t="s">
        <v>96</v>
      </c>
    </row>
    <row r="33" spans="2:19" x14ac:dyDescent="0.3">
      <c r="B33" s="32"/>
      <c r="C33" s="32">
        <f>(C32/1000)/(1/1440)</f>
        <v>934.56</v>
      </c>
      <c r="D33" s="32" t="s">
        <v>97</v>
      </c>
      <c r="F33" s="169"/>
      <c r="G33" s="32">
        <f>(G32/1000)/(1/1440)</f>
        <v>309.59999999999997</v>
      </c>
      <c r="H33" s="41" t="s">
        <v>97</v>
      </c>
    </row>
    <row r="35" spans="2:19" x14ac:dyDescent="0.3">
      <c r="F35" s="169" t="s">
        <v>206</v>
      </c>
      <c r="G35" s="32">
        <f>'UBAP BERSIH GD.B'!L137</f>
        <v>485</v>
      </c>
      <c r="H35" s="32"/>
    </row>
    <row r="36" spans="2:19" x14ac:dyDescent="0.3">
      <c r="F36" s="169"/>
      <c r="G36" s="32">
        <v>450</v>
      </c>
      <c r="H36" s="32" t="s">
        <v>96</v>
      </c>
    </row>
    <row r="37" spans="2:19" x14ac:dyDescent="0.3">
      <c r="F37" s="169"/>
      <c r="G37" s="32">
        <f>(G36/1000)/(1/1440)</f>
        <v>648</v>
      </c>
      <c r="H37" s="32" t="s">
        <v>97</v>
      </c>
    </row>
    <row r="39" spans="2:19" x14ac:dyDescent="0.3">
      <c r="L39" s="170" t="s">
        <v>94</v>
      </c>
      <c r="M39" s="170"/>
      <c r="N39" s="170"/>
      <c r="O39" s="170"/>
      <c r="P39" s="170"/>
      <c r="Q39" s="170"/>
      <c r="R39" s="170"/>
      <c r="S39" s="170"/>
    </row>
    <row r="44" spans="2:19" x14ac:dyDescent="0.3">
      <c r="B44" s="33" t="s">
        <v>102</v>
      </c>
    </row>
    <row r="45" spans="2:19" x14ac:dyDescent="0.3">
      <c r="B45" s="42" t="s">
        <v>99</v>
      </c>
      <c r="C45" s="32">
        <f>'UBAP Bersih GD.C'!K132</f>
        <v>2028</v>
      </c>
      <c r="D45" s="32"/>
      <c r="F45" s="168" t="s">
        <v>145</v>
      </c>
      <c r="G45" s="32">
        <f>'UBAP Bersih GD.C'!K130</f>
        <v>1035</v>
      </c>
      <c r="H45" s="32"/>
    </row>
    <row r="46" spans="2:19" x14ac:dyDescent="0.3">
      <c r="B46" s="32"/>
      <c r="C46" s="32">
        <v>1230</v>
      </c>
      <c r="D46" s="32" t="s">
        <v>96</v>
      </c>
      <c r="F46" s="168"/>
      <c r="G46" s="32">
        <v>830</v>
      </c>
      <c r="H46" s="32" t="s">
        <v>96</v>
      </c>
    </row>
    <row r="47" spans="2:19" x14ac:dyDescent="0.3">
      <c r="B47" s="32"/>
      <c r="C47" s="32">
        <f>(C46/1000)/(1/1440)</f>
        <v>1771.1999999999998</v>
      </c>
      <c r="D47" s="32" t="s">
        <v>97</v>
      </c>
      <c r="F47" s="168"/>
      <c r="G47" s="32">
        <f>(G46/1000)/(1/1440)</f>
        <v>1195.1999999999998</v>
      </c>
      <c r="H47" s="32" t="s">
        <v>97</v>
      </c>
    </row>
    <row r="49" spans="2:19" x14ac:dyDescent="0.3">
      <c r="B49" s="43" t="s">
        <v>106</v>
      </c>
      <c r="C49" s="32">
        <f>'UBAP Bersih GD.C'!L132</f>
        <v>1100</v>
      </c>
      <c r="D49" s="32"/>
      <c r="F49" s="168" t="s">
        <v>146</v>
      </c>
      <c r="G49" s="32">
        <f>'UBAP Bersih GD.C'!K131</f>
        <v>993</v>
      </c>
      <c r="H49" s="32"/>
    </row>
    <row r="50" spans="2:19" x14ac:dyDescent="0.3">
      <c r="B50" s="32"/>
      <c r="C50" s="32">
        <v>850</v>
      </c>
      <c r="D50" s="32" t="s">
        <v>96</v>
      </c>
      <c r="F50" s="168"/>
      <c r="G50" s="32">
        <v>827</v>
      </c>
      <c r="H50" s="32" t="s">
        <v>96</v>
      </c>
    </row>
    <row r="51" spans="2:19" x14ac:dyDescent="0.3">
      <c r="B51" s="32"/>
      <c r="C51" s="32">
        <f>(C50/1000)/(1/1440)</f>
        <v>1224</v>
      </c>
      <c r="D51" s="32" t="s">
        <v>97</v>
      </c>
      <c r="F51" s="168"/>
      <c r="G51" s="32">
        <f>(G50/1000)/(1/1440)</f>
        <v>1190.8799999999999</v>
      </c>
      <c r="H51" s="32" t="s">
        <v>97</v>
      </c>
    </row>
    <row r="53" spans="2:19" x14ac:dyDescent="0.3">
      <c r="B53" s="44" t="s">
        <v>108</v>
      </c>
      <c r="C53" s="32">
        <f>'UBAP Bersih GD.C'!M132</f>
        <v>1035</v>
      </c>
      <c r="D53" s="32"/>
      <c r="F53" s="169" t="s">
        <v>205</v>
      </c>
      <c r="G53" s="32">
        <f>'UBAP Bersih GD.C'!L130</f>
        <v>525</v>
      </c>
      <c r="H53" s="41"/>
    </row>
    <row r="54" spans="2:19" x14ac:dyDescent="0.3">
      <c r="B54" s="32"/>
      <c r="C54" s="32">
        <v>790</v>
      </c>
      <c r="D54" s="32" t="s">
        <v>96</v>
      </c>
      <c r="F54" s="169"/>
      <c r="G54" s="32">
        <v>480</v>
      </c>
      <c r="H54" s="41" t="s">
        <v>96</v>
      </c>
    </row>
    <row r="55" spans="2:19" x14ac:dyDescent="0.3">
      <c r="B55" s="32"/>
      <c r="C55" s="32">
        <f>(C54/1000)/(1/1440)</f>
        <v>1137.5999999999999</v>
      </c>
      <c r="D55" s="32" t="s">
        <v>97</v>
      </c>
      <c r="F55" s="169"/>
      <c r="G55" s="32">
        <f>(G54/1000)/(1/1440)</f>
        <v>691.19999999999993</v>
      </c>
      <c r="H55" s="41" t="s">
        <v>97</v>
      </c>
    </row>
    <row r="57" spans="2:19" x14ac:dyDescent="0.3">
      <c r="F57" s="169" t="s">
        <v>206</v>
      </c>
      <c r="G57" s="32">
        <f>'UBAP Bersih GD.C'!L131</f>
        <v>575</v>
      </c>
      <c r="H57" s="32"/>
    </row>
    <row r="58" spans="2:19" x14ac:dyDescent="0.3">
      <c r="F58" s="169"/>
      <c r="G58" s="32">
        <v>530</v>
      </c>
      <c r="H58" s="32" t="s">
        <v>96</v>
      </c>
    </row>
    <row r="59" spans="2:19" x14ac:dyDescent="0.3">
      <c r="F59" s="169"/>
      <c r="G59" s="32">
        <f>(G58/1000)/(1/1440)</f>
        <v>763.2</v>
      </c>
      <c r="H59" s="32" t="s">
        <v>97</v>
      </c>
    </row>
    <row r="61" spans="2:19" x14ac:dyDescent="0.3">
      <c r="L61" s="170" t="s">
        <v>94</v>
      </c>
      <c r="M61" s="170"/>
      <c r="N61" s="170"/>
      <c r="O61" s="170"/>
      <c r="P61" s="170"/>
      <c r="Q61" s="170"/>
      <c r="R61" s="170"/>
      <c r="S61" s="170"/>
    </row>
    <row r="65" spans="2:8" x14ac:dyDescent="0.3">
      <c r="B65" s="33" t="s">
        <v>103</v>
      </c>
    </row>
    <row r="66" spans="2:8" x14ac:dyDescent="0.3">
      <c r="B66" s="42" t="s">
        <v>99</v>
      </c>
      <c r="C66" s="32">
        <f>'UBAP BERSIH GD.D'!K118</f>
        <v>2038</v>
      </c>
      <c r="D66" s="32"/>
      <c r="F66" s="168" t="s">
        <v>145</v>
      </c>
      <c r="G66" s="32">
        <f>'UBAP BERSIH GD.D'!K116</f>
        <v>876</v>
      </c>
      <c r="H66" s="32"/>
    </row>
    <row r="67" spans="2:8" x14ac:dyDescent="0.3">
      <c r="B67" s="32"/>
      <c r="C67" s="32">
        <v>1250</v>
      </c>
      <c r="D67" s="32" t="s">
        <v>96</v>
      </c>
      <c r="F67" s="168"/>
      <c r="G67" s="32">
        <v>705</v>
      </c>
      <c r="H67" s="32" t="s">
        <v>96</v>
      </c>
    </row>
    <row r="68" spans="2:8" x14ac:dyDescent="0.3">
      <c r="B68" s="32"/>
      <c r="C68" s="32">
        <f>(C67/1000)/(1/1440)</f>
        <v>1800</v>
      </c>
      <c r="D68" s="32" t="s">
        <v>97</v>
      </c>
      <c r="F68" s="168"/>
      <c r="G68" s="32">
        <f>(G67/1000)/(1/1440)</f>
        <v>1015.1999999999999</v>
      </c>
      <c r="H68" s="32" t="s">
        <v>97</v>
      </c>
    </row>
    <row r="70" spans="2:8" x14ac:dyDescent="0.3">
      <c r="B70" s="43" t="s">
        <v>106</v>
      </c>
      <c r="C70" s="32">
        <f>'UBAP BERSIH GD.D'!L118</f>
        <v>1090</v>
      </c>
      <c r="D70" s="32"/>
      <c r="F70" s="168" t="s">
        <v>146</v>
      </c>
      <c r="G70" s="32">
        <f>'UBAP BERSIH GD.D'!K117</f>
        <v>1162</v>
      </c>
      <c r="H70" s="32"/>
    </row>
    <row r="71" spans="2:8" x14ac:dyDescent="0.3">
      <c r="B71" s="32"/>
      <c r="C71" s="32">
        <v>825</v>
      </c>
      <c r="D71" s="32" t="s">
        <v>96</v>
      </c>
      <c r="F71" s="168"/>
      <c r="G71" s="32">
        <v>860</v>
      </c>
      <c r="H71" s="32" t="s">
        <v>96</v>
      </c>
    </row>
    <row r="72" spans="2:8" x14ac:dyDescent="0.3">
      <c r="B72" s="32"/>
      <c r="C72" s="32">
        <f>(C71/1000)/(1/1440)</f>
        <v>1188</v>
      </c>
      <c r="D72" s="32" t="s">
        <v>97</v>
      </c>
      <c r="F72" s="168"/>
      <c r="G72" s="32">
        <f>(G71/1000)/(1/1440)</f>
        <v>1238.3999999999999</v>
      </c>
      <c r="H72" s="32" t="s">
        <v>97</v>
      </c>
    </row>
    <row r="74" spans="2:8" x14ac:dyDescent="0.3">
      <c r="B74" s="44" t="s">
        <v>108</v>
      </c>
      <c r="C74" s="32">
        <f>'UBAP BERSIH GD.D'!M118</f>
        <v>935</v>
      </c>
      <c r="D74" s="32"/>
      <c r="F74" s="169" t="s">
        <v>205</v>
      </c>
      <c r="G74" s="32">
        <f>'UBAP BERSIH GD.D'!L116</f>
        <v>515</v>
      </c>
      <c r="H74" s="41"/>
    </row>
    <row r="75" spans="2:8" x14ac:dyDescent="0.3">
      <c r="B75" s="32"/>
      <c r="C75" s="32">
        <v>750</v>
      </c>
      <c r="D75" s="32" t="s">
        <v>96</v>
      </c>
      <c r="F75" s="169"/>
      <c r="G75" s="32">
        <v>450</v>
      </c>
      <c r="H75" s="41" t="s">
        <v>96</v>
      </c>
    </row>
    <row r="76" spans="2:8" x14ac:dyDescent="0.3">
      <c r="B76" s="32"/>
      <c r="C76" s="32">
        <f>(C75/1000)/(1/1440)</f>
        <v>1080</v>
      </c>
      <c r="D76" s="32" t="s">
        <v>97</v>
      </c>
      <c r="F76" s="169"/>
      <c r="G76" s="32">
        <f>(G75/1000)/(1/1440)</f>
        <v>648</v>
      </c>
      <c r="H76" s="41" t="s">
        <v>97</v>
      </c>
    </row>
    <row r="78" spans="2:8" x14ac:dyDescent="0.3">
      <c r="F78" s="169" t="s">
        <v>206</v>
      </c>
      <c r="G78" s="32">
        <f>'UBAP BERSIH GD.D'!L117</f>
        <v>575</v>
      </c>
      <c r="H78" s="32"/>
    </row>
    <row r="79" spans="2:8" x14ac:dyDescent="0.3">
      <c r="F79" s="169"/>
      <c r="G79" s="32">
        <v>530</v>
      </c>
      <c r="H79" s="32" t="s">
        <v>96</v>
      </c>
    </row>
    <row r="80" spans="2:8" x14ac:dyDescent="0.3">
      <c r="F80" s="169"/>
      <c r="G80" s="32">
        <f>(G79/1000)/(1/1440)</f>
        <v>763.2</v>
      </c>
      <c r="H80" s="32" t="s">
        <v>97</v>
      </c>
    </row>
    <row r="82" spans="2:19" x14ac:dyDescent="0.3">
      <c r="L82" s="170" t="s">
        <v>94</v>
      </c>
      <c r="M82" s="170"/>
      <c r="N82" s="170"/>
      <c r="O82" s="170"/>
      <c r="P82" s="170"/>
      <c r="Q82" s="170"/>
      <c r="R82" s="170"/>
      <c r="S82" s="170"/>
    </row>
    <row r="87" spans="2:19" x14ac:dyDescent="0.3">
      <c r="B87" s="33" t="s">
        <v>104</v>
      </c>
    </row>
    <row r="88" spans="2:19" x14ac:dyDescent="0.3">
      <c r="B88" s="42" t="s">
        <v>99</v>
      </c>
      <c r="C88" s="32">
        <f>'UBAP BERSIH GD.E'!I17</f>
        <v>56</v>
      </c>
      <c r="D88" s="32"/>
    </row>
    <row r="89" spans="2:19" x14ac:dyDescent="0.3">
      <c r="B89" s="32"/>
      <c r="C89" s="32">
        <v>115</v>
      </c>
      <c r="D89" s="32" t="s">
        <v>96</v>
      </c>
    </row>
    <row r="90" spans="2:19" x14ac:dyDescent="0.3">
      <c r="B90" s="32"/>
      <c r="C90" s="32">
        <f>(C89/1000)/(1/1440)</f>
        <v>165.6</v>
      </c>
      <c r="D90" s="32" t="s">
        <v>97</v>
      </c>
    </row>
    <row r="92" spans="2:19" x14ac:dyDescent="0.3">
      <c r="B92" s="43" t="s">
        <v>106</v>
      </c>
      <c r="C92" s="32">
        <f>'UBAP BERSIH GD.E'!J17</f>
        <v>65</v>
      </c>
      <c r="D92" s="32"/>
    </row>
    <row r="93" spans="2:19" x14ac:dyDescent="0.3">
      <c r="B93" s="32"/>
      <c r="C93" s="32">
        <v>125</v>
      </c>
      <c r="D93" s="32" t="s">
        <v>96</v>
      </c>
    </row>
    <row r="94" spans="2:19" x14ac:dyDescent="0.3">
      <c r="B94" s="32"/>
      <c r="C94" s="32">
        <f>(C93/1000)/(1/1440)</f>
        <v>180</v>
      </c>
      <c r="D94" s="32" t="s">
        <v>97</v>
      </c>
    </row>
    <row r="103" spans="2:19" x14ac:dyDescent="0.3">
      <c r="L103" s="170" t="s">
        <v>98</v>
      </c>
      <c r="M103" s="170"/>
      <c r="N103" s="170"/>
      <c r="O103" s="170"/>
      <c r="P103" s="170"/>
      <c r="Q103" s="170"/>
      <c r="R103" s="170"/>
      <c r="S103" s="170"/>
    </row>
    <row r="107" spans="2:19" x14ac:dyDescent="0.3">
      <c r="B107" s="33" t="s">
        <v>105</v>
      </c>
    </row>
    <row r="108" spans="2:19" x14ac:dyDescent="0.3">
      <c r="B108" s="42" t="s">
        <v>99</v>
      </c>
      <c r="C108" s="32">
        <f>'UBAP BERSIH GD.F'!I16</f>
        <v>29</v>
      </c>
      <c r="D108" s="32"/>
    </row>
    <row r="109" spans="2:19" x14ac:dyDescent="0.3">
      <c r="B109" s="32"/>
      <c r="C109" s="32">
        <v>65</v>
      </c>
      <c r="D109" s="32" t="s">
        <v>96</v>
      </c>
    </row>
    <row r="110" spans="2:19" x14ac:dyDescent="0.3">
      <c r="B110" s="32"/>
      <c r="C110" s="32">
        <f>(C109/1000)/(1/1440)</f>
        <v>93.6</v>
      </c>
      <c r="D110" s="32" t="s">
        <v>97</v>
      </c>
    </row>
    <row r="112" spans="2:19" x14ac:dyDescent="0.3">
      <c r="B112" s="43" t="s">
        <v>106</v>
      </c>
      <c r="C112" s="32">
        <f>'UBAP BERSIH GD.F'!J16</f>
        <v>50</v>
      </c>
      <c r="D112" s="32"/>
    </row>
    <row r="113" spans="2:19" x14ac:dyDescent="0.3">
      <c r="B113" s="32"/>
      <c r="C113" s="32">
        <v>110</v>
      </c>
      <c r="D113" s="32" t="s">
        <v>96</v>
      </c>
    </row>
    <row r="114" spans="2:19" x14ac:dyDescent="0.3">
      <c r="B114" s="32"/>
      <c r="C114" s="32">
        <f>(C113/1000)/(1/1440)</f>
        <v>158.4</v>
      </c>
      <c r="D114" s="32" t="s">
        <v>97</v>
      </c>
    </row>
    <row r="123" spans="2:19" x14ac:dyDescent="0.3">
      <c r="L123" s="170" t="s">
        <v>98</v>
      </c>
      <c r="M123" s="170"/>
      <c r="N123" s="170"/>
      <c r="O123" s="170"/>
      <c r="P123" s="170"/>
      <c r="Q123" s="170"/>
      <c r="R123" s="170"/>
      <c r="S123" s="170"/>
    </row>
  </sheetData>
  <mergeCells count="22">
    <mergeCell ref="F74:F76"/>
    <mergeCell ref="F78:F80"/>
    <mergeCell ref="L123:S123"/>
    <mergeCell ref="L19:S19"/>
    <mergeCell ref="L39:S39"/>
    <mergeCell ref="L61:S61"/>
    <mergeCell ref="L82:S82"/>
    <mergeCell ref="L103:S103"/>
    <mergeCell ref="F66:F68"/>
    <mergeCell ref="F70:F72"/>
    <mergeCell ref="F49:F51"/>
    <mergeCell ref="F53:F55"/>
    <mergeCell ref="F57:F59"/>
    <mergeCell ref="F3:F5"/>
    <mergeCell ref="F7:F9"/>
    <mergeCell ref="F23:F25"/>
    <mergeCell ref="F27:F29"/>
    <mergeCell ref="F45:F47"/>
    <mergeCell ref="F11:F13"/>
    <mergeCell ref="F15:F17"/>
    <mergeCell ref="F31:F33"/>
    <mergeCell ref="F35:F3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0E01A-0FFE-448F-B937-FA80AFC52F40}">
  <dimension ref="A3:K74"/>
  <sheetViews>
    <sheetView topLeftCell="A42" zoomScale="78" zoomScaleNormal="78" workbookViewId="0">
      <selection activeCell="E66" sqref="E66"/>
    </sheetView>
  </sheetViews>
  <sheetFormatPr defaultRowHeight="14.4" x14ac:dyDescent="0.3"/>
  <cols>
    <col min="3" max="3" width="27.5546875" customWidth="1"/>
    <col min="4" max="4" width="20.6640625" customWidth="1"/>
    <col min="5" max="5" width="17.5546875" customWidth="1"/>
    <col min="6" max="6" width="21.44140625" customWidth="1"/>
    <col min="7" max="7" width="32" customWidth="1"/>
  </cols>
  <sheetData>
    <row r="3" spans="2:7" x14ac:dyDescent="0.3">
      <c r="B3" s="172" t="s">
        <v>463</v>
      </c>
      <c r="C3" s="172"/>
      <c r="D3" s="172"/>
      <c r="E3" s="172"/>
      <c r="F3" s="172"/>
      <c r="G3" s="172"/>
    </row>
    <row r="4" spans="2:7" ht="43.2" x14ac:dyDescent="0.3">
      <c r="B4" s="1" t="s">
        <v>464</v>
      </c>
      <c r="C4" s="1" t="s">
        <v>465</v>
      </c>
      <c r="D4" s="86" t="s">
        <v>466</v>
      </c>
      <c r="E4" s="86" t="s">
        <v>467</v>
      </c>
      <c r="F4" s="86" t="s">
        <v>468</v>
      </c>
      <c r="G4" s="86" t="s">
        <v>111</v>
      </c>
    </row>
    <row r="5" spans="2:7" x14ac:dyDescent="0.3">
      <c r="B5" s="32"/>
      <c r="C5" s="1"/>
      <c r="D5" s="86" t="s">
        <v>469</v>
      </c>
      <c r="E5" s="86" t="s">
        <v>470</v>
      </c>
      <c r="F5" s="86" t="s">
        <v>471</v>
      </c>
      <c r="G5" s="32"/>
    </row>
    <row r="6" spans="2:7" x14ac:dyDescent="0.3">
      <c r="B6" s="4">
        <v>1</v>
      </c>
      <c r="C6" s="87" t="s">
        <v>472</v>
      </c>
      <c r="D6" s="79">
        <v>250</v>
      </c>
      <c r="E6" s="88" t="s">
        <v>473</v>
      </c>
      <c r="F6" s="89" t="s">
        <v>474</v>
      </c>
      <c r="G6" s="80" t="s">
        <v>475</v>
      </c>
    </row>
    <row r="7" spans="2:7" x14ac:dyDescent="0.3">
      <c r="B7" s="90">
        <v>2</v>
      </c>
      <c r="C7" s="91" t="s">
        <v>476</v>
      </c>
      <c r="D7" s="92" t="s">
        <v>477</v>
      </c>
      <c r="E7" s="92" t="s">
        <v>473</v>
      </c>
      <c r="F7" s="92" t="s">
        <v>478</v>
      </c>
      <c r="G7" s="93" t="s">
        <v>475</v>
      </c>
    </row>
    <row r="8" spans="2:7" x14ac:dyDescent="0.3">
      <c r="B8" s="90">
        <v>3</v>
      </c>
      <c r="C8" s="91" t="s">
        <v>479</v>
      </c>
      <c r="D8" s="92" t="s">
        <v>480</v>
      </c>
      <c r="E8" s="92" t="s">
        <v>473</v>
      </c>
      <c r="F8" s="92" t="s">
        <v>481</v>
      </c>
      <c r="G8" s="93" t="s">
        <v>482</v>
      </c>
    </row>
    <row r="9" spans="2:7" x14ac:dyDescent="0.3">
      <c r="B9" s="90"/>
      <c r="C9" s="91"/>
      <c r="D9" s="94"/>
      <c r="E9" s="94"/>
      <c r="F9" s="94"/>
      <c r="G9" s="93" t="s">
        <v>483</v>
      </c>
    </row>
    <row r="10" spans="2:7" x14ac:dyDescent="0.3">
      <c r="B10" s="90"/>
      <c r="C10" s="91"/>
      <c r="D10" s="94"/>
      <c r="E10" s="94"/>
      <c r="F10" s="94"/>
      <c r="G10" s="93" t="s">
        <v>484</v>
      </c>
    </row>
    <row r="11" spans="2:7" x14ac:dyDescent="0.3">
      <c r="B11" s="90">
        <v>4</v>
      </c>
      <c r="C11" s="91" t="s">
        <v>485</v>
      </c>
      <c r="D11" s="94">
        <v>120</v>
      </c>
      <c r="E11" s="94">
        <v>8</v>
      </c>
      <c r="F11" s="94"/>
      <c r="G11" s="93"/>
    </row>
    <row r="12" spans="2:7" x14ac:dyDescent="0.3">
      <c r="B12" s="90">
        <v>5</v>
      </c>
      <c r="C12" s="91" t="s">
        <v>486</v>
      </c>
      <c r="D12" s="94" t="s">
        <v>487</v>
      </c>
      <c r="E12" s="94"/>
      <c r="F12" s="94"/>
      <c r="G12" s="93" t="s">
        <v>488</v>
      </c>
    </row>
    <row r="13" spans="2:7" x14ac:dyDescent="0.3">
      <c r="B13" s="90"/>
      <c r="C13" s="91"/>
      <c r="D13" s="94" t="s">
        <v>489</v>
      </c>
      <c r="E13" s="92" t="s">
        <v>473</v>
      </c>
      <c r="F13" s="92" t="s">
        <v>490</v>
      </c>
      <c r="G13" s="93" t="s">
        <v>491</v>
      </c>
    </row>
    <row r="14" spans="2:7" x14ac:dyDescent="0.3">
      <c r="B14" s="90"/>
      <c r="C14" s="91"/>
      <c r="D14" s="94" t="s">
        <v>492</v>
      </c>
      <c r="E14" s="94"/>
      <c r="F14" s="94"/>
      <c r="G14" s="93" t="s">
        <v>493</v>
      </c>
    </row>
    <row r="15" spans="2:7" x14ac:dyDescent="0.3">
      <c r="B15" s="90"/>
      <c r="C15" s="91"/>
      <c r="D15" s="94"/>
      <c r="E15" s="94"/>
      <c r="F15" s="94"/>
      <c r="G15" s="93" t="s">
        <v>494</v>
      </c>
    </row>
    <row r="16" spans="2:7" x14ac:dyDescent="0.3">
      <c r="B16" s="90">
        <v>6</v>
      </c>
      <c r="C16" s="91" t="s">
        <v>495</v>
      </c>
      <c r="D16" s="94">
        <v>40</v>
      </c>
      <c r="E16" s="94">
        <v>5</v>
      </c>
      <c r="F16" s="92" t="s">
        <v>496</v>
      </c>
      <c r="G16" s="93" t="s">
        <v>497</v>
      </c>
    </row>
    <row r="17" spans="2:7" x14ac:dyDescent="0.3">
      <c r="B17" s="90">
        <v>7</v>
      </c>
      <c r="C17" s="91" t="s">
        <v>498</v>
      </c>
      <c r="D17" s="94">
        <v>50</v>
      </c>
      <c r="E17" s="94">
        <v>6</v>
      </c>
      <c r="F17" s="92" t="s">
        <v>496</v>
      </c>
      <c r="G17" s="93" t="s">
        <v>497</v>
      </c>
    </row>
    <row r="18" spans="2:7" x14ac:dyDescent="0.3">
      <c r="B18" s="90">
        <v>8</v>
      </c>
      <c r="C18" s="91" t="s">
        <v>499</v>
      </c>
      <c r="D18" s="94">
        <v>80</v>
      </c>
      <c r="E18" s="94">
        <v>6</v>
      </c>
      <c r="F18" s="92" t="s">
        <v>496</v>
      </c>
      <c r="G18" s="93" t="s">
        <v>500</v>
      </c>
    </row>
    <row r="19" spans="2:7" x14ac:dyDescent="0.3">
      <c r="B19" s="90">
        <v>9</v>
      </c>
      <c r="C19" s="91" t="s">
        <v>501</v>
      </c>
      <c r="D19" s="92" t="s">
        <v>502</v>
      </c>
      <c r="E19" s="94">
        <v>8</v>
      </c>
      <c r="F19" s="94"/>
      <c r="G19" s="93"/>
    </row>
    <row r="20" spans="2:7" x14ac:dyDescent="0.3">
      <c r="B20" s="90">
        <v>10</v>
      </c>
      <c r="C20" s="91" t="s">
        <v>503</v>
      </c>
      <c r="D20" s="94">
        <v>100</v>
      </c>
      <c r="E20" s="94">
        <v>8</v>
      </c>
      <c r="F20" s="94" t="s">
        <v>504</v>
      </c>
      <c r="G20" s="93" t="s">
        <v>505</v>
      </c>
    </row>
    <row r="21" spans="2:7" ht="78.599999999999994" customHeight="1" x14ac:dyDescent="0.3">
      <c r="B21" s="90">
        <v>11</v>
      </c>
      <c r="C21" s="97" t="s">
        <v>506</v>
      </c>
      <c r="D21" s="94">
        <v>3</v>
      </c>
      <c r="E21" s="94">
        <v>7</v>
      </c>
      <c r="F21" s="94" t="s">
        <v>507</v>
      </c>
      <c r="G21" s="95" t="s">
        <v>508</v>
      </c>
    </row>
    <row r="22" spans="2:7" x14ac:dyDescent="0.3">
      <c r="B22" s="90">
        <v>12</v>
      </c>
      <c r="C22" s="96" t="s">
        <v>509</v>
      </c>
      <c r="D22" s="94" t="s">
        <v>510</v>
      </c>
      <c r="E22" s="94">
        <v>8</v>
      </c>
      <c r="F22" s="94"/>
      <c r="G22" s="173" t="s">
        <v>511</v>
      </c>
    </row>
    <row r="23" spans="2:7" x14ac:dyDescent="0.3">
      <c r="B23" s="90"/>
      <c r="C23" s="91"/>
      <c r="D23" s="94" t="s">
        <v>512</v>
      </c>
      <c r="E23" s="94"/>
      <c r="F23" s="94"/>
      <c r="G23" s="173"/>
    </row>
    <row r="24" spans="2:7" ht="65.400000000000006" customHeight="1" x14ac:dyDescent="0.3">
      <c r="B24" s="90">
        <v>13</v>
      </c>
      <c r="C24" s="96" t="s">
        <v>513</v>
      </c>
      <c r="D24" s="94">
        <v>3</v>
      </c>
      <c r="E24" s="94">
        <v>15</v>
      </c>
      <c r="F24" s="94"/>
      <c r="G24" s="95" t="s">
        <v>514</v>
      </c>
    </row>
    <row r="25" spans="2:7" x14ac:dyDescent="0.3">
      <c r="B25" s="90">
        <v>14</v>
      </c>
      <c r="C25" s="91" t="s">
        <v>515</v>
      </c>
      <c r="D25" s="94">
        <v>30</v>
      </c>
      <c r="E25" s="94">
        <v>5</v>
      </c>
      <c r="F25" s="94"/>
      <c r="G25" s="93" t="s">
        <v>516</v>
      </c>
    </row>
    <row r="26" spans="2:7" ht="92.4" customHeight="1" x14ac:dyDescent="0.3">
      <c r="B26" s="90">
        <v>15</v>
      </c>
      <c r="C26" s="97" t="s">
        <v>517</v>
      </c>
      <c r="D26" s="94">
        <v>15</v>
      </c>
      <c r="E26" s="94">
        <v>7</v>
      </c>
      <c r="F26" s="94"/>
      <c r="G26" s="95" t="s">
        <v>518</v>
      </c>
    </row>
    <row r="27" spans="2:7" ht="88.2" customHeight="1" x14ac:dyDescent="0.3">
      <c r="B27" s="90">
        <v>16</v>
      </c>
      <c r="C27" s="97" t="s">
        <v>519</v>
      </c>
      <c r="D27" s="94">
        <v>30</v>
      </c>
      <c r="E27" s="94">
        <v>5</v>
      </c>
      <c r="F27" s="94" t="s">
        <v>520</v>
      </c>
      <c r="G27" s="95" t="s">
        <v>521</v>
      </c>
    </row>
    <row r="28" spans="2:7" ht="118.8" customHeight="1" x14ac:dyDescent="0.3">
      <c r="B28" s="90">
        <v>17</v>
      </c>
      <c r="C28" s="97" t="s">
        <v>522</v>
      </c>
      <c r="D28" s="94">
        <v>10</v>
      </c>
      <c r="E28" s="94">
        <v>3</v>
      </c>
      <c r="F28" s="94"/>
      <c r="G28" s="95" t="s">
        <v>521</v>
      </c>
    </row>
    <row r="29" spans="2:7" x14ac:dyDescent="0.3">
      <c r="B29" s="90">
        <v>18</v>
      </c>
      <c r="C29" s="91" t="s">
        <v>523</v>
      </c>
      <c r="D29" s="94">
        <v>40</v>
      </c>
      <c r="E29" s="94">
        <v>6</v>
      </c>
      <c r="F29" s="94"/>
      <c r="G29" s="93" t="s">
        <v>524</v>
      </c>
    </row>
    <row r="30" spans="2:7" ht="69" customHeight="1" x14ac:dyDescent="0.3">
      <c r="B30" s="90"/>
      <c r="C30" s="91"/>
      <c r="D30" s="94"/>
      <c r="E30" s="94"/>
      <c r="F30" s="94"/>
      <c r="G30" s="95" t="s">
        <v>525</v>
      </c>
    </row>
    <row r="31" spans="2:7" ht="58.8" customHeight="1" x14ac:dyDescent="0.3">
      <c r="B31" s="90">
        <v>19</v>
      </c>
      <c r="C31" s="97" t="s">
        <v>526</v>
      </c>
      <c r="D31" s="94" t="s">
        <v>527</v>
      </c>
      <c r="E31" s="94">
        <v>10</v>
      </c>
      <c r="F31" s="94"/>
      <c r="G31" s="95" t="s">
        <v>528</v>
      </c>
    </row>
    <row r="32" spans="2:7" ht="28.8" x14ac:dyDescent="0.3">
      <c r="B32" s="90">
        <v>20</v>
      </c>
      <c r="C32" s="97" t="s">
        <v>529</v>
      </c>
      <c r="D32" s="94">
        <v>10</v>
      </c>
      <c r="E32" s="94">
        <v>2</v>
      </c>
      <c r="F32" s="94"/>
      <c r="G32" s="95" t="s">
        <v>530</v>
      </c>
    </row>
    <row r="33" spans="2:9" ht="39.6" customHeight="1" x14ac:dyDescent="0.3">
      <c r="B33" s="90">
        <v>21</v>
      </c>
      <c r="C33" s="97" t="s">
        <v>531</v>
      </c>
      <c r="D33" s="94">
        <v>25</v>
      </c>
      <c r="E33" s="94">
        <v>6</v>
      </c>
      <c r="F33" s="94"/>
      <c r="G33" s="95" t="s">
        <v>532</v>
      </c>
    </row>
    <row r="34" spans="2:9" x14ac:dyDescent="0.3">
      <c r="B34" s="90">
        <v>22</v>
      </c>
      <c r="C34" s="91" t="s">
        <v>533</v>
      </c>
      <c r="D34" s="94">
        <v>30</v>
      </c>
      <c r="E34" s="94">
        <v>6</v>
      </c>
      <c r="F34" s="94"/>
      <c r="G34" s="93" t="s">
        <v>534</v>
      </c>
    </row>
    <row r="35" spans="2:9" x14ac:dyDescent="0.3">
      <c r="B35" s="90">
        <v>23</v>
      </c>
      <c r="C35" s="91" t="s">
        <v>535</v>
      </c>
      <c r="D35" s="94">
        <v>30</v>
      </c>
      <c r="E35" s="94">
        <v>6</v>
      </c>
      <c r="F35" s="94"/>
      <c r="G35" s="93" t="s">
        <v>534</v>
      </c>
    </row>
    <row r="36" spans="2:9" x14ac:dyDescent="0.3">
      <c r="B36" s="90">
        <v>24</v>
      </c>
      <c r="C36" s="91" t="s">
        <v>536</v>
      </c>
      <c r="D36" s="94" t="s">
        <v>537</v>
      </c>
      <c r="E36" s="94"/>
      <c r="F36" s="94"/>
      <c r="G36" s="93" t="s">
        <v>538</v>
      </c>
    </row>
    <row r="37" spans="2:9" x14ac:dyDescent="0.3">
      <c r="B37" s="90">
        <v>25</v>
      </c>
      <c r="C37" s="91" t="s">
        <v>539</v>
      </c>
      <c r="D37" s="94" t="s">
        <v>540</v>
      </c>
      <c r="E37" s="94"/>
      <c r="F37" s="94"/>
      <c r="G37" s="93" t="s">
        <v>534</v>
      </c>
    </row>
    <row r="38" spans="2:9" x14ac:dyDescent="0.3">
      <c r="B38" s="98">
        <v>26</v>
      </c>
      <c r="C38" s="99" t="s">
        <v>541</v>
      </c>
      <c r="D38" s="2" t="s">
        <v>502</v>
      </c>
      <c r="E38" s="2">
        <v>8</v>
      </c>
      <c r="F38" s="2"/>
      <c r="G38" s="3" t="s">
        <v>542</v>
      </c>
    </row>
    <row r="39" spans="2:9" x14ac:dyDescent="0.3">
      <c r="B39" t="s">
        <v>555</v>
      </c>
    </row>
    <row r="43" spans="2:9" x14ac:dyDescent="0.3">
      <c r="C43" s="40" t="s">
        <v>131</v>
      </c>
      <c r="E43" s="174" t="s">
        <v>131</v>
      </c>
      <c r="F43" s="174"/>
      <c r="H43" s="11" t="s">
        <v>133</v>
      </c>
      <c r="I43" s="11" t="s">
        <v>132</v>
      </c>
    </row>
    <row r="44" spans="2:9" x14ac:dyDescent="0.3">
      <c r="C44" s="11" t="s">
        <v>139</v>
      </c>
      <c r="E44" s="151" t="s">
        <v>141</v>
      </c>
      <c r="F44" s="151"/>
      <c r="H44" s="11">
        <v>2</v>
      </c>
      <c r="I44" s="11">
        <v>3</v>
      </c>
    </row>
    <row r="46" spans="2:9" x14ac:dyDescent="0.3">
      <c r="C46" s="40" t="s">
        <v>130</v>
      </c>
      <c r="E46" s="40" t="s">
        <v>112</v>
      </c>
      <c r="F46" s="40" t="s">
        <v>113</v>
      </c>
      <c r="H46" t="s">
        <v>137</v>
      </c>
    </row>
    <row r="47" spans="2:9" x14ac:dyDescent="0.3">
      <c r="C47" s="11" t="s">
        <v>140</v>
      </c>
      <c r="E47" s="11" t="s">
        <v>143</v>
      </c>
      <c r="F47" s="11" t="s">
        <v>148</v>
      </c>
      <c r="H47" t="s">
        <v>138</v>
      </c>
    </row>
    <row r="49" spans="3:11" x14ac:dyDescent="0.3">
      <c r="C49" s="154" t="s">
        <v>121</v>
      </c>
      <c r="D49" s="154"/>
      <c r="E49" s="154"/>
      <c r="F49" s="154"/>
      <c r="H49" s="154" t="s">
        <v>121</v>
      </c>
      <c r="I49" s="154"/>
      <c r="J49" s="154"/>
      <c r="K49" s="154"/>
    </row>
    <row r="52" spans="3:11" x14ac:dyDescent="0.3">
      <c r="C52" s="11" t="s">
        <v>130</v>
      </c>
      <c r="D52" s="11">
        <f>I44*(D53/I52)</f>
        <v>23160</v>
      </c>
      <c r="E52" s="11" t="s">
        <v>96</v>
      </c>
      <c r="H52" s="11" t="s">
        <v>114</v>
      </c>
      <c r="I52" s="11">
        <v>10</v>
      </c>
    </row>
    <row r="53" spans="3:11" x14ac:dyDescent="0.3">
      <c r="C53" s="11" t="s">
        <v>131</v>
      </c>
      <c r="D53" s="11">
        <f>D54/I52</f>
        <v>77200</v>
      </c>
      <c r="E53" s="11" t="s">
        <v>135</v>
      </c>
      <c r="H53" t="s">
        <v>166</v>
      </c>
    </row>
    <row r="54" spans="3:11" x14ac:dyDescent="0.3">
      <c r="C54" s="11" t="s">
        <v>112</v>
      </c>
      <c r="D54" s="11">
        <f>1000*772</f>
        <v>772000</v>
      </c>
      <c r="E54" s="11" t="s">
        <v>136</v>
      </c>
    </row>
    <row r="55" spans="3:11" x14ac:dyDescent="0.3">
      <c r="C55" s="32"/>
      <c r="D55" s="11">
        <f>D54/1000</f>
        <v>772</v>
      </c>
      <c r="E55" s="11" t="s">
        <v>134</v>
      </c>
    </row>
    <row r="56" spans="3:11" x14ac:dyDescent="0.3">
      <c r="C56" s="11" t="s">
        <v>113</v>
      </c>
      <c r="D56" s="48">
        <f>(2/3)*D53</f>
        <v>51466.666666666664</v>
      </c>
      <c r="E56" s="11" t="s">
        <v>462</v>
      </c>
    </row>
    <row r="58" spans="3:11" x14ac:dyDescent="0.3">
      <c r="C58" s="171" t="s">
        <v>162</v>
      </c>
      <c r="D58" s="171"/>
    </row>
    <row r="59" spans="3:11" x14ac:dyDescent="0.3">
      <c r="C59" s="46">
        <f>(D54-(D56*I52)*1)</f>
        <v>257333.33333333337</v>
      </c>
      <c r="D59" s="1" t="s">
        <v>136</v>
      </c>
    </row>
    <row r="60" spans="3:11" x14ac:dyDescent="0.3">
      <c r="C60" s="45">
        <v>0</v>
      </c>
      <c r="D60" s="1" t="s">
        <v>181</v>
      </c>
    </row>
    <row r="61" spans="3:11" x14ac:dyDescent="0.3">
      <c r="C61" s="66">
        <f>(1+C60)*C59/1000</f>
        <v>257.33333333333337</v>
      </c>
      <c r="D61" s="28" t="s">
        <v>97</v>
      </c>
      <c r="E61" s="49"/>
    </row>
    <row r="62" spans="3:11" x14ac:dyDescent="0.3">
      <c r="C62" s="11">
        <v>2</v>
      </c>
      <c r="D62" s="11" t="s">
        <v>180</v>
      </c>
    </row>
    <row r="63" spans="3:11" x14ac:dyDescent="0.3">
      <c r="C63" s="100">
        <f>C61*C62</f>
        <v>514.66666666666674</v>
      </c>
      <c r="D63" s="37" t="s">
        <v>134</v>
      </c>
    </row>
    <row r="65" spans="1:10" x14ac:dyDescent="0.3">
      <c r="A65" s="56"/>
      <c r="B65" s="56"/>
      <c r="C65" s="56"/>
      <c r="D65" s="56"/>
      <c r="E65" s="56"/>
      <c r="F65" s="56"/>
      <c r="G65" s="56"/>
      <c r="H65" s="56"/>
    </row>
    <row r="66" spans="1:10" ht="43.2" x14ac:dyDescent="0.3">
      <c r="A66" s="56"/>
      <c r="B66" s="123" t="s">
        <v>464</v>
      </c>
      <c r="C66" s="123" t="s">
        <v>465</v>
      </c>
      <c r="D66" s="84" t="s">
        <v>466</v>
      </c>
      <c r="E66" s="84" t="s">
        <v>467</v>
      </c>
      <c r="F66" s="84" t="s">
        <v>468</v>
      </c>
      <c r="G66" s="84" t="s">
        <v>111</v>
      </c>
      <c r="H66" s="56"/>
      <c r="I66" s="56"/>
      <c r="J66" s="56"/>
    </row>
    <row r="67" spans="1:10" x14ac:dyDescent="0.3">
      <c r="A67" s="56"/>
      <c r="B67" s="114"/>
      <c r="C67" s="30"/>
      <c r="D67" s="113" t="s">
        <v>469</v>
      </c>
      <c r="E67" s="113" t="s">
        <v>470</v>
      </c>
      <c r="F67" s="113" t="s">
        <v>471</v>
      </c>
      <c r="G67" s="114"/>
      <c r="H67" s="56"/>
      <c r="I67" s="56"/>
      <c r="J67" s="56"/>
    </row>
    <row r="68" spans="1:10" x14ac:dyDescent="0.3">
      <c r="A68" s="56"/>
      <c r="B68" s="115"/>
      <c r="C68" s="116" t="s">
        <v>486</v>
      </c>
      <c r="D68" s="117" t="s">
        <v>487</v>
      </c>
      <c r="E68" s="117"/>
      <c r="F68" s="117"/>
      <c r="G68" s="118" t="s">
        <v>488</v>
      </c>
      <c r="H68" s="56"/>
      <c r="I68" s="56"/>
      <c r="J68" s="56"/>
    </row>
    <row r="69" spans="1:10" x14ac:dyDescent="0.3">
      <c r="A69" s="56"/>
      <c r="B69" s="115"/>
      <c r="C69" s="116"/>
      <c r="D69" s="117" t="s">
        <v>489</v>
      </c>
      <c r="E69" s="119" t="s">
        <v>473</v>
      </c>
      <c r="F69" s="119" t="s">
        <v>490</v>
      </c>
      <c r="G69" s="118" t="s">
        <v>491</v>
      </c>
      <c r="H69" s="56"/>
      <c r="I69" s="56"/>
      <c r="J69" s="56"/>
    </row>
    <row r="70" spans="1:10" x14ac:dyDescent="0.3">
      <c r="A70" s="56"/>
      <c r="B70" s="115"/>
      <c r="C70" s="116"/>
      <c r="D70" s="117" t="s">
        <v>492</v>
      </c>
      <c r="E70" s="117"/>
      <c r="F70" s="117"/>
      <c r="G70" s="118" t="s">
        <v>493</v>
      </c>
      <c r="H70" s="56"/>
      <c r="I70" s="56"/>
      <c r="J70" s="56"/>
    </row>
    <row r="71" spans="1:10" x14ac:dyDescent="0.3">
      <c r="A71" s="56"/>
      <c r="B71" s="120"/>
      <c r="C71" s="121"/>
      <c r="D71" s="29"/>
      <c r="E71" s="29"/>
      <c r="F71" s="29"/>
      <c r="G71" s="122" t="s">
        <v>494</v>
      </c>
      <c r="H71" s="56"/>
      <c r="I71" s="56"/>
      <c r="J71" s="56"/>
    </row>
    <row r="72" spans="1:10" x14ac:dyDescent="0.3">
      <c r="A72" s="56"/>
      <c r="B72" s="56" t="s">
        <v>555</v>
      </c>
      <c r="C72" s="56"/>
      <c r="D72" s="56"/>
      <c r="E72" s="56"/>
      <c r="F72" s="56"/>
      <c r="G72" s="56"/>
      <c r="H72" s="56"/>
      <c r="I72" s="56"/>
      <c r="J72" s="56"/>
    </row>
    <row r="73" spans="1:10" x14ac:dyDescent="0.3">
      <c r="A73" s="56"/>
      <c r="B73" s="56"/>
      <c r="C73" s="56"/>
      <c r="D73" s="56"/>
      <c r="E73" s="56"/>
      <c r="F73" s="56"/>
      <c r="G73" s="56"/>
      <c r="H73" s="56"/>
      <c r="I73" s="56"/>
      <c r="J73" s="56"/>
    </row>
    <row r="74" spans="1:10" x14ac:dyDescent="0.3">
      <c r="B74" s="56"/>
      <c r="C74" s="56"/>
      <c r="D74" s="56"/>
      <c r="E74" s="56"/>
      <c r="F74" s="56"/>
      <c r="G74" s="56"/>
      <c r="H74" s="56"/>
      <c r="I74" s="56"/>
      <c r="J74" s="56"/>
    </row>
  </sheetData>
  <mergeCells count="7">
    <mergeCell ref="H49:K49"/>
    <mergeCell ref="C58:D58"/>
    <mergeCell ref="B3:G3"/>
    <mergeCell ref="G22:G23"/>
    <mergeCell ref="E43:F43"/>
    <mergeCell ref="E44:F44"/>
    <mergeCell ref="C49:F4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DC154-8B1D-4360-BC4E-8406A19058B4}">
  <dimension ref="A3:Q162"/>
  <sheetViews>
    <sheetView topLeftCell="N18" zoomScale="91" zoomScaleNormal="91" workbookViewId="0">
      <selection activeCell="M151" sqref="M151"/>
    </sheetView>
  </sheetViews>
  <sheetFormatPr defaultRowHeight="14.4" x14ac:dyDescent="0.3"/>
  <cols>
    <col min="3" max="3" width="13.44140625" customWidth="1"/>
    <col min="4" max="4" width="18.21875" customWidth="1"/>
    <col min="6" max="6" width="12.88671875" customWidth="1"/>
    <col min="7" max="7" width="21.6640625" customWidth="1"/>
    <col min="9" max="9" width="10.33203125" customWidth="1"/>
    <col min="15" max="15" width="11.109375" customWidth="1"/>
  </cols>
  <sheetData>
    <row r="3" spans="2:17" x14ac:dyDescent="0.3">
      <c r="B3" s="171" t="s">
        <v>204</v>
      </c>
      <c r="C3" s="171"/>
      <c r="D3" s="171"/>
      <c r="E3" s="171"/>
    </row>
    <row r="4" spans="2:17" x14ac:dyDescent="0.3">
      <c r="B4" s="171"/>
      <c r="C4" s="171"/>
      <c r="D4" s="171"/>
      <c r="E4" s="171"/>
    </row>
    <row r="5" spans="2:17" x14ac:dyDescent="0.3">
      <c r="B5" s="151" t="s">
        <v>218</v>
      </c>
      <c r="C5" s="151"/>
      <c r="D5" s="151"/>
      <c r="E5" s="151"/>
      <c r="G5" s="32" t="s">
        <v>213</v>
      </c>
      <c r="H5" s="181" t="s">
        <v>461</v>
      </c>
      <c r="I5" s="181"/>
      <c r="J5" s="181"/>
    </row>
    <row r="6" spans="2:17" x14ac:dyDescent="0.3">
      <c r="B6" s="177" t="s">
        <v>156</v>
      </c>
      <c r="C6" s="178"/>
      <c r="D6" s="178"/>
      <c r="E6" s="179"/>
      <c r="G6" s="32" t="s">
        <v>217</v>
      </c>
      <c r="H6" s="181" t="s">
        <v>241</v>
      </c>
      <c r="I6" s="181"/>
      <c r="J6" s="181"/>
    </row>
    <row r="7" spans="2:17" x14ac:dyDescent="0.3">
      <c r="B7" s="177" t="s">
        <v>207</v>
      </c>
      <c r="C7" s="178"/>
      <c r="D7" s="178"/>
      <c r="E7" s="179"/>
      <c r="G7" s="32" t="s">
        <v>219</v>
      </c>
      <c r="H7" s="181" t="s">
        <v>220</v>
      </c>
      <c r="I7" s="181"/>
      <c r="J7" s="181"/>
    </row>
    <row r="8" spans="2:17" x14ac:dyDescent="0.3">
      <c r="B8" s="177" t="s">
        <v>208</v>
      </c>
      <c r="C8" s="178"/>
      <c r="D8" s="178"/>
      <c r="E8" s="179"/>
    </row>
    <row r="9" spans="2:17" x14ac:dyDescent="0.3">
      <c r="B9" s="177" t="s">
        <v>209</v>
      </c>
      <c r="C9" s="178"/>
      <c r="D9" s="178"/>
      <c r="E9" s="179"/>
    </row>
    <row r="11" spans="2:17" x14ac:dyDescent="0.3">
      <c r="B11" s="180" t="s">
        <v>211</v>
      </c>
      <c r="C11" s="180"/>
      <c r="D11" s="180"/>
      <c r="E11" s="180"/>
      <c r="H11" s="180" t="s">
        <v>223</v>
      </c>
      <c r="I11" s="180"/>
      <c r="J11" s="180"/>
      <c r="K11" s="180"/>
      <c r="N11" s="180" t="s">
        <v>228</v>
      </c>
      <c r="O11" s="180"/>
      <c r="P11" s="180"/>
      <c r="Q11" s="180"/>
    </row>
    <row r="13" spans="2:17" x14ac:dyDescent="0.3">
      <c r="B13" s="175" t="s">
        <v>192</v>
      </c>
      <c r="C13" s="175"/>
      <c r="D13" s="175"/>
      <c r="E13" s="175"/>
      <c r="H13" s="175" t="s">
        <v>192</v>
      </c>
      <c r="I13" s="175"/>
      <c r="J13" s="175"/>
      <c r="K13" s="175"/>
      <c r="N13" s="175" t="s">
        <v>192</v>
      </c>
      <c r="O13" s="175"/>
      <c r="P13" s="175"/>
      <c r="Q13" s="175"/>
    </row>
    <row r="14" spans="2:17" x14ac:dyDescent="0.3">
      <c r="B14" s="176" t="s">
        <v>193</v>
      </c>
      <c r="C14" s="176"/>
      <c r="D14" s="32">
        <f>'Kebutuhan Air Bersih'!C3</f>
        <v>745</v>
      </c>
      <c r="E14" s="32"/>
      <c r="H14" s="176" t="s">
        <v>193</v>
      </c>
      <c r="I14" s="176"/>
      <c r="J14" s="32">
        <f>'Kebutuhan Air Bersih'!C45</f>
        <v>2028</v>
      </c>
      <c r="K14" s="32"/>
      <c r="N14" s="176" t="s">
        <v>193</v>
      </c>
      <c r="O14" s="176"/>
      <c r="P14" s="32">
        <f>'Kebutuhan Air Bersih'!C88</f>
        <v>56</v>
      </c>
      <c r="Q14" s="32"/>
    </row>
    <row r="15" spans="2:17" x14ac:dyDescent="0.3">
      <c r="B15" s="176"/>
      <c r="C15" s="176"/>
      <c r="D15" s="32">
        <f>'Kebutuhan Air Bersih'!C4</f>
        <v>625</v>
      </c>
      <c r="E15" s="32" t="s">
        <v>96</v>
      </c>
      <c r="H15" s="176"/>
      <c r="I15" s="176"/>
      <c r="J15" s="32">
        <f>'Kebutuhan Air Bersih'!C46</f>
        <v>1230</v>
      </c>
      <c r="K15" s="32" t="s">
        <v>96</v>
      </c>
      <c r="N15" s="176"/>
      <c r="O15" s="176"/>
      <c r="P15" s="32">
        <f>'Kebutuhan Air Bersih'!C89</f>
        <v>115</v>
      </c>
      <c r="Q15" s="32" t="s">
        <v>96</v>
      </c>
    </row>
    <row r="16" spans="2:17" x14ac:dyDescent="0.3">
      <c r="B16" s="176"/>
      <c r="C16" s="176"/>
      <c r="D16" s="32">
        <f>(D15/1000)/60</f>
        <v>1.0416666666666666E-2</v>
      </c>
      <c r="E16" s="32" t="s">
        <v>194</v>
      </c>
      <c r="H16" s="176"/>
      <c r="I16" s="176"/>
      <c r="J16" s="32">
        <f>(J15/1000)/60</f>
        <v>2.0500000000000001E-2</v>
      </c>
      <c r="K16" s="32" t="s">
        <v>194</v>
      </c>
      <c r="N16" s="176"/>
      <c r="O16" s="176"/>
      <c r="P16" s="32">
        <f>(P15/1000)/60</f>
        <v>1.9166666666666668E-3</v>
      </c>
      <c r="Q16" s="32" t="s">
        <v>194</v>
      </c>
    </row>
    <row r="17" spans="2:17" x14ac:dyDescent="0.3">
      <c r="B17" s="151" t="s">
        <v>199</v>
      </c>
      <c r="C17" s="151"/>
      <c r="D17" s="32">
        <v>1.5</v>
      </c>
      <c r="E17" s="32" t="s">
        <v>198</v>
      </c>
      <c r="H17" s="151" t="s">
        <v>199</v>
      </c>
      <c r="I17" s="151"/>
      <c r="J17" s="32">
        <v>2</v>
      </c>
      <c r="K17" s="32" t="s">
        <v>198</v>
      </c>
      <c r="N17" s="151" t="s">
        <v>199</v>
      </c>
      <c r="O17" s="151"/>
      <c r="P17" s="32">
        <v>1.5</v>
      </c>
      <c r="Q17" s="32" t="s">
        <v>198</v>
      </c>
    </row>
    <row r="18" spans="2:17" x14ac:dyDescent="0.3">
      <c r="B18" s="151" t="s">
        <v>195</v>
      </c>
      <c r="C18" s="151"/>
      <c r="D18" s="32">
        <f>SQRT((4*D16)/(3.14*D17))</f>
        <v>9.4055441330516729E-2</v>
      </c>
      <c r="E18" s="32" t="s">
        <v>196</v>
      </c>
      <c r="H18" s="151" t="s">
        <v>195</v>
      </c>
      <c r="I18" s="151"/>
      <c r="J18" s="32">
        <f>SQRT((4*J16)/(3.14*J17))</f>
        <v>0.11426865204755123</v>
      </c>
      <c r="K18" s="32" t="s">
        <v>196</v>
      </c>
      <c r="N18" s="151" t="s">
        <v>195</v>
      </c>
      <c r="O18" s="151"/>
      <c r="P18" s="32">
        <f>SQRT((4*P16)/(3.14*P17))</f>
        <v>4.0345289589660924E-2</v>
      </c>
      <c r="Q18" s="32" t="s">
        <v>196</v>
      </c>
    </row>
    <row r="19" spans="2:17" x14ac:dyDescent="0.3">
      <c r="B19" s="151"/>
      <c r="C19" s="151"/>
      <c r="D19" s="32">
        <f>D18*1000</f>
        <v>94.055441330516729</v>
      </c>
      <c r="E19" s="32" t="s">
        <v>197</v>
      </c>
      <c r="H19" s="151"/>
      <c r="I19" s="151"/>
      <c r="J19" s="32">
        <f>J18*1000</f>
        <v>114.26865204755123</v>
      </c>
      <c r="K19" s="32" t="s">
        <v>197</v>
      </c>
      <c r="N19" s="151"/>
      <c r="O19" s="151"/>
      <c r="P19" s="32">
        <f>P18*1000</f>
        <v>40.345289589660922</v>
      </c>
      <c r="Q19" s="32" t="s">
        <v>197</v>
      </c>
    </row>
    <row r="20" spans="2:17" x14ac:dyDescent="0.3">
      <c r="B20" s="151" t="s">
        <v>233</v>
      </c>
      <c r="C20" s="151"/>
      <c r="D20" s="32">
        <v>100</v>
      </c>
      <c r="E20" s="32" t="s">
        <v>197</v>
      </c>
      <c r="H20" s="151" t="s">
        <v>233</v>
      </c>
      <c r="I20" s="151"/>
      <c r="J20" s="32">
        <v>150</v>
      </c>
      <c r="K20" s="32" t="s">
        <v>197</v>
      </c>
      <c r="N20" s="151" t="s">
        <v>235</v>
      </c>
      <c r="O20" s="151"/>
      <c r="P20" s="32">
        <v>50</v>
      </c>
      <c r="Q20" s="32" t="s">
        <v>197</v>
      </c>
    </row>
    <row r="21" spans="2:17" x14ac:dyDescent="0.3">
      <c r="B21" s="151" t="s">
        <v>234</v>
      </c>
      <c r="C21" s="151"/>
      <c r="D21" s="32">
        <v>110</v>
      </c>
      <c r="E21" s="32" t="s">
        <v>197</v>
      </c>
      <c r="H21" s="151" t="s">
        <v>234</v>
      </c>
      <c r="I21" s="151"/>
      <c r="J21" s="32">
        <v>160</v>
      </c>
      <c r="K21" s="32" t="s">
        <v>197</v>
      </c>
      <c r="N21" s="151" t="s">
        <v>234</v>
      </c>
      <c r="O21" s="151"/>
      <c r="P21" s="32">
        <v>63</v>
      </c>
      <c r="Q21" s="32" t="s">
        <v>197</v>
      </c>
    </row>
    <row r="23" spans="2:17" x14ac:dyDescent="0.3">
      <c r="B23" s="175" t="s">
        <v>200</v>
      </c>
      <c r="C23" s="175"/>
      <c r="D23" s="175"/>
      <c r="E23" s="175"/>
      <c r="H23" s="175" t="s">
        <v>222</v>
      </c>
      <c r="I23" s="175"/>
      <c r="J23" s="175"/>
      <c r="K23" s="175"/>
      <c r="N23" s="180" t="s">
        <v>229</v>
      </c>
      <c r="O23" s="180"/>
      <c r="P23" s="180"/>
      <c r="Q23" s="180"/>
    </row>
    <row r="24" spans="2:17" x14ac:dyDescent="0.3">
      <c r="B24" s="176" t="s">
        <v>193</v>
      </c>
      <c r="C24" s="176"/>
      <c r="D24" s="32">
        <f>'Kebutuhan Air Bersih'!G3</f>
        <v>431</v>
      </c>
      <c r="E24" s="32"/>
      <c r="H24" s="176" t="s">
        <v>193</v>
      </c>
      <c r="I24" s="176"/>
      <c r="J24" s="32">
        <f>'Kebutuhan Air Bersih'!G45</f>
        <v>1035</v>
      </c>
      <c r="K24" s="32"/>
    </row>
    <row r="25" spans="2:17" x14ac:dyDescent="0.3">
      <c r="B25" s="176"/>
      <c r="C25" s="176"/>
      <c r="D25" s="32">
        <f>'Kebutuhan Air Bersih'!G4</f>
        <v>410</v>
      </c>
      <c r="E25" s="32" t="s">
        <v>96</v>
      </c>
      <c r="H25" s="176"/>
      <c r="I25" s="176"/>
      <c r="J25" s="32">
        <f>'Kebutuhan Air Bersih'!G46</f>
        <v>830</v>
      </c>
      <c r="K25" s="32" t="s">
        <v>96</v>
      </c>
      <c r="N25" s="175" t="s">
        <v>192</v>
      </c>
      <c r="O25" s="175"/>
      <c r="P25" s="175"/>
      <c r="Q25" s="175"/>
    </row>
    <row r="26" spans="2:17" x14ac:dyDescent="0.3">
      <c r="B26" s="176"/>
      <c r="C26" s="176"/>
      <c r="D26" s="32">
        <f>(D25/1000)/60</f>
        <v>6.8333333333333328E-3</v>
      </c>
      <c r="E26" s="32" t="s">
        <v>194</v>
      </c>
      <c r="H26" s="176"/>
      <c r="I26" s="176"/>
      <c r="J26" s="32">
        <f>(J25/1000)/60</f>
        <v>1.3833333333333333E-2</v>
      </c>
      <c r="K26" s="32" t="s">
        <v>194</v>
      </c>
      <c r="N26" s="176" t="s">
        <v>193</v>
      </c>
      <c r="O26" s="176"/>
      <c r="P26" s="32">
        <f>'Kebutuhan Air Bersih'!C92</f>
        <v>65</v>
      </c>
      <c r="Q26" s="32"/>
    </row>
    <row r="27" spans="2:17" x14ac:dyDescent="0.3">
      <c r="B27" s="151" t="s">
        <v>199</v>
      </c>
      <c r="C27" s="151"/>
      <c r="D27" s="32">
        <v>1.5</v>
      </c>
      <c r="E27" s="32" t="s">
        <v>198</v>
      </c>
      <c r="H27" s="151" t="s">
        <v>199</v>
      </c>
      <c r="I27" s="151"/>
      <c r="J27" s="32">
        <v>2</v>
      </c>
      <c r="K27" s="32" t="s">
        <v>198</v>
      </c>
      <c r="N27" s="176"/>
      <c r="O27" s="176"/>
      <c r="P27" s="32">
        <f>'Kebutuhan Air Bersih'!C93</f>
        <v>125</v>
      </c>
      <c r="Q27" s="32" t="s">
        <v>96</v>
      </c>
    </row>
    <row r="28" spans="2:17" x14ac:dyDescent="0.3">
      <c r="B28" s="151" t="s">
        <v>195</v>
      </c>
      <c r="C28" s="151"/>
      <c r="D28" s="32">
        <f>SQRT((4*D26)/(3.14*D27))</f>
        <v>7.6179101365034141E-2</v>
      </c>
      <c r="E28" s="32" t="s">
        <v>196</v>
      </c>
      <c r="H28" s="151" t="s">
        <v>195</v>
      </c>
      <c r="I28" s="151"/>
      <c r="J28" s="32">
        <f>SQRT((4*J26)/(3.14*J27))</f>
        <v>9.3867141959808068E-2</v>
      </c>
      <c r="K28" s="32" t="s">
        <v>196</v>
      </c>
      <c r="N28" s="176"/>
      <c r="O28" s="176"/>
      <c r="P28" s="32">
        <f>(P27/1000)/60</f>
        <v>2.0833333333333333E-3</v>
      </c>
      <c r="Q28" s="32" t="s">
        <v>194</v>
      </c>
    </row>
    <row r="29" spans="2:17" x14ac:dyDescent="0.3">
      <c r="B29" s="151"/>
      <c r="C29" s="151"/>
      <c r="D29" s="59">
        <f>D28*1000</f>
        <v>76.179101365034143</v>
      </c>
      <c r="E29" s="32" t="s">
        <v>197</v>
      </c>
      <c r="H29" s="151"/>
      <c r="I29" s="151"/>
      <c r="J29" s="59">
        <f>J28*1000</f>
        <v>93.867141959808066</v>
      </c>
      <c r="K29" s="32" t="s">
        <v>197</v>
      </c>
      <c r="N29" s="151" t="s">
        <v>199</v>
      </c>
      <c r="O29" s="151"/>
      <c r="P29" s="32">
        <v>1.5</v>
      </c>
      <c r="Q29" s="32" t="s">
        <v>198</v>
      </c>
    </row>
    <row r="30" spans="2:17" x14ac:dyDescent="0.3">
      <c r="B30" s="151" t="s">
        <v>233</v>
      </c>
      <c r="C30" s="151"/>
      <c r="D30" s="32">
        <v>100</v>
      </c>
      <c r="E30" s="32" t="s">
        <v>197</v>
      </c>
      <c r="H30" s="151" t="s">
        <v>233</v>
      </c>
      <c r="I30" s="151"/>
      <c r="J30" s="32">
        <v>100</v>
      </c>
      <c r="K30" s="32" t="s">
        <v>197</v>
      </c>
      <c r="N30" s="151" t="s">
        <v>195</v>
      </c>
      <c r="O30" s="151"/>
      <c r="P30" s="32">
        <f>SQRT((4*P28)/(3.14*P29))</f>
        <v>4.2062872093755727E-2</v>
      </c>
      <c r="Q30" s="32" t="s">
        <v>196</v>
      </c>
    </row>
    <row r="31" spans="2:17" x14ac:dyDescent="0.3">
      <c r="B31" s="151" t="s">
        <v>234</v>
      </c>
      <c r="C31" s="151"/>
      <c r="D31" s="32">
        <v>110</v>
      </c>
      <c r="E31" s="32" t="s">
        <v>197</v>
      </c>
      <c r="H31" s="151" t="s">
        <v>234</v>
      </c>
      <c r="I31" s="151"/>
      <c r="J31" s="32">
        <v>110</v>
      </c>
      <c r="K31" s="32" t="s">
        <v>197</v>
      </c>
      <c r="N31" s="151"/>
      <c r="O31" s="151"/>
      <c r="P31" s="32">
        <f>P30*1000</f>
        <v>42.062872093755729</v>
      </c>
      <c r="Q31" s="32" t="s">
        <v>197</v>
      </c>
    </row>
    <row r="32" spans="2:17" x14ac:dyDescent="0.3">
      <c r="N32" s="151" t="s">
        <v>235</v>
      </c>
      <c r="O32" s="151"/>
      <c r="P32" s="32">
        <v>50</v>
      </c>
      <c r="Q32" s="32" t="s">
        <v>197</v>
      </c>
    </row>
    <row r="33" spans="2:17" x14ac:dyDescent="0.3">
      <c r="B33" s="175" t="s">
        <v>201</v>
      </c>
      <c r="C33" s="175"/>
      <c r="D33" s="175"/>
      <c r="E33" s="175"/>
      <c r="H33" s="175" t="s">
        <v>210</v>
      </c>
      <c r="I33" s="175"/>
      <c r="J33" s="175"/>
      <c r="K33" s="175"/>
      <c r="N33" s="151" t="s">
        <v>234</v>
      </c>
      <c r="O33" s="151"/>
      <c r="P33" s="32">
        <v>63</v>
      </c>
      <c r="Q33" s="32" t="s">
        <v>197</v>
      </c>
    </row>
    <row r="34" spans="2:17" x14ac:dyDescent="0.3">
      <c r="B34" s="176" t="s">
        <v>193</v>
      </c>
      <c r="C34" s="176"/>
      <c r="D34" s="32">
        <f>'Kebutuhan Air Bersih'!G7</f>
        <v>314</v>
      </c>
      <c r="E34" s="32"/>
      <c r="H34" s="176" t="s">
        <v>193</v>
      </c>
      <c r="I34" s="176"/>
      <c r="J34" s="32">
        <f>'Kebutuhan Air Bersih'!G49</f>
        <v>993</v>
      </c>
      <c r="K34" s="32"/>
    </row>
    <row r="35" spans="2:17" x14ac:dyDescent="0.3">
      <c r="B35" s="176"/>
      <c r="C35" s="176"/>
      <c r="D35" s="32">
        <f>'Kebutuhan Air Bersih'!G8</f>
        <v>305</v>
      </c>
      <c r="E35" s="32" t="s">
        <v>96</v>
      </c>
      <c r="H35" s="176"/>
      <c r="I35" s="176"/>
      <c r="J35" s="32">
        <f>'Kebutuhan Air Bersih'!G50</f>
        <v>827</v>
      </c>
      <c r="K35" s="32" t="s">
        <v>96</v>
      </c>
      <c r="N35" s="180" t="s">
        <v>230</v>
      </c>
      <c r="O35" s="180"/>
      <c r="P35" s="180"/>
      <c r="Q35" s="180"/>
    </row>
    <row r="36" spans="2:17" x14ac:dyDescent="0.3">
      <c r="B36" s="176"/>
      <c r="C36" s="176"/>
      <c r="D36" s="32">
        <f>(D35/1000)/60</f>
        <v>5.0833333333333329E-3</v>
      </c>
      <c r="E36" s="32" t="s">
        <v>194</v>
      </c>
      <c r="H36" s="176"/>
      <c r="I36" s="176"/>
      <c r="J36" s="32">
        <f>(J35/1000)/60</f>
        <v>1.3783333333333333E-2</v>
      </c>
      <c r="K36" s="32" t="s">
        <v>194</v>
      </c>
    </row>
    <row r="37" spans="2:17" x14ac:dyDescent="0.3">
      <c r="B37" s="151" t="s">
        <v>199</v>
      </c>
      <c r="C37" s="151"/>
      <c r="D37" s="32">
        <v>1.5</v>
      </c>
      <c r="E37" s="32" t="s">
        <v>198</v>
      </c>
      <c r="H37" s="151" t="s">
        <v>199</v>
      </c>
      <c r="I37" s="151"/>
      <c r="J37" s="32">
        <v>2</v>
      </c>
      <c r="K37" s="32" t="s">
        <v>198</v>
      </c>
      <c r="N37" s="175" t="s">
        <v>192</v>
      </c>
      <c r="O37" s="175"/>
      <c r="P37" s="175"/>
      <c r="Q37" s="175"/>
    </row>
    <row r="38" spans="2:17" x14ac:dyDescent="0.3">
      <c r="B38" s="151" t="s">
        <v>195</v>
      </c>
      <c r="C38" s="151"/>
      <c r="D38" s="32">
        <f>SQRT((4*D36)/(3.14*D37))</f>
        <v>6.5704306627591746E-2</v>
      </c>
      <c r="E38" s="32" t="s">
        <v>196</v>
      </c>
      <c r="H38" s="151" t="s">
        <v>195</v>
      </c>
      <c r="I38" s="151"/>
      <c r="J38" s="32">
        <f>SQRT((4*J36)/(3.14*J37))</f>
        <v>9.3697348980346276E-2</v>
      </c>
      <c r="K38" s="32" t="s">
        <v>196</v>
      </c>
      <c r="N38" s="176" t="s">
        <v>193</v>
      </c>
      <c r="O38" s="176"/>
      <c r="P38" s="32">
        <f>'Kebutuhan Air Bersih'!C108</f>
        <v>29</v>
      </c>
      <c r="Q38" s="32"/>
    </row>
    <row r="39" spans="2:17" x14ac:dyDescent="0.3">
      <c r="B39" s="151"/>
      <c r="C39" s="151"/>
      <c r="D39" s="59">
        <f>D38*1000</f>
        <v>65.704306627591748</v>
      </c>
      <c r="E39" s="32" t="s">
        <v>197</v>
      </c>
      <c r="H39" s="151"/>
      <c r="I39" s="151"/>
      <c r="J39" s="59">
        <f>J38*1000</f>
        <v>93.697348980346277</v>
      </c>
      <c r="K39" s="32" t="s">
        <v>197</v>
      </c>
      <c r="N39" s="176"/>
      <c r="O39" s="176"/>
      <c r="P39" s="32">
        <f>'Kebutuhan Air Bersih'!C109</f>
        <v>65</v>
      </c>
      <c r="Q39" s="32" t="s">
        <v>96</v>
      </c>
    </row>
    <row r="40" spans="2:17" x14ac:dyDescent="0.3">
      <c r="B40" s="151" t="s">
        <v>233</v>
      </c>
      <c r="C40" s="151"/>
      <c r="D40" s="32">
        <v>75</v>
      </c>
      <c r="E40" s="32" t="s">
        <v>197</v>
      </c>
      <c r="H40" s="151" t="s">
        <v>233</v>
      </c>
      <c r="I40" s="151"/>
      <c r="J40" s="32">
        <v>100</v>
      </c>
      <c r="K40" s="32" t="s">
        <v>197</v>
      </c>
      <c r="N40" s="176"/>
      <c r="O40" s="176"/>
      <c r="P40" s="32">
        <f>(P39/1000)/60</f>
        <v>1.0833333333333333E-3</v>
      </c>
      <c r="Q40" s="32" t="s">
        <v>194</v>
      </c>
    </row>
    <row r="41" spans="2:17" x14ac:dyDescent="0.3">
      <c r="B41" s="151" t="s">
        <v>234</v>
      </c>
      <c r="C41" s="151"/>
      <c r="D41" s="32">
        <v>90</v>
      </c>
      <c r="E41" s="32" t="s">
        <v>197</v>
      </c>
      <c r="H41" s="151" t="s">
        <v>234</v>
      </c>
      <c r="I41" s="151"/>
      <c r="J41" s="32">
        <v>110</v>
      </c>
      <c r="K41" s="32" t="s">
        <v>197</v>
      </c>
      <c r="N41" s="151" t="s">
        <v>199</v>
      </c>
      <c r="O41" s="151"/>
      <c r="P41" s="32">
        <v>1.5</v>
      </c>
      <c r="Q41" s="32" t="s">
        <v>198</v>
      </c>
    </row>
    <row r="42" spans="2:17" x14ac:dyDescent="0.3">
      <c r="N42" s="151" t="s">
        <v>195</v>
      </c>
      <c r="O42" s="151"/>
      <c r="P42" s="32">
        <f>SQRT((4*P40)/(3.14*P41))</f>
        <v>3.0331968425463922E-2</v>
      </c>
      <c r="Q42" s="32" t="s">
        <v>196</v>
      </c>
    </row>
    <row r="43" spans="2:17" x14ac:dyDescent="0.3">
      <c r="B43" s="180" t="s">
        <v>212</v>
      </c>
      <c r="C43" s="180"/>
      <c r="D43" s="180"/>
      <c r="E43" s="180"/>
      <c r="H43" s="180" t="s">
        <v>224</v>
      </c>
      <c r="I43" s="180"/>
      <c r="J43" s="180"/>
      <c r="K43" s="180"/>
      <c r="N43" s="151"/>
      <c r="O43" s="151"/>
      <c r="P43" s="32">
        <f>P42*1000</f>
        <v>30.331968425463923</v>
      </c>
      <c r="Q43" s="32" t="s">
        <v>197</v>
      </c>
    </row>
    <row r="44" spans="2:17" x14ac:dyDescent="0.3">
      <c r="N44" s="151" t="s">
        <v>235</v>
      </c>
      <c r="O44" s="151"/>
      <c r="P44" s="32">
        <v>35</v>
      </c>
      <c r="Q44" s="32" t="s">
        <v>197</v>
      </c>
    </row>
    <row r="45" spans="2:17" x14ac:dyDescent="0.3">
      <c r="B45" s="175" t="s">
        <v>192</v>
      </c>
      <c r="C45" s="175"/>
      <c r="D45" s="175"/>
      <c r="E45" s="175"/>
      <c r="H45" s="175" t="s">
        <v>192</v>
      </c>
      <c r="I45" s="175"/>
      <c r="J45" s="175"/>
      <c r="K45" s="175"/>
      <c r="N45" s="151" t="s">
        <v>234</v>
      </c>
      <c r="O45" s="151"/>
      <c r="P45" s="32">
        <v>40</v>
      </c>
      <c r="Q45" s="32" t="s">
        <v>197</v>
      </c>
    </row>
    <row r="46" spans="2:17" x14ac:dyDescent="0.3">
      <c r="B46" s="176" t="s">
        <v>193</v>
      </c>
      <c r="C46" s="176"/>
      <c r="D46">
        <f>'Kebutuhan Air Bersih'!C7</f>
        <v>420</v>
      </c>
      <c r="E46" s="32"/>
      <c r="H46" s="176" t="s">
        <v>193</v>
      </c>
      <c r="I46" s="176"/>
      <c r="J46" s="32">
        <f>'Kebutuhan Air Bersih'!C49</f>
        <v>1100</v>
      </c>
      <c r="K46" s="32"/>
    </row>
    <row r="47" spans="2:17" x14ac:dyDescent="0.3">
      <c r="B47" s="176"/>
      <c r="C47" s="176"/>
      <c r="D47" s="32">
        <f>'Kebutuhan Air Bersih'!C8</f>
        <v>400</v>
      </c>
      <c r="E47" s="32" t="s">
        <v>96</v>
      </c>
      <c r="H47" s="176"/>
      <c r="I47" s="176"/>
      <c r="J47" s="32">
        <f>'Kebutuhan Air Bersih'!C50</f>
        <v>850</v>
      </c>
      <c r="K47" s="32" t="s">
        <v>96</v>
      </c>
      <c r="N47" s="180" t="s">
        <v>231</v>
      </c>
      <c r="O47" s="180"/>
      <c r="P47" s="180"/>
      <c r="Q47" s="180"/>
    </row>
    <row r="48" spans="2:17" x14ac:dyDescent="0.3">
      <c r="B48" s="176"/>
      <c r="C48" s="176"/>
      <c r="D48" s="32">
        <f>(D47/1000)/60</f>
        <v>6.6666666666666671E-3</v>
      </c>
      <c r="E48" s="32" t="s">
        <v>194</v>
      </c>
      <c r="H48" s="176"/>
      <c r="I48" s="176"/>
      <c r="J48" s="32">
        <f>(J47/1000)/60</f>
        <v>1.4166666666666666E-2</v>
      </c>
      <c r="K48" s="32" t="s">
        <v>194</v>
      </c>
    </row>
    <row r="49" spans="2:17" x14ac:dyDescent="0.3">
      <c r="B49" s="151" t="s">
        <v>199</v>
      </c>
      <c r="C49" s="151"/>
      <c r="D49" s="32">
        <v>1.5</v>
      </c>
      <c r="E49" s="32" t="s">
        <v>198</v>
      </c>
      <c r="H49" s="151" t="s">
        <v>199</v>
      </c>
      <c r="I49" s="151"/>
      <c r="J49" s="32">
        <v>2</v>
      </c>
      <c r="K49" s="32" t="s">
        <v>198</v>
      </c>
      <c r="N49" s="175" t="s">
        <v>192</v>
      </c>
      <c r="O49" s="175"/>
      <c r="P49" s="175"/>
      <c r="Q49" s="175"/>
    </row>
    <row r="50" spans="2:17" x14ac:dyDescent="0.3">
      <c r="B50" s="151" t="s">
        <v>195</v>
      </c>
      <c r="C50" s="151"/>
      <c r="D50" s="32">
        <f>SQRT((4*D48)/(3.14*D49))</f>
        <v>7.5244353064413377E-2</v>
      </c>
      <c r="E50" s="32" t="s">
        <v>196</v>
      </c>
      <c r="H50" s="151" t="s">
        <v>195</v>
      </c>
      <c r="I50" s="151"/>
      <c r="J50" s="32">
        <f>SQRT((4*J48)/(3.14*J49))</f>
        <v>9.4991339419737836E-2</v>
      </c>
      <c r="K50" s="32" t="s">
        <v>196</v>
      </c>
      <c r="N50" s="176" t="s">
        <v>193</v>
      </c>
      <c r="O50" s="176"/>
      <c r="P50" s="32">
        <f>'Kebutuhan Air Bersih'!C112</f>
        <v>50</v>
      </c>
      <c r="Q50" s="32"/>
    </row>
    <row r="51" spans="2:17" x14ac:dyDescent="0.3">
      <c r="B51" s="151"/>
      <c r="C51" s="151"/>
      <c r="D51" s="32">
        <f>D50*1000</f>
        <v>75.244353064413374</v>
      </c>
      <c r="E51" s="32" t="s">
        <v>197</v>
      </c>
      <c r="H51" s="151"/>
      <c r="I51" s="151"/>
      <c r="J51" s="32">
        <f>J50*1000</f>
        <v>94.991339419737841</v>
      </c>
      <c r="K51" s="32" t="s">
        <v>197</v>
      </c>
      <c r="N51" s="176"/>
      <c r="O51" s="176"/>
      <c r="P51" s="32">
        <f>'Kebutuhan Air Bersih'!C113</f>
        <v>110</v>
      </c>
      <c r="Q51" s="32" t="s">
        <v>96</v>
      </c>
    </row>
    <row r="52" spans="2:17" x14ac:dyDescent="0.3">
      <c r="B52" s="151" t="s">
        <v>233</v>
      </c>
      <c r="C52" s="151"/>
      <c r="D52" s="32">
        <v>75</v>
      </c>
      <c r="E52" s="32" t="s">
        <v>197</v>
      </c>
      <c r="H52" s="151" t="s">
        <v>235</v>
      </c>
      <c r="I52" s="151"/>
      <c r="J52" s="32">
        <v>100</v>
      </c>
      <c r="K52" s="32" t="s">
        <v>197</v>
      </c>
      <c r="N52" s="176"/>
      <c r="O52" s="176"/>
      <c r="P52" s="32">
        <f>(P51/1000)/60</f>
        <v>1.8333333333333333E-3</v>
      </c>
      <c r="Q52" s="32" t="s">
        <v>194</v>
      </c>
    </row>
    <row r="53" spans="2:17" x14ac:dyDescent="0.3">
      <c r="B53" s="151" t="s">
        <v>234</v>
      </c>
      <c r="C53" s="151"/>
      <c r="D53" s="32">
        <v>90</v>
      </c>
      <c r="E53" s="32" t="s">
        <v>197</v>
      </c>
      <c r="H53" s="151" t="s">
        <v>234</v>
      </c>
      <c r="I53" s="151"/>
      <c r="J53" s="32">
        <v>110</v>
      </c>
      <c r="K53" s="32" t="s">
        <v>197</v>
      </c>
      <c r="N53" s="151" t="s">
        <v>199</v>
      </c>
      <c r="O53" s="151"/>
      <c r="P53" s="32">
        <v>1.5</v>
      </c>
      <c r="Q53" s="32" t="s">
        <v>198</v>
      </c>
    </row>
    <row r="54" spans="2:17" x14ac:dyDescent="0.3">
      <c r="N54" s="151" t="s">
        <v>195</v>
      </c>
      <c r="O54" s="151"/>
      <c r="P54" s="32">
        <f>SQRT((4*P52)/(3.14*P53))</f>
        <v>3.94584716343978E-2</v>
      </c>
      <c r="Q54" s="32" t="s">
        <v>196</v>
      </c>
    </row>
    <row r="55" spans="2:17" x14ac:dyDescent="0.3">
      <c r="B55" s="175" t="s">
        <v>200</v>
      </c>
      <c r="C55" s="175"/>
      <c r="D55" s="175"/>
      <c r="E55" s="175"/>
      <c r="H55" s="175" t="s">
        <v>222</v>
      </c>
      <c r="I55" s="175"/>
      <c r="J55" s="175"/>
      <c r="K55" s="175"/>
      <c r="N55" s="151"/>
      <c r="O55" s="151"/>
      <c r="P55" s="32">
        <f>P54*1000</f>
        <v>39.458471634397803</v>
      </c>
      <c r="Q55" s="32" t="s">
        <v>197</v>
      </c>
    </row>
    <row r="56" spans="2:17" x14ac:dyDescent="0.3">
      <c r="B56" s="176" t="s">
        <v>193</v>
      </c>
      <c r="C56" s="176"/>
      <c r="D56">
        <f>'Kebutuhan Air Bersih'!G11</f>
        <v>210</v>
      </c>
      <c r="E56" s="32"/>
      <c r="H56" s="176" t="s">
        <v>193</v>
      </c>
      <c r="I56" s="176"/>
      <c r="J56" s="32">
        <f>'Kebutuhan Air Bersih'!G53</f>
        <v>525</v>
      </c>
      <c r="K56" s="32"/>
      <c r="N56" s="151" t="s">
        <v>235</v>
      </c>
      <c r="O56" s="151"/>
      <c r="P56" s="32">
        <v>40</v>
      </c>
      <c r="Q56" s="32" t="s">
        <v>197</v>
      </c>
    </row>
    <row r="57" spans="2:17" x14ac:dyDescent="0.3">
      <c r="B57" s="176"/>
      <c r="C57" s="176"/>
      <c r="D57" s="32">
        <f>'Kebutuhan Air Bersih'!G12</f>
        <v>260</v>
      </c>
      <c r="E57" s="32" t="s">
        <v>96</v>
      </c>
      <c r="H57" s="176"/>
      <c r="I57" s="176"/>
      <c r="J57" s="32">
        <f>'Kebutuhan Air Bersih'!G54</f>
        <v>480</v>
      </c>
      <c r="K57" s="32" t="s">
        <v>96</v>
      </c>
      <c r="N57" s="151" t="s">
        <v>234</v>
      </c>
      <c r="O57" s="151"/>
      <c r="P57" s="32">
        <v>50</v>
      </c>
      <c r="Q57" s="32" t="s">
        <v>197</v>
      </c>
    </row>
    <row r="58" spans="2:17" x14ac:dyDescent="0.3">
      <c r="B58" s="176"/>
      <c r="C58" s="176"/>
      <c r="D58" s="32">
        <f>(D57/1000)/60</f>
        <v>4.3333333333333331E-3</v>
      </c>
      <c r="E58" s="32" t="s">
        <v>194</v>
      </c>
      <c r="H58" s="176"/>
      <c r="I58" s="176"/>
      <c r="J58" s="32">
        <f>(J57/1000)/60</f>
        <v>8.0000000000000002E-3</v>
      </c>
      <c r="K58" s="32" t="s">
        <v>194</v>
      </c>
    </row>
    <row r="59" spans="2:17" x14ac:dyDescent="0.3">
      <c r="B59" s="151" t="s">
        <v>199</v>
      </c>
      <c r="C59" s="151"/>
      <c r="D59" s="32">
        <v>1.5</v>
      </c>
      <c r="E59" s="32" t="s">
        <v>198</v>
      </c>
      <c r="H59" s="151" t="s">
        <v>199</v>
      </c>
      <c r="I59" s="151"/>
      <c r="J59" s="32">
        <v>2</v>
      </c>
      <c r="K59" s="32" t="s">
        <v>198</v>
      </c>
    </row>
    <row r="60" spans="2:17" x14ac:dyDescent="0.3">
      <c r="B60" s="151" t="s">
        <v>195</v>
      </c>
      <c r="C60" s="151"/>
      <c r="D60" s="32">
        <f>SQRT((4*D58)/(3.14*D59))</f>
        <v>6.0663936850927844E-2</v>
      </c>
      <c r="E60" s="32" t="s">
        <v>196</v>
      </c>
      <c r="H60" s="151" t="s">
        <v>195</v>
      </c>
      <c r="I60" s="151"/>
      <c r="J60" s="32">
        <f>SQRT((4*J58)/(3.14*J59))</f>
        <v>7.1383061024824959E-2</v>
      </c>
      <c r="K60" s="32" t="s">
        <v>196</v>
      </c>
    </row>
    <row r="61" spans="2:17" x14ac:dyDescent="0.3">
      <c r="B61" s="151"/>
      <c r="C61" s="151"/>
      <c r="D61" s="32">
        <f>D60*1000</f>
        <v>60.663936850927847</v>
      </c>
      <c r="E61" s="32" t="s">
        <v>197</v>
      </c>
      <c r="H61" s="151"/>
      <c r="I61" s="151"/>
      <c r="J61" s="59">
        <f>J60*1000</f>
        <v>71.383061024824954</v>
      </c>
      <c r="K61" s="32" t="s">
        <v>197</v>
      </c>
    </row>
    <row r="62" spans="2:17" x14ac:dyDescent="0.3">
      <c r="B62" s="151" t="s">
        <v>233</v>
      </c>
      <c r="C62" s="151"/>
      <c r="D62" s="32">
        <v>65</v>
      </c>
      <c r="E62" s="32" t="s">
        <v>197</v>
      </c>
      <c r="H62" s="151" t="s">
        <v>235</v>
      </c>
      <c r="I62" s="151"/>
      <c r="J62" s="32">
        <v>75</v>
      </c>
      <c r="K62" s="32" t="s">
        <v>197</v>
      </c>
    </row>
    <row r="63" spans="2:17" x14ac:dyDescent="0.3">
      <c r="B63" s="151" t="s">
        <v>234</v>
      </c>
      <c r="C63" s="151"/>
      <c r="D63" s="32">
        <v>75</v>
      </c>
      <c r="E63" s="32" t="s">
        <v>197</v>
      </c>
      <c r="H63" s="151" t="s">
        <v>234</v>
      </c>
      <c r="I63" s="151"/>
      <c r="J63" s="32">
        <v>90</v>
      </c>
      <c r="K63" s="32" t="s">
        <v>197</v>
      </c>
    </row>
    <row r="65" spans="2:11" x14ac:dyDescent="0.3">
      <c r="B65" s="175" t="s">
        <v>201</v>
      </c>
      <c r="C65" s="175"/>
      <c r="D65" s="175"/>
      <c r="E65" s="175"/>
      <c r="H65" s="175" t="s">
        <v>210</v>
      </c>
      <c r="I65" s="175"/>
      <c r="J65" s="175"/>
      <c r="K65" s="175"/>
    </row>
    <row r="66" spans="2:11" x14ac:dyDescent="0.3">
      <c r="B66" s="176" t="s">
        <v>193</v>
      </c>
      <c r="C66" s="176"/>
      <c r="D66">
        <f>'Kebutuhan Air Bersih'!G15</f>
        <v>210</v>
      </c>
      <c r="E66" s="32"/>
      <c r="H66" s="176" t="s">
        <v>193</v>
      </c>
      <c r="I66" s="176"/>
      <c r="J66" s="32">
        <f>'Kebutuhan Air Bersih'!G57</f>
        <v>575</v>
      </c>
      <c r="K66" s="32"/>
    </row>
    <row r="67" spans="2:11" x14ac:dyDescent="0.3">
      <c r="B67" s="176"/>
      <c r="C67" s="176"/>
      <c r="D67" s="32">
        <f>'Kebutuhan Air Bersih'!G16</f>
        <v>260</v>
      </c>
      <c r="E67" s="32" t="s">
        <v>96</v>
      </c>
      <c r="H67" s="176"/>
      <c r="I67" s="176"/>
      <c r="J67" s="32">
        <f>'Kebutuhan Air Bersih'!G58</f>
        <v>530</v>
      </c>
      <c r="K67" s="32" t="s">
        <v>96</v>
      </c>
    </row>
    <row r="68" spans="2:11" x14ac:dyDescent="0.3">
      <c r="B68" s="176"/>
      <c r="C68" s="176"/>
      <c r="D68" s="32">
        <f>(D67/1000)/60</f>
        <v>4.3333333333333331E-3</v>
      </c>
      <c r="E68" s="32" t="s">
        <v>194</v>
      </c>
      <c r="H68" s="176"/>
      <c r="I68" s="176"/>
      <c r="J68" s="32">
        <f>(J67/1000)/60</f>
        <v>8.8333333333333337E-3</v>
      </c>
      <c r="K68" s="32" t="s">
        <v>194</v>
      </c>
    </row>
    <row r="69" spans="2:11" x14ac:dyDescent="0.3">
      <c r="B69" s="151" t="s">
        <v>199</v>
      </c>
      <c r="C69" s="151"/>
      <c r="D69" s="32">
        <v>1.5</v>
      </c>
      <c r="E69" s="32" t="s">
        <v>198</v>
      </c>
      <c r="H69" s="151" t="s">
        <v>199</v>
      </c>
      <c r="I69" s="151"/>
      <c r="J69" s="32">
        <v>2</v>
      </c>
      <c r="K69" s="32" t="s">
        <v>198</v>
      </c>
    </row>
    <row r="70" spans="2:11" x14ac:dyDescent="0.3">
      <c r="B70" s="151" t="s">
        <v>195</v>
      </c>
      <c r="C70" s="151"/>
      <c r="D70" s="32">
        <f>SQRT((4*D68)/(3.14*D69))</f>
        <v>6.0663936850927844E-2</v>
      </c>
      <c r="E70" s="32" t="s">
        <v>196</v>
      </c>
      <c r="H70" s="151" t="s">
        <v>195</v>
      </c>
      <c r="I70" s="151"/>
      <c r="J70" s="32">
        <f>SQRT((4*J68)/(3.14*J69))</f>
        <v>7.500884590437705E-2</v>
      </c>
      <c r="K70" s="32" t="s">
        <v>196</v>
      </c>
    </row>
    <row r="71" spans="2:11" x14ac:dyDescent="0.3">
      <c r="B71" s="151"/>
      <c r="C71" s="151"/>
      <c r="D71" s="32">
        <f>D70*1000</f>
        <v>60.663936850927847</v>
      </c>
      <c r="E71" s="32" t="s">
        <v>197</v>
      </c>
      <c r="H71" s="151"/>
      <c r="I71" s="151"/>
      <c r="J71" s="59">
        <f>J70*1000</f>
        <v>75.008845904377054</v>
      </c>
      <c r="K71" s="32" t="s">
        <v>197</v>
      </c>
    </row>
    <row r="72" spans="2:11" x14ac:dyDescent="0.3">
      <c r="B72" s="151" t="s">
        <v>233</v>
      </c>
      <c r="C72" s="151"/>
      <c r="D72" s="32">
        <v>65</v>
      </c>
      <c r="E72" s="32" t="s">
        <v>197</v>
      </c>
      <c r="H72" s="151" t="s">
        <v>235</v>
      </c>
      <c r="I72" s="151"/>
      <c r="J72" s="32">
        <v>75</v>
      </c>
      <c r="K72" s="32" t="s">
        <v>197</v>
      </c>
    </row>
    <row r="73" spans="2:11" x14ac:dyDescent="0.3">
      <c r="B73" s="151" t="s">
        <v>234</v>
      </c>
      <c r="C73" s="151"/>
      <c r="D73" s="32">
        <v>75</v>
      </c>
      <c r="E73" s="32" t="s">
        <v>197</v>
      </c>
      <c r="H73" s="151" t="s">
        <v>234</v>
      </c>
      <c r="I73" s="151"/>
      <c r="J73" s="32">
        <v>90</v>
      </c>
      <c r="K73" s="32" t="s">
        <v>197</v>
      </c>
    </row>
    <row r="75" spans="2:11" x14ac:dyDescent="0.3">
      <c r="B75" s="33" t="s">
        <v>214</v>
      </c>
      <c r="H75" s="180" t="s">
        <v>225</v>
      </c>
      <c r="I75" s="180"/>
      <c r="J75" s="180"/>
      <c r="K75" s="180"/>
    </row>
    <row r="77" spans="2:11" x14ac:dyDescent="0.3">
      <c r="B77" s="175" t="s">
        <v>192</v>
      </c>
      <c r="C77" s="175"/>
      <c r="D77" s="175"/>
      <c r="E77" s="175"/>
      <c r="H77" s="175" t="s">
        <v>192</v>
      </c>
      <c r="I77" s="175"/>
      <c r="J77" s="175"/>
      <c r="K77" s="175"/>
    </row>
    <row r="78" spans="2:11" x14ac:dyDescent="0.3">
      <c r="B78" s="176" t="s">
        <v>193</v>
      </c>
      <c r="C78" s="176"/>
      <c r="D78">
        <f>'Kebutuhan Air Bersih'!C23</f>
        <v>1446</v>
      </c>
      <c r="E78" s="32"/>
      <c r="H78" s="176" t="s">
        <v>193</v>
      </c>
      <c r="I78" s="176"/>
      <c r="J78">
        <f>'Kebutuhan Air Bersih'!C66</f>
        <v>2038</v>
      </c>
      <c r="K78" s="32"/>
    </row>
    <row r="79" spans="2:11" x14ac:dyDescent="0.3">
      <c r="B79" s="176"/>
      <c r="C79" s="176"/>
      <c r="D79" s="32">
        <f>'Kebutuhan Air Bersih'!C24</f>
        <v>970</v>
      </c>
      <c r="E79" s="32" t="s">
        <v>96</v>
      </c>
      <c r="H79" s="176"/>
      <c r="I79" s="176"/>
      <c r="J79" s="32">
        <f>'Kebutuhan Air Bersih'!C67</f>
        <v>1250</v>
      </c>
      <c r="K79" s="32" t="s">
        <v>96</v>
      </c>
    </row>
    <row r="80" spans="2:11" x14ac:dyDescent="0.3">
      <c r="B80" s="176"/>
      <c r="C80" s="176"/>
      <c r="D80" s="32">
        <f>(D79/1000)/60</f>
        <v>1.6166666666666666E-2</v>
      </c>
      <c r="E80" s="32" t="s">
        <v>194</v>
      </c>
      <c r="H80" s="176"/>
      <c r="I80" s="176"/>
      <c r="J80" s="32">
        <f>(J79/1000)/60</f>
        <v>2.0833333333333332E-2</v>
      </c>
      <c r="K80" s="32" t="s">
        <v>194</v>
      </c>
    </row>
    <row r="81" spans="2:11" x14ac:dyDescent="0.3">
      <c r="B81" s="151" t="s">
        <v>199</v>
      </c>
      <c r="C81" s="151"/>
      <c r="D81" s="32">
        <v>2</v>
      </c>
      <c r="E81" s="32" t="s">
        <v>198</v>
      </c>
      <c r="H81" s="151" t="s">
        <v>199</v>
      </c>
      <c r="I81" s="151"/>
      <c r="J81" s="32">
        <v>2</v>
      </c>
      <c r="K81" s="32" t="s">
        <v>198</v>
      </c>
    </row>
    <row r="82" spans="2:11" x14ac:dyDescent="0.3">
      <c r="B82" s="151" t="s">
        <v>195</v>
      </c>
      <c r="C82" s="151"/>
      <c r="D82" s="32">
        <f>SQRT((4*D80)/(3.14*D81))</f>
        <v>0.10147531677740311</v>
      </c>
      <c r="E82" s="32" t="s">
        <v>196</v>
      </c>
      <c r="H82" s="151" t="s">
        <v>195</v>
      </c>
      <c r="I82" s="151"/>
      <c r="J82" s="32">
        <f>SQRT((4*J80)/(3.14*J81))</f>
        <v>0.11519391939602285</v>
      </c>
      <c r="K82" s="32" t="s">
        <v>196</v>
      </c>
    </row>
    <row r="83" spans="2:11" x14ac:dyDescent="0.3">
      <c r="B83" s="151"/>
      <c r="C83" s="151"/>
      <c r="D83" s="32">
        <f>D82*1000</f>
        <v>101.47531677740311</v>
      </c>
      <c r="E83" s="32" t="s">
        <v>197</v>
      </c>
      <c r="H83" s="151"/>
      <c r="I83" s="151"/>
      <c r="J83" s="32">
        <f>J82*1000</f>
        <v>115.19391939602285</v>
      </c>
      <c r="K83" s="32" t="s">
        <v>197</v>
      </c>
    </row>
    <row r="84" spans="2:11" x14ac:dyDescent="0.3">
      <c r="B84" s="151" t="s">
        <v>233</v>
      </c>
      <c r="C84" s="151"/>
      <c r="D84" s="32">
        <v>100</v>
      </c>
      <c r="E84" s="32" t="s">
        <v>197</v>
      </c>
      <c r="H84" s="151" t="s">
        <v>235</v>
      </c>
      <c r="I84" s="151"/>
      <c r="J84" s="32">
        <v>150</v>
      </c>
      <c r="K84" s="32" t="s">
        <v>197</v>
      </c>
    </row>
    <row r="85" spans="2:11" x14ac:dyDescent="0.3">
      <c r="B85" s="151" t="s">
        <v>234</v>
      </c>
      <c r="C85" s="151"/>
      <c r="D85" s="32">
        <v>110</v>
      </c>
      <c r="E85" s="32" t="s">
        <v>197</v>
      </c>
      <c r="H85" s="151" t="s">
        <v>234</v>
      </c>
      <c r="I85" s="151"/>
      <c r="J85" s="32">
        <v>160</v>
      </c>
      <c r="K85" s="32" t="s">
        <v>197</v>
      </c>
    </row>
    <row r="87" spans="2:11" x14ac:dyDescent="0.3">
      <c r="B87" s="175" t="s">
        <v>215</v>
      </c>
      <c r="C87" s="175"/>
      <c r="D87" s="175"/>
      <c r="E87" s="175"/>
      <c r="H87" s="175" t="s">
        <v>232</v>
      </c>
      <c r="I87" s="175"/>
      <c r="J87" s="175"/>
      <c r="K87" s="175"/>
    </row>
    <row r="88" spans="2:11" x14ac:dyDescent="0.3">
      <c r="B88" s="176" t="s">
        <v>193</v>
      </c>
      <c r="C88" s="176"/>
      <c r="D88">
        <f>'Kebutuhan Air Bersih'!G23</f>
        <v>461</v>
      </c>
      <c r="E88" s="32"/>
      <c r="H88" s="176" t="s">
        <v>193</v>
      </c>
      <c r="I88" s="176"/>
      <c r="J88">
        <f>'Kebutuhan Air Bersih'!G66</f>
        <v>876</v>
      </c>
      <c r="K88" s="32"/>
    </row>
    <row r="89" spans="2:11" x14ac:dyDescent="0.3">
      <c r="B89" s="176"/>
      <c r="C89" s="176"/>
      <c r="D89" s="32">
        <f>'Kebutuhan Air Bersih'!G24</f>
        <v>450</v>
      </c>
      <c r="E89" s="32" t="s">
        <v>96</v>
      </c>
      <c r="H89" s="176"/>
      <c r="I89" s="176"/>
      <c r="J89" s="32">
        <f>'Kebutuhan Air Bersih'!G67</f>
        <v>705</v>
      </c>
      <c r="K89" s="32" t="s">
        <v>96</v>
      </c>
    </row>
    <row r="90" spans="2:11" x14ac:dyDescent="0.3">
      <c r="B90" s="176"/>
      <c r="C90" s="176"/>
      <c r="D90" s="32">
        <f>(D89/1000)/60</f>
        <v>7.5000000000000006E-3</v>
      </c>
      <c r="E90" s="32" t="s">
        <v>194</v>
      </c>
      <c r="H90" s="176"/>
      <c r="I90" s="176"/>
      <c r="J90" s="32">
        <f>(J89/1000)/60</f>
        <v>1.175E-2</v>
      </c>
      <c r="K90" s="32" t="s">
        <v>194</v>
      </c>
    </row>
    <row r="91" spans="2:11" x14ac:dyDescent="0.3">
      <c r="B91" s="151" t="s">
        <v>199</v>
      </c>
      <c r="C91" s="151"/>
      <c r="D91" s="32">
        <v>2</v>
      </c>
      <c r="E91" s="32" t="s">
        <v>198</v>
      </c>
      <c r="H91" s="151" t="s">
        <v>199</v>
      </c>
      <c r="I91" s="151"/>
      <c r="J91" s="32">
        <v>2</v>
      </c>
      <c r="K91" s="32" t="s">
        <v>198</v>
      </c>
    </row>
    <row r="92" spans="2:11" x14ac:dyDescent="0.3">
      <c r="B92" s="151" t="s">
        <v>195</v>
      </c>
      <c r="C92" s="151"/>
      <c r="D92" s="32">
        <f>SQRT((4*D90)/(3.14*D91))</f>
        <v>6.9116351637613704E-2</v>
      </c>
      <c r="E92" s="32" t="s">
        <v>196</v>
      </c>
      <c r="H92" s="151" t="s">
        <v>195</v>
      </c>
      <c r="I92" s="151"/>
      <c r="J92" s="32">
        <f>SQRT((4*J90)/(3.14*J91))</f>
        <v>8.651055677269115E-2</v>
      </c>
      <c r="K92" s="32" t="s">
        <v>196</v>
      </c>
    </row>
    <row r="93" spans="2:11" x14ac:dyDescent="0.3">
      <c r="B93" s="151"/>
      <c r="C93" s="151"/>
      <c r="D93" s="32">
        <f>D92*1000</f>
        <v>69.116351637613704</v>
      </c>
      <c r="E93" s="32" t="s">
        <v>197</v>
      </c>
      <c r="H93" s="151"/>
      <c r="I93" s="151"/>
      <c r="J93" s="32">
        <f>J92*1000</f>
        <v>86.510556772691146</v>
      </c>
      <c r="K93" s="32" t="s">
        <v>197</v>
      </c>
    </row>
    <row r="94" spans="2:11" x14ac:dyDescent="0.3">
      <c r="B94" s="151" t="s">
        <v>233</v>
      </c>
      <c r="C94" s="151"/>
      <c r="D94" s="32">
        <v>75</v>
      </c>
      <c r="E94" s="32" t="s">
        <v>197</v>
      </c>
      <c r="H94" s="151" t="s">
        <v>235</v>
      </c>
      <c r="I94" s="151"/>
      <c r="J94" s="32">
        <v>100</v>
      </c>
      <c r="K94" s="32" t="s">
        <v>197</v>
      </c>
    </row>
    <row r="95" spans="2:11" x14ac:dyDescent="0.3">
      <c r="B95" s="151" t="s">
        <v>234</v>
      </c>
      <c r="C95" s="151"/>
      <c r="D95" s="32">
        <v>90</v>
      </c>
      <c r="E95" s="32" t="s">
        <v>197</v>
      </c>
      <c r="H95" s="151" t="s">
        <v>234</v>
      </c>
      <c r="I95" s="151"/>
      <c r="J95" s="32">
        <v>110</v>
      </c>
      <c r="K95" s="32" t="s">
        <v>197</v>
      </c>
    </row>
    <row r="97" spans="2:11" x14ac:dyDescent="0.3">
      <c r="B97" s="175" t="s">
        <v>216</v>
      </c>
      <c r="C97" s="175"/>
      <c r="D97" s="175"/>
      <c r="E97" s="175"/>
      <c r="H97" s="175" t="s">
        <v>210</v>
      </c>
      <c r="I97" s="175"/>
      <c r="J97" s="175"/>
      <c r="K97" s="175"/>
    </row>
    <row r="98" spans="2:11" x14ac:dyDescent="0.3">
      <c r="B98" s="176" t="s">
        <v>193</v>
      </c>
      <c r="C98" s="176"/>
      <c r="D98">
        <f>'Kebutuhan Air Bersih'!G27</f>
        <v>985</v>
      </c>
      <c r="E98" s="32"/>
      <c r="H98" s="176" t="s">
        <v>193</v>
      </c>
      <c r="I98" s="176"/>
      <c r="J98">
        <f>'Kebutuhan Air Bersih'!G70</f>
        <v>1162</v>
      </c>
      <c r="K98" s="32"/>
    </row>
    <row r="99" spans="2:11" x14ac:dyDescent="0.3">
      <c r="B99" s="176"/>
      <c r="C99" s="176"/>
      <c r="D99" s="32">
        <f>'Kebutuhan Air Bersih'!G28</f>
        <v>760</v>
      </c>
      <c r="E99" s="32" t="s">
        <v>96</v>
      </c>
      <c r="H99" s="176"/>
      <c r="I99" s="176"/>
      <c r="J99" s="32">
        <f>'Kebutuhan Air Bersih'!G71</f>
        <v>860</v>
      </c>
      <c r="K99" s="32" t="s">
        <v>96</v>
      </c>
    </row>
    <row r="100" spans="2:11" x14ac:dyDescent="0.3">
      <c r="B100" s="176"/>
      <c r="C100" s="176"/>
      <c r="D100" s="32">
        <f>(D99/1000)/60</f>
        <v>1.2666666666666666E-2</v>
      </c>
      <c r="E100" s="32" t="s">
        <v>194</v>
      </c>
      <c r="H100" s="176"/>
      <c r="I100" s="176"/>
      <c r="J100" s="32">
        <f>(J99/1000)/60</f>
        <v>1.4333333333333333E-2</v>
      </c>
      <c r="K100" s="32" t="s">
        <v>194</v>
      </c>
    </row>
    <row r="101" spans="2:11" x14ac:dyDescent="0.3">
      <c r="B101" s="151" t="s">
        <v>199</v>
      </c>
      <c r="C101" s="151"/>
      <c r="D101" s="32">
        <v>2</v>
      </c>
      <c r="E101" s="32" t="s">
        <v>198</v>
      </c>
      <c r="H101" s="151" t="s">
        <v>199</v>
      </c>
      <c r="I101" s="151"/>
      <c r="J101" s="32">
        <v>2</v>
      </c>
      <c r="K101" s="32" t="s">
        <v>198</v>
      </c>
    </row>
    <row r="102" spans="2:11" x14ac:dyDescent="0.3">
      <c r="B102" s="151" t="s">
        <v>195</v>
      </c>
      <c r="C102" s="151"/>
      <c r="D102" s="32">
        <f>SQRT((4*D100)/(3.14*D101))</f>
        <v>8.9821715370042812E-2</v>
      </c>
      <c r="E102" s="32" t="s">
        <v>196</v>
      </c>
      <c r="H102" s="151" t="s">
        <v>195</v>
      </c>
      <c r="I102" s="151"/>
      <c r="J102" s="32">
        <f>SQRT((4*J100)/(3.14*J101))</f>
        <v>9.5548478152623545E-2</v>
      </c>
      <c r="K102" s="32" t="s">
        <v>196</v>
      </c>
    </row>
    <row r="103" spans="2:11" x14ac:dyDescent="0.3">
      <c r="B103" s="151"/>
      <c r="C103" s="151"/>
      <c r="D103" s="32">
        <f>D102*1000</f>
        <v>89.82171537004281</v>
      </c>
      <c r="E103" s="32" t="s">
        <v>197</v>
      </c>
      <c r="H103" s="151"/>
      <c r="I103" s="151"/>
      <c r="J103" s="32">
        <f>J102*1000</f>
        <v>95.548478152623545</v>
      </c>
      <c r="K103" s="32" t="s">
        <v>197</v>
      </c>
    </row>
    <row r="104" spans="2:11" x14ac:dyDescent="0.3">
      <c r="B104" s="151" t="s">
        <v>233</v>
      </c>
      <c r="C104" s="151"/>
      <c r="D104" s="32">
        <v>100</v>
      </c>
      <c r="E104" s="32" t="s">
        <v>197</v>
      </c>
      <c r="H104" s="151" t="s">
        <v>235</v>
      </c>
      <c r="I104" s="151"/>
      <c r="J104" s="32">
        <v>100</v>
      </c>
      <c r="K104" s="32" t="s">
        <v>197</v>
      </c>
    </row>
    <row r="105" spans="2:11" x14ac:dyDescent="0.3">
      <c r="B105" s="151" t="s">
        <v>234</v>
      </c>
      <c r="C105" s="151"/>
      <c r="D105" s="32">
        <v>110</v>
      </c>
      <c r="E105" s="32" t="s">
        <v>197</v>
      </c>
      <c r="H105" s="151" t="s">
        <v>234</v>
      </c>
      <c r="I105" s="151"/>
      <c r="J105" s="32">
        <v>110</v>
      </c>
      <c r="K105" s="32" t="s">
        <v>197</v>
      </c>
    </row>
    <row r="107" spans="2:11" x14ac:dyDescent="0.3">
      <c r="B107" s="33" t="s">
        <v>221</v>
      </c>
      <c r="H107" s="180" t="s">
        <v>227</v>
      </c>
      <c r="I107" s="180"/>
      <c r="J107" s="180"/>
      <c r="K107" s="180"/>
    </row>
    <row r="109" spans="2:11" x14ac:dyDescent="0.3">
      <c r="B109" s="175" t="s">
        <v>192</v>
      </c>
      <c r="C109" s="175"/>
      <c r="D109" s="175"/>
      <c r="E109" s="175"/>
      <c r="H109" s="175" t="s">
        <v>192</v>
      </c>
      <c r="I109" s="175"/>
      <c r="J109" s="175"/>
      <c r="K109" s="175"/>
    </row>
    <row r="110" spans="2:11" x14ac:dyDescent="0.3">
      <c r="B110" s="176" t="s">
        <v>193</v>
      </c>
      <c r="C110" s="176"/>
      <c r="D110">
        <f>'Kebutuhan Air Bersih'!C27</f>
        <v>830</v>
      </c>
      <c r="E110" s="32"/>
      <c r="H110" s="176" t="s">
        <v>193</v>
      </c>
      <c r="I110" s="176"/>
      <c r="J110">
        <f>'Kebutuhan Air Bersih'!C70</f>
        <v>1090</v>
      </c>
      <c r="K110" s="32"/>
    </row>
    <row r="111" spans="2:11" x14ac:dyDescent="0.3">
      <c r="B111" s="176"/>
      <c r="C111" s="176"/>
      <c r="D111" s="32">
        <f>'Kebutuhan Air Bersih'!C24</f>
        <v>970</v>
      </c>
      <c r="E111" s="32" t="s">
        <v>96</v>
      </c>
      <c r="H111" s="176"/>
      <c r="I111" s="176"/>
      <c r="J111" s="32">
        <f>'Kebutuhan Air Bersih'!C71</f>
        <v>825</v>
      </c>
      <c r="K111" s="32" t="s">
        <v>96</v>
      </c>
    </row>
    <row r="112" spans="2:11" x14ac:dyDescent="0.3">
      <c r="B112" s="176"/>
      <c r="C112" s="176"/>
      <c r="D112" s="32">
        <f>(D111/1000)/60</f>
        <v>1.6166666666666666E-2</v>
      </c>
      <c r="E112" s="32" t="s">
        <v>194</v>
      </c>
      <c r="H112" s="176"/>
      <c r="I112" s="176"/>
      <c r="J112" s="32">
        <f>(J111/1000)/60</f>
        <v>1.375E-2</v>
      </c>
      <c r="K112" s="32" t="s">
        <v>194</v>
      </c>
    </row>
    <row r="113" spans="2:11" x14ac:dyDescent="0.3">
      <c r="B113" s="151" t="s">
        <v>199</v>
      </c>
      <c r="C113" s="151"/>
      <c r="D113" s="32">
        <v>2</v>
      </c>
      <c r="E113" s="32" t="s">
        <v>198</v>
      </c>
      <c r="H113" s="151" t="s">
        <v>199</v>
      </c>
      <c r="I113" s="151"/>
      <c r="J113" s="32">
        <v>2</v>
      </c>
      <c r="K113" s="32" t="s">
        <v>198</v>
      </c>
    </row>
    <row r="114" spans="2:11" x14ac:dyDescent="0.3">
      <c r="B114" s="151" t="s">
        <v>195</v>
      </c>
      <c r="C114" s="151"/>
      <c r="D114" s="32">
        <f>SQRT((4*D112)/(3.14*D113))</f>
        <v>0.10147531677740311</v>
      </c>
      <c r="E114" s="32" t="s">
        <v>196</v>
      </c>
      <c r="H114" s="151" t="s">
        <v>195</v>
      </c>
      <c r="I114" s="151"/>
      <c r="J114" s="32">
        <f>SQRT((4*J112)/(3.14*J113))</f>
        <v>9.3583982515382885E-2</v>
      </c>
      <c r="K114" s="32" t="s">
        <v>196</v>
      </c>
    </row>
    <row r="115" spans="2:11" x14ac:dyDescent="0.3">
      <c r="B115" s="151"/>
      <c r="C115" s="151"/>
      <c r="D115" s="32">
        <f>D114*1000</f>
        <v>101.47531677740311</v>
      </c>
      <c r="E115" s="32" t="s">
        <v>197</v>
      </c>
      <c r="H115" s="151"/>
      <c r="I115" s="151"/>
      <c r="J115" s="32">
        <f>J114*1000</f>
        <v>93.583982515382885</v>
      </c>
      <c r="K115" s="32" t="s">
        <v>197</v>
      </c>
    </row>
    <row r="116" spans="2:11" x14ac:dyDescent="0.3">
      <c r="B116" s="151" t="s">
        <v>233</v>
      </c>
      <c r="C116" s="151"/>
      <c r="D116" s="32">
        <v>100</v>
      </c>
      <c r="E116" s="32" t="s">
        <v>197</v>
      </c>
      <c r="H116" s="151" t="s">
        <v>235</v>
      </c>
      <c r="I116" s="151"/>
      <c r="J116" s="32">
        <v>100</v>
      </c>
      <c r="K116" s="32" t="s">
        <v>197</v>
      </c>
    </row>
    <row r="117" spans="2:11" x14ac:dyDescent="0.3">
      <c r="B117" s="151" t="s">
        <v>234</v>
      </c>
      <c r="C117" s="151"/>
      <c r="D117" s="32">
        <v>110</v>
      </c>
      <c r="E117" s="32" t="s">
        <v>197</v>
      </c>
      <c r="H117" s="151" t="s">
        <v>234</v>
      </c>
      <c r="I117" s="151"/>
      <c r="J117" s="32">
        <v>110</v>
      </c>
      <c r="K117" s="32" t="s">
        <v>197</v>
      </c>
    </row>
    <row r="119" spans="2:11" x14ac:dyDescent="0.3">
      <c r="B119" s="175" t="s">
        <v>215</v>
      </c>
      <c r="C119" s="175"/>
      <c r="D119" s="175"/>
      <c r="E119" s="175"/>
      <c r="H119" s="175" t="s">
        <v>226</v>
      </c>
      <c r="I119" s="175"/>
      <c r="J119" s="175"/>
      <c r="K119" s="175"/>
    </row>
    <row r="120" spans="2:11" x14ac:dyDescent="0.3">
      <c r="B120" s="176" t="s">
        <v>193</v>
      </c>
      <c r="C120" s="176"/>
      <c r="D120">
        <f>'Kebutuhan Air Bersih'!G31</f>
        <v>235</v>
      </c>
      <c r="E120" s="32"/>
      <c r="H120" s="176" t="s">
        <v>193</v>
      </c>
      <c r="I120" s="176"/>
      <c r="J120">
        <f>'Kebutuhan Air Bersih'!G74</f>
        <v>515</v>
      </c>
      <c r="K120" s="32"/>
    </row>
    <row r="121" spans="2:11" x14ac:dyDescent="0.3">
      <c r="B121" s="176"/>
      <c r="C121" s="176"/>
      <c r="D121" s="32">
        <f>'Kebutuhan Air Bersih'!G32</f>
        <v>215</v>
      </c>
      <c r="E121" s="32" t="s">
        <v>96</v>
      </c>
      <c r="H121" s="176"/>
      <c r="I121" s="176"/>
      <c r="J121" s="32">
        <f>'Kebutuhan Air Bersih'!G75</f>
        <v>450</v>
      </c>
      <c r="K121" s="32" t="s">
        <v>96</v>
      </c>
    </row>
    <row r="122" spans="2:11" x14ac:dyDescent="0.3">
      <c r="B122" s="176"/>
      <c r="C122" s="176"/>
      <c r="D122" s="32">
        <f>(D121/1000)/60</f>
        <v>3.5833333333333333E-3</v>
      </c>
      <c r="E122" s="32" t="s">
        <v>194</v>
      </c>
      <c r="H122" s="176"/>
      <c r="I122" s="176"/>
      <c r="J122" s="32">
        <f>(J121/1000)/60</f>
        <v>7.5000000000000006E-3</v>
      </c>
      <c r="K122" s="32" t="s">
        <v>194</v>
      </c>
    </row>
    <row r="123" spans="2:11" x14ac:dyDescent="0.3">
      <c r="B123" s="151" t="s">
        <v>199</v>
      </c>
      <c r="C123" s="151"/>
      <c r="D123" s="32">
        <v>2</v>
      </c>
      <c r="E123" s="32" t="s">
        <v>198</v>
      </c>
      <c r="H123" s="151" t="s">
        <v>199</v>
      </c>
      <c r="I123" s="151"/>
      <c r="J123" s="32">
        <v>2</v>
      </c>
      <c r="K123" s="32" t="s">
        <v>198</v>
      </c>
    </row>
    <row r="124" spans="2:11" x14ac:dyDescent="0.3">
      <c r="B124" s="151" t="s">
        <v>195</v>
      </c>
      <c r="C124" s="151"/>
      <c r="D124" s="32">
        <f>SQRT((4*D122)/(3.14*D123))</f>
        <v>4.7774239076311772E-2</v>
      </c>
      <c r="E124" s="32" t="s">
        <v>196</v>
      </c>
      <c r="H124" s="151" t="s">
        <v>195</v>
      </c>
      <c r="I124" s="151"/>
      <c r="J124" s="32">
        <f>SQRT((4*J122)/(3.14*J123))</f>
        <v>6.9116351637613704E-2</v>
      </c>
      <c r="K124" s="32" t="s">
        <v>196</v>
      </c>
    </row>
    <row r="125" spans="2:11" x14ac:dyDescent="0.3">
      <c r="B125" s="151"/>
      <c r="C125" s="151"/>
      <c r="D125" s="32">
        <f>D124*1000</f>
        <v>47.774239076311773</v>
      </c>
      <c r="E125" s="32" t="s">
        <v>197</v>
      </c>
      <c r="H125" s="151"/>
      <c r="I125" s="151"/>
      <c r="J125" s="32">
        <f>J124*1000</f>
        <v>69.116351637613704</v>
      </c>
      <c r="K125" s="32" t="s">
        <v>197</v>
      </c>
    </row>
    <row r="126" spans="2:11" x14ac:dyDescent="0.3">
      <c r="B126" s="151" t="s">
        <v>233</v>
      </c>
      <c r="C126" s="151"/>
      <c r="D126" s="32">
        <v>65</v>
      </c>
      <c r="E126" s="32" t="s">
        <v>197</v>
      </c>
      <c r="H126" s="151" t="s">
        <v>235</v>
      </c>
      <c r="I126" s="151"/>
      <c r="J126" s="32">
        <v>75</v>
      </c>
      <c r="K126" s="32" t="s">
        <v>197</v>
      </c>
    </row>
    <row r="127" spans="2:11" x14ac:dyDescent="0.3">
      <c r="B127" s="151" t="s">
        <v>234</v>
      </c>
      <c r="C127" s="151"/>
      <c r="D127" s="32">
        <v>75</v>
      </c>
      <c r="E127" s="32" t="s">
        <v>197</v>
      </c>
      <c r="H127" s="151" t="s">
        <v>234</v>
      </c>
      <c r="I127" s="151"/>
      <c r="J127" s="32">
        <v>90</v>
      </c>
      <c r="K127" s="32" t="s">
        <v>197</v>
      </c>
    </row>
    <row r="129" spans="1:11" x14ac:dyDescent="0.3">
      <c r="B129" s="175" t="s">
        <v>216</v>
      </c>
      <c r="C129" s="175"/>
      <c r="D129" s="175"/>
      <c r="E129" s="175"/>
      <c r="H129" s="175" t="s">
        <v>210</v>
      </c>
      <c r="I129" s="175"/>
      <c r="J129" s="175"/>
      <c r="K129" s="175"/>
    </row>
    <row r="130" spans="1:11" x14ac:dyDescent="0.3">
      <c r="B130" s="176" t="s">
        <v>193</v>
      </c>
      <c r="C130" s="176"/>
      <c r="D130">
        <f>'Kebutuhan Air Bersih'!G35</f>
        <v>485</v>
      </c>
      <c r="E130" s="32"/>
      <c r="H130" s="176" t="s">
        <v>193</v>
      </c>
      <c r="I130" s="176"/>
      <c r="J130">
        <f>'Kebutuhan Air Bersih'!G78</f>
        <v>575</v>
      </c>
      <c r="K130" s="32"/>
    </row>
    <row r="131" spans="1:11" x14ac:dyDescent="0.3">
      <c r="B131" s="176"/>
      <c r="C131" s="176"/>
      <c r="D131" s="32">
        <f>'Kebutuhan Air Bersih'!G36</f>
        <v>450</v>
      </c>
      <c r="E131" s="32" t="s">
        <v>96</v>
      </c>
      <c r="H131" s="176"/>
      <c r="I131" s="176"/>
      <c r="J131" s="32">
        <f>'Kebutuhan Air Bersih'!G79</f>
        <v>530</v>
      </c>
      <c r="K131" s="32" t="s">
        <v>96</v>
      </c>
    </row>
    <row r="132" spans="1:11" x14ac:dyDescent="0.3">
      <c r="B132" s="176"/>
      <c r="C132" s="176"/>
      <c r="D132" s="32">
        <f>(D131/1000)/60</f>
        <v>7.5000000000000006E-3</v>
      </c>
      <c r="E132" s="32" t="s">
        <v>194</v>
      </c>
      <c r="H132" s="176"/>
      <c r="I132" s="176"/>
      <c r="J132" s="32">
        <f>(J131/1000)/60</f>
        <v>8.8333333333333337E-3</v>
      </c>
      <c r="K132" s="32" t="s">
        <v>194</v>
      </c>
    </row>
    <row r="133" spans="1:11" x14ac:dyDescent="0.3">
      <c r="B133" s="151" t="s">
        <v>199</v>
      </c>
      <c r="C133" s="151"/>
      <c r="D133" s="32">
        <v>2</v>
      </c>
      <c r="E133" s="32" t="s">
        <v>198</v>
      </c>
      <c r="H133" s="151" t="s">
        <v>199</v>
      </c>
      <c r="I133" s="151"/>
      <c r="J133" s="32">
        <v>2</v>
      </c>
      <c r="K133" s="32" t="s">
        <v>198</v>
      </c>
    </row>
    <row r="134" spans="1:11" x14ac:dyDescent="0.3">
      <c r="B134" s="151" t="s">
        <v>195</v>
      </c>
      <c r="C134" s="151"/>
      <c r="D134" s="32">
        <f>SQRT((4*D132)/(3.14*D133))</f>
        <v>6.9116351637613704E-2</v>
      </c>
      <c r="E134" s="32" t="s">
        <v>196</v>
      </c>
      <c r="H134" s="151" t="s">
        <v>195</v>
      </c>
      <c r="I134" s="151"/>
      <c r="J134" s="32">
        <f>SQRT((4*J132)/(3.14*J133))</f>
        <v>7.500884590437705E-2</v>
      </c>
      <c r="K134" s="32" t="s">
        <v>196</v>
      </c>
    </row>
    <row r="135" spans="1:11" x14ac:dyDescent="0.3">
      <c r="B135" s="151"/>
      <c r="C135" s="151"/>
      <c r="D135" s="32">
        <f>D134*1000</f>
        <v>69.116351637613704</v>
      </c>
      <c r="E135" s="32" t="s">
        <v>197</v>
      </c>
      <c r="H135" s="151"/>
      <c r="I135" s="151"/>
      <c r="J135" s="32">
        <f>J134*1000</f>
        <v>75.008845904377054</v>
      </c>
      <c r="K135" s="32" t="s">
        <v>197</v>
      </c>
    </row>
    <row r="136" spans="1:11" x14ac:dyDescent="0.3">
      <c r="B136" s="151" t="s">
        <v>233</v>
      </c>
      <c r="C136" s="151"/>
      <c r="D136" s="32">
        <v>75</v>
      </c>
      <c r="E136" s="32" t="s">
        <v>197</v>
      </c>
      <c r="H136" s="151" t="s">
        <v>235</v>
      </c>
      <c r="I136" s="151"/>
      <c r="J136" s="32">
        <v>75</v>
      </c>
      <c r="K136" s="32" t="s">
        <v>197</v>
      </c>
    </row>
    <row r="137" spans="1:11" x14ac:dyDescent="0.3">
      <c r="B137" s="151" t="s">
        <v>234</v>
      </c>
      <c r="C137" s="151"/>
      <c r="D137" s="32">
        <v>90</v>
      </c>
      <c r="E137" s="32" t="s">
        <v>197</v>
      </c>
      <c r="H137" s="151" t="s">
        <v>234</v>
      </c>
      <c r="I137" s="151"/>
      <c r="J137" s="32">
        <v>90</v>
      </c>
      <c r="K137" s="32" t="s">
        <v>197</v>
      </c>
    </row>
    <row r="143" spans="1:11" x14ac:dyDescent="0.3">
      <c r="A143" s="56"/>
      <c r="B143" s="56"/>
      <c r="C143" s="56"/>
      <c r="D143" s="56"/>
      <c r="E143" s="56"/>
      <c r="F143" s="56"/>
      <c r="G143" s="56"/>
      <c r="H143" s="56"/>
      <c r="I143" s="56"/>
    </row>
    <row r="144" spans="1:11" x14ac:dyDescent="0.3">
      <c r="A144" s="56"/>
      <c r="B144" s="183" t="s">
        <v>168</v>
      </c>
      <c r="C144" s="183"/>
      <c r="D144" s="183"/>
      <c r="E144" s="183" t="s">
        <v>345</v>
      </c>
      <c r="F144" s="183"/>
      <c r="G144" s="183"/>
      <c r="H144" s="56"/>
      <c r="I144" s="56"/>
    </row>
    <row r="145" spans="1:9" x14ac:dyDescent="0.3">
      <c r="A145" s="56"/>
      <c r="B145" s="184" t="s">
        <v>238</v>
      </c>
      <c r="C145" s="185"/>
      <c r="D145" s="18" t="s">
        <v>571</v>
      </c>
      <c r="E145" s="184" t="s">
        <v>238</v>
      </c>
      <c r="F145" s="185"/>
      <c r="G145" s="18" t="s">
        <v>571</v>
      </c>
      <c r="H145" s="56"/>
      <c r="I145" s="56"/>
    </row>
    <row r="146" spans="1:9" x14ac:dyDescent="0.3">
      <c r="A146" s="56"/>
      <c r="B146" s="182" t="s">
        <v>557</v>
      </c>
      <c r="C146" s="182"/>
      <c r="D146" s="17">
        <v>100</v>
      </c>
      <c r="E146" s="182" t="s">
        <v>557</v>
      </c>
      <c r="F146" s="182"/>
      <c r="G146" s="17">
        <v>75</v>
      </c>
      <c r="H146" s="56"/>
      <c r="I146" s="56"/>
    </row>
    <row r="147" spans="1:9" x14ac:dyDescent="0.3">
      <c r="A147" s="56"/>
      <c r="B147" s="182" t="s">
        <v>558</v>
      </c>
      <c r="C147" s="182"/>
      <c r="D147" s="17">
        <v>100</v>
      </c>
      <c r="E147" s="182" t="s">
        <v>558</v>
      </c>
      <c r="F147" s="182"/>
      <c r="G147" s="17">
        <v>65</v>
      </c>
      <c r="H147" s="56"/>
      <c r="I147" s="56"/>
    </row>
    <row r="148" spans="1:9" x14ac:dyDescent="0.3">
      <c r="A148" s="56"/>
      <c r="B148" s="182" t="s">
        <v>559</v>
      </c>
      <c r="C148" s="182"/>
      <c r="D148" s="17">
        <v>75</v>
      </c>
      <c r="E148" s="182" t="s">
        <v>559</v>
      </c>
      <c r="F148" s="182"/>
      <c r="G148" s="17">
        <v>65</v>
      </c>
      <c r="H148" s="56"/>
      <c r="I148" s="56"/>
    </row>
    <row r="149" spans="1:9" x14ac:dyDescent="0.3">
      <c r="A149" s="56"/>
      <c r="B149" s="182" t="s">
        <v>560</v>
      </c>
      <c r="C149" s="182"/>
      <c r="D149" s="17">
        <v>100</v>
      </c>
      <c r="E149" s="182" t="s">
        <v>560</v>
      </c>
      <c r="F149" s="182"/>
      <c r="G149" s="17">
        <v>100</v>
      </c>
      <c r="H149" s="56"/>
      <c r="I149" s="56"/>
    </row>
    <row r="150" spans="1:9" x14ac:dyDescent="0.3">
      <c r="A150" s="56"/>
      <c r="B150" s="182" t="s">
        <v>561</v>
      </c>
      <c r="C150" s="182"/>
      <c r="D150" s="17">
        <v>75</v>
      </c>
      <c r="E150" s="182" t="s">
        <v>561</v>
      </c>
      <c r="F150" s="182"/>
      <c r="G150" s="17">
        <v>65</v>
      </c>
      <c r="H150" s="56"/>
      <c r="I150" s="56"/>
    </row>
    <row r="151" spans="1:9" x14ac:dyDescent="0.3">
      <c r="A151" s="56"/>
      <c r="B151" s="182" t="s">
        <v>562</v>
      </c>
      <c r="C151" s="182"/>
      <c r="D151" s="17">
        <v>100</v>
      </c>
      <c r="E151" s="182" t="s">
        <v>562</v>
      </c>
      <c r="F151" s="182"/>
      <c r="G151" s="17">
        <v>75</v>
      </c>
      <c r="H151" s="56"/>
      <c r="I151" s="56"/>
    </row>
    <row r="152" spans="1:9" x14ac:dyDescent="0.3">
      <c r="A152" s="56"/>
      <c r="B152" s="182" t="s">
        <v>563</v>
      </c>
      <c r="C152" s="182"/>
      <c r="D152" s="17">
        <v>150</v>
      </c>
      <c r="E152" s="182" t="s">
        <v>563</v>
      </c>
      <c r="F152" s="182"/>
      <c r="G152" s="17">
        <v>100</v>
      </c>
      <c r="H152" s="56"/>
      <c r="I152" s="56"/>
    </row>
    <row r="153" spans="1:9" x14ac:dyDescent="0.3">
      <c r="A153" s="56"/>
      <c r="B153" s="182" t="s">
        <v>564</v>
      </c>
      <c r="C153" s="182"/>
      <c r="D153" s="17">
        <v>100</v>
      </c>
      <c r="E153" s="182" t="s">
        <v>564</v>
      </c>
      <c r="F153" s="182"/>
      <c r="G153" s="17">
        <v>75</v>
      </c>
      <c r="H153" s="56"/>
      <c r="I153" s="56"/>
    </row>
    <row r="154" spans="1:9" x14ac:dyDescent="0.3">
      <c r="A154" s="56"/>
      <c r="B154" s="182" t="s">
        <v>565</v>
      </c>
      <c r="C154" s="182"/>
      <c r="D154" s="17">
        <v>100</v>
      </c>
      <c r="E154" s="182" t="s">
        <v>565</v>
      </c>
      <c r="F154" s="182"/>
      <c r="G154" s="17">
        <v>75</v>
      </c>
      <c r="H154" s="56"/>
      <c r="I154" s="56"/>
    </row>
    <row r="155" spans="1:9" x14ac:dyDescent="0.3">
      <c r="A155" s="56"/>
      <c r="B155" s="182" t="s">
        <v>566</v>
      </c>
      <c r="C155" s="182"/>
      <c r="D155" s="17">
        <v>150</v>
      </c>
      <c r="E155" s="182" t="s">
        <v>566</v>
      </c>
      <c r="F155" s="182"/>
      <c r="G155" s="17">
        <v>100</v>
      </c>
      <c r="H155" s="56"/>
      <c r="I155" s="56"/>
    </row>
    <row r="156" spans="1:9" x14ac:dyDescent="0.3">
      <c r="A156" s="56"/>
      <c r="B156" s="182" t="s">
        <v>568</v>
      </c>
      <c r="C156" s="182"/>
      <c r="D156" s="17">
        <v>100</v>
      </c>
      <c r="E156" s="182" t="s">
        <v>568</v>
      </c>
      <c r="F156" s="182"/>
      <c r="G156" s="17">
        <v>75</v>
      </c>
      <c r="H156" s="56"/>
      <c r="I156" s="56"/>
    </row>
    <row r="157" spans="1:9" x14ac:dyDescent="0.3">
      <c r="A157" s="56"/>
      <c r="B157" s="182" t="s">
        <v>567</v>
      </c>
      <c r="C157" s="182"/>
      <c r="D157" s="17">
        <v>100</v>
      </c>
      <c r="E157" s="182" t="s">
        <v>567</v>
      </c>
      <c r="F157" s="182"/>
      <c r="G157" s="17">
        <v>75</v>
      </c>
      <c r="H157" s="56"/>
      <c r="I157" s="56"/>
    </row>
    <row r="158" spans="1:9" x14ac:dyDescent="0.3">
      <c r="A158" s="56"/>
      <c r="B158" s="182" t="s">
        <v>569</v>
      </c>
      <c r="C158" s="182"/>
      <c r="D158" s="17">
        <v>50</v>
      </c>
      <c r="E158" s="182" t="s">
        <v>569</v>
      </c>
      <c r="F158" s="182"/>
      <c r="G158" s="17">
        <v>50</v>
      </c>
      <c r="H158" s="56"/>
      <c r="I158" s="56"/>
    </row>
    <row r="159" spans="1:9" x14ac:dyDescent="0.3">
      <c r="A159" s="56"/>
      <c r="B159" s="182" t="s">
        <v>570</v>
      </c>
      <c r="C159" s="182"/>
      <c r="D159" s="17">
        <v>35</v>
      </c>
      <c r="E159" s="182" t="s">
        <v>570</v>
      </c>
      <c r="F159" s="182"/>
      <c r="G159" s="17">
        <v>40</v>
      </c>
      <c r="H159" s="56"/>
      <c r="I159" s="56"/>
    </row>
    <row r="160" spans="1:9" x14ac:dyDescent="0.3">
      <c r="A160" s="56"/>
      <c r="B160" s="56"/>
      <c r="C160" s="56"/>
      <c r="D160" s="56"/>
      <c r="E160" s="56"/>
      <c r="F160" s="56"/>
      <c r="G160" s="56"/>
      <c r="H160" s="56"/>
      <c r="I160" s="56"/>
    </row>
    <row r="161" spans="1:9" x14ac:dyDescent="0.3">
      <c r="A161" s="56"/>
      <c r="B161" s="56"/>
      <c r="C161" s="56"/>
      <c r="D161" s="56"/>
      <c r="E161" s="56"/>
      <c r="F161" s="56"/>
      <c r="G161" s="56"/>
      <c r="H161" s="56"/>
      <c r="I161" s="56"/>
    </row>
    <row r="162" spans="1:9" x14ac:dyDescent="0.3">
      <c r="A162" s="56"/>
      <c r="B162" s="56"/>
      <c r="C162" s="56"/>
      <c r="D162" s="56"/>
      <c r="E162" s="56"/>
      <c r="F162" s="56"/>
      <c r="G162" s="56"/>
      <c r="H162" s="56"/>
      <c r="I162" s="56"/>
    </row>
  </sheetData>
  <mergeCells count="247">
    <mergeCell ref="B155:C155"/>
    <mergeCell ref="B156:C156"/>
    <mergeCell ref="B157:C157"/>
    <mergeCell ref="B158:C158"/>
    <mergeCell ref="B159:C159"/>
    <mergeCell ref="B144:D144"/>
    <mergeCell ref="B145:C145"/>
    <mergeCell ref="E144:G144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H137:I137"/>
    <mergeCell ref="N33:O33"/>
    <mergeCell ref="N45:O45"/>
    <mergeCell ref="N57:O57"/>
    <mergeCell ref="H73:I73"/>
    <mergeCell ref="H85:I85"/>
    <mergeCell ref="H95:I95"/>
    <mergeCell ref="H105:I105"/>
    <mergeCell ref="H117:I117"/>
    <mergeCell ref="H21:I21"/>
    <mergeCell ref="H31:I31"/>
    <mergeCell ref="H41:I41"/>
    <mergeCell ref="H53:I53"/>
    <mergeCell ref="H63:I63"/>
    <mergeCell ref="N50:O52"/>
    <mergeCell ref="N53:O53"/>
    <mergeCell ref="N54:O54"/>
    <mergeCell ref="N55:O55"/>
    <mergeCell ref="N56:O56"/>
    <mergeCell ref="N42:O42"/>
    <mergeCell ref="N43:O43"/>
    <mergeCell ref="N44:O44"/>
    <mergeCell ref="N47:Q47"/>
    <mergeCell ref="N49:Q49"/>
    <mergeCell ref="N32:O32"/>
    <mergeCell ref="N35:Q35"/>
    <mergeCell ref="N37:Q37"/>
    <mergeCell ref="N38:O40"/>
    <mergeCell ref="N41:O41"/>
    <mergeCell ref="H134:I134"/>
    <mergeCell ref="H135:I135"/>
    <mergeCell ref="H136:I136"/>
    <mergeCell ref="H107:K107"/>
    <mergeCell ref="H92:I92"/>
    <mergeCell ref="H93:I93"/>
    <mergeCell ref="H94:I94"/>
    <mergeCell ref="H97:K97"/>
    <mergeCell ref="H98:I100"/>
    <mergeCell ref="H83:I83"/>
    <mergeCell ref="H84:I84"/>
    <mergeCell ref="H87:K87"/>
    <mergeCell ref="H88:I90"/>
    <mergeCell ref="H91:I91"/>
    <mergeCell ref="H75:K75"/>
    <mergeCell ref="H77:K77"/>
    <mergeCell ref="H78:I80"/>
    <mergeCell ref="H81:I81"/>
    <mergeCell ref="H82:I82"/>
    <mergeCell ref="H66:I68"/>
    <mergeCell ref="N11:Q11"/>
    <mergeCell ref="N13:Q13"/>
    <mergeCell ref="N14:O16"/>
    <mergeCell ref="N17:O17"/>
    <mergeCell ref="N18:O18"/>
    <mergeCell ref="N19:O19"/>
    <mergeCell ref="N20:O20"/>
    <mergeCell ref="N23:Q23"/>
    <mergeCell ref="N25:Q25"/>
    <mergeCell ref="N21:O21"/>
    <mergeCell ref="N26:O28"/>
    <mergeCell ref="N29:O29"/>
    <mergeCell ref="N30:O30"/>
    <mergeCell ref="N31:O31"/>
    <mergeCell ref="H125:I125"/>
    <mergeCell ref="H126:I126"/>
    <mergeCell ref="H129:K129"/>
    <mergeCell ref="H130:I132"/>
    <mergeCell ref="H133:I133"/>
    <mergeCell ref="H127:I127"/>
    <mergeCell ref="H116:I116"/>
    <mergeCell ref="H119:K119"/>
    <mergeCell ref="H120:I122"/>
    <mergeCell ref="H123:I123"/>
    <mergeCell ref="H124:I124"/>
    <mergeCell ref="H109:K109"/>
    <mergeCell ref="H110:I112"/>
    <mergeCell ref="H113:I113"/>
    <mergeCell ref="H114:I114"/>
    <mergeCell ref="H115:I115"/>
    <mergeCell ref="H101:I101"/>
    <mergeCell ref="H102:I102"/>
    <mergeCell ref="H103:I103"/>
    <mergeCell ref="H104:I104"/>
    <mergeCell ref="H69:I69"/>
    <mergeCell ref="H70:I70"/>
    <mergeCell ref="H71:I71"/>
    <mergeCell ref="H72:I72"/>
    <mergeCell ref="H59:I59"/>
    <mergeCell ref="H60:I60"/>
    <mergeCell ref="H61:I61"/>
    <mergeCell ref="H62:I62"/>
    <mergeCell ref="H65:K65"/>
    <mergeCell ref="H50:I50"/>
    <mergeCell ref="H51:I51"/>
    <mergeCell ref="H52:I52"/>
    <mergeCell ref="H55:K55"/>
    <mergeCell ref="H56:I58"/>
    <mergeCell ref="B134:C134"/>
    <mergeCell ref="B135:C135"/>
    <mergeCell ref="B136:C136"/>
    <mergeCell ref="H11:K11"/>
    <mergeCell ref="H13:K13"/>
    <mergeCell ref="H14:I16"/>
    <mergeCell ref="H17:I17"/>
    <mergeCell ref="H18:I18"/>
    <mergeCell ref="H19:I19"/>
    <mergeCell ref="H20:I20"/>
    <mergeCell ref="H23:K23"/>
    <mergeCell ref="H24:I26"/>
    <mergeCell ref="H27:I27"/>
    <mergeCell ref="H28:I28"/>
    <mergeCell ref="H29:I29"/>
    <mergeCell ref="H30:I30"/>
    <mergeCell ref="B125:C125"/>
    <mergeCell ref="B126:C126"/>
    <mergeCell ref="B129:E129"/>
    <mergeCell ref="B130:C132"/>
    <mergeCell ref="B133:C133"/>
    <mergeCell ref="B127:C127"/>
    <mergeCell ref="B119:E119"/>
    <mergeCell ref="B120:C122"/>
    <mergeCell ref="B123:C123"/>
    <mergeCell ref="B124:C124"/>
    <mergeCell ref="B137:C137"/>
    <mergeCell ref="B109:E109"/>
    <mergeCell ref="B110:C112"/>
    <mergeCell ref="B113:C113"/>
    <mergeCell ref="B114:C114"/>
    <mergeCell ref="B115:C115"/>
    <mergeCell ref="B117:C117"/>
    <mergeCell ref="B103:C103"/>
    <mergeCell ref="B116:C116"/>
    <mergeCell ref="H6:J6"/>
    <mergeCell ref="H5:J5"/>
    <mergeCell ref="H7:J7"/>
    <mergeCell ref="H33:K33"/>
    <mergeCell ref="H34:I36"/>
    <mergeCell ref="H37:I37"/>
    <mergeCell ref="H38:I38"/>
    <mergeCell ref="H39:I39"/>
    <mergeCell ref="H40:I40"/>
    <mergeCell ref="H43:K43"/>
    <mergeCell ref="H45:K45"/>
    <mergeCell ref="H46:I48"/>
    <mergeCell ref="H49:I49"/>
    <mergeCell ref="B94:C94"/>
    <mergeCell ref="B97:E97"/>
    <mergeCell ref="B98:C100"/>
    <mergeCell ref="B101:C101"/>
    <mergeCell ref="B102:C102"/>
    <mergeCell ref="B95:C95"/>
    <mergeCell ref="B87:E87"/>
    <mergeCell ref="B88:C90"/>
    <mergeCell ref="B91:C91"/>
    <mergeCell ref="B93:C93"/>
    <mergeCell ref="B78:C80"/>
    <mergeCell ref="B81:C81"/>
    <mergeCell ref="B82:C82"/>
    <mergeCell ref="B83:C83"/>
    <mergeCell ref="B84:C84"/>
    <mergeCell ref="B9:E9"/>
    <mergeCell ref="B6:E6"/>
    <mergeCell ref="B11:E11"/>
    <mergeCell ref="B43:E43"/>
    <mergeCell ref="B77:E77"/>
    <mergeCell ref="B21:C21"/>
    <mergeCell ref="B31:C31"/>
    <mergeCell ref="B41:C41"/>
    <mergeCell ref="B53:C53"/>
    <mergeCell ref="B73:C73"/>
    <mergeCell ref="B72:C72"/>
    <mergeCell ref="B62:C62"/>
    <mergeCell ref="B63:C63"/>
    <mergeCell ref="B69:C69"/>
    <mergeCell ref="B70:C70"/>
    <mergeCell ref="B71:C71"/>
    <mergeCell ref="B85:C85"/>
    <mergeCell ref="B3:E4"/>
    <mergeCell ref="B5:E5"/>
    <mergeCell ref="B55:E55"/>
    <mergeCell ref="B56:C58"/>
    <mergeCell ref="B59:C59"/>
    <mergeCell ref="B60:C60"/>
    <mergeCell ref="B61:C61"/>
    <mergeCell ref="B65:E65"/>
    <mergeCell ref="B66:C68"/>
    <mergeCell ref="B7:E7"/>
    <mergeCell ref="B8:E8"/>
    <mergeCell ref="B14:C16"/>
    <mergeCell ref="B13:E13"/>
    <mergeCell ref="B17:C17"/>
    <mergeCell ref="B104:C104"/>
    <mergeCell ref="B105:C105"/>
    <mergeCell ref="B52:C52"/>
    <mergeCell ref="B45:E45"/>
    <mergeCell ref="B46:C48"/>
    <mergeCell ref="B49:C49"/>
    <mergeCell ref="B50:C50"/>
    <mergeCell ref="B51:C51"/>
    <mergeCell ref="B18:C18"/>
    <mergeCell ref="B19:C19"/>
    <mergeCell ref="B20:C20"/>
    <mergeCell ref="B40:C40"/>
    <mergeCell ref="B23:E23"/>
    <mergeCell ref="B24:C26"/>
    <mergeCell ref="B27:C27"/>
    <mergeCell ref="B28:C28"/>
    <mergeCell ref="B29:C29"/>
    <mergeCell ref="B30:C30"/>
    <mergeCell ref="B33:E33"/>
    <mergeCell ref="B34:C36"/>
    <mergeCell ref="B37:C37"/>
    <mergeCell ref="B38:C38"/>
    <mergeCell ref="B39:C39"/>
    <mergeCell ref="B92:C9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18</vt:i4>
      </vt:variant>
    </vt:vector>
  </HeadingPairs>
  <TitlesOfParts>
    <vt:vector size="52" baseType="lpstr">
      <vt:lpstr>UBAP BERSIH GD.A</vt:lpstr>
      <vt:lpstr>UBAP BERSIH GD.B</vt:lpstr>
      <vt:lpstr>UBAP Bersih GD.C</vt:lpstr>
      <vt:lpstr>UBAP BERSIH GD.D</vt:lpstr>
      <vt:lpstr>UBAP BERSIH GD.E</vt:lpstr>
      <vt:lpstr>UBAP BERSIH GD.F</vt:lpstr>
      <vt:lpstr>Kebutuhan Air Bersih</vt:lpstr>
      <vt:lpstr>Kebutuhan Air Bersih (BED)</vt:lpstr>
      <vt:lpstr>Diameter Pipa Air Bersih</vt:lpstr>
      <vt:lpstr>Volume GWT</vt:lpstr>
      <vt:lpstr>Volume RT</vt:lpstr>
      <vt:lpstr>Pompa Transfer</vt:lpstr>
      <vt:lpstr>Pompa Booster</vt:lpstr>
      <vt:lpstr>Rekapitulasi</vt:lpstr>
      <vt:lpstr>UBAP LIMBAH GD.A </vt:lpstr>
      <vt:lpstr>UBAP LIMBAH GD.B </vt:lpstr>
      <vt:lpstr>UBAP LIMBAH GD.C </vt:lpstr>
      <vt:lpstr>UBAP LIMBAH GD.D </vt:lpstr>
      <vt:lpstr>UBAP LIMBAH GD.E</vt:lpstr>
      <vt:lpstr>UBAP LIMBAH GD.F</vt:lpstr>
      <vt:lpstr>Black Water</vt:lpstr>
      <vt:lpstr>Grey Water</vt:lpstr>
      <vt:lpstr>Limbah Medis</vt:lpstr>
      <vt:lpstr> Pipa Horizontal Gedung A</vt:lpstr>
      <vt:lpstr>Sewage Pit A</vt:lpstr>
      <vt:lpstr>Sewage Pit B</vt:lpstr>
      <vt:lpstr>Sewage Pit C </vt:lpstr>
      <vt:lpstr>Sewage Pit D </vt:lpstr>
      <vt:lpstr>Decay Basement D </vt:lpstr>
      <vt:lpstr>IPAL</vt:lpstr>
      <vt:lpstr>Diagram Alir</vt:lpstr>
      <vt:lpstr>Sprinkler Taman</vt:lpstr>
      <vt:lpstr>Sheet2</vt:lpstr>
      <vt:lpstr>Sheet1</vt:lpstr>
      <vt:lpstr>'Decay Basement D '!Print_Area</vt:lpstr>
      <vt:lpstr>'Sewage Pit A'!Print_Area</vt:lpstr>
      <vt:lpstr>'Sewage Pit B'!Print_Area</vt:lpstr>
      <vt:lpstr>'Sewage Pit C '!Print_Area</vt:lpstr>
      <vt:lpstr>'Sewage Pit D '!Print_Area</vt:lpstr>
      <vt:lpstr>'UBAP BERSIH GD.A'!Print_Area</vt:lpstr>
      <vt:lpstr>'UBAP BERSIH GD.B'!Print_Area</vt:lpstr>
      <vt:lpstr>'UBAP BERSIH GD.D'!Print_Area</vt:lpstr>
      <vt:lpstr>'UBAP LIMBAH GD.A '!Print_Area</vt:lpstr>
      <vt:lpstr>'UBAP LIMBAH GD.B '!Print_Area</vt:lpstr>
      <vt:lpstr>'UBAP LIMBAH GD.D '!Print_Area</vt:lpstr>
      <vt:lpstr>'UBAP LIMBAH GD.E'!Print_Area</vt:lpstr>
      <vt:lpstr>'UBAP LIMBAH GD.F'!Print_Area</vt:lpstr>
      <vt:lpstr>'Decay Basement D '!Print_Titles</vt:lpstr>
      <vt:lpstr>'Sewage Pit A'!Print_Titles</vt:lpstr>
      <vt:lpstr>'Sewage Pit B'!Print_Titles</vt:lpstr>
      <vt:lpstr>'Sewage Pit C '!Print_Titles</vt:lpstr>
      <vt:lpstr>'Sewage Pit D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aiko prabowo</cp:lastModifiedBy>
  <cp:lastPrinted>2023-02-21T05:47:50Z</cp:lastPrinted>
  <dcterms:created xsi:type="dcterms:W3CDTF">2021-01-04T05:22:49Z</dcterms:created>
  <dcterms:modified xsi:type="dcterms:W3CDTF">2025-04-09T10:34:19Z</dcterms:modified>
</cp:coreProperties>
</file>