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https://uiiacid-my.sharepoint.com/personal/20513239_alumni_uii_ac_id/Documents/Documents/Archives/Kuliah/SEMESTER 6/ASISTENSI SPAM/"/>
    </mc:Choice>
  </mc:AlternateContent>
  <xr:revisionPtr revIDLastSave="5" documentId="6_{B4F82ABF-4FAC-4086-B942-42466FC65C86}" xr6:coauthVersionLast="47" xr6:coauthVersionMax="47" xr10:uidLastSave="{019F65F9-D5DC-4515-AEBA-B1945B51E85E}"/>
  <bookViews>
    <workbookView xWindow="-108" yWindow="-108" windowWidth="23256" windowHeight="12456" tabRatio="587" firstSheet="5" activeTab="6" xr2:uid="{76467548-3D1B-46C2-A0DD-F5DA6F114A83}"/>
  </bookViews>
  <sheets>
    <sheet name="Rekapitulasi" sheetId="1" r:id="rId1"/>
    <sheet name="Data Kondisi Daerah Rencana" sheetId="2" r:id="rId2"/>
    <sheet name="Kriteria Zona Prioritas " sheetId="12" r:id="rId3"/>
    <sheet name="Proyeksi Penduduk Prioritas" sheetId="13" r:id="rId4"/>
    <sheet name="Proyeksi Penduduk Pengembangan" sheetId="7" r:id="rId5"/>
    <sheet name="Kebutuhan Air Domestik" sheetId="10" r:id="rId6"/>
    <sheet name="Proyeksi Fasum" sheetId="14" r:id="rId7"/>
    <sheet name="Kebutuhan Air Non Domestik .1" sheetId="15" r:id="rId8"/>
    <sheet name="Kebutuhan Air Non Domestik .2" sheetId="16" r:id="rId9"/>
    <sheet name="Kebutuhan Air Total" sheetId="17" r:id="rId10"/>
    <sheet name="Analisa Sumber Air Baku" sheetId="18" r:id="rId11"/>
    <sheet name="Alternatif Pengolahan" sheetId="20" r:id="rId12"/>
    <sheet name="Removal Efficiency" sheetId="23" r:id="rId13"/>
    <sheet name="Scoring" sheetId="22" r:id="rId14"/>
    <sheet name="Diagram Alir" sheetId="24" r:id="rId15"/>
    <sheet name="Intake" sheetId="26" r:id="rId16"/>
    <sheet name="Pra-sedimentasi" sheetId="27" r:id="rId17"/>
    <sheet name="Koagulasi - Flokulasi" sheetId="29" r:id="rId18"/>
    <sheet name="Sedimentasi " sheetId="28" r:id="rId19"/>
    <sheet name="Rapid Sand Filter (Filtration)" sheetId="30" r:id="rId20"/>
    <sheet name="Disinfeksi " sheetId="31" r:id="rId21"/>
    <sheet name="Reservoir" sheetId="32" r:id="rId22"/>
    <sheet name="Epanet" sheetId="33" r:id="rId23"/>
    <sheet name="Jalur Transmisi " sheetId="34" r:id="rId24"/>
    <sheet name="BOQ Pipa &amp; Pekerjaan" sheetId="35" r:id="rId25"/>
    <sheet name="BOQ Unit" sheetId="36" r:id="rId26"/>
    <sheet name="RAB Pekerjaan Jaringan" sheetId="37" r:id="rId27"/>
    <sheet name="RAB Pipa" sheetId="38" r:id="rId28"/>
    <sheet name="Total RAB" sheetId="39" r:id="rId29"/>
  </sheets>
  <externalReferences>
    <externalReference r:id="rId30"/>
    <externalReference r:id="rId31"/>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40" i="14" l="1"/>
  <c r="H41" i="10"/>
  <c r="D6" i="15"/>
  <c r="D6" i="17"/>
  <c r="D15" i="37"/>
  <c r="D16" i="37" s="1"/>
  <c r="D17" i="37" s="1"/>
  <c r="Q55" i="35"/>
  <c r="T26" i="35"/>
  <c r="T27" i="35"/>
  <c r="T28" i="35"/>
  <c r="T29" i="35"/>
  <c r="T30" i="35"/>
  <c r="T31" i="35"/>
  <c r="T32" i="35"/>
  <c r="T33" i="35"/>
  <c r="T34" i="35"/>
  <c r="T35" i="35"/>
  <c r="T36" i="35"/>
  <c r="T37" i="35"/>
  <c r="T38" i="35"/>
  <c r="T39" i="35"/>
  <c r="T40" i="35"/>
  <c r="T41" i="35"/>
  <c r="T42" i="35"/>
  <c r="T43" i="35"/>
  <c r="T44" i="35"/>
  <c r="T45" i="35"/>
  <c r="T46" i="35"/>
  <c r="T47" i="35"/>
  <c r="T48" i="35"/>
  <c r="T49" i="35"/>
  <c r="T50" i="35"/>
  <c r="T51" i="35"/>
  <c r="T52" i="35"/>
  <c r="T53" i="35"/>
  <c r="T54" i="35"/>
  <c r="T25" i="35"/>
  <c r="I25" i="35"/>
  <c r="I26" i="35"/>
  <c r="X26" i="35"/>
  <c r="I27" i="35"/>
  <c r="X27" i="35"/>
  <c r="I28" i="35"/>
  <c r="I29" i="35"/>
  <c r="I30" i="35"/>
  <c r="X30" i="35"/>
  <c r="I31" i="35"/>
  <c r="J31" i="35"/>
  <c r="I32" i="35"/>
  <c r="I33" i="35"/>
  <c r="J33" i="35"/>
  <c r="K33" i="35"/>
  <c r="I34" i="35"/>
  <c r="I35" i="35"/>
  <c r="J35" i="35"/>
  <c r="I36" i="35"/>
  <c r="X36" i="35"/>
  <c r="I37" i="35"/>
  <c r="I38" i="35"/>
  <c r="J38" i="35"/>
  <c r="I39" i="35"/>
  <c r="J39" i="35"/>
  <c r="I40" i="35"/>
  <c r="X40" i="35"/>
  <c r="I41" i="35"/>
  <c r="J41" i="35"/>
  <c r="I42" i="35"/>
  <c r="I43" i="35"/>
  <c r="J43" i="35"/>
  <c r="I44" i="35"/>
  <c r="I45" i="35"/>
  <c r="X45" i="35"/>
  <c r="I46" i="35"/>
  <c r="I47" i="35"/>
  <c r="J47" i="35"/>
  <c r="I48" i="35"/>
  <c r="X48" i="35"/>
  <c r="I49" i="35"/>
  <c r="I50" i="35"/>
  <c r="I51" i="35"/>
  <c r="I52" i="35"/>
  <c r="I53" i="35"/>
  <c r="I54" i="35"/>
  <c r="V46" i="34"/>
  <c r="U53" i="34" s="1"/>
  <c r="C16" i="34"/>
  <c r="D8" i="39"/>
  <c r="D7" i="39"/>
  <c r="D5" i="39"/>
  <c r="D9" i="39"/>
  <c r="I70" i="38"/>
  <c r="H69" i="38"/>
  <c r="H68" i="38"/>
  <c r="H67" i="38"/>
  <c r="H66" i="38"/>
  <c r="H65" i="38"/>
  <c r="H64" i="38"/>
  <c r="H63" i="38"/>
  <c r="H62" i="38"/>
  <c r="I62" i="38" s="1"/>
  <c r="H61" i="38"/>
  <c r="H60" i="38"/>
  <c r="H59" i="38"/>
  <c r="H58" i="38"/>
  <c r="H57" i="38"/>
  <c r="H56" i="38"/>
  <c r="H55" i="38"/>
  <c r="H54" i="38"/>
  <c r="I54" i="38" s="1"/>
  <c r="H123" i="38"/>
  <c r="H122" i="38"/>
  <c r="H121" i="38"/>
  <c r="H120" i="38"/>
  <c r="H119" i="38"/>
  <c r="H118" i="38"/>
  <c r="H117" i="38"/>
  <c r="H116" i="38"/>
  <c r="I116" i="38" s="1"/>
  <c r="H115" i="38"/>
  <c r="H114" i="38"/>
  <c r="H113" i="38"/>
  <c r="H112" i="38"/>
  <c r="H111" i="38"/>
  <c r="H110" i="38"/>
  <c r="H109" i="38"/>
  <c r="H108" i="38"/>
  <c r="I108" i="38" s="1"/>
  <c r="H53" i="38"/>
  <c r="H52" i="38"/>
  <c r="H51" i="38"/>
  <c r="H50" i="38"/>
  <c r="H49" i="38"/>
  <c r="H48" i="38"/>
  <c r="H47" i="38"/>
  <c r="G46" i="38"/>
  <c r="H46" i="38" s="1"/>
  <c r="I46" i="38" s="1"/>
  <c r="H45" i="38"/>
  <c r="H44" i="38"/>
  <c r="H43" i="38"/>
  <c r="H42" i="38"/>
  <c r="H41" i="38"/>
  <c r="H40" i="38"/>
  <c r="H39" i="38"/>
  <c r="H38" i="38"/>
  <c r="I30" i="38"/>
  <c r="I34" i="38"/>
  <c r="H37" i="38"/>
  <c r="H36" i="38"/>
  <c r="H35" i="38"/>
  <c r="H34" i="38"/>
  <c r="H33" i="38"/>
  <c r="H32" i="38"/>
  <c r="H31" i="38"/>
  <c r="G30" i="38"/>
  <c r="H30" i="38" s="1"/>
  <c r="H27" i="38"/>
  <c r="H28" i="38"/>
  <c r="H29" i="38"/>
  <c r="H26" i="38"/>
  <c r="H25" i="38"/>
  <c r="H24" i="38"/>
  <c r="H23" i="38"/>
  <c r="I23" i="38" s="1"/>
  <c r="G29" i="37"/>
  <c r="G11" i="37"/>
  <c r="G10" i="37"/>
  <c r="F9" i="37"/>
  <c r="D9" i="37"/>
  <c r="G7" i="37"/>
  <c r="F6" i="37"/>
  <c r="G6" i="37" s="1"/>
  <c r="D6" i="37"/>
  <c r="AF23" i="37"/>
  <c r="AC22" i="37"/>
  <c r="AF22" i="37" s="1"/>
  <c r="AC19" i="37"/>
  <c r="AF19" i="37" s="1"/>
  <c r="AC16" i="37"/>
  <c r="AC21" i="37"/>
  <c r="AF21" i="37" s="1"/>
  <c r="AC18" i="37"/>
  <c r="AC15" i="37"/>
  <c r="AF15" i="37" s="1"/>
  <c r="AC13" i="37"/>
  <c r="AF13" i="37" s="1"/>
  <c r="AC12" i="37"/>
  <c r="AC10" i="37"/>
  <c r="AC9" i="37"/>
  <c r="AF9" i="37" s="1"/>
  <c r="AC7" i="37"/>
  <c r="AF7" i="37" s="1"/>
  <c r="AC6" i="37"/>
  <c r="AF6" i="37" s="1"/>
  <c r="AF18" i="37"/>
  <c r="AF16" i="37"/>
  <c r="AF12" i="37"/>
  <c r="AF10" i="37"/>
  <c r="E17" i="37"/>
  <c r="P37" i="37"/>
  <c r="P36" i="37"/>
  <c r="P35" i="37"/>
  <c r="P34" i="37"/>
  <c r="P38" i="37" s="1"/>
  <c r="P32" i="37"/>
  <c r="P31" i="37"/>
  <c r="P30" i="37"/>
  <c r="P29" i="37"/>
  <c r="P28" i="37"/>
  <c r="P25" i="37"/>
  <c r="P24" i="37"/>
  <c r="P26" i="37" s="1"/>
  <c r="F17" i="37" s="1"/>
  <c r="X20" i="37"/>
  <c r="P20" i="37"/>
  <c r="X19" i="37"/>
  <c r="P19" i="37"/>
  <c r="P18" i="37"/>
  <c r="X17" i="37"/>
  <c r="X18" i="37" s="1"/>
  <c r="P17" i="37"/>
  <c r="P15" i="37"/>
  <c r="X14" i="37"/>
  <c r="P14" i="37"/>
  <c r="X13" i="37"/>
  <c r="X15" i="37" s="1"/>
  <c r="F23" i="37" s="1"/>
  <c r="P13" i="37"/>
  <c r="P16" i="37" s="1"/>
  <c r="W10" i="37"/>
  <c r="X10" i="37" s="1"/>
  <c r="X11" i="37" s="1"/>
  <c r="F24" i="37" s="1"/>
  <c r="P9" i="37"/>
  <c r="P8" i="37"/>
  <c r="P7" i="37"/>
  <c r="X6" i="37"/>
  <c r="P6" i="37"/>
  <c r="X5" i="37"/>
  <c r="P5" i="37"/>
  <c r="K19" i="36"/>
  <c r="K20" i="36"/>
  <c r="K21" i="36"/>
  <c r="K22" i="36"/>
  <c r="K23" i="36"/>
  <c r="K18" i="36"/>
  <c r="M19" i="36"/>
  <c r="N19" i="36" s="1"/>
  <c r="M18" i="36"/>
  <c r="L18" i="36"/>
  <c r="L19" i="36"/>
  <c r="L20" i="36"/>
  <c r="L21" i="36"/>
  <c r="L22" i="36"/>
  <c r="L23" i="36"/>
  <c r="J19" i="36"/>
  <c r="J20" i="36"/>
  <c r="J21" i="36"/>
  <c r="J22" i="36"/>
  <c r="J23" i="36"/>
  <c r="J18" i="36"/>
  <c r="H23" i="36"/>
  <c r="G23" i="36"/>
  <c r="F23" i="36"/>
  <c r="E23" i="36"/>
  <c r="D23" i="36"/>
  <c r="H22" i="36"/>
  <c r="G22" i="36"/>
  <c r="F22" i="36"/>
  <c r="E22" i="36"/>
  <c r="D22" i="36"/>
  <c r="H21" i="36"/>
  <c r="G21" i="36"/>
  <c r="F21" i="36"/>
  <c r="E21" i="36"/>
  <c r="D21" i="36"/>
  <c r="H20" i="36"/>
  <c r="G20" i="36"/>
  <c r="F20" i="36"/>
  <c r="E20" i="36"/>
  <c r="D20" i="36"/>
  <c r="H19" i="36"/>
  <c r="G19" i="36"/>
  <c r="F19" i="36"/>
  <c r="E19" i="36"/>
  <c r="D19" i="36"/>
  <c r="H18" i="36"/>
  <c r="G18" i="36"/>
  <c r="F18" i="36"/>
  <c r="E18" i="36"/>
  <c r="D18" i="36"/>
  <c r="F10" i="36"/>
  <c r="H6" i="36"/>
  <c r="H11" i="36"/>
  <c r="H10" i="36"/>
  <c r="H9" i="36"/>
  <c r="H8" i="36"/>
  <c r="H7" i="36"/>
  <c r="I155" i="35"/>
  <c r="J160" i="35" s="1"/>
  <c r="D155" i="35"/>
  <c r="E160" i="35" s="1"/>
  <c r="N134" i="35"/>
  <c r="N135" i="35" s="1"/>
  <c r="O142" i="35" s="1"/>
  <c r="O136" i="35"/>
  <c r="I134" i="35"/>
  <c r="J136" i="35"/>
  <c r="J139" i="35"/>
  <c r="D134" i="35"/>
  <c r="E136" i="35"/>
  <c r="E139" i="35"/>
  <c r="D113" i="35"/>
  <c r="E118" i="35" s="1"/>
  <c r="E115" i="35"/>
  <c r="I113" i="35"/>
  <c r="J118" i="35" s="1"/>
  <c r="J115" i="35"/>
  <c r="N113" i="35"/>
  <c r="O118" i="35" s="1"/>
  <c r="O115" i="35"/>
  <c r="N71" i="35"/>
  <c r="O76" i="35" s="1"/>
  <c r="O73" i="35"/>
  <c r="I71" i="35"/>
  <c r="J76" i="35"/>
  <c r="I72" i="35"/>
  <c r="J79" i="35" s="1"/>
  <c r="J80" i="35" s="1"/>
  <c r="E76" i="35"/>
  <c r="D72" i="35"/>
  <c r="E79" i="35" s="1"/>
  <c r="E80" i="35" s="1"/>
  <c r="O78" i="35" l="1"/>
  <c r="O139" i="35"/>
  <c r="O141" i="35" s="1"/>
  <c r="O145" i="35" s="1"/>
  <c r="U35" i="35" s="1"/>
  <c r="I38" i="38"/>
  <c r="G9" i="37"/>
  <c r="P21" i="37"/>
  <c r="P22" i="37" s="1"/>
  <c r="F16" i="37" s="1"/>
  <c r="X7" i="37"/>
  <c r="F21" i="37" s="1"/>
  <c r="G17" i="37"/>
  <c r="P33" i="37"/>
  <c r="P39" i="37" s="1"/>
  <c r="F18" i="37" s="1"/>
  <c r="G18" i="37" s="1"/>
  <c r="X21" i="37"/>
  <c r="X22" i="37" s="1"/>
  <c r="F22" i="37" s="1"/>
  <c r="P10" i="37"/>
  <c r="O11" i="37" s="1"/>
  <c r="P11" i="37" s="1"/>
  <c r="F15" i="37" s="1"/>
  <c r="G15" i="37" s="1"/>
  <c r="G16" i="37"/>
  <c r="M21" i="36"/>
  <c r="N21" i="36" s="1"/>
  <c r="N18" i="36"/>
  <c r="M22" i="36"/>
  <c r="N22" i="36" s="1"/>
  <c r="M23" i="36"/>
  <c r="N23" i="36" s="1"/>
  <c r="M20" i="36"/>
  <c r="N20" i="36" s="1"/>
  <c r="H12" i="36"/>
  <c r="O147" i="35"/>
  <c r="V35" i="35" s="1"/>
  <c r="J162" i="35"/>
  <c r="I156" i="35"/>
  <c r="J163" i="35" s="1"/>
  <c r="D156" i="35"/>
  <c r="E163" i="35" s="1"/>
  <c r="E162" i="35"/>
  <c r="E166" i="35" s="1"/>
  <c r="U54" i="35" s="1"/>
  <c r="O149" i="35"/>
  <c r="W35" i="35" s="1"/>
  <c r="J141" i="35"/>
  <c r="I135" i="35"/>
  <c r="J142" i="35" s="1"/>
  <c r="D135" i="35"/>
  <c r="E142" i="35" s="1"/>
  <c r="E141" i="35"/>
  <c r="D114" i="35"/>
  <c r="E121" i="35" s="1"/>
  <c r="E126" i="35" s="1"/>
  <c r="E120" i="35"/>
  <c r="I114" i="35"/>
  <c r="J121" i="35" s="1"/>
  <c r="J126" i="35" s="1"/>
  <c r="J120" i="35"/>
  <c r="N114" i="35"/>
  <c r="O121" i="35" s="1"/>
  <c r="O126" i="35" s="1"/>
  <c r="O120" i="35"/>
  <c r="O105" i="35" s="1"/>
  <c r="V29" i="35" s="1"/>
  <c r="N72" i="35"/>
  <c r="O79" i="35" s="1"/>
  <c r="O80" i="35" s="1"/>
  <c r="E107" i="35"/>
  <c r="E105" i="35" s="1"/>
  <c r="J84" i="35"/>
  <c r="J86" i="35"/>
  <c r="J78" i="35"/>
  <c r="J82" i="35" s="1"/>
  <c r="E84" i="35"/>
  <c r="E86" i="35"/>
  <c r="E78" i="35"/>
  <c r="E82" i="35" s="1"/>
  <c r="L18" i="35"/>
  <c r="L17" i="35"/>
  <c r="L16" i="35"/>
  <c r="L15" i="35"/>
  <c r="L14" i="35"/>
  <c r="L13" i="35"/>
  <c r="L12" i="35"/>
  <c r="L11" i="35"/>
  <c r="L10" i="35"/>
  <c r="L9" i="35"/>
  <c r="L8" i="35"/>
  <c r="L7" i="35"/>
  <c r="L6" i="35"/>
  <c r="K18" i="35"/>
  <c r="C17" i="38" s="1"/>
  <c r="K17" i="35"/>
  <c r="C16" i="38" s="1"/>
  <c r="K16" i="35"/>
  <c r="C15" i="38" s="1"/>
  <c r="K15" i="35"/>
  <c r="C14" i="38" s="1"/>
  <c r="K14" i="35"/>
  <c r="C13" i="38" s="1"/>
  <c r="K13" i="35"/>
  <c r="C12" i="38" s="1"/>
  <c r="K12" i="35"/>
  <c r="C11" i="38" s="1"/>
  <c r="K11" i="35"/>
  <c r="C10" i="38" s="1"/>
  <c r="K10" i="35"/>
  <c r="C9" i="38" s="1"/>
  <c r="K9" i="35"/>
  <c r="C8" i="38" s="1"/>
  <c r="K8" i="35"/>
  <c r="C7" i="38" s="1"/>
  <c r="W45" i="35" l="1"/>
  <c r="W26" i="35"/>
  <c r="W25" i="35"/>
  <c r="W36" i="35"/>
  <c r="V37" i="35"/>
  <c r="V47" i="35"/>
  <c r="W37" i="35"/>
  <c r="W47" i="35"/>
  <c r="V52" i="35"/>
  <c r="V39" i="35"/>
  <c r="V44" i="35"/>
  <c r="V43" i="35"/>
  <c r="U25" i="35"/>
  <c r="U36" i="35"/>
  <c r="U26" i="35"/>
  <c r="U45" i="35"/>
  <c r="V25" i="35"/>
  <c r="V26" i="35"/>
  <c r="V36" i="35"/>
  <c r="V45" i="35"/>
  <c r="N13" i="35"/>
  <c r="D12" i="38"/>
  <c r="F12" i="38" s="1"/>
  <c r="H12" i="38" s="1"/>
  <c r="N12" i="35"/>
  <c r="D11" i="38"/>
  <c r="F11" i="38" s="1"/>
  <c r="H11" i="38" s="1"/>
  <c r="N10" i="35"/>
  <c r="D9" i="38"/>
  <c r="F9" i="38" s="1"/>
  <c r="H9" i="38" s="1"/>
  <c r="N11" i="35"/>
  <c r="D10" i="38"/>
  <c r="F10" i="38" s="1"/>
  <c r="H10" i="38" s="1"/>
  <c r="N17" i="35"/>
  <c r="D16" i="38"/>
  <c r="F16" i="38" s="1"/>
  <c r="H16" i="38" s="1"/>
  <c r="N9" i="35"/>
  <c r="D8" i="38"/>
  <c r="F8" i="38" s="1"/>
  <c r="H8" i="38" s="1"/>
  <c r="N16" i="35"/>
  <c r="D15" i="38"/>
  <c r="F15" i="38" s="1"/>
  <c r="H15" i="38" s="1"/>
  <c r="N7" i="35"/>
  <c r="D6" i="38"/>
  <c r="F6" i="38" s="1"/>
  <c r="H6" i="38" s="1"/>
  <c r="N14" i="35"/>
  <c r="D13" i="38"/>
  <c r="F13" i="38" s="1"/>
  <c r="H13" i="38" s="1"/>
  <c r="N15" i="35"/>
  <c r="D14" i="38"/>
  <c r="F14" i="38" s="1"/>
  <c r="H14" i="38" s="1"/>
  <c r="N18" i="35"/>
  <c r="D17" i="38"/>
  <c r="F17" i="38" s="1"/>
  <c r="H17" i="38" s="1"/>
  <c r="N6" i="35"/>
  <c r="D5" i="38"/>
  <c r="F5" i="38" s="1"/>
  <c r="H5" i="38" s="1"/>
  <c r="N8" i="35"/>
  <c r="D7" i="38"/>
  <c r="F7" i="38" s="1"/>
  <c r="H7" i="38" s="1"/>
  <c r="G19" i="37"/>
  <c r="O152" i="35"/>
  <c r="X35" i="35" s="1"/>
  <c r="E145" i="35"/>
  <c r="O103" i="35"/>
  <c r="O124" i="35"/>
  <c r="E124" i="35"/>
  <c r="E103" i="35" s="1"/>
  <c r="J124" i="35"/>
  <c r="J170" i="35"/>
  <c r="W46" i="35" s="1"/>
  <c r="J166" i="35"/>
  <c r="U46" i="35" s="1"/>
  <c r="E170" i="35"/>
  <c r="J149" i="35"/>
  <c r="J147" i="35"/>
  <c r="J145" i="35"/>
  <c r="E149" i="35"/>
  <c r="E128" i="35"/>
  <c r="J128" i="35"/>
  <c r="O128" i="35"/>
  <c r="O107" i="35"/>
  <c r="O86" i="35"/>
  <c r="O84" i="35"/>
  <c r="O82" i="35"/>
  <c r="J107" i="35"/>
  <c r="J105" i="35"/>
  <c r="J103" i="35"/>
  <c r="U55" i="35" l="1"/>
  <c r="U43" i="35"/>
  <c r="U44" i="35"/>
  <c r="U28" i="35"/>
  <c r="U50" i="35"/>
  <c r="V28" i="35"/>
  <c r="V50" i="35"/>
  <c r="U31" i="35"/>
  <c r="U29" i="35"/>
  <c r="X25" i="35"/>
  <c r="W28" i="35"/>
  <c r="W50" i="35"/>
  <c r="U40" i="35"/>
  <c r="U32" i="35"/>
  <c r="U38" i="35"/>
  <c r="U27" i="35"/>
  <c r="U42" i="35"/>
  <c r="U30" i="35"/>
  <c r="U41" i="35"/>
  <c r="U48" i="35"/>
  <c r="U49" i="35"/>
  <c r="U51" i="35"/>
  <c r="V31" i="35"/>
  <c r="V40" i="35"/>
  <c r="V32" i="35"/>
  <c r="V38" i="35"/>
  <c r="V30" i="35"/>
  <c r="V27" i="35"/>
  <c r="V42" i="35"/>
  <c r="V48" i="35"/>
  <c r="V41" i="35"/>
  <c r="W48" i="35"/>
  <c r="W40" i="35"/>
  <c r="W30" i="35"/>
  <c r="W27" i="35"/>
  <c r="W42" i="35"/>
  <c r="W31" i="35"/>
  <c r="W29" i="35"/>
  <c r="W38" i="35"/>
  <c r="W41" i="35"/>
  <c r="W32" i="35"/>
  <c r="W39" i="35"/>
  <c r="W52" i="35"/>
  <c r="W43" i="35"/>
  <c r="W44" i="35"/>
  <c r="W49" i="35"/>
  <c r="W51" i="35"/>
  <c r="U34" i="35"/>
  <c r="U33" i="35"/>
  <c r="U53" i="35"/>
  <c r="V34" i="35"/>
  <c r="V53" i="35"/>
  <c r="V33" i="35"/>
  <c r="W34" i="35"/>
  <c r="W53" i="35"/>
  <c r="W33" i="35"/>
  <c r="E173" i="35"/>
  <c r="X54" i="35" s="1"/>
  <c r="W54" i="35"/>
  <c r="U52" i="35"/>
  <c r="U39" i="35"/>
  <c r="E110" i="35"/>
  <c r="U37" i="35"/>
  <c r="U47" i="35"/>
  <c r="O110" i="35"/>
  <c r="E131" i="35"/>
  <c r="E152" i="35"/>
  <c r="O131" i="35"/>
  <c r="X29" i="35" s="1"/>
  <c r="J131" i="35"/>
  <c r="J152" i="35"/>
  <c r="J110" i="35"/>
  <c r="J173" i="35"/>
  <c r="X46" i="35" s="1"/>
  <c r="W55" i="35" l="1"/>
  <c r="D23" i="37" s="1"/>
  <c r="G23" i="37" s="1"/>
  <c r="D21" i="37"/>
  <c r="G21" i="37" s="1"/>
  <c r="X28" i="35"/>
  <c r="X50" i="35"/>
  <c r="X34" i="35"/>
  <c r="X53" i="35"/>
  <c r="X33" i="35"/>
  <c r="X39" i="35"/>
  <c r="X52" i="35"/>
  <c r="J168" i="35" s="1"/>
  <c r="V46" i="35" s="1"/>
  <c r="X49" i="35"/>
  <c r="X51" i="35"/>
  <c r="X43" i="35"/>
  <c r="X44" i="35"/>
  <c r="E168" i="35" s="1"/>
  <c r="V54" i="35" s="1"/>
  <c r="X42" i="35"/>
  <c r="X31" i="35"/>
  <c r="X32" i="35"/>
  <c r="X41" i="35"/>
  <c r="X38" i="35"/>
  <c r="X47" i="35"/>
  <c r="X37" i="35"/>
  <c r="E147" i="35" s="1"/>
  <c r="K7" i="35"/>
  <c r="C6" i="38" s="1"/>
  <c r="K6" i="35"/>
  <c r="C5" i="38" s="1"/>
  <c r="X55" i="35" l="1"/>
  <c r="D24" i="37" s="1"/>
  <c r="G24" i="37" s="1"/>
  <c r="V49" i="35"/>
  <c r="V51" i="35"/>
  <c r="V55" i="35" s="1"/>
  <c r="D22" i="37" s="1"/>
  <c r="G22" i="37" s="1"/>
  <c r="G25" i="37" s="1"/>
  <c r="G26" i="37" s="1"/>
  <c r="U23" i="34"/>
  <c r="U31" i="34" s="1"/>
  <c r="D6" i="35"/>
  <c r="K5" i="35" s="1"/>
  <c r="C4" i="38" s="1"/>
  <c r="E9" i="35"/>
  <c r="G9" i="35" s="1"/>
  <c r="E8" i="35"/>
  <c r="G8" i="35" s="1"/>
  <c r="E7" i="35"/>
  <c r="G7" i="35" s="1"/>
  <c r="E6" i="35"/>
  <c r="G6" i="35" s="1"/>
  <c r="U32" i="34"/>
  <c r="C15" i="34"/>
  <c r="P46" i="34" s="1"/>
  <c r="O32" i="34"/>
  <c r="C14" i="34"/>
  <c r="I32" i="34"/>
  <c r="D23" i="34"/>
  <c r="U48" i="34"/>
  <c r="U49" i="34" s="1"/>
  <c r="U51" i="34" s="1"/>
  <c r="U43" i="34"/>
  <c r="U40" i="34"/>
  <c r="U41" i="34" s="1"/>
  <c r="W36" i="34"/>
  <c r="W38" i="34" s="1"/>
  <c r="U44" i="34" s="1"/>
  <c r="U29" i="34"/>
  <c r="O48" i="34"/>
  <c r="O49" i="34" s="1"/>
  <c r="O51" i="34" s="1"/>
  <c r="O43" i="34"/>
  <c r="O40" i="34"/>
  <c r="O41" i="34" s="1"/>
  <c r="Q36" i="34"/>
  <c r="Q38" i="34" s="1"/>
  <c r="O44" i="34" s="1"/>
  <c r="O29" i="34"/>
  <c r="O23" i="34"/>
  <c r="O31" i="34" s="1"/>
  <c r="I48" i="34"/>
  <c r="I49" i="34" s="1"/>
  <c r="I51" i="34" s="1"/>
  <c r="I43" i="34"/>
  <c r="I40" i="34"/>
  <c r="I41" i="34" s="1"/>
  <c r="K36" i="34"/>
  <c r="K38" i="34" s="1"/>
  <c r="I44" i="34" s="1"/>
  <c r="I29" i="34"/>
  <c r="I23" i="34"/>
  <c r="I31" i="34" s="1"/>
  <c r="D54" i="34"/>
  <c r="D32" i="34"/>
  <c r="D48" i="34"/>
  <c r="D49" i="34" s="1"/>
  <c r="D51" i="34" s="1"/>
  <c r="D43" i="34"/>
  <c r="D40" i="34"/>
  <c r="D41" i="34" s="1"/>
  <c r="F36" i="34"/>
  <c r="F38" i="34" s="1"/>
  <c r="D4" i="39" l="1"/>
  <c r="G30" i="37"/>
  <c r="G31" i="37" s="1"/>
  <c r="G10" i="35"/>
  <c r="L5" i="35"/>
  <c r="J46" i="34"/>
  <c r="D44" i="34"/>
  <c r="U33" i="34"/>
  <c r="U24" i="34"/>
  <c r="O33" i="34"/>
  <c r="O53" i="34" s="1"/>
  <c r="O24" i="34"/>
  <c r="I33" i="34"/>
  <c r="I53" i="34" s="1"/>
  <c r="I24" i="34"/>
  <c r="D29" i="34"/>
  <c r="N5" i="35" l="1"/>
  <c r="D4" i="38"/>
  <c r="F4" i="38" s="1"/>
  <c r="H4" i="38" s="1"/>
  <c r="H18" i="38" s="1"/>
  <c r="D6" i="39" s="1"/>
  <c r="D10" i="39" s="1"/>
  <c r="D31" i="34"/>
  <c r="D33" i="34" s="1"/>
  <c r="D53" i="34" s="1"/>
  <c r="D24" i="34"/>
  <c r="F15" i="34" l="1"/>
  <c r="F16" i="34"/>
  <c r="F14" i="34"/>
  <c r="F6" i="34"/>
  <c r="Q56" i="29" l="1"/>
  <c r="AD48" i="14" l="1"/>
  <c r="Q18" i="32" l="1"/>
  <c r="Q23" i="31" l="1"/>
  <c r="Q21" i="31"/>
  <c r="Q24" i="31" s="1"/>
  <c r="Q22" i="31"/>
  <c r="Q9" i="31"/>
  <c r="Q297" i="30" l="1"/>
  <c r="Q296" i="30"/>
  <c r="Q295" i="30"/>
  <c r="Q294" i="30"/>
  <c r="Q288" i="30"/>
  <c r="Q285" i="30"/>
  <c r="Q284" i="30"/>
  <c r="Q282" i="30"/>
  <c r="Q280" i="30"/>
  <c r="Q279" i="30"/>
  <c r="Q274" i="30"/>
  <c r="Q273" i="30"/>
  <c r="Q271" i="30"/>
  <c r="Q267" i="30"/>
  <c r="Q265" i="30"/>
  <c r="Q241" i="30"/>
  <c r="Q240" i="30"/>
  <c r="Q239" i="30"/>
  <c r="Q237" i="30"/>
  <c r="Q236" i="30"/>
  <c r="Q234" i="30" l="1"/>
  <c r="Q179" i="30"/>
  <c r="Q178" i="30"/>
  <c r="Q177" i="30"/>
  <c r="Q166" i="30"/>
  <c r="Q149" i="30"/>
  <c r="Q181" i="30" s="1"/>
  <c r="Q131" i="30"/>
  <c r="Q102" i="30"/>
  <c r="Q263" i="30" l="1"/>
  <c r="Q264" i="30" s="1"/>
  <c r="Q262" i="30"/>
  <c r="Q258" i="30"/>
  <c r="Q259" i="30" s="1"/>
  <c r="Q251" i="30"/>
  <c r="Q252" i="30" s="1"/>
  <c r="Q253" i="30" s="1"/>
  <c r="Q172" i="28"/>
  <c r="Q162" i="28"/>
  <c r="Q161" i="28"/>
  <c r="Q163" i="28" s="1"/>
  <c r="Q157" i="28"/>
  <c r="Q152" i="28"/>
  <c r="Q153" i="28" s="1"/>
  <c r="Q156" i="28" s="1"/>
  <c r="Q158" i="28" s="1"/>
  <c r="Q144" i="28"/>
  <c r="Q119" i="28"/>
  <c r="Q101" i="28"/>
  <c r="Q98" i="28"/>
  <c r="Q96" i="28"/>
  <c r="Q151" i="29" l="1"/>
  <c r="Q140" i="29"/>
  <c r="Q139" i="29"/>
  <c r="Q138" i="29"/>
  <c r="Q136" i="29"/>
  <c r="Q135" i="29"/>
  <c r="Q133" i="29"/>
  <c r="Q132" i="29"/>
  <c r="Q131" i="29"/>
  <c r="Q130" i="29"/>
  <c r="Q121" i="29"/>
  <c r="Q113" i="29"/>
  <c r="Q112" i="29"/>
  <c r="Q98" i="29"/>
  <c r="Q97" i="29"/>
  <c r="Q106" i="29" s="1"/>
  <c r="Q91" i="29"/>
  <c r="Q90" i="29"/>
  <c r="Q65" i="29"/>
  <c r="Q23" i="29"/>
  <c r="Q59" i="28"/>
  <c r="Q55" i="28"/>
  <c r="Q52" i="28"/>
  <c r="Q56" i="28" s="1"/>
  <c r="Q40" i="28"/>
  <c r="Q39" i="28"/>
  <c r="Q38" i="28"/>
  <c r="Q34" i="28"/>
  <c r="Q35" i="28"/>
  <c r="Q36" i="28"/>
  <c r="Q92" i="29" l="1"/>
  <c r="Q37" i="28"/>
  <c r="Q41" i="28" s="1"/>
  <c r="Q42" i="28" s="1"/>
  <c r="Q148" i="27"/>
  <c r="Q144" i="27"/>
  <c r="Q136" i="27"/>
  <c r="Q135" i="27"/>
  <c r="Q137" i="27" s="1"/>
  <c r="Q122" i="27"/>
  <c r="Q114" i="27"/>
  <c r="H33" i="10"/>
  <c r="Q81" i="27"/>
  <c r="Q60" i="27"/>
  <c r="Q60" i="28" l="1"/>
  <c r="Q61" i="28"/>
  <c r="Q45" i="28"/>
  <c r="Q43" i="28"/>
  <c r="Q44" i="28" s="1"/>
  <c r="Q50" i="27"/>
  <c r="Q42" i="27" l="1"/>
  <c r="Q41" i="27"/>
  <c r="Q29" i="27"/>
  <c r="Q30" i="27"/>
  <c r="Q32" i="27" s="1"/>
  <c r="O15" i="27"/>
  <c r="Q27" i="27"/>
  <c r="H43" i="10"/>
  <c r="H46" i="10"/>
  <c r="H45" i="10"/>
  <c r="H42" i="10"/>
  <c r="H28" i="14" l="1"/>
  <c r="H27" i="14"/>
  <c r="H26" i="14"/>
  <c r="H24" i="14"/>
  <c r="H22" i="14"/>
  <c r="H21" i="14"/>
  <c r="H20" i="14"/>
  <c r="H19" i="14"/>
  <c r="H16" i="14"/>
  <c r="H15" i="14"/>
  <c r="H14" i="14"/>
  <c r="H13" i="14"/>
  <c r="H12" i="14"/>
  <c r="H11" i="14"/>
  <c r="H10" i="14"/>
  <c r="H9" i="14"/>
  <c r="G28" i="14"/>
  <c r="G27" i="14"/>
  <c r="G26" i="14"/>
  <c r="G24" i="14"/>
  <c r="G22" i="14"/>
  <c r="G21" i="14"/>
  <c r="G20" i="14"/>
  <c r="G19" i="14"/>
  <c r="G16" i="14"/>
  <c r="G15" i="14"/>
  <c r="G14" i="14"/>
  <c r="G13" i="14"/>
  <c r="G12" i="14"/>
  <c r="G11" i="14"/>
  <c r="G10" i="14"/>
  <c r="G9" i="14"/>
  <c r="F29" i="14"/>
  <c r="F28" i="14"/>
  <c r="F27" i="14"/>
  <c r="F26" i="14"/>
  <c r="F24" i="14"/>
  <c r="F22" i="14"/>
  <c r="F21" i="14"/>
  <c r="F20" i="14"/>
  <c r="F19" i="14"/>
  <c r="F16" i="14"/>
  <c r="F15" i="14"/>
  <c r="F14" i="14"/>
  <c r="F13" i="14"/>
  <c r="F12" i="14"/>
  <c r="F11" i="14"/>
  <c r="F10" i="14"/>
  <c r="F9" i="14"/>
  <c r="E29" i="14"/>
  <c r="E28" i="14"/>
  <c r="E27" i="14"/>
  <c r="E26" i="14"/>
  <c r="E24" i="14"/>
  <c r="E22" i="14"/>
  <c r="E21" i="14"/>
  <c r="E20" i="14"/>
  <c r="E19" i="14"/>
  <c r="E16" i="14"/>
  <c r="E15" i="14"/>
  <c r="E14" i="14"/>
  <c r="E13" i="14"/>
  <c r="E12" i="14"/>
  <c r="E11" i="14"/>
  <c r="E10" i="14"/>
  <c r="E9" i="14"/>
  <c r="D54" i="13"/>
  <c r="C73" i="13"/>
  <c r="C72" i="13"/>
  <c r="C71" i="13"/>
  <c r="C70" i="13"/>
  <c r="C69" i="13"/>
  <c r="C68" i="13"/>
  <c r="C67" i="13"/>
  <c r="C66" i="13"/>
  <c r="C65" i="13"/>
  <c r="AA46" i="13"/>
  <c r="AA45" i="13"/>
  <c r="AA44" i="13"/>
  <c r="AA43" i="13"/>
  <c r="AA42" i="13"/>
  <c r="AA41" i="13"/>
  <c r="AA40" i="13"/>
  <c r="AA39" i="13"/>
  <c r="AA38" i="13"/>
  <c r="P46" i="13"/>
  <c r="P45" i="13"/>
  <c r="P44" i="13"/>
  <c r="P43" i="13"/>
  <c r="P42" i="13"/>
  <c r="P41" i="13"/>
  <c r="P40" i="13"/>
  <c r="P39" i="13"/>
  <c r="P38" i="13"/>
  <c r="D46" i="13"/>
  <c r="D45" i="13"/>
  <c r="D44" i="13"/>
  <c r="D43" i="13"/>
  <c r="D42" i="13"/>
  <c r="D41" i="13"/>
  <c r="D40" i="13"/>
  <c r="D39" i="13"/>
  <c r="D38" i="13"/>
  <c r="P32" i="13"/>
  <c r="P31" i="13"/>
  <c r="P30" i="13"/>
  <c r="P29" i="13"/>
  <c r="P28" i="13"/>
  <c r="P27" i="13"/>
  <c r="P26" i="13"/>
  <c r="P25" i="13"/>
  <c r="P24" i="13"/>
  <c r="J32" i="13"/>
  <c r="J31" i="13"/>
  <c r="J30" i="13"/>
  <c r="J29" i="13"/>
  <c r="J28" i="13"/>
  <c r="J27" i="13"/>
  <c r="J26" i="13"/>
  <c r="J25" i="13"/>
  <c r="J24" i="13"/>
  <c r="D32" i="13"/>
  <c r="D31" i="13"/>
  <c r="D30" i="13"/>
  <c r="D29" i="13"/>
  <c r="D28" i="13"/>
  <c r="D27" i="13"/>
  <c r="D26" i="13"/>
  <c r="D25" i="13"/>
  <c r="D24" i="13"/>
  <c r="C16" i="13"/>
  <c r="C15" i="13"/>
  <c r="C14" i="13"/>
  <c r="C13" i="13"/>
  <c r="C12" i="13"/>
  <c r="C11" i="13"/>
  <c r="C10" i="13"/>
  <c r="C9" i="13"/>
  <c r="C8" i="13"/>
  <c r="P38" i="26" l="1"/>
  <c r="P40" i="26" s="1"/>
  <c r="P28" i="26"/>
  <c r="P29" i="26" s="1"/>
  <c r="P34" i="26" s="1"/>
  <c r="K21" i="23" l="1"/>
  <c r="K20" i="23"/>
  <c r="N20" i="22" l="1"/>
  <c r="M20" i="22"/>
  <c r="L20" i="22"/>
  <c r="N19" i="22"/>
  <c r="M19" i="22"/>
  <c r="L19" i="22"/>
  <c r="N18" i="22"/>
  <c r="N17" i="22"/>
  <c r="N14" i="22"/>
  <c r="N15" i="22"/>
  <c r="N13" i="22"/>
  <c r="N7" i="22"/>
  <c r="N8" i="22"/>
  <c r="N9" i="22"/>
  <c r="N10" i="22"/>
  <c r="N11" i="22"/>
  <c r="N6" i="22"/>
  <c r="M18" i="22"/>
  <c r="M17" i="22"/>
  <c r="M14" i="22"/>
  <c r="M15" i="22"/>
  <c r="M13" i="22"/>
  <c r="M7" i="22"/>
  <c r="M8" i="22"/>
  <c r="M9" i="22"/>
  <c r="M10" i="22"/>
  <c r="M11" i="22"/>
  <c r="M6" i="22"/>
  <c r="L18" i="22"/>
  <c r="L17" i="22"/>
  <c r="L14" i="22"/>
  <c r="L15" i="22"/>
  <c r="L13" i="22"/>
  <c r="L7" i="22"/>
  <c r="L8" i="22"/>
  <c r="L9" i="22"/>
  <c r="L10" i="22"/>
  <c r="L11" i="22"/>
  <c r="L6" i="22"/>
  <c r="E21" i="23" l="1"/>
  <c r="G21" i="23" s="1"/>
  <c r="I21" i="23" s="1"/>
  <c r="M21" i="23" s="1"/>
  <c r="O21" i="23" s="1"/>
  <c r="Q21" i="23" s="1"/>
  <c r="E20" i="23"/>
  <c r="G20" i="23" s="1"/>
  <c r="I20" i="23" s="1"/>
  <c r="M20" i="23" s="1"/>
  <c r="O20" i="23" s="1"/>
  <c r="Q20" i="23" s="1"/>
  <c r="E14" i="23"/>
  <c r="G14" i="23" s="1"/>
  <c r="I14" i="23" s="1"/>
  <c r="K14" i="23" s="1"/>
  <c r="M14" i="23" s="1"/>
  <c r="O14" i="23" s="1"/>
  <c r="Q14" i="23" s="1"/>
  <c r="S14" i="23" s="1"/>
  <c r="E13" i="23"/>
  <c r="G13" i="23" s="1"/>
  <c r="I13" i="23" s="1"/>
  <c r="K13" i="23" s="1"/>
  <c r="M13" i="23" s="1"/>
  <c r="O13" i="23" s="1"/>
  <c r="Q13" i="23" s="1"/>
  <c r="S13" i="23" s="1"/>
  <c r="E7" i="23"/>
  <c r="G7" i="23" s="1"/>
  <c r="I7" i="23" s="1"/>
  <c r="K7" i="23" s="1"/>
  <c r="M7" i="23" s="1"/>
  <c r="O7" i="23" s="1"/>
  <c r="Q7" i="23" s="1"/>
  <c r="E6" i="23"/>
  <c r="G6" i="23" s="1"/>
  <c r="I6" i="23" s="1"/>
  <c r="K6" i="23" s="1"/>
  <c r="M6" i="23" s="1"/>
  <c r="O6" i="23" s="1"/>
  <c r="Q6" i="23" s="1"/>
  <c r="H19" i="22"/>
  <c r="B25" i="16" l="1"/>
  <c r="B24" i="16"/>
  <c r="B23" i="16"/>
  <c r="B22" i="16"/>
  <c r="B21" i="16"/>
  <c r="B20" i="16"/>
  <c r="B19" i="16"/>
  <c r="B18" i="16"/>
  <c r="B17" i="16"/>
  <c r="B16" i="16"/>
  <c r="B15" i="16"/>
  <c r="B14" i="16"/>
  <c r="B13" i="16"/>
  <c r="B12" i="16"/>
  <c r="B11" i="16"/>
  <c r="B10" i="16"/>
  <c r="B9" i="16"/>
  <c r="B8" i="16"/>
  <c r="B7" i="16"/>
  <c r="B6" i="16"/>
  <c r="B5" i="16"/>
  <c r="N205" i="15"/>
  <c r="G284" i="15"/>
  <c r="F284" i="15"/>
  <c r="C284" i="15"/>
  <c r="E284" i="15" s="1"/>
  <c r="H284" i="15" s="1"/>
  <c r="I284" i="15" s="1"/>
  <c r="L25" i="16" s="1"/>
  <c r="B284" i="15"/>
  <c r="G283" i="15"/>
  <c r="F283" i="15"/>
  <c r="C283" i="15"/>
  <c r="E283" i="15" s="1"/>
  <c r="H283" i="15" s="1"/>
  <c r="I283" i="15" s="1"/>
  <c r="L24" i="16" s="1"/>
  <c r="B283" i="15"/>
  <c r="G282" i="15"/>
  <c r="F282" i="15"/>
  <c r="C282" i="15"/>
  <c r="E282" i="15" s="1"/>
  <c r="B282" i="15"/>
  <c r="G281" i="15"/>
  <c r="F281" i="15"/>
  <c r="C281" i="15"/>
  <c r="E281" i="15" s="1"/>
  <c r="H281" i="15" s="1"/>
  <c r="I281" i="15" s="1"/>
  <c r="L22" i="16" s="1"/>
  <c r="B281" i="15"/>
  <c r="G280" i="15"/>
  <c r="F280" i="15"/>
  <c r="C280" i="15"/>
  <c r="E280" i="15" s="1"/>
  <c r="H280" i="15" s="1"/>
  <c r="B280" i="15"/>
  <c r="G279" i="15"/>
  <c r="F279" i="15"/>
  <c r="C279" i="15"/>
  <c r="E279" i="15" s="1"/>
  <c r="H279" i="15" s="1"/>
  <c r="I279" i="15" s="1"/>
  <c r="L20" i="16" s="1"/>
  <c r="B279" i="15"/>
  <c r="G278" i="15"/>
  <c r="F278" i="15"/>
  <c r="C278" i="15"/>
  <c r="E278" i="15" s="1"/>
  <c r="B278" i="15"/>
  <c r="G277" i="15"/>
  <c r="F277" i="15"/>
  <c r="C277" i="15"/>
  <c r="E277" i="15" s="1"/>
  <c r="H277" i="15" s="1"/>
  <c r="I277" i="15" s="1"/>
  <c r="L18" i="16" s="1"/>
  <c r="B277" i="15"/>
  <c r="G276" i="15"/>
  <c r="F276" i="15"/>
  <c r="C276" i="15"/>
  <c r="E276" i="15" s="1"/>
  <c r="B276" i="15"/>
  <c r="G275" i="15"/>
  <c r="F275" i="15"/>
  <c r="C275" i="15"/>
  <c r="E275" i="15" s="1"/>
  <c r="H275" i="15" s="1"/>
  <c r="B275" i="15"/>
  <c r="G274" i="15"/>
  <c r="F274" i="15"/>
  <c r="C274" i="15"/>
  <c r="E274" i="15" s="1"/>
  <c r="H274" i="15" s="1"/>
  <c r="B274" i="15"/>
  <c r="G273" i="15"/>
  <c r="F273" i="15"/>
  <c r="C273" i="15"/>
  <c r="E273" i="15" s="1"/>
  <c r="H273" i="15" s="1"/>
  <c r="I273" i="15" s="1"/>
  <c r="L14" i="16" s="1"/>
  <c r="B273" i="15"/>
  <c r="G272" i="15"/>
  <c r="F272" i="15"/>
  <c r="C272" i="15"/>
  <c r="E272" i="15" s="1"/>
  <c r="H272" i="15" s="1"/>
  <c r="B272" i="15"/>
  <c r="G271" i="15"/>
  <c r="F271" i="15"/>
  <c r="C271" i="15"/>
  <c r="E271" i="15" s="1"/>
  <c r="H271" i="15" s="1"/>
  <c r="I271" i="15" s="1"/>
  <c r="L12" i="16" s="1"/>
  <c r="B271" i="15"/>
  <c r="G270" i="15"/>
  <c r="F270" i="15"/>
  <c r="C270" i="15"/>
  <c r="E270" i="15" s="1"/>
  <c r="B270" i="15"/>
  <c r="G269" i="15"/>
  <c r="F269" i="15"/>
  <c r="C269" i="15"/>
  <c r="E269" i="15" s="1"/>
  <c r="B269" i="15"/>
  <c r="G268" i="15"/>
  <c r="F268" i="15"/>
  <c r="C268" i="15"/>
  <c r="E268" i="15" s="1"/>
  <c r="B268" i="15"/>
  <c r="G267" i="15"/>
  <c r="F267" i="15"/>
  <c r="C267" i="15"/>
  <c r="E267" i="15" s="1"/>
  <c r="B267" i="15"/>
  <c r="G266" i="15"/>
  <c r="F266" i="15"/>
  <c r="C266" i="15"/>
  <c r="E266" i="15" s="1"/>
  <c r="H266" i="15" s="1"/>
  <c r="B266" i="15"/>
  <c r="G265" i="15"/>
  <c r="F265" i="15"/>
  <c r="C265" i="15"/>
  <c r="E265" i="15" s="1"/>
  <c r="H265" i="15" s="1"/>
  <c r="B265" i="15"/>
  <c r="G264" i="15"/>
  <c r="F264" i="15"/>
  <c r="D264" i="15"/>
  <c r="C264" i="15"/>
  <c r="B264" i="15"/>
  <c r="G259" i="15"/>
  <c r="F259" i="15"/>
  <c r="C259" i="15"/>
  <c r="E259" i="15" s="1"/>
  <c r="B259" i="15"/>
  <c r="G258" i="15"/>
  <c r="F258" i="15"/>
  <c r="C258" i="15"/>
  <c r="E258" i="15" s="1"/>
  <c r="B258" i="15"/>
  <c r="G257" i="15"/>
  <c r="F257" i="15"/>
  <c r="C257" i="15"/>
  <c r="E257" i="15" s="1"/>
  <c r="B257" i="15"/>
  <c r="G256" i="15"/>
  <c r="F256" i="15"/>
  <c r="C256" i="15"/>
  <c r="E256" i="15" s="1"/>
  <c r="B256" i="15"/>
  <c r="G255" i="15"/>
  <c r="F255" i="15"/>
  <c r="C255" i="15"/>
  <c r="E255" i="15" s="1"/>
  <c r="B255" i="15"/>
  <c r="G254" i="15"/>
  <c r="F254" i="15"/>
  <c r="C254" i="15"/>
  <c r="E254" i="15" s="1"/>
  <c r="B254" i="15"/>
  <c r="G253" i="15"/>
  <c r="F253" i="15"/>
  <c r="C253" i="15"/>
  <c r="E253" i="15" s="1"/>
  <c r="B253" i="15"/>
  <c r="G252" i="15"/>
  <c r="F252" i="15"/>
  <c r="C252" i="15"/>
  <c r="E252" i="15" s="1"/>
  <c r="B252" i="15"/>
  <c r="G251" i="15"/>
  <c r="F251" i="15"/>
  <c r="C251" i="15"/>
  <c r="E251" i="15" s="1"/>
  <c r="B251" i="15"/>
  <c r="G250" i="15"/>
  <c r="F250" i="15"/>
  <c r="C250" i="15"/>
  <c r="E250" i="15" s="1"/>
  <c r="B250" i="15"/>
  <c r="G249" i="15"/>
  <c r="F249" i="15"/>
  <c r="C249" i="15"/>
  <c r="E249" i="15" s="1"/>
  <c r="B249" i="15"/>
  <c r="G248" i="15"/>
  <c r="F248" i="15"/>
  <c r="C248" i="15"/>
  <c r="E248" i="15" s="1"/>
  <c r="B248" i="15"/>
  <c r="G247" i="15"/>
  <c r="F247" i="15"/>
  <c r="C247" i="15"/>
  <c r="E247" i="15" s="1"/>
  <c r="B247" i="15"/>
  <c r="G246" i="15"/>
  <c r="F246" i="15"/>
  <c r="C246" i="15"/>
  <c r="E246" i="15" s="1"/>
  <c r="B246" i="15"/>
  <c r="G245" i="15"/>
  <c r="F245" i="15"/>
  <c r="C245" i="15"/>
  <c r="E245" i="15" s="1"/>
  <c r="B245" i="15"/>
  <c r="G244" i="15"/>
  <c r="F244" i="15"/>
  <c r="C244" i="15"/>
  <c r="E244" i="15" s="1"/>
  <c r="B244" i="15"/>
  <c r="G243" i="15"/>
  <c r="F243" i="15"/>
  <c r="C243" i="15"/>
  <c r="E243" i="15" s="1"/>
  <c r="B243" i="15"/>
  <c r="G242" i="15"/>
  <c r="F242" i="15"/>
  <c r="C242" i="15"/>
  <c r="E242" i="15" s="1"/>
  <c r="B242" i="15"/>
  <c r="G241" i="15"/>
  <c r="F241" i="15"/>
  <c r="C241" i="15"/>
  <c r="E241" i="15" s="1"/>
  <c r="B241" i="15"/>
  <c r="G240" i="15"/>
  <c r="F240" i="15"/>
  <c r="C240" i="15"/>
  <c r="E240" i="15" s="1"/>
  <c r="B240" i="15"/>
  <c r="G239" i="15"/>
  <c r="F239" i="15"/>
  <c r="C239" i="15"/>
  <c r="E239" i="15" s="1"/>
  <c r="B239" i="15"/>
  <c r="C234" i="15"/>
  <c r="E234" i="15" s="1"/>
  <c r="H234" i="15" s="1"/>
  <c r="B234" i="15"/>
  <c r="C233" i="15"/>
  <c r="E233" i="15" s="1"/>
  <c r="H233" i="15" s="1"/>
  <c r="B233" i="15"/>
  <c r="C232" i="15"/>
  <c r="E232" i="15" s="1"/>
  <c r="H232" i="15" s="1"/>
  <c r="I232" i="15" s="1"/>
  <c r="J23" i="16" s="1"/>
  <c r="B232" i="15"/>
  <c r="C231" i="15"/>
  <c r="E231" i="15" s="1"/>
  <c r="H231" i="15" s="1"/>
  <c r="B231" i="15"/>
  <c r="C230" i="15"/>
  <c r="E230" i="15" s="1"/>
  <c r="H230" i="15" s="1"/>
  <c r="B230" i="15"/>
  <c r="C229" i="15"/>
  <c r="E229" i="15" s="1"/>
  <c r="H229" i="15" s="1"/>
  <c r="B229" i="15"/>
  <c r="C228" i="15"/>
  <c r="E228" i="15" s="1"/>
  <c r="H228" i="15" s="1"/>
  <c r="I228" i="15" s="1"/>
  <c r="J19" i="16" s="1"/>
  <c r="B228" i="15"/>
  <c r="C227" i="15"/>
  <c r="E227" i="15" s="1"/>
  <c r="H227" i="15" s="1"/>
  <c r="B227" i="15"/>
  <c r="C226" i="15"/>
  <c r="E226" i="15" s="1"/>
  <c r="H226" i="15" s="1"/>
  <c r="B226" i="15"/>
  <c r="C225" i="15"/>
  <c r="E225" i="15" s="1"/>
  <c r="H225" i="15" s="1"/>
  <c r="B225" i="15"/>
  <c r="C224" i="15"/>
  <c r="E224" i="15" s="1"/>
  <c r="H224" i="15" s="1"/>
  <c r="I224" i="15" s="1"/>
  <c r="J15" i="16" s="1"/>
  <c r="B224" i="15"/>
  <c r="C223" i="15"/>
  <c r="E223" i="15" s="1"/>
  <c r="H223" i="15" s="1"/>
  <c r="B223" i="15"/>
  <c r="C222" i="15"/>
  <c r="E222" i="15" s="1"/>
  <c r="H222" i="15" s="1"/>
  <c r="B222" i="15"/>
  <c r="C221" i="15"/>
  <c r="E221" i="15" s="1"/>
  <c r="H221" i="15" s="1"/>
  <c r="I221" i="15" s="1"/>
  <c r="J12" i="16" s="1"/>
  <c r="B221" i="15"/>
  <c r="C220" i="15"/>
  <c r="E220" i="15" s="1"/>
  <c r="H220" i="15" s="1"/>
  <c r="B220" i="15"/>
  <c r="C219" i="15"/>
  <c r="E219" i="15" s="1"/>
  <c r="H219" i="15" s="1"/>
  <c r="B219" i="15"/>
  <c r="C218" i="15"/>
  <c r="E218" i="15" s="1"/>
  <c r="H218" i="15" s="1"/>
  <c r="B218" i="15"/>
  <c r="C217" i="15"/>
  <c r="E217" i="15" s="1"/>
  <c r="H217" i="15" s="1"/>
  <c r="B217" i="15"/>
  <c r="C216" i="15"/>
  <c r="E216" i="15" s="1"/>
  <c r="H216" i="15" s="1"/>
  <c r="I216" i="15" s="1"/>
  <c r="J7" i="16" s="1"/>
  <c r="B216" i="15"/>
  <c r="C215" i="15"/>
  <c r="E215" i="15" s="1"/>
  <c r="H215" i="15" s="1"/>
  <c r="B215" i="15"/>
  <c r="C214" i="15"/>
  <c r="B214" i="15"/>
  <c r="Q209" i="15"/>
  <c r="P209" i="15"/>
  <c r="N209" i="15"/>
  <c r="L209" i="15"/>
  <c r="C209" i="15"/>
  <c r="E209" i="15" s="1"/>
  <c r="H209" i="15" s="1"/>
  <c r="I209" i="15" s="1"/>
  <c r="I25" i="16" s="1"/>
  <c r="B209" i="15"/>
  <c r="Q208" i="15"/>
  <c r="P208" i="15"/>
  <c r="N208" i="15"/>
  <c r="L208" i="15"/>
  <c r="C208" i="15"/>
  <c r="E208" i="15" s="1"/>
  <c r="H208" i="15" s="1"/>
  <c r="I208" i="15" s="1"/>
  <c r="I24" i="16" s="1"/>
  <c r="B208" i="15"/>
  <c r="Q207" i="15"/>
  <c r="P207" i="15"/>
  <c r="N207" i="15"/>
  <c r="L207" i="15"/>
  <c r="C207" i="15"/>
  <c r="E207" i="15" s="1"/>
  <c r="H207" i="15" s="1"/>
  <c r="I207" i="15" s="1"/>
  <c r="I23" i="16" s="1"/>
  <c r="B207" i="15"/>
  <c r="Q206" i="15"/>
  <c r="P206" i="15"/>
  <c r="N206" i="15"/>
  <c r="L206" i="15"/>
  <c r="C206" i="15"/>
  <c r="E206" i="15" s="1"/>
  <c r="H206" i="15" s="1"/>
  <c r="I206" i="15" s="1"/>
  <c r="I22" i="16" s="1"/>
  <c r="B206" i="15"/>
  <c r="Q205" i="15"/>
  <c r="P205" i="15"/>
  <c r="L205" i="15"/>
  <c r="C205" i="15"/>
  <c r="E205" i="15" s="1"/>
  <c r="H205" i="15" s="1"/>
  <c r="I205" i="15" s="1"/>
  <c r="I21" i="16" s="1"/>
  <c r="B205" i="15"/>
  <c r="Q204" i="15"/>
  <c r="P204" i="15"/>
  <c r="N204" i="15"/>
  <c r="L204" i="15"/>
  <c r="C204" i="15"/>
  <c r="E204" i="15" s="1"/>
  <c r="H204" i="15" s="1"/>
  <c r="I204" i="15" s="1"/>
  <c r="I20" i="16" s="1"/>
  <c r="B204" i="15"/>
  <c r="Q203" i="15"/>
  <c r="P203" i="15"/>
  <c r="N203" i="15"/>
  <c r="L203" i="15"/>
  <c r="C203" i="15"/>
  <c r="E203" i="15" s="1"/>
  <c r="H203" i="15" s="1"/>
  <c r="I203" i="15" s="1"/>
  <c r="I19" i="16" s="1"/>
  <c r="B203" i="15"/>
  <c r="Q202" i="15"/>
  <c r="P202" i="15"/>
  <c r="N202" i="15"/>
  <c r="L202" i="15"/>
  <c r="C202" i="15"/>
  <c r="E202" i="15" s="1"/>
  <c r="H202" i="15" s="1"/>
  <c r="I202" i="15" s="1"/>
  <c r="I18" i="16" s="1"/>
  <c r="B202" i="15"/>
  <c r="Q201" i="15"/>
  <c r="P201" i="15"/>
  <c r="L201" i="15"/>
  <c r="C201" i="15"/>
  <c r="E201" i="15" s="1"/>
  <c r="H201" i="15" s="1"/>
  <c r="I201" i="15" s="1"/>
  <c r="I17" i="16" s="1"/>
  <c r="B201" i="15"/>
  <c r="Q200" i="15"/>
  <c r="P200" i="15"/>
  <c r="L200" i="15"/>
  <c r="C200" i="15"/>
  <c r="E200" i="15" s="1"/>
  <c r="H200" i="15" s="1"/>
  <c r="I200" i="15" s="1"/>
  <c r="I16" i="16" s="1"/>
  <c r="B200" i="15"/>
  <c r="Q199" i="15"/>
  <c r="P199" i="15"/>
  <c r="L199" i="15"/>
  <c r="C199" i="15"/>
  <c r="E199" i="15" s="1"/>
  <c r="H199" i="15" s="1"/>
  <c r="I199" i="15" s="1"/>
  <c r="I15" i="16" s="1"/>
  <c r="B199" i="15"/>
  <c r="Q198" i="15"/>
  <c r="P198" i="15"/>
  <c r="N198" i="15"/>
  <c r="L198" i="15"/>
  <c r="C198" i="15"/>
  <c r="E198" i="15" s="1"/>
  <c r="H198" i="15" s="1"/>
  <c r="I198" i="15" s="1"/>
  <c r="I14" i="16" s="1"/>
  <c r="B198" i="15"/>
  <c r="Q197" i="15"/>
  <c r="P197" i="15"/>
  <c r="L197" i="15"/>
  <c r="C197" i="15"/>
  <c r="E197" i="15" s="1"/>
  <c r="H197" i="15" s="1"/>
  <c r="I197" i="15" s="1"/>
  <c r="I13" i="16" s="1"/>
  <c r="B197" i="15"/>
  <c r="Q196" i="15"/>
  <c r="P196" i="15"/>
  <c r="L196" i="15"/>
  <c r="C196" i="15"/>
  <c r="E196" i="15" s="1"/>
  <c r="H196" i="15" s="1"/>
  <c r="I196" i="15" s="1"/>
  <c r="I12" i="16" s="1"/>
  <c r="B196" i="15"/>
  <c r="Q195" i="15"/>
  <c r="P195" i="15"/>
  <c r="L195" i="15"/>
  <c r="C195" i="15"/>
  <c r="E195" i="15" s="1"/>
  <c r="H195" i="15" s="1"/>
  <c r="I195" i="15" s="1"/>
  <c r="I11" i="16" s="1"/>
  <c r="B195" i="15"/>
  <c r="Q194" i="15"/>
  <c r="P194" i="15"/>
  <c r="N194" i="15"/>
  <c r="L194" i="15"/>
  <c r="C194" i="15"/>
  <c r="E194" i="15" s="1"/>
  <c r="H194" i="15" s="1"/>
  <c r="I194" i="15" s="1"/>
  <c r="I10" i="16" s="1"/>
  <c r="B194" i="15"/>
  <c r="Q193" i="15"/>
  <c r="P193" i="15"/>
  <c r="L193" i="15"/>
  <c r="C193" i="15"/>
  <c r="E193" i="15" s="1"/>
  <c r="H193" i="15" s="1"/>
  <c r="I193" i="15" s="1"/>
  <c r="I9" i="16" s="1"/>
  <c r="B193" i="15"/>
  <c r="Q192" i="15"/>
  <c r="P192" i="15"/>
  <c r="L192" i="15"/>
  <c r="C192" i="15"/>
  <c r="E192" i="15" s="1"/>
  <c r="H192" i="15" s="1"/>
  <c r="I192" i="15" s="1"/>
  <c r="I8" i="16" s="1"/>
  <c r="B192" i="15"/>
  <c r="Q191" i="15"/>
  <c r="P191" i="15"/>
  <c r="L191" i="15"/>
  <c r="C191" i="15"/>
  <c r="E191" i="15" s="1"/>
  <c r="H191" i="15" s="1"/>
  <c r="I191" i="15" s="1"/>
  <c r="I7" i="16" s="1"/>
  <c r="B191" i="15"/>
  <c r="Q190" i="15"/>
  <c r="P190" i="15"/>
  <c r="N190" i="15"/>
  <c r="L190" i="15"/>
  <c r="C190" i="15"/>
  <c r="E190" i="15" s="1"/>
  <c r="H190" i="15" s="1"/>
  <c r="I190" i="15" s="1"/>
  <c r="I6" i="16" s="1"/>
  <c r="B190" i="15"/>
  <c r="Q189" i="15"/>
  <c r="P189" i="15"/>
  <c r="L189" i="15"/>
  <c r="C189" i="15"/>
  <c r="B189" i="15"/>
  <c r="Q184" i="15"/>
  <c r="P184" i="15"/>
  <c r="L184" i="15"/>
  <c r="C184" i="15"/>
  <c r="E184" i="15" s="1"/>
  <c r="H184" i="15" s="1"/>
  <c r="I184" i="15" s="1"/>
  <c r="H25" i="16" s="1"/>
  <c r="B184" i="15"/>
  <c r="Q183" i="15"/>
  <c r="P183" i="15"/>
  <c r="N183" i="15"/>
  <c r="L183" i="15"/>
  <c r="C183" i="15"/>
  <c r="E183" i="15" s="1"/>
  <c r="H183" i="15" s="1"/>
  <c r="I183" i="15" s="1"/>
  <c r="H24" i="16" s="1"/>
  <c r="B183" i="15"/>
  <c r="Q182" i="15"/>
  <c r="P182" i="15"/>
  <c r="L182" i="15"/>
  <c r="C182" i="15"/>
  <c r="E182" i="15" s="1"/>
  <c r="H182" i="15" s="1"/>
  <c r="I182" i="15" s="1"/>
  <c r="H23" i="16" s="1"/>
  <c r="B182" i="15"/>
  <c r="Q181" i="15"/>
  <c r="P181" i="15"/>
  <c r="N181" i="15"/>
  <c r="L181" i="15"/>
  <c r="C181" i="15"/>
  <c r="E181" i="15" s="1"/>
  <c r="H181" i="15" s="1"/>
  <c r="I181" i="15" s="1"/>
  <c r="H22" i="16" s="1"/>
  <c r="B181" i="15"/>
  <c r="Q180" i="15"/>
  <c r="P180" i="15"/>
  <c r="L180" i="15"/>
  <c r="C180" i="15"/>
  <c r="E180" i="15" s="1"/>
  <c r="H180" i="15" s="1"/>
  <c r="I180" i="15" s="1"/>
  <c r="H21" i="16" s="1"/>
  <c r="B180" i="15"/>
  <c r="Q179" i="15"/>
  <c r="P179" i="15"/>
  <c r="N179" i="15"/>
  <c r="L179" i="15"/>
  <c r="C179" i="15"/>
  <c r="E179" i="15" s="1"/>
  <c r="H179" i="15" s="1"/>
  <c r="I179" i="15" s="1"/>
  <c r="H20" i="16" s="1"/>
  <c r="B179" i="15"/>
  <c r="Q178" i="15"/>
  <c r="P178" i="15"/>
  <c r="L178" i="15"/>
  <c r="C178" i="15"/>
  <c r="E178" i="15" s="1"/>
  <c r="H178" i="15" s="1"/>
  <c r="I178" i="15" s="1"/>
  <c r="H19" i="16" s="1"/>
  <c r="B178" i="15"/>
  <c r="Q177" i="15"/>
  <c r="P177" i="15"/>
  <c r="L177" i="15"/>
  <c r="C177" i="15"/>
  <c r="E177" i="15" s="1"/>
  <c r="H177" i="15" s="1"/>
  <c r="I177" i="15" s="1"/>
  <c r="H18" i="16" s="1"/>
  <c r="B177" i="15"/>
  <c r="Q176" i="15"/>
  <c r="P176" i="15"/>
  <c r="N176" i="15"/>
  <c r="L176" i="15"/>
  <c r="C176" i="15"/>
  <c r="E176" i="15" s="1"/>
  <c r="H176" i="15" s="1"/>
  <c r="I176" i="15" s="1"/>
  <c r="H17" i="16" s="1"/>
  <c r="B176" i="15"/>
  <c r="Q175" i="15"/>
  <c r="P175" i="15"/>
  <c r="L175" i="15"/>
  <c r="C175" i="15"/>
  <c r="E175" i="15" s="1"/>
  <c r="H175" i="15" s="1"/>
  <c r="I175" i="15" s="1"/>
  <c r="H16" i="16" s="1"/>
  <c r="B175" i="15"/>
  <c r="Q174" i="15"/>
  <c r="P174" i="15"/>
  <c r="N174" i="15"/>
  <c r="L174" i="15"/>
  <c r="C174" i="15"/>
  <c r="E174" i="15" s="1"/>
  <c r="H174" i="15" s="1"/>
  <c r="I174" i="15" s="1"/>
  <c r="H15" i="16" s="1"/>
  <c r="B174" i="15"/>
  <c r="Q173" i="15"/>
  <c r="P173" i="15"/>
  <c r="L173" i="15"/>
  <c r="C173" i="15"/>
  <c r="E173" i="15" s="1"/>
  <c r="H173" i="15" s="1"/>
  <c r="I173" i="15" s="1"/>
  <c r="H14" i="16" s="1"/>
  <c r="B173" i="15"/>
  <c r="Q172" i="15"/>
  <c r="P172" i="15"/>
  <c r="L172" i="15"/>
  <c r="C172" i="15"/>
  <c r="E172" i="15" s="1"/>
  <c r="H172" i="15" s="1"/>
  <c r="I172" i="15" s="1"/>
  <c r="H13" i="16" s="1"/>
  <c r="B172" i="15"/>
  <c r="Q171" i="15"/>
  <c r="P171" i="15"/>
  <c r="L171" i="15"/>
  <c r="C171" i="15"/>
  <c r="E171" i="15" s="1"/>
  <c r="H171" i="15" s="1"/>
  <c r="I171" i="15" s="1"/>
  <c r="H12" i="16" s="1"/>
  <c r="B171" i="15"/>
  <c r="Q170" i="15"/>
  <c r="P170" i="15"/>
  <c r="N170" i="15"/>
  <c r="L170" i="15"/>
  <c r="C170" i="15"/>
  <c r="E170" i="15" s="1"/>
  <c r="H170" i="15" s="1"/>
  <c r="I170" i="15" s="1"/>
  <c r="H11" i="16" s="1"/>
  <c r="B170" i="15"/>
  <c r="Q169" i="15"/>
  <c r="P169" i="15"/>
  <c r="N169" i="15"/>
  <c r="L169" i="15"/>
  <c r="C169" i="15"/>
  <c r="E169" i="15" s="1"/>
  <c r="H169" i="15" s="1"/>
  <c r="I169" i="15" s="1"/>
  <c r="H10" i="16" s="1"/>
  <c r="B169" i="15"/>
  <c r="Q168" i="15"/>
  <c r="P168" i="15"/>
  <c r="L168" i="15"/>
  <c r="C168" i="15"/>
  <c r="E168" i="15" s="1"/>
  <c r="H168" i="15" s="1"/>
  <c r="I168" i="15" s="1"/>
  <c r="H9" i="16" s="1"/>
  <c r="B168" i="15"/>
  <c r="Q167" i="15"/>
  <c r="P167" i="15"/>
  <c r="N167" i="15"/>
  <c r="L167" i="15"/>
  <c r="C167" i="15"/>
  <c r="E167" i="15" s="1"/>
  <c r="H167" i="15" s="1"/>
  <c r="I167" i="15" s="1"/>
  <c r="H8" i="16" s="1"/>
  <c r="B167" i="15"/>
  <c r="Q166" i="15"/>
  <c r="P166" i="15"/>
  <c r="L166" i="15"/>
  <c r="C166" i="15"/>
  <c r="E166" i="15" s="1"/>
  <c r="H166" i="15" s="1"/>
  <c r="I166" i="15" s="1"/>
  <c r="H7" i="16" s="1"/>
  <c r="B166" i="15"/>
  <c r="Q165" i="15"/>
  <c r="P165" i="15"/>
  <c r="L165" i="15"/>
  <c r="C165" i="15"/>
  <c r="E165" i="15" s="1"/>
  <c r="H165" i="15" s="1"/>
  <c r="I165" i="15" s="1"/>
  <c r="H6" i="16" s="1"/>
  <c r="B165" i="15"/>
  <c r="Q164" i="15"/>
  <c r="P164" i="15"/>
  <c r="L164" i="15"/>
  <c r="C164" i="15"/>
  <c r="B164" i="15"/>
  <c r="Q159" i="15"/>
  <c r="P159" i="15"/>
  <c r="M159" i="15"/>
  <c r="O159" i="15" s="1"/>
  <c r="R159" i="15" s="1"/>
  <c r="S159" i="15" s="1"/>
  <c r="Q25" i="16" s="1"/>
  <c r="L159" i="15"/>
  <c r="C159" i="15"/>
  <c r="E159" i="15" s="1"/>
  <c r="H159" i="15" s="1"/>
  <c r="I159" i="15" s="1"/>
  <c r="G25" i="16" s="1"/>
  <c r="B159" i="15"/>
  <c r="Q158" i="15"/>
  <c r="P158" i="15"/>
  <c r="M158" i="15"/>
  <c r="O158" i="15" s="1"/>
  <c r="L158" i="15"/>
  <c r="C158" i="15"/>
  <c r="E158" i="15" s="1"/>
  <c r="H158" i="15" s="1"/>
  <c r="I158" i="15" s="1"/>
  <c r="G24" i="16" s="1"/>
  <c r="B158" i="15"/>
  <c r="Q157" i="15"/>
  <c r="P157" i="15"/>
  <c r="M157" i="15"/>
  <c r="O157" i="15" s="1"/>
  <c r="L157" i="15"/>
  <c r="C157" i="15"/>
  <c r="E157" i="15" s="1"/>
  <c r="H157" i="15" s="1"/>
  <c r="I157" i="15" s="1"/>
  <c r="G23" i="16" s="1"/>
  <c r="B157" i="15"/>
  <c r="Q156" i="15"/>
  <c r="P156" i="15"/>
  <c r="M156" i="15"/>
  <c r="O156" i="15" s="1"/>
  <c r="L156" i="15"/>
  <c r="C156" i="15"/>
  <c r="E156" i="15" s="1"/>
  <c r="H156" i="15" s="1"/>
  <c r="I156" i="15" s="1"/>
  <c r="G22" i="16" s="1"/>
  <c r="B156" i="15"/>
  <c r="Q155" i="15"/>
  <c r="P155" i="15"/>
  <c r="M155" i="15"/>
  <c r="O155" i="15" s="1"/>
  <c r="R155" i="15" s="1"/>
  <c r="L155" i="15"/>
  <c r="C155" i="15"/>
  <c r="E155" i="15" s="1"/>
  <c r="H155" i="15" s="1"/>
  <c r="I155" i="15" s="1"/>
  <c r="G21" i="16" s="1"/>
  <c r="B155" i="15"/>
  <c r="Q154" i="15"/>
  <c r="P154" i="15"/>
  <c r="M154" i="15"/>
  <c r="O154" i="15" s="1"/>
  <c r="L154" i="15"/>
  <c r="C154" i="15"/>
  <c r="E154" i="15" s="1"/>
  <c r="H154" i="15" s="1"/>
  <c r="I154" i="15" s="1"/>
  <c r="G20" i="16" s="1"/>
  <c r="B154" i="15"/>
  <c r="Q153" i="15"/>
  <c r="P153" i="15"/>
  <c r="M153" i="15"/>
  <c r="O153" i="15" s="1"/>
  <c r="R153" i="15" s="1"/>
  <c r="L153" i="15"/>
  <c r="C153" i="15"/>
  <c r="E153" i="15" s="1"/>
  <c r="H153" i="15" s="1"/>
  <c r="I153" i="15" s="1"/>
  <c r="G19" i="16" s="1"/>
  <c r="B153" i="15"/>
  <c r="Q152" i="15"/>
  <c r="P152" i="15"/>
  <c r="M152" i="15"/>
  <c r="O152" i="15" s="1"/>
  <c r="L152" i="15"/>
  <c r="C152" i="15"/>
  <c r="E152" i="15" s="1"/>
  <c r="H152" i="15" s="1"/>
  <c r="I152" i="15" s="1"/>
  <c r="G18" i="16" s="1"/>
  <c r="B152" i="15"/>
  <c r="Q151" i="15"/>
  <c r="P151" i="15"/>
  <c r="M151" i="15"/>
  <c r="O151" i="15" s="1"/>
  <c r="L151" i="15"/>
  <c r="C151" i="15"/>
  <c r="E151" i="15" s="1"/>
  <c r="H151" i="15" s="1"/>
  <c r="I151" i="15" s="1"/>
  <c r="G17" i="16" s="1"/>
  <c r="B151" i="15"/>
  <c r="Q150" i="15"/>
  <c r="P150" i="15"/>
  <c r="M150" i="15"/>
  <c r="O150" i="15" s="1"/>
  <c r="L150" i="15"/>
  <c r="C150" i="15"/>
  <c r="E150" i="15" s="1"/>
  <c r="H150" i="15" s="1"/>
  <c r="I150" i="15" s="1"/>
  <c r="G16" i="16" s="1"/>
  <c r="B150" i="15"/>
  <c r="Q149" i="15"/>
  <c r="P149" i="15"/>
  <c r="M149" i="15"/>
  <c r="O149" i="15" s="1"/>
  <c r="L149" i="15"/>
  <c r="C149" i="15"/>
  <c r="E149" i="15" s="1"/>
  <c r="H149" i="15" s="1"/>
  <c r="I149" i="15" s="1"/>
  <c r="G15" i="16" s="1"/>
  <c r="B149" i="15"/>
  <c r="Q148" i="15"/>
  <c r="P148" i="15"/>
  <c r="M148" i="15"/>
  <c r="O148" i="15" s="1"/>
  <c r="L148" i="15"/>
  <c r="C148" i="15"/>
  <c r="E148" i="15" s="1"/>
  <c r="H148" i="15" s="1"/>
  <c r="I148" i="15" s="1"/>
  <c r="G14" i="16" s="1"/>
  <c r="B148" i="15"/>
  <c r="Q147" i="15"/>
  <c r="P147" i="15"/>
  <c r="M147" i="15"/>
  <c r="O147" i="15" s="1"/>
  <c r="L147" i="15"/>
  <c r="C147" i="15"/>
  <c r="E147" i="15" s="1"/>
  <c r="H147" i="15" s="1"/>
  <c r="I147" i="15" s="1"/>
  <c r="G13" i="16" s="1"/>
  <c r="B147" i="15"/>
  <c r="Q146" i="15"/>
  <c r="P146" i="15"/>
  <c r="M146" i="15"/>
  <c r="O146" i="15" s="1"/>
  <c r="R146" i="15" s="1"/>
  <c r="L146" i="15"/>
  <c r="C146" i="15"/>
  <c r="E146" i="15" s="1"/>
  <c r="H146" i="15" s="1"/>
  <c r="I146" i="15" s="1"/>
  <c r="G12" i="16" s="1"/>
  <c r="B146" i="15"/>
  <c r="Q145" i="15"/>
  <c r="P145" i="15"/>
  <c r="M145" i="15"/>
  <c r="O145" i="15" s="1"/>
  <c r="L145" i="15"/>
  <c r="C145" i="15"/>
  <c r="E145" i="15" s="1"/>
  <c r="H145" i="15" s="1"/>
  <c r="I145" i="15" s="1"/>
  <c r="G11" i="16" s="1"/>
  <c r="B145" i="15"/>
  <c r="Q144" i="15"/>
  <c r="P144" i="15"/>
  <c r="M144" i="15"/>
  <c r="O144" i="15" s="1"/>
  <c r="R144" i="15" s="1"/>
  <c r="L144" i="15"/>
  <c r="C144" i="15"/>
  <c r="E144" i="15" s="1"/>
  <c r="H144" i="15" s="1"/>
  <c r="I144" i="15" s="1"/>
  <c r="G10" i="16" s="1"/>
  <c r="B144" i="15"/>
  <c r="Q143" i="15"/>
  <c r="P143" i="15"/>
  <c r="M143" i="15"/>
  <c r="O143" i="15" s="1"/>
  <c r="L143" i="15"/>
  <c r="C143" i="15"/>
  <c r="E143" i="15" s="1"/>
  <c r="H143" i="15" s="1"/>
  <c r="I143" i="15" s="1"/>
  <c r="G9" i="16" s="1"/>
  <c r="B143" i="15"/>
  <c r="Q142" i="15"/>
  <c r="P142" i="15"/>
  <c r="M142" i="15"/>
  <c r="O142" i="15" s="1"/>
  <c r="R142" i="15" s="1"/>
  <c r="L142" i="15"/>
  <c r="C142" i="15"/>
  <c r="E142" i="15" s="1"/>
  <c r="H142" i="15" s="1"/>
  <c r="I142" i="15" s="1"/>
  <c r="G8" i="16" s="1"/>
  <c r="B142" i="15"/>
  <c r="Q141" i="15"/>
  <c r="P141" i="15"/>
  <c r="M141" i="15"/>
  <c r="O141" i="15" s="1"/>
  <c r="L141" i="15"/>
  <c r="C141" i="15"/>
  <c r="E141" i="15" s="1"/>
  <c r="H141" i="15" s="1"/>
  <c r="I141" i="15" s="1"/>
  <c r="G7" i="16" s="1"/>
  <c r="B141" i="15"/>
  <c r="Q140" i="15"/>
  <c r="P140" i="15"/>
  <c r="M140" i="15"/>
  <c r="O140" i="15" s="1"/>
  <c r="L140" i="15"/>
  <c r="C140" i="15"/>
  <c r="E140" i="15" s="1"/>
  <c r="H140" i="15" s="1"/>
  <c r="I140" i="15" s="1"/>
  <c r="G6" i="16" s="1"/>
  <c r="B140" i="15"/>
  <c r="Q139" i="15"/>
  <c r="P139" i="15"/>
  <c r="M139" i="15"/>
  <c r="O139" i="15" s="1"/>
  <c r="L139" i="15"/>
  <c r="C139" i="15"/>
  <c r="B139" i="15"/>
  <c r="Q134" i="15"/>
  <c r="P134" i="15"/>
  <c r="M134" i="15"/>
  <c r="O134" i="15" s="1"/>
  <c r="L134" i="15"/>
  <c r="C134" i="15"/>
  <c r="E134" i="15" s="1"/>
  <c r="H134" i="15" s="1"/>
  <c r="I134" i="15" s="1"/>
  <c r="F25" i="16" s="1"/>
  <c r="B134" i="15"/>
  <c r="Q133" i="15"/>
  <c r="P133" i="15"/>
  <c r="M133" i="15"/>
  <c r="O133" i="15" s="1"/>
  <c r="R133" i="15" s="1"/>
  <c r="L133" i="15"/>
  <c r="C133" i="15"/>
  <c r="E133" i="15" s="1"/>
  <c r="H133" i="15" s="1"/>
  <c r="I133" i="15" s="1"/>
  <c r="F24" i="16" s="1"/>
  <c r="B133" i="15"/>
  <c r="Q132" i="15"/>
  <c r="P132" i="15"/>
  <c r="M132" i="15"/>
  <c r="O132" i="15" s="1"/>
  <c r="L132" i="15"/>
  <c r="C132" i="15"/>
  <c r="E132" i="15" s="1"/>
  <c r="H132" i="15" s="1"/>
  <c r="I132" i="15" s="1"/>
  <c r="F23" i="16" s="1"/>
  <c r="B132" i="15"/>
  <c r="Q131" i="15"/>
  <c r="P131" i="15"/>
  <c r="M131" i="15"/>
  <c r="O131" i="15" s="1"/>
  <c r="R131" i="15" s="1"/>
  <c r="L131" i="15"/>
  <c r="C131" i="15"/>
  <c r="E131" i="15" s="1"/>
  <c r="H131" i="15" s="1"/>
  <c r="I131" i="15" s="1"/>
  <c r="F22" i="16" s="1"/>
  <c r="B131" i="15"/>
  <c r="Q130" i="15"/>
  <c r="P130" i="15"/>
  <c r="M130" i="15"/>
  <c r="O130" i="15" s="1"/>
  <c r="L130" i="15"/>
  <c r="C130" i="15"/>
  <c r="E130" i="15" s="1"/>
  <c r="H130" i="15" s="1"/>
  <c r="I130" i="15" s="1"/>
  <c r="F21" i="16" s="1"/>
  <c r="B130" i="15"/>
  <c r="Q129" i="15"/>
  <c r="P129" i="15"/>
  <c r="M129" i="15"/>
  <c r="O129" i="15" s="1"/>
  <c r="L129" i="15"/>
  <c r="C129" i="15"/>
  <c r="E129" i="15" s="1"/>
  <c r="H129" i="15" s="1"/>
  <c r="I129" i="15" s="1"/>
  <c r="F20" i="16" s="1"/>
  <c r="B129" i="15"/>
  <c r="Q128" i="15"/>
  <c r="P128" i="15"/>
  <c r="M128" i="15"/>
  <c r="O128" i="15" s="1"/>
  <c r="L128" i="15"/>
  <c r="C128" i="15"/>
  <c r="E128" i="15" s="1"/>
  <c r="H128" i="15" s="1"/>
  <c r="I128" i="15" s="1"/>
  <c r="F19" i="16" s="1"/>
  <c r="B128" i="15"/>
  <c r="Q127" i="15"/>
  <c r="P127" i="15"/>
  <c r="M127" i="15"/>
  <c r="O127" i="15" s="1"/>
  <c r="L127" i="15"/>
  <c r="C127" i="15"/>
  <c r="E127" i="15" s="1"/>
  <c r="H127" i="15" s="1"/>
  <c r="I127" i="15" s="1"/>
  <c r="F18" i="16" s="1"/>
  <c r="B127" i="15"/>
  <c r="Q126" i="15"/>
  <c r="P126" i="15"/>
  <c r="M126" i="15"/>
  <c r="O126" i="15" s="1"/>
  <c r="L126" i="15"/>
  <c r="C126" i="15"/>
  <c r="E126" i="15" s="1"/>
  <c r="H126" i="15" s="1"/>
  <c r="I126" i="15" s="1"/>
  <c r="F17" i="16" s="1"/>
  <c r="B126" i="15"/>
  <c r="Q125" i="15"/>
  <c r="P125" i="15"/>
  <c r="M125" i="15"/>
  <c r="O125" i="15" s="1"/>
  <c r="R125" i="15" s="1"/>
  <c r="S125" i="15" s="1"/>
  <c r="P16" i="16" s="1"/>
  <c r="L125" i="15"/>
  <c r="C125" i="15"/>
  <c r="E125" i="15" s="1"/>
  <c r="H125" i="15" s="1"/>
  <c r="I125" i="15" s="1"/>
  <c r="F16" i="16" s="1"/>
  <c r="B125" i="15"/>
  <c r="Q124" i="15"/>
  <c r="P124" i="15"/>
  <c r="M124" i="15"/>
  <c r="O124" i="15" s="1"/>
  <c r="L124" i="15"/>
  <c r="C124" i="15"/>
  <c r="E124" i="15" s="1"/>
  <c r="H124" i="15" s="1"/>
  <c r="I124" i="15" s="1"/>
  <c r="F15" i="16" s="1"/>
  <c r="B124" i="15"/>
  <c r="Q123" i="15"/>
  <c r="P123" i="15"/>
  <c r="M123" i="15"/>
  <c r="O123" i="15" s="1"/>
  <c r="R123" i="15" s="1"/>
  <c r="L123" i="15"/>
  <c r="C123" i="15"/>
  <c r="E123" i="15" s="1"/>
  <c r="H123" i="15" s="1"/>
  <c r="I123" i="15" s="1"/>
  <c r="F14" i="16" s="1"/>
  <c r="B123" i="15"/>
  <c r="Q122" i="15"/>
  <c r="P122" i="15"/>
  <c r="M122" i="15"/>
  <c r="O122" i="15" s="1"/>
  <c r="L122" i="15"/>
  <c r="C122" i="15"/>
  <c r="E122" i="15" s="1"/>
  <c r="H122" i="15" s="1"/>
  <c r="I122" i="15" s="1"/>
  <c r="F13" i="16" s="1"/>
  <c r="B122" i="15"/>
  <c r="Q121" i="15"/>
  <c r="P121" i="15"/>
  <c r="M121" i="15"/>
  <c r="O121" i="15" s="1"/>
  <c r="L121" i="15"/>
  <c r="C121" i="15"/>
  <c r="E121" i="15" s="1"/>
  <c r="H121" i="15" s="1"/>
  <c r="I121" i="15" s="1"/>
  <c r="F12" i="16" s="1"/>
  <c r="B121" i="15"/>
  <c r="Q120" i="15"/>
  <c r="P120" i="15"/>
  <c r="M120" i="15"/>
  <c r="O120" i="15" s="1"/>
  <c r="L120" i="15"/>
  <c r="C120" i="15"/>
  <c r="E120" i="15" s="1"/>
  <c r="H120" i="15" s="1"/>
  <c r="I120" i="15" s="1"/>
  <c r="F11" i="16" s="1"/>
  <c r="B120" i="15"/>
  <c r="Q119" i="15"/>
  <c r="P119" i="15"/>
  <c r="M119" i="15"/>
  <c r="O119" i="15" s="1"/>
  <c r="L119" i="15"/>
  <c r="C119" i="15"/>
  <c r="E119" i="15" s="1"/>
  <c r="H119" i="15" s="1"/>
  <c r="I119" i="15" s="1"/>
  <c r="F10" i="16" s="1"/>
  <c r="B119" i="15"/>
  <c r="Q118" i="15"/>
  <c r="P118" i="15"/>
  <c r="M118" i="15"/>
  <c r="O118" i="15" s="1"/>
  <c r="L118" i="15"/>
  <c r="C118" i="15"/>
  <c r="E118" i="15" s="1"/>
  <c r="H118" i="15" s="1"/>
  <c r="I118" i="15" s="1"/>
  <c r="F9" i="16" s="1"/>
  <c r="B118" i="15"/>
  <c r="Q117" i="15"/>
  <c r="P117" i="15"/>
  <c r="M117" i="15"/>
  <c r="O117" i="15" s="1"/>
  <c r="R117" i="15" s="1"/>
  <c r="L117" i="15"/>
  <c r="C117" i="15"/>
  <c r="E117" i="15" s="1"/>
  <c r="H117" i="15" s="1"/>
  <c r="I117" i="15" s="1"/>
  <c r="F8" i="16" s="1"/>
  <c r="B117" i="15"/>
  <c r="Q116" i="15"/>
  <c r="P116" i="15"/>
  <c r="M116" i="15"/>
  <c r="O116" i="15" s="1"/>
  <c r="L116" i="15"/>
  <c r="C116" i="15"/>
  <c r="E116" i="15" s="1"/>
  <c r="H116" i="15" s="1"/>
  <c r="I116" i="15" s="1"/>
  <c r="F7" i="16" s="1"/>
  <c r="B116" i="15"/>
  <c r="Q115" i="15"/>
  <c r="P115" i="15"/>
  <c r="M115" i="15"/>
  <c r="O115" i="15" s="1"/>
  <c r="R115" i="15" s="1"/>
  <c r="L115" i="15"/>
  <c r="C115" i="15"/>
  <c r="E115" i="15" s="1"/>
  <c r="H115" i="15" s="1"/>
  <c r="I115" i="15" s="1"/>
  <c r="F6" i="16" s="1"/>
  <c r="B115" i="15"/>
  <c r="Q114" i="15"/>
  <c r="P114" i="15"/>
  <c r="M114" i="15"/>
  <c r="O114" i="15" s="1"/>
  <c r="L114" i="15"/>
  <c r="C114" i="15"/>
  <c r="E114" i="15" s="1"/>
  <c r="H114" i="15" s="1"/>
  <c r="I114" i="15" s="1"/>
  <c r="F5" i="16" s="1"/>
  <c r="B114" i="15"/>
  <c r="Q109" i="15"/>
  <c r="M109" i="15"/>
  <c r="O109" i="15" s="1"/>
  <c r="R109" i="15" s="1"/>
  <c r="S109" i="15" s="1"/>
  <c r="O25" i="16" s="1"/>
  <c r="L109" i="15"/>
  <c r="C109" i="15"/>
  <c r="E109" i="15" s="1"/>
  <c r="H109" i="15" s="1"/>
  <c r="I109" i="15" s="1"/>
  <c r="E25" i="16" s="1"/>
  <c r="B109" i="15"/>
  <c r="Q108" i="15"/>
  <c r="M108" i="15"/>
  <c r="O108" i="15" s="1"/>
  <c r="R108" i="15" s="1"/>
  <c r="S108" i="15" s="1"/>
  <c r="O24" i="16" s="1"/>
  <c r="L108" i="15"/>
  <c r="C108" i="15"/>
  <c r="E108" i="15" s="1"/>
  <c r="H108" i="15" s="1"/>
  <c r="I108" i="15" s="1"/>
  <c r="E24" i="16" s="1"/>
  <c r="B108" i="15"/>
  <c r="Q107" i="15"/>
  <c r="M107" i="15"/>
  <c r="O107" i="15" s="1"/>
  <c r="R107" i="15" s="1"/>
  <c r="S107" i="15" s="1"/>
  <c r="O23" i="16" s="1"/>
  <c r="L107" i="15"/>
  <c r="C107" i="15"/>
  <c r="E107" i="15" s="1"/>
  <c r="H107" i="15" s="1"/>
  <c r="I107" i="15" s="1"/>
  <c r="E23" i="16" s="1"/>
  <c r="B107" i="15"/>
  <c r="Q106" i="15"/>
  <c r="M106" i="15"/>
  <c r="O106" i="15" s="1"/>
  <c r="R106" i="15" s="1"/>
  <c r="S106" i="15" s="1"/>
  <c r="O22" i="16" s="1"/>
  <c r="L106" i="15"/>
  <c r="C106" i="15"/>
  <c r="E106" i="15" s="1"/>
  <c r="H106" i="15" s="1"/>
  <c r="I106" i="15" s="1"/>
  <c r="E22" i="16" s="1"/>
  <c r="B106" i="15"/>
  <c r="Q105" i="15"/>
  <c r="M105" i="15"/>
  <c r="O105" i="15" s="1"/>
  <c r="R105" i="15" s="1"/>
  <c r="S105" i="15" s="1"/>
  <c r="O21" i="16" s="1"/>
  <c r="L105" i="15"/>
  <c r="C105" i="15"/>
  <c r="E105" i="15" s="1"/>
  <c r="H105" i="15" s="1"/>
  <c r="I105" i="15" s="1"/>
  <c r="E21" i="16" s="1"/>
  <c r="B105" i="15"/>
  <c r="Q104" i="15"/>
  <c r="M104" i="15"/>
  <c r="O104" i="15" s="1"/>
  <c r="R104" i="15" s="1"/>
  <c r="S104" i="15" s="1"/>
  <c r="O20" i="16" s="1"/>
  <c r="L104" i="15"/>
  <c r="C104" i="15"/>
  <c r="E104" i="15" s="1"/>
  <c r="H104" i="15" s="1"/>
  <c r="I104" i="15" s="1"/>
  <c r="E20" i="16" s="1"/>
  <c r="B104" i="15"/>
  <c r="Q103" i="15"/>
  <c r="M103" i="15"/>
  <c r="O103" i="15" s="1"/>
  <c r="R103" i="15" s="1"/>
  <c r="S103" i="15" s="1"/>
  <c r="O19" i="16" s="1"/>
  <c r="L103" i="15"/>
  <c r="C103" i="15"/>
  <c r="E103" i="15" s="1"/>
  <c r="H103" i="15" s="1"/>
  <c r="I103" i="15" s="1"/>
  <c r="E19" i="16" s="1"/>
  <c r="B103" i="15"/>
  <c r="Q102" i="15"/>
  <c r="M102" i="15"/>
  <c r="O102" i="15" s="1"/>
  <c r="R102" i="15" s="1"/>
  <c r="S102" i="15" s="1"/>
  <c r="O18" i="16" s="1"/>
  <c r="L102" i="15"/>
  <c r="C102" i="15"/>
  <c r="E102" i="15" s="1"/>
  <c r="H102" i="15" s="1"/>
  <c r="I102" i="15" s="1"/>
  <c r="E18" i="16" s="1"/>
  <c r="B102" i="15"/>
  <c r="Q101" i="15"/>
  <c r="M101" i="15"/>
  <c r="O101" i="15" s="1"/>
  <c r="R101" i="15" s="1"/>
  <c r="S101" i="15" s="1"/>
  <c r="O17" i="16" s="1"/>
  <c r="L101" i="15"/>
  <c r="C101" i="15"/>
  <c r="E101" i="15" s="1"/>
  <c r="H101" i="15" s="1"/>
  <c r="I101" i="15" s="1"/>
  <c r="E17" i="16" s="1"/>
  <c r="B101" i="15"/>
  <c r="Q100" i="15"/>
  <c r="M100" i="15"/>
  <c r="O100" i="15" s="1"/>
  <c r="R100" i="15" s="1"/>
  <c r="S100" i="15" s="1"/>
  <c r="O16" i="16" s="1"/>
  <c r="L100" i="15"/>
  <c r="C100" i="15"/>
  <c r="E100" i="15" s="1"/>
  <c r="H100" i="15" s="1"/>
  <c r="I100" i="15" s="1"/>
  <c r="E16" i="16" s="1"/>
  <c r="B100" i="15"/>
  <c r="Q99" i="15"/>
  <c r="M99" i="15"/>
  <c r="O99" i="15" s="1"/>
  <c r="R99" i="15" s="1"/>
  <c r="S99" i="15" s="1"/>
  <c r="O15" i="16" s="1"/>
  <c r="L99" i="15"/>
  <c r="C99" i="15"/>
  <c r="E99" i="15" s="1"/>
  <c r="H99" i="15" s="1"/>
  <c r="I99" i="15" s="1"/>
  <c r="E15" i="16" s="1"/>
  <c r="B99" i="15"/>
  <c r="Q98" i="15"/>
  <c r="M98" i="15"/>
  <c r="O98" i="15" s="1"/>
  <c r="R98" i="15" s="1"/>
  <c r="S98" i="15" s="1"/>
  <c r="O14" i="16" s="1"/>
  <c r="L98" i="15"/>
  <c r="C98" i="15"/>
  <c r="E98" i="15" s="1"/>
  <c r="H98" i="15" s="1"/>
  <c r="I98" i="15" s="1"/>
  <c r="E14" i="16" s="1"/>
  <c r="B98" i="15"/>
  <c r="Q97" i="15"/>
  <c r="M97" i="15"/>
  <c r="O97" i="15" s="1"/>
  <c r="R97" i="15" s="1"/>
  <c r="S97" i="15" s="1"/>
  <c r="O13" i="16" s="1"/>
  <c r="L97" i="15"/>
  <c r="C97" i="15"/>
  <c r="E97" i="15" s="1"/>
  <c r="H97" i="15" s="1"/>
  <c r="I97" i="15" s="1"/>
  <c r="E13" i="16" s="1"/>
  <c r="B97" i="15"/>
  <c r="Q96" i="15"/>
  <c r="M96" i="15"/>
  <c r="O96" i="15" s="1"/>
  <c r="R96" i="15" s="1"/>
  <c r="S96" i="15" s="1"/>
  <c r="O12" i="16" s="1"/>
  <c r="L96" i="15"/>
  <c r="C96" i="15"/>
  <c r="E96" i="15" s="1"/>
  <c r="H96" i="15" s="1"/>
  <c r="I96" i="15" s="1"/>
  <c r="E12" i="16" s="1"/>
  <c r="B96" i="15"/>
  <c r="Q95" i="15"/>
  <c r="M95" i="15"/>
  <c r="O95" i="15" s="1"/>
  <c r="R95" i="15" s="1"/>
  <c r="S95" i="15" s="1"/>
  <c r="O11" i="16" s="1"/>
  <c r="L95" i="15"/>
  <c r="C95" i="15"/>
  <c r="E95" i="15" s="1"/>
  <c r="H95" i="15" s="1"/>
  <c r="I95" i="15" s="1"/>
  <c r="E11" i="16" s="1"/>
  <c r="B95" i="15"/>
  <c r="Q94" i="15"/>
  <c r="M94" i="15"/>
  <c r="O94" i="15" s="1"/>
  <c r="R94" i="15" s="1"/>
  <c r="S94" i="15" s="1"/>
  <c r="O10" i="16" s="1"/>
  <c r="L94" i="15"/>
  <c r="C94" i="15"/>
  <c r="E94" i="15" s="1"/>
  <c r="H94" i="15" s="1"/>
  <c r="I94" i="15" s="1"/>
  <c r="E10" i="16" s="1"/>
  <c r="B94" i="15"/>
  <c r="Q93" i="15"/>
  <c r="M93" i="15"/>
  <c r="O93" i="15" s="1"/>
  <c r="R93" i="15" s="1"/>
  <c r="S93" i="15" s="1"/>
  <c r="O9" i="16" s="1"/>
  <c r="L93" i="15"/>
  <c r="C93" i="15"/>
  <c r="E93" i="15" s="1"/>
  <c r="H93" i="15" s="1"/>
  <c r="I93" i="15" s="1"/>
  <c r="E9" i="16" s="1"/>
  <c r="B93" i="15"/>
  <c r="Q92" i="15"/>
  <c r="M92" i="15"/>
  <c r="O92" i="15" s="1"/>
  <c r="R92" i="15" s="1"/>
  <c r="S92" i="15" s="1"/>
  <c r="O8" i="16" s="1"/>
  <c r="L92" i="15"/>
  <c r="C92" i="15"/>
  <c r="E92" i="15" s="1"/>
  <c r="H92" i="15" s="1"/>
  <c r="I92" i="15" s="1"/>
  <c r="E8" i="16" s="1"/>
  <c r="B92" i="15"/>
  <c r="Q91" i="15"/>
  <c r="M91" i="15"/>
  <c r="O91" i="15" s="1"/>
  <c r="R91" i="15" s="1"/>
  <c r="S91" i="15" s="1"/>
  <c r="O7" i="16" s="1"/>
  <c r="L91" i="15"/>
  <c r="C91" i="15"/>
  <c r="E91" i="15" s="1"/>
  <c r="H91" i="15" s="1"/>
  <c r="I91" i="15" s="1"/>
  <c r="E7" i="16" s="1"/>
  <c r="B91" i="15"/>
  <c r="Q90" i="15"/>
  <c r="M90" i="15"/>
  <c r="O90" i="15" s="1"/>
  <c r="R90" i="15" s="1"/>
  <c r="S90" i="15" s="1"/>
  <c r="O6" i="16" s="1"/>
  <c r="L90" i="15"/>
  <c r="C90" i="15"/>
  <c r="E90" i="15" s="1"/>
  <c r="H90" i="15" s="1"/>
  <c r="I90" i="15" s="1"/>
  <c r="E6" i="16" s="1"/>
  <c r="B90" i="15"/>
  <c r="Q89" i="15"/>
  <c r="P89" i="15"/>
  <c r="N89" i="15"/>
  <c r="M89" i="15"/>
  <c r="L89" i="15"/>
  <c r="C89" i="15"/>
  <c r="E89" i="15" s="1"/>
  <c r="H89" i="15" s="1"/>
  <c r="I89" i="15" s="1"/>
  <c r="E5" i="16" s="1"/>
  <c r="B89" i="15"/>
  <c r="Q84" i="15"/>
  <c r="P84" i="15"/>
  <c r="M84" i="15"/>
  <c r="O84" i="15" s="1"/>
  <c r="L84" i="15"/>
  <c r="C84" i="15"/>
  <c r="E84" i="15" s="1"/>
  <c r="H84" i="15" s="1"/>
  <c r="I84" i="15" s="1"/>
  <c r="D25" i="16" s="1"/>
  <c r="B84" i="15"/>
  <c r="Q83" i="15"/>
  <c r="P83" i="15"/>
  <c r="M83" i="15"/>
  <c r="O83" i="15" s="1"/>
  <c r="R83" i="15" s="1"/>
  <c r="S83" i="15" s="1"/>
  <c r="N24" i="16" s="1"/>
  <c r="L83" i="15"/>
  <c r="C83" i="15"/>
  <c r="E83" i="15" s="1"/>
  <c r="H83" i="15" s="1"/>
  <c r="I83" i="15" s="1"/>
  <c r="D24" i="16" s="1"/>
  <c r="B83" i="15"/>
  <c r="Q82" i="15"/>
  <c r="P82" i="15"/>
  <c r="M82" i="15"/>
  <c r="O82" i="15" s="1"/>
  <c r="L82" i="15"/>
  <c r="C82" i="15"/>
  <c r="E82" i="15" s="1"/>
  <c r="H82" i="15" s="1"/>
  <c r="I82" i="15" s="1"/>
  <c r="D23" i="16" s="1"/>
  <c r="B82" i="15"/>
  <c r="Q81" i="15"/>
  <c r="P81" i="15"/>
  <c r="M81" i="15"/>
  <c r="O81" i="15" s="1"/>
  <c r="L81" i="15"/>
  <c r="C81" i="15"/>
  <c r="E81" i="15" s="1"/>
  <c r="H81" i="15" s="1"/>
  <c r="I81" i="15" s="1"/>
  <c r="D22" i="16" s="1"/>
  <c r="B81" i="15"/>
  <c r="Q80" i="15"/>
  <c r="P80" i="15"/>
  <c r="M80" i="15"/>
  <c r="O80" i="15" s="1"/>
  <c r="L80" i="15"/>
  <c r="C80" i="15"/>
  <c r="E80" i="15" s="1"/>
  <c r="H80" i="15" s="1"/>
  <c r="I80" i="15" s="1"/>
  <c r="D21" i="16" s="1"/>
  <c r="B80" i="15"/>
  <c r="Q79" i="15"/>
  <c r="P79" i="15"/>
  <c r="M79" i="15"/>
  <c r="O79" i="15" s="1"/>
  <c r="R79" i="15" s="1"/>
  <c r="S79" i="15" s="1"/>
  <c r="N20" i="16" s="1"/>
  <c r="L79" i="15"/>
  <c r="C79" i="15"/>
  <c r="E79" i="15" s="1"/>
  <c r="H79" i="15" s="1"/>
  <c r="I79" i="15" s="1"/>
  <c r="D20" i="16" s="1"/>
  <c r="B79" i="15"/>
  <c r="Q78" i="15"/>
  <c r="P78" i="15"/>
  <c r="M78" i="15"/>
  <c r="O78" i="15" s="1"/>
  <c r="L78" i="15"/>
  <c r="C78" i="15"/>
  <c r="E78" i="15" s="1"/>
  <c r="H78" i="15" s="1"/>
  <c r="I78" i="15" s="1"/>
  <c r="D19" i="16" s="1"/>
  <c r="B78" i="15"/>
  <c r="Q77" i="15"/>
  <c r="P77" i="15"/>
  <c r="M77" i="15"/>
  <c r="O77" i="15" s="1"/>
  <c r="L77" i="15"/>
  <c r="C77" i="15"/>
  <c r="E77" i="15" s="1"/>
  <c r="H77" i="15" s="1"/>
  <c r="I77" i="15" s="1"/>
  <c r="D18" i="16" s="1"/>
  <c r="B77" i="15"/>
  <c r="Q76" i="15"/>
  <c r="P76" i="15"/>
  <c r="M76" i="15"/>
  <c r="O76" i="15" s="1"/>
  <c r="L76" i="15"/>
  <c r="C76" i="15"/>
  <c r="E76" i="15" s="1"/>
  <c r="H76" i="15" s="1"/>
  <c r="I76" i="15" s="1"/>
  <c r="D17" i="16" s="1"/>
  <c r="B76" i="15"/>
  <c r="Q75" i="15"/>
  <c r="P75" i="15"/>
  <c r="M75" i="15"/>
  <c r="O75" i="15" s="1"/>
  <c r="L75" i="15"/>
  <c r="C75" i="15"/>
  <c r="E75" i="15" s="1"/>
  <c r="H75" i="15" s="1"/>
  <c r="I75" i="15" s="1"/>
  <c r="D16" i="16" s="1"/>
  <c r="B75" i="15"/>
  <c r="Q74" i="15"/>
  <c r="P74" i="15"/>
  <c r="M74" i="15"/>
  <c r="O74" i="15" s="1"/>
  <c r="R74" i="15" s="1"/>
  <c r="S74" i="15" s="1"/>
  <c r="N15" i="16" s="1"/>
  <c r="L74" i="15"/>
  <c r="C74" i="15"/>
  <c r="E74" i="15" s="1"/>
  <c r="H74" i="15" s="1"/>
  <c r="I74" i="15" s="1"/>
  <c r="D15" i="16" s="1"/>
  <c r="B74" i="15"/>
  <c r="Q73" i="15"/>
  <c r="P73" i="15"/>
  <c r="M73" i="15"/>
  <c r="O73" i="15" s="1"/>
  <c r="L73" i="15"/>
  <c r="C73" i="15"/>
  <c r="E73" i="15" s="1"/>
  <c r="H73" i="15" s="1"/>
  <c r="I73" i="15" s="1"/>
  <c r="D14" i="16" s="1"/>
  <c r="B73" i="15"/>
  <c r="Q72" i="15"/>
  <c r="P72" i="15"/>
  <c r="M72" i="15"/>
  <c r="O72" i="15" s="1"/>
  <c r="L72" i="15"/>
  <c r="C72" i="15"/>
  <c r="E72" i="15" s="1"/>
  <c r="H72" i="15" s="1"/>
  <c r="I72" i="15" s="1"/>
  <c r="D13" i="16" s="1"/>
  <c r="B72" i="15"/>
  <c r="Q71" i="15"/>
  <c r="P71" i="15"/>
  <c r="M71" i="15"/>
  <c r="O71" i="15" s="1"/>
  <c r="L71" i="15"/>
  <c r="C71" i="15"/>
  <c r="E71" i="15" s="1"/>
  <c r="H71" i="15" s="1"/>
  <c r="I71" i="15" s="1"/>
  <c r="D12" i="16" s="1"/>
  <c r="B71" i="15"/>
  <c r="Q70" i="15"/>
  <c r="P70" i="15"/>
  <c r="M70" i="15"/>
  <c r="O70" i="15" s="1"/>
  <c r="R70" i="15" s="1"/>
  <c r="S70" i="15" s="1"/>
  <c r="N11" i="16" s="1"/>
  <c r="L70" i="15"/>
  <c r="C70" i="15"/>
  <c r="E70" i="15" s="1"/>
  <c r="H70" i="15" s="1"/>
  <c r="I70" i="15" s="1"/>
  <c r="D11" i="16" s="1"/>
  <c r="B70" i="15"/>
  <c r="Q69" i="15"/>
  <c r="P69" i="15"/>
  <c r="M69" i="15"/>
  <c r="O69" i="15" s="1"/>
  <c r="L69" i="15"/>
  <c r="C69" i="15"/>
  <c r="E69" i="15" s="1"/>
  <c r="H69" i="15" s="1"/>
  <c r="I69" i="15" s="1"/>
  <c r="D10" i="16" s="1"/>
  <c r="B69" i="15"/>
  <c r="Q68" i="15"/>
  <c r="P68" i="15"/>
  <c r="M68" i="15"/>
  <c r="O68" i="15" s="1"/>
  <c r="L68" i="15"/>
  <c r="C68" i="15"/>
  <c r="E68" i="15" s="1"/>
  <c r="H68" i="15" s="1"/>
  <c r="I68" i="15" s="1"/>
  <c r="D9" i="16" s="1"/>
  <c r="B68" i="15"/>
  <c r="Q67" i="15"/>
  <c r="P67" i="15"/>
  <c r="M67" i="15"/>
  <c r="O67" i="15" s="1"/>
  <c r="L67" i="15"/>
  <c r="C67" i="15"/>
  <c r="E67" i="15" s="1"/>
  <c r="H67" i="15" s="1"/>
  <c r="I67" i="15" s="1"/>
  <c r="D8" i="16" s="1"/>
  <c r="B67" i="15"/>
  <c r="Q66" i="15"/>
  <c r="P66" i="15"/>
  <c r="M66" i="15"/>
  <c r="O66" i="15" s="1"/>
  <c r="L66" i="15"/>
  <c r="C66" i="15"/>
  <c r="E66" i="15" s="1"/>
  <c r="H66" i="15" s="1"/>
  <c r="I66" i="15" s="1"/>
  <c r="D7" i="16" s="1"/>
  <c r="B66" i="15"/>
  <c r="Q65" i="15"/>
  <c r="P65" i="15"/>
  <c r="M65" i="15"/>
  <c r="O65" i="15" s="1"/>
  <c r="L65" i="15"/>
  <c r="C65" i="15"/>
  <c r="E65" i="15" s="1"/>
  <c r="H65" i="15" s="1"/>
  <c r="I65" i="15" s="1"/>
  <c r="D6" i="16" s="1"/>
  <c r="B65" i="15"/>
  <c r="Q64" i="15"/>
  <c r="P64" i="15"/>
  <c r="N64" i="15"/>
  <c r="M64" i="15"/>
  <c r="L64" i="15"/>
  <c r="C64" i="15"/>
  <c r="E64" i="15" s="1"/>
  <c r="H64" i="15" s="1"/>
  <c r="I64" i="15" s="1"/>
  <c r="D5" i="16" s="1"/>
  <c r="B64" i="15"/>
  <c r="Q59" i="15"/>
  <c r="P59" i="15"/>
  <c r="M59" i="15"/>
  <c r="O59" i="15" s="1"/>
  <c r="L59" i="15"/>
  <c r="C59" i="15"/>
  <c r="E59" i="15" s="1"/>
  <c r="H59" i="15" s="1"/>
  <c r="I59" i="15" s="1"/>
  <c r="C25" i="16" s="1"/>
  <c r="B59" i="15"/>
  <c r="Q58" i="15"/>
  <c r="P58" i="15"/>
  <c r="M58" i="15"/>
  <c r="O58" i="15" s="1"/>
  <c r="R58" i="15" s="1"/>
  <c r="S58" i="15" s="1"/>
  <c r="M24" i="16" s="1"/>
  <c r="L58" i="15"/>
  <c r="C58" i="15"/>
  <c r="E58" i="15" s="1"/>
  <c r="H58" i="15" s="1"/>
  <c r="I58" i="15" s="1"/>
  <c r="C24" i="16" s="1"/>
  <c r="B58" i="15"/>
  <c r="Q57" i="15"/>
  <c r="P57" i="15"/>
  <c r="M57" i="15"/>
  <c r="O57" i="15" s="1"/>
  <c r="L57" i="15"/>
  <c r="C57" i="15"/>
  <c r="E57" i="15" s="1"/>
  <c r="H57" i="15" s="1"/>
  <c r="I57" i="15" s="1"/>
  <c r="C23" i="16" s="1"/>
  <c r="B57" i="15"/>
  <c r="Q56" i="15"/>
  <c r="P56" i="15"/>
  <c r="M56" i="15"/>
  <c r="O56" i="15" s="1"/>
  <c r="L56" i="15"/>
  <c r="C56" i="15"/>
  <c r="E56" i="15" s="1"/>
  <c r="H56" i="15" s="1"/>
  <c r="I56" i="15" s="1"/>
  <c r="C22" i="16" s="1"/>
  <c r="B56" i="15"/>
  <c r="Q55" i="15"/>
  <c r="P55" i="15"/>
  <c r="M55" i="15"/>
  <c r="O55" i="15" s="1"/>
  <c r="L55" i="15"/>
  <c r="C55" i="15"/>
  <c r="E55" i="15" s="1"/>
  <c r="H55" i="15" s="1"/>
  <c r="I55" i="15" s="1"/>
  <c r="C21" i="16" s="1"/>
  <c r="B55" i="15"/>
  <c r="Q54" i="15"/>
  <c r="P54" i="15"/>
  <c r="M54" i="15"/>
  <c r="O54" i="15" s="1"/>
  <c r="R54" i="15" s="1"/>
  <c r="S54" i="15" s="1"/>
  <c r="M20" i="16" s="1"/>
  <c r="L54" i="15"/>
  <c r="C54" i="15"/>
  <c r="E54" i="15" s="1"/>
  <c r="H54" i="15" s="1"/>
  <c r="I54" i="15" s="1"/>
  <c r="C20" i="16" s="1"/>
  <c r="B54" i="15"/>
  <c r="Q53" i="15"/>
  <c r="P53" i="15"/>
  <c r="M53" i="15"/>
  <c r="O53" i="15" s="1"/>
  <c r="L53" i="15"/>
  <c r="C53" i="15"/>
  <c r="E53" i="15" s="1"/>
  <c r="H53" i="15" s="1"/>
  <c r="I53" i="15" s="1"/>
  <c r="C19" i="16" s="1"/>
  <c r="B53" i="15"/>
  <c r="Q52" i="15"/>
  <c r="P52" i="15"/>
  <c r="M52" i="15"/>
  <c r="O52" i="15" s="1"/>
  <c r="R52" i="15" s="1"/>
  <c r="S52" i="15" s="1"/>
  <c r="M18" i="16" s="1"/>
  <c r="L52" i="15"/>
  <c r="C52" i="15"/>
  <c r="E52" i="15" s="1"/>
  <c r="H52" i="15" s="1"/>
  <c r="I52" i="15" s="1"/>
  <c r="C18" i="16" s="1"/>
  <c r="B52" i="15"/>
  <c r="Q51" i="15"/>
  <c r="P51" i="15"/>
  <c r="M51" i="15"/>
  <c r="O51" i="15" s="1"/>
  <c r="L51" i="15"/>
  <c r="C51" i="15"/>
  <c r="E51" i="15" s="1"/>
  <c r="H51" i="15" s="1"/>
  <c r="I51" i="15" s="1"/>
  <c r="C17" i="16" s="1"/>
  <c r="B51" i="15"/>
  <c r="Q50" i="15"/>
  <c r="P50" i="15"/>
  <c r="M50" i="15"/>
  <c r="O50" i="15" s="1"/>
  <c r="R50" i="15" s="1"/>
  <c r="S50" i="15" s="1"/>
  <c r="M16" i="16" s="1"/>
  <c r="L50" i="15"/>
  <c r="C50" i="15"/>
  <c r="E50" i="15" s="1"/>
  <c r="H50" i="15" s="1"/>
  <c r="I50" i="15" s="1"/>
  <c r="C16" i="16" s="1"/>
  <c r="B50" i="15"/>
  <c r="Q49" i="15"/>
  <c r="P49" i="15"/>
  <c r="M49" i="15"/>
  <c r="O49" i="15" s="1"/>
  <c r="L49" i="15"/>
  <c r="C49" i="15"/>
  <c r="E49" i="15" s="1"/>
  <c r="H49" i="15" s="1"/>
  <c r="I49" i="15" s="1"/>
  <c r="C15" i="16" s="1"/>
  <c r="B49" i="15"/>
  <c r="Q48" i="15"/>
  <c r="P48" i="15"/>
  <c r="M48" i="15"/>
  <c r="O48" i="15" s="1"/>
  <c r="R48" i="15" s="1"/>
  <c r="S48" i="15" s="1"/>
  <c r="M14" i="16" s="1"/>
  <c r="L48" i="15"/>
  <c r="C48" i="15"/>
  <c r="E48" i="15" s="1"/>
  <c r="H48" i="15" s="1"/>
  <c r="I48" i="15" s="1"/>
  <c r="C14" i="16" s="1"/>
  <c r="B48" i="15"/>
  <c r="Q47" i="15"/>
  <c r="P47" i="15"/>
  <c r="M47" i="15"/>
  <c r="O47" i="15" s="1"/>
  <c r="L47" i="15"/>
  <c r="C47" i="15"/>
  <c r="E47" i="15" s="1"/>
  <c r="H47" i="15" s="1"/>
  <c r="I47" i="15" s="1"/>
  <c r="C13" i="16" s="1"/>
  <c r="B47" i="15"/>
  <c r="Q46" i="15"/>
  <c r="P46" i="15"/>
  <c r="M46" i="15"/>
  <c r="O46" i="15" s="1"/>
  <c r="R46" i="15" s="1"/>
  <c r="S46" i="15" s="1"/>
  <c r="M12" i="16" s="1"/>
  <c r="L46" i="15"/>
  <c r="C46" i="15"/>
  <c r="E46" i="15" s="1"/>
  <c r="H46" i="15" s="1"/>
  <c r="I46" i="15" s="1"/>
  <c r="C12" i="16" s="1"/>
  <c r="B46" i="15"/>
  <c r="Q45" i="15"/>
  <c r="P45" i="15"/>
  <c r="M45" i="15"/>
  <c r="O45" i="15" s="1"/>
  <c r="L45" i="15"/>
  <c r="C45" i="15"/>
  <c r="E45" i="15" s="1"/>
  <c r="H45" i="15" s="1"/>
  <c r="I45" i="15" s="1"/>
  <c r="C11" i="16" s="1"/>
  <c r="B45" i="15"/>
  <c r="Q44" i="15"/>
  <c r="P44" i="15"/>
  <c r="M44" i="15"/>
  <c r="O44" i="15" s="1"/>
  <c r="R44" i="15" s="1"/>
  <c r="S44" i="15" s="1"/>
  <c r="M10" i="16" s="1"/>
  <c r="L44" i="15"/>
  <c r="C44" i="15"/>
  <c r="E44" i="15" s="1"/>
  <c r="H44" i="15" s="1"/>
  <c r="I44" i="15" s="1"/>
  <c r="C10" i="16" s="1"/>
  <c r="B44" i="15"/>
  <c r="Q43" i="15"/>
  <c r="P43" i="15"/>
  <c r="M43" i="15"/>
  <c r="O43" i="15" s="1"/>
  <c r="L43" i="15"/>
  <c r="C43" i="15"/>
  <c r="E43" i="15" s="1"/>
  <c r="H43" i="15" s="1"/>
  <c r="I43" i="15" s="1"/>
  <c r="C9" i="16" s="1"/>
  <c r="B43" i="15"/>
  <c r="Q42" i="15"/>
  <c r="P42" i="15"/>
  <c r="M42" i="15"/>
  <c r="O42" i="15" s="1"/>
  <c r="R42" i="15" s="1"/>
  <c r="S42" i="15" s="1"/>
  <c r="M8" i="16" s="1"/>
  <c r="L42" i="15"/>
  <c r="C42" i="15"/>
  <c r="E42" i="15" s="1"/>
  <c r="H42" i="15" s="1"/>
  <c r="I42" i="15" s="1"/>
  <c r="C8" i="16" s="1"/>
  <c r="B42" i="15"/>
  <c r="Q41" i="15"/>
  <c r="P41" i="15"/>
  <c r="M41" i="15"/>
  <c r="O41" i="15" s="1"/>
  <c r="L41" i="15"/>
  <c r="C41" i="15"/>
  <c r="E41" i="15" s="1"/>
  <c r="H41" i="15" s="1"/>
  <c r="I41" i="15" s="1"/>
  <c r="C7" i="16" s="1"/>
  <c r="B41" i="15"/>
  <c r="Q40" i="15"/>
  <c r="P40" i="15"/>
  <c r="M40" i="15"/>
  <c r="O40" i="15" s="1"/>
  <c r="R40" i="15" s="1"/>
  <c r="S40" i="15" s="1"/>
  <c r="M6" i="16" s="1"/>
  <c r="L40" i="15"/>
  <c r="C40" i="15"/>
  <c r="E40" i="15" s="1"/>
  <c r="H40" i="15" s="1"/>
  <c r="I40" i="15" s="1"/>
  <c r="C6" i="16" s="1"/>
  <c r="B40" i="15"/>
  <c r="Q39" i="15"/>
  <c r="P39" i="15"/>
  <c r="N39" i="15"/>
  <c r="M39" i="15"/>
  <c r="O39" i="15" s="1"/>
  <c r="L39" i="15"/>
  <c r="C39" i="15"/>
  <c r="E39" i="15" s="1"/>
  <c r="H39" i="15" s="1"/>
  <c r="I39" i="15" s="1"/>
  <c r="C5" i="16" s="1"/>
  <c r="B39" i="15"/>
  <c r="C34" i="15"/>
  <c r="E34" i="15" s="1"/>
  <c r="H34" i="15" s="1"/>
  <c r="C33" i="15"/>
  <c r="C30" i="15"/>
  <c r="E30" i="15" s="1"/>
  <c r="H30" i="15" s="1"/>
  <c r="C29" i="15"/>
  <c r="E29" i="15" s="1"/>
  <c r="H29" i="15" s="1"/>
  <c r="C25" i="15"/>
  <c r="E25" i="15" s="1"/>
  <c r="H25" i="15" s="1"/>
  <c r="C21" i="15"/>
  <c r="E21" i="15" s="1"/>
  <c r="H21" i="15" s="1"/>
  <c r="C20" i="15"/>
  <c r="E20" i="15" s="1"/>
  <c r="H20" i="15" s="1"/>
  <c r="C19" i="15"/>
  <c r="E19" i="15" s="1"/>
  <c r="H19" i="15" s="1"/>
  <c r="D18" i="15"/>
  <c r="C18" i="15"/>
  <c r="D13" i="15"/>
  <c r="D214" i="15" s="1"/>
  <c r="C13" i="15"/>
  <c r="E13" i="15" s="1"/>
  <c r="H13" i="15" s="1"/>
  <c r="D12" i="15"/>
  <c r="D189" i="15" s="1"/>
  <c r="C12" i="15"/>
  <c r="D11" i="15"/>
  <c r="D164" i="15" s="1"/>
  <c r="C11" i="15"/>
  <c r="E11" i="15" s="1"/>
  <c r="H11" i="15" s="1"/>
  <c r="D10" i="15"/>
  <c r="D139" i="15" s="1"/>
  <c r="C10" i="15"/>
  <c r="D9" i="15"/>
  <c r="C9" i="15"/>
  <c r="D8" i="15"/>
  <c r="C8" i="15"/>
  <c r="E8" i="15" s="1"/>
  <c r="H8" i="15" s="1"/>
  <c r="D7" i="15"/>
  <c r="C7" i="15"/>
  <c r="E7" i="15" s="1"/>
  <c r="H7" i="15" s="1"/>
  <c r="C6" i="15"/>
  <c r="AD47" i="14"/>
  <c r="AD46" i="14"/>
  <c r="F59" i="14" s="1"/>
  <c r="F46" i="14"/>
  <c r="AD45" i="14"/>
  <c r="AD44" i="14"/>
  <c r="AD43" i="14"/>
  <c r="AD42" i="14"/>
  <c r="F42" i="14"/>
  <c r="AD41" i="14"/>
  <c r="F41" i="14"/>
  <c r="E41" i="14"/>
  <c r="AD40" i="14"/>
  <c r="H29" i="14"/>
  <c r="G29" i="14"/>
  <c r="F73" i="13"/>
  <c r="F72" i="13"/>
  <c r="F71" i="13"/>
  <c r="F70" i="13"/>
  <c r="F69" i="13"/>
  <c r="F68" i="13"/>
  <c r="F67" i="13"/>
  <c r="F66" i="13"/>
  <c r="F65" i="13"/>
  <c r="AA48" i="13"/>
  <c r="AB47" i="13"/>
  <c r="Q47" i="13"/>
  <c r="P47" i="13"/>
  <c r="E47" i="13"/>
  <c r="AA47" i="13"/>
  <c r="P48" i="13"/>
  <c r="D48" i="13"/>
  <c r="R32" i="13"/>
  <c r="AC46" i="13" s="1"/>
  <c r="L32" i="13"/>
  <c r="R46" i="13" s="1"/>
  <c r="F32" i="13"/>
  <c r="F46" i="13" s="1"/>
  <c r="E6" i="15" l="1"/>
  <c r="H6" i="15" s="1"/>
  <c r="E40" i="14"/>
  <c r="E44" i="14"/>
  <c r="F45" i="14"/>
  <c r="E50" i="14"/>
  <c r="E51" i="14"/>
  <c r="E52" i="14"/>
  <c r="E53" i="14"/>
  <c r="F58" i="14"/>
  <c r="F40" i="14"/>
  <c r="E214" i="15"/>
  <c r="H214" i="15" s="1"/>
  <c r="I214" i="15" s="1"/>
  <c r="J5" i="16" s="1"/>
  <c r="AD46" i="13"/>
  <c r="AF46" i="13" s="1"/>
  <c r="H278" i="15"/>
  <c r="I278" i="15" s="1"/>
  <c r="L19" i="16" s="1"/>
  <c r="E189" i="15"/>
  <c r="H189" i="15" s="1"/>
  <c r="I189" i="15" s="1"/>
  <c r="I5" i="16" s="1"/>
  <c r="I234" i="15"/>
  <c r="J25" i="16" s="1"/>
  <c r="S115" i="15"/>
  <c r="P6" i="16" s="1"/>
  <c r="S117" i="15"/>
  <c r="P8" i="16" s="1"/>
  <c r="S142" i="15"/>
  <c r="Q8" i="16" s="1"/>
  <c r="S153" i="15"/>
  <c r="Q19" i="16" s="1"/>
  <c r="S155" i="15"/>
  <c r="Q21" i="16" s="1"/>
  <c r="I265" i="15"/>
  <c r="L6" i="16" s="1"/>
  <c r="I217" i="15"/>
  <c r="J8" i="16" s="1"/>
  <c r="S123" i="15"/>
  <c r="P14" i="16" s="1"/>
  <c r="S144" i="15"/>
  <c r="Q10" i="16" s="1"/>
  <c r="S146" i="15"/>
  <c r="Q12" i="16" s="1"/>
  <c r="I218" i="15"/>
  <c r="J9" i="16" s="1"/>
  <c r="I220" i="15"/>
  <c r="J11" i="16" s="1"/>
  <c r="I223" i="15"/>
  <c r="J14" i="16" s="1"/>
  <c r="I225" i="15"/>
  <c r="J16" i="16" s="1"/>
  <c r="I227" i="15"/>
  <c r="J18" i="16" s="1"/>
  <c r="I229" i="15"/>
  <c r="J20" i="16" s="1"/>
  <c r="I231" i="15"/>
  <c r="J22" i="16" s="1"/>
  <c r="I233" i="15"/>
  <c r="J24" i="16" s="1"/>
  <c r="I272" i="15"/>
  <c r="L13" i="16" s="1"/>
  <c r="I274" i="15"/>
  <c r="L15" i="16" s="1"/>
  <c r="I275" i="15"/>
  <c r="L16" i="16" s="1"/>
  <c r="I219" i="15"/>
  <c r="J10" i="16" s="1"/>
  <c r="I226" i="15"/>
  <c r="J17" i="16" s="1"/>
  <c r="I230" i="15"/>
  <c r="J21" i="16" s="1"/>
  <c r="I266" i="15"/>
  <c r="L7" i="16" s="1"/>
  <c r="S131" i="15"/>
  <c r="P22" i="16" s="1"/>
  <c r="S133" i="15"/>
  <c r="P24" i="16" s="1"/>
  <c r="I215" i="15"/>
  <c r="J6" i="16" s="1"/>
  <c r="I222" i="15"/>
  <c r="J13" i="16" s="1"/>
  <c r="H254" i="15"/>
  <c r="I280" i="15"/>
  <c r="L21" i="16" s="1"/>
  <c r="E9" i="15"/>
  <c r="H9" i="15" s="1"/>
  <c r="R140" i="15"/>
  <c r="R139" i="15"/>
  <c r="R118" i="15"/>
  <c r="R126" i="15"/>
  <c r="R134" i="15"/>
  <c r="H246" i="15"/>
  <c r="H269" i="15"/>
  <c r="H270" i="15"/>
  <c r="E18" i="15"/>
  <c r="H18" i="15" s="1"/>
  <c r="R66" i="15"/>
  <c r="S66" i="15" s="1"/>
  <c r="N7" i="16" s="1"/>
  <c r="R116" i="15"/>
  <c r="R132" i="15"/>
  <c r="R141" i="15"/>
  <c r="R143" i="15"/>
  <c r="E10" i="15"/>
  <c r="H10" i="15" s="1"/>
  <c r="R56" i="15"/>
  <c r="S56" i="15" s="1"/>
  <c r="M22" i="16" s="1"/>
  <c r="R57" i="15"/>
  <c r="S57" i="15" s="1"/>
  <c r="M23" i="16" s="1"/>
  <c r="R59" i="15"/>
  <c r="S59" i="15" s="1"/>
  <c r="M25" i="16" s="1"/>
  <c r="R68" i="15"/>
  <c r="S68" i="15" s="1"/>
  <c r="N9" i="16" s="1"/>
  <c r="R72" i="15"/>
  <c r="S72" i="15" s="1"/>
  <c r="N13" i="16" s="1"/>
  <c r="R76" i="15"/>
  <c r="S76" i="15" s="1"/>
  <c r="N17" i="16" s="1"/>
  <c r="R81" i="15"/>
  <c r="S81" i="15" s="1"/>
  <c r="N22" i="16" s="1"/>
  <c r="R82" i="15"/>
  <c r="S82" i="15" s="1"/>
  <c r="N23" i="16" s="1"/>
  <c r="R114" i="15"/>
  <c r="R121" i="15"/>
  <c r="R122" i="15"/>
  <c r="R129" i="15"/>
  <c r="R130" i="15"/>
  <c r="H259" i="15"/>
  <c r="H282" i="15"/>
  <c r="R124" i="15"/>
  <c r="R145" i="15"/>
  <c r="R147" i="15"/>
  <c r="H242" i="15"/>
  <c r="H250" i="15"/>
  <c r="H258" i="15"/>
  <c r="E139" i="15"/>
  <c r="H139" i="15" s="1"/>
  <c r="I139" i="15" s="1"/>
  <c r="G5" i="16" s="1"/>
  <c r="E12" i="15"/>
  <c r="H12" i="15" s="1"/>
  <c r="R41" i="15"/>
  <c r="S41" i="15" s="1"/>
  <c r="M7" i="16" s="1"/>
  <c r="R43" i="15"/>
  <c r="S43" i="15" s="1"/>
  <c r="M9" i="16" s="1"/>
  <c r="R45" i="15"/>
  <c r="S45" i="15" s="1"/>
  <c r="M11" i="16" s="1"/>
  <c r="R47" i="15"/>
  <c r="S47" i="15" s="1"/>
  <c r="M13" i="16" s="1"/>
  <c r="R49" i="15"/>
  <c r="S49" i="15" s="1"/>
  <c r="M15" i="16" s="1"/>
  <c r="R51" i="15"/>
  <c r="S51" i="15" s="1"/>
  <c r="M17" i="16" s="1"/>
  <c r="R53" i="15"/>
  <c r="S53" i="15" s="1"/>
  <c r="M19" i="16" s="1"/>
  <c r="R55" i="15"/>
  <c r="S55" i="15" s="1"/>
  <c r="M21" i="16" s="1"/>
  <c r="R80" i="15"/>
  <c r="S80" i="15" s="1"/>
  <c r="N21" i="16" s="1"/>
  <c r="R84" i="15"/>
  <c r="S84" i="15" s="1"/>
  <c r="N25" i="16" s="1"/>
  <c r="R119" i="15"/>
  <c r="R120" i="15"/>
  <c r="R127" i="15"/>
  <c r="R128" i="15"/>
  <c r="R149" i="15"/>
  <c r="R157" i="15"/>
  <c r="E264" i="15"/>
  <c r="H264" i="15" s="1"/>
  <c r="H276" i="15"/>
  <c r="R151" i="15"/>
  <c r="H241" i="15"/>
  <c r="H245" i="15"/>
  <c r="H249" i="15"/>
  <c r="H253" i="15"/>
  <c r="H257" i="15"/>
  <c r="H267" i="15"/>
  <c r="H268" i="15"/>
  <c r="E33" i="15"/>
  <c r="H33" i="15" s="1"/>
  <c r="N165" i="15"/>
  <c r="N168" i="15"/>
  <c r="N171" i="15"/>
  <c r="N173" i="15"/>
  <c r="N180" i="15"/>
  <c r="N182" i="15"/>
  <c r="N164" i="15"/>
  <c r="N166" i="15"/>
  <c r="N172" i="15"/>
  <c r="N175" i="15"/>
  <c r="N177" i="15"/>
  <c r="N178" i="15"/>
  <c r="N184" i="15"/>
  <c r="N189" i="15"/>
  <c r="N191" i="15"/>
  <c r="N192" i="15"/>
  <c r="N193" i="15"/>
  <c r="N195" i="15"/>
  <c r="N196" i="15"/>
  <c r="N197" i="15"/>
  <c r="N199" i="15"/>
  <c r="N200" i="15"/>
  <c r="N201" i="15"/>
  <c r="O64" i="15"/>
  <c r="R64" i="15" s="1"/>
  <c r="S64" i="15" s="1"/>
  <c r="N5" i="16" s="1"/>
  <c r="R65" i="15"/>
  <c r="S65" i="15" s="1"/>
  <c r="N6" i="16" s="1"/>
  <c r="R67" i="15"/>
  <c r="S67" i="15" s="1"/>
  <c r="N8" i="16" s="1"/>
  <c r="R69" i="15"/>
  <c r="S69" i="15" s="1"/>
  <c r="N10" i="16" s="1"/>
  <c r="R71" i="15"/>
  <c r="S71" i="15" s="1"/>
  <c r="N12" i="16" s="1"/>
  <c r="R73" i="15"/>
  <c r="S73" i="15" s="1"/>
  <c r="N14" i="16" s="1"/>
  <c r="R75" i="15"/>
  <c r="S75" i="15" s="1"/>
  <c r="N16" i="16" s="1"/>
  <c r="R77" i="15"/>
  <c r="S77" i="15" s="1"/>
  <c r="N18" i="16" s="1"/>
  <c r="R39" i="15"/>
  <c r="S39" i="15" s="1"/>
  <c r="M5" i="16" s="1"/>
  <c r="R78" i="15"/>
  <c r="S78" i="15" s="1"/>
  <c r="N19" i="16" s="1"/>
  <c r="O89" i="15"/>
  <c r="R89" i="15" s="1"/>
  <c r="S89" i="15" s="1"/>
  <c r="O5" i="16" s="1"/>
  <c r="R148" i="15"/>
  <c r="E164" i="15"/>
  <c r="H164" i="15" s="1"/>
  <c r="I164" i="15" s="1"/>
  <c r="H5" i="16" s="1"/>
  <c r="R150" i="15"/>
  <c r="R152" i="15"/>
  <c r="R154" i="15"/>
  <c r="R156" i="15"/>
  <c r="R158" i="15"/>
  <c r="H240" i="15"/>
  <c r="H244" i="15"/>
  <c r="H248" i="15"/>
  <c r="H252" i="15"/>
  <c r="H256" i="15"/>
  <c r="H239" i="15"/>
  <c r="H243" i="15"/>
  <c r="H247" i="15"/>
  <c r="H251" i="15"/>
  <c r="H255" i="15"/>
  <c r="E43" i="14"/>
  <c r="F44" i="14"/>
  <c r="F47" i="14"/>
  <c r="E60" i="14"/>
  <c r="F60" i="14"/>
  <c r="E45" i="14"/>
  <c r="E46" i="14"/>
  <c r="E47" i="14"/>
  <c r="E42" i="14"/>
  <c r="F43" i="14"/>
  <c r="F55" i="14"/>
  <c r="F57" i="14"/>
  <c r="F50" i="14"/>
  <c r="F51" i="14"/>
  <c r="F52" i="14"/>
  <c r="F53" i="14"/>
  <c r="E55" i="14"/>
  <c r="E57" i="14"/>
  <c r="E58" i="14"/>
  <c r="E59" i="14"/>
  <c r="G11" i="13"/>
  <c r="D11" i="13"/>
  <c r="F11" i="13"/>
  <c r="G9" i="13"/>
  <c r="D9" i="13"/>
  <c r="F9" i="13"/>
  <c r="G13" i="13"/>
  <c r="D13" i="13"/>
  <c r="F13" i="13"/>
  <c r="G10" i="13"/>
  <c r="F10" i="13"/>
  <c r="D10" i="13"/>
  <c r="G14" i="13"/>
  <c r="F14" i="13"/>
  <c r="D14" i="13"/>
  <c r="G15" i="13"/>
  <c r="F15" i="13"/>
  <c r="D15" i="13"/>
  <c r="G46" i="13"/>
  <c r="I46" i="13" s="1"/>
  <c r="G12" i="13"/>
  <c r="F12" i="13"/>
  <c r="D12" i="13"/>
  <c r="G16" i="13"/>
  <c r="F16" i="13"/>
  <c r="D16" i="13"/>
  <c r="S46" i="13"/>
  <c r="U46" i="13" s="1"/>
  <c r="D47" i="13"/>
  <c r="S148" i="15" l="1"/>
  <c r="Q14" i="16" s="1"/>
  <c r="I249" i="15"/>
  <c r="K15" i="16" s="1"/>
  <c r="S157" i="15"/>
  <c r="Q23" i="16" s="1"/>
  <c r="S120" i="15"/>
  <c r="P11" i="16" s="1"/>
  <c r="I242" i="15"/>
  <c r="K8" i="16" s="1"/>
  <c r="I282" i="15"/>
  <c r="L23" i="16" s="1"/>
  <c r="S143" i="15"/>
  <c r="Q9" i="16" s="1"/>
  <c r="I246" i="15"/>
  <c r="K12" i="16" s="1"/>
  <c r="I240" i="15"/>
  <c r="K6" i="16" s="1"/>
  <c r="I245" i="15"/>
  <c r="K11" i="16" s="1"/>
  <c r="S147" i="15"/>
  <c r="Q13" i="16" s="1"/>
  <c r="S126" i="15"/>
  <c r="P17" i="16" s="1"/>
  <c r="S139" i="15"/>
  <c r="Q5" i="16" s="1"/>
  <c r="I254" i="15"/>
  <c r="K20" i="16" s="1"/>
  <c r="I255" i="15"/>
  <c r="K21" i="16" s="1"/>
  <c r="I239" i="15"/>
  <c r="K5" i="16" s="1"/>
  <c r="I252" i="15"/>
  <c r="K18" i="16" s="1"/>
  <c r="S156" i="15"/>
  <c r="Q22" i="16" s="1"/>
  <c r="I257" i="15"/>
  <c r="K23" i="16" s="1"/>
  <c r="I241" i="15"/>
  <c r="K7" i="16" s="1"/>
  <c r="I264" i="15"/>
  <c r="L5" i="16" s="1"/>
  <c r="S128" i="15"/>
  <c r="P19" i="16" s="1"/>
  <c r="I258" i="15"/>
  <c r="K24" i="16" s="1"/>
  <c r="S145" i="15"/>
  <c r="Q11" i="16" s="1"/>
  <c r="S130" i="15"/>
  <c r="P21" i="16" s="1"/>
  <c r="S114" i="15"/>
  <c r="P5" i="16" s="1"/>
  <c r="S132" i="15"/>
  <c r="P23" i="16" s="1"/>
  <c r="I270" i="15"/>
  <c r="L11" i="16" s="1"/>
  <c r="S118" i="15"/>
  <c r="P9" i="16" s="1"/>
  <c r="I247" i="15"/>
  <c r="K13" i="16" s="1"/>
  <c r="I244" i="15"/>
  <c r="K10" i="16" s="1"/>
  <c r="S152" i="15"/>
  <c r="Q18" i="16" s="1"/>
  <c r="I268" i="15"/>
  <c r="L9" i="16" s="1"/>
  <c r="S122" i="15"/>
  <c r="P13" i="16" s="1"/>
  <c r="S134" i="15"/>
  <c r="P25" i="16" s="1"/>
  <c r="I243" i="15"/>
  <c r="K9" i="16" s="1"/>
  <c r="I256" i="15"/>
  <c r="K22" i="16" s="1"/>
  <c r="S158" i="15"/>
  <c r="Q24" i="16" s="1"/>
  <c r="S150" i="15"/>
  <c r="Q16" i="16" s="1"/>
  <c r="I267" i="15"/>
  <c r="L8" i="16" s="1"/>
  <c r="I276" i="15"/>
  <c r="L17" i="16" s="1"/>
  <c r="S149" i="15"/>
  <c r="Q15" i="16" s="1"/>
  <c r="S119" i="15"/>
  <c r="P10" i="16" s="1"/>
  <c r="I259" i="15"/>
  <c r="K25" i="16" s="1"/>
  <c r="S121" i="15"/>
  <c r="P12" i="16" s="1"/>
  <c r="S141" i="15"/>
  <c r="Q7" i="16" s="1"/>
  <c r="I251" i="15"/>
  <c r="K17" i="16" s="1"/>
  <c r="I248" i="15"/>
  <c r="K14" i="16" s="1"/>
  <c r="S154" i="15"/>
  <c r="Q20" i="16" s="1"/>
  <c r="I253" i="15"/>
  <c r="K19" i="16" s="1"/>
  <c r="S151" i="15"/>
  <c r="Q17" i="16" s="1"/>
  <c r="S127" i="15"/>
  <c r="P18" i="16" s="1"/>
  <c r="I250" i="15"/>
  <c r="K16" i="16" s="1"/>
  <c r="S124" i="15"/>
  <c r="P15" i="16" s="1"/>
  <c r="S129" i="15"/>
  <c r="P20" i="16" s="1"/>
  <c r="S116" i="15"/>
  <c r="P7" i="16" s="1"/>
  <c r="I269" i="15"/>
  <c r="L10" i="16" s="1"/>
  <c r="S140" i="15"/>
  <c r="Q6" i="16" s="1"/>
  <c r="F17" i="13"/>
  <c r="G17" i="13"/>
  <c r="D17" i="13"/>
  <c r="R31" i="13" l="1"/>
  <c r="AC45" i="13" s="1"/>
  <c r="AD45" i="13" s="1"/>
  <c r="AF45" i="13" s="1"/>
  <c r="R29" i="13"/>
  <c r="AC43" i="13" s="1"/>
  <c r="AD43" i="13" s="1"/>
  <c r="AF43" i="13" s="1"/>
  <c r="R27" i="13"/>
  <c r="AC41" i="13" s="1"/>
  <c r="AD41" i="13" s="1"/>
  <c r="AF41" i="13" s="1"/>
  <c r="R25" i="13"/>
  <c r="AC39" i="13" s="1"/>
  <c r="AD39" i="13" s="1"/>
  <c r="AF39" i="13" s="1"/>
  <c r="R28" i="13"/>
  <c r="AC42" i="13" s="1"/>
  <c r="AD42" i="13" s="1"/>
  <c r="AF42" i="13" s="1"/>
  <c r="R26" i="13"/>
  <c r="AC40" i="13" s="1"/>
  <c r="AD40" i="13" s="1"/>
  <c r="AF40" i="13" s="1"/>
  <c r="R24" i="13"/>
  <c r="AC38" i="13" s="1"/>
  <c r="AD38" i="13" s="1"/>
  <c r="AF38" i="13" s="1"/>
  <c r="R30" i="13"/>
  <c r="AC44" i="13" s="1"/>
  <c r="AD44" i="13" s="1"/>
  <c r="AF44" i="13" s="1"/>
  <c r="L31" i="13"/>
  <c r="R45" i="13" s="1"/>
  <c r="S45" i="13" s="1"/>
  <c r="U45" i="13" s="1"/>
  <c r="L29" i="13"/>
  <c r="R43" i="13" s="1"/>
  <c r="S43" i="13" s="1"/>
  <c r="U43" i="13" s="1"/>
  <c r="L27" i="13"/>
  <c r="R41" i="13" s="1"/>
  <c r="S41" i="13" s="1"/>
  <c r="U41" i="13" s="1"/>
  <c r="L25" i="13"/>
  <c r="R39" i="13" s="1"/>
  <c r="S39" i="13" s="1"/>
  <c r="U39" i="13" s="1"/>
  <c r="L24" i="13"/>
  <c r="R38" i="13" s="1"/>
  <c r="S38" i="13" s="1"/>
  <c r="U38" i="13" s="1"/>
  <c r="L28" i="13"/>
  <c r="R42" i="13" s="1"/>
  <c r="S42" i="13" s="1"/>
  <c r="U42" i="13" s="1"/>
  <c r="L26" i="13"/>
  <c r="R40" i="13" s="1"/>
  <c r="S40" i="13" s="1"/>
  <c r="U40" i="13" s="1"/>
  <c r="L30" i="13"/>
  <c r="R44" i="13" s="1"/>
  <c r="S44" i="13" s="1"/>
  <c r="U44" i="13" s="1"/>
  <c r="C92" i="13"/>
  <c r="Z28" i="10" s="1"/>
  <c r="C84" i="13"/>
  <c r="R28" i="10" s="1"/>
  <c r="C82" i="13"/>
  <c r="C80" i="13"/>
  <c r="C78" i="13"/>
  <c r="C74" i="13"/>
  <c r="C91" i="13"/>
  <c r="Y28" i="10" s="1"/>
  <c r="C93" i="13"/>
  <c r="AA28" i="10" s="1"/>
  <c r="C89" i="13"/>
  <c r="W28" i="10" s="1"/>
  <c r="C85" i="13"/>
  <c r="S28" i="10" s="1"/>
  <c r="F31" i="13"/>
  <c r="F45" i="13" s="1"/>
  <c r="G45" i="13" s="1"/>
  <c r="I45" i="13" s="1"/>
  <c r="F29" i="13"/>
  <c r="F43" i="13" s="1"/>
  <c r="G43" i="13" s="1"/>
  <c r="I43" i="13" s="1"/>
  <c r="F27" i="13"/>
  <c r="F41" i="13" s="1"/>
  <c r="G41" i="13" s="1"/>
  <c r="I41" i="13" s="1"/>
  <c r="F25" i="13"/>
  <c r="F39" i="13" s="1"/>
  <c r="G39" i="13" s="1"/>
  <c r="I39" i="13" s="1"/>
  <c r="C88" i="13"/>
  <c r="V28" i="10" s="1"/>
  <c r="C76" i="13"/>
  <c r="C87" i="13"/>
  <c r="U28" i="10" s="1"/>
  <c r="F26" i="13"/>
  <c r="F40" i="13" s="1"/>
  <c r="G40" i="13" s="1"/>
  <c r="I40" i="13" s="1"/>
  <c r="F24" i="13"/>
  <c r="F38" i="13" s="1"/>
  <c r="G38" i="13" s="1"/>
  <c r="I38" i="13" s="1"/>
  <c r="F30" i="13"/>
  <c r="F44" i="13" s="1"/>
  <c r="G44" i="13" s="1"/>
  <c r="I44" i="13" s="1"/>
  <c r="F28" i="13"/>
  <c r="F42" i="13" s="1"/>
  <c r="G42" i="13" s="1"/>
  <c r="I42" i="13" s="1"/>
  <c r="C75" i="13"/>
  <c r="C83" i="13"/>
  <c r="C79" i="13"/>
  <c r="C90" i="13"/>
  <c r="X28" i="10" s="1"/>
  <c r="C77" i="13"/>
  <c r="C86" i="13"/>
  <c r="T28" i="10" s="1"/>
  <c r="C94" i="13"/>
  <c r="AB28" i="10" s="1"/>
  <c r="C81" i="13"/>
  <c r="F75" i="13" l="1"/>
  <c r="I28" i="10"/>
  <c r="F82" i="13"/>
  <c r="P28" i="10"/>
  <c r="F76" i="13"/>
  <c r="J28" i="10"/>
  <c r="F83" i="13"/>
  <c r="Q28" i="10"/>
  <c r="F81" i="13"/>
  <c r="O28" i="10"/>
  <c r="F77" i="13"/>
  <c r="K28" i="10"/>
  <c r="F74" i="13"/>
  <c r="H28" i="10"/>
  <c r="F78" i="13"/>
  <c r="L28" i="10"/>
  <c r="F79" i="13"/>
  <c r="M28" i="10"/>
  <c r="F80" i="13"/>
  <c r="N28" i="10"/>
  <c r="I47" i="13"/>
  <c r="I49" i="13" s="1"/>
  <c r="D53" i="13" s="1"/>
  <c r="AF47" i="13"/>
  <c r="AF49" i="13" s="1"/>
  <c r="D55" i="13" s="1"/>
  <c r="U47" i="13"/>
  <c r="U49" i="13" s="1"/>
  <c r="AB30" i="10" l="1"/>
  <c r="AB33" i="10" s="1"/>
  <c r="AB36" i="10" s="1"/>
  <c r="AB41" i="10" s="1"/>
  <c r="I30" i="10"/>
  <c r="I33" i="10" s="1"/>
  <c r="I36" i="10" s="1"/>
  <c r="I41" i="10" s="1"/>
  <c r="J30" i="10"/>
  <c r="J33" i="10" s="1"/>
  <c r="J36" i="10" s="1"/>
  <c r="J41" i="10" s="1"/>
  <c r="K30" i="10"/>
  <c r="K33" i="10" s="1"/>
  <c r="K36" i="10" s="1"/>
  <c r="K41" i="10" s="1"/>
  <c r="L30" i="10"/>
  <c r="L33" i="10" s="1"/>
  <c r="L36" i="10" s="1"/>
  <c r="L41" i="10" s="1"/>
  <c r="M30" i="10"/>
  <c r="M33" i="10" s="1"/>
  <c r="M36" i="10" s="1"/>
  <c r="M41" i="10" s="1"/>
  <c r="N30" i="10"/>
  <c r="N33" i="10" s="1"/>
  <c r="N36" i="10" s="1"/>
  <c r="N41" i="10" s="1"/>
  <c r="O30" i="10"/>
  <c r="O33" i="10" s="1"/>
  <c r="O36" i="10" s="1"/>
  <c r="O41" i="10" s="1"/>
  <c r="P30" i="10"/>
  <c r="P33" i="10" s="1"/>
  <c r="P36" i="10" s="1"/>
  <c r="P41" i="10" s="1"/>
  <c r="Q30" i="10"/>
  <c r="Q33" i="10" s="1"/>
  <c r="Q36" i="10" s="1"/>
  <c r="Q41" i="10" s="1"/>
  <c r="R30" i="10"/>
  <c r="R33" i="10" s="1"/>
  <c r="R36" i="10" s="1"/>
  <c r="R41" i="10" s="1"/>
  <c r="S30" i="10"/>
  <c r="S33" i="10" s="1"/>
  <c r="S36" i="10" s="1"/>
  <c r="S41" i="10" s="1"/>
  <c r="T30" i="10"/>
  <c r="T33" i="10" s="1"/>
  <c r="T36" i="10" s="1"/>
  <c r="T41" i="10" s="1"/>
  <c r="U30" i="10"/>
  <c r="U33" i="10" s="1"/>
  <c r="U36" i="10" s="1"/>
  <c r="U41" i="10" s="1"/>
  <c r="V30" i="10"/>
  <c r="V33" i="10" s="1"/>
  <c r="V36" i="10" s="1"/>
  <c r="V41" i="10" s="1"/>
  <c r="W30" i="10"/>
  <c r="W33" i="10" s="1"/>
  <c r="W36" i="10" s="1"/>
  <c r="W41" i="10" s="1"/>
  <c r="X30" i="10"/>
  <c r="X33" i="10" s="1"/>
  <c r="X36" i="10" s="1"/>
  <c r="X41" i="10" s="1"/>
  <c r="Y30" i="10"/>
  <c r="Y33" i="10" s="1"/>
  <c r="Y36" i="10" s="1"/>
  <c r="Y41" i="10" s="1"/>
  <c r="Z30" i="10"/>
  <c r="Z33" i="10" s="1"/>
  <c r="Z36" i="10" s="1"/>
  <c r="Z41" i="10" s="1"/>
  <c r="AA30" i="10"/>
  <c r="AA33" i="10" s="1"/>
  <c r="AA36" i="10" s="1"/>
  <c r="AA41" i="10" s="1"/>
  <c r="H30" i="10"/>
  <c r="H36" i="10" s="1"/>
  <c r="X42" i="10" l="1"/>
  <c r="X45" i="10" s="1"/>
  <c r="X44" i="10"/>
  <c r="L42" i="10"/>
  <c r="L45" i="10" s="1"/>
  <c r="L44" i="10"/>
  <c r="N44" i="10"/>
  <c r="N42" i="10"/>
  <c r="N45" i="10" s="1"/>
  <c r="W42" i="10"/>
  <c r="W45" i="10" s="1"/>
  <c r="W44" i="10"/>
  <c r="O42" i="10"/>
  <c r="O45" i="10" s="1"/>
  <c r="O44" i="10"/>
  <c r="J44" i="10"/>
  <c r="J42" i="10"/>
  <c r="J45" i="10" s="1"/>
  <c r="P42" i="10"/>
  <c r="P45" i="10" s="1"/>
  <c r="P44" i="10"/>
  <c r="AB42" i="10"/>
  <c r="AB45" i="10" s="1"/>
  <c r="AB44" i="10"/>
  <c r="AA44" i="10"/>
  <c r="AA42" i="10"/>
  <c r="AA45" i="10" s="1"/>
  <c r="S44" i="10"/>
  <c r="S42" i="10"/>
  <c r="S45" i="10" s="1"/>
  <c r="K44" i="10"/>
  <c r="K42" i="10"/>
  <c r="K45" i="10" s="1"/>
  <c r="Z44" i="10"/>
  <c r="Z42" i="10"/>
  <c r="Z45" i="10" s="1"/>
  <c r="V44" i="10"/>
  <c r="V42" i="10"/>
  <c r="V45" i="10" s="1"/>
  <c r="T42" i="10"/>
  <c r="T45" i="10" s="1"/>
  <c r="T44" i="10"/>
  <c r="Y42" i="10"/>
  <c r="Y45" i="10" s="1"/>
  <c r="Y44" i="10"/>
  <c r="U42" i="10"/>
  <c r="U45" i="10" s="1"/>
  <c r="U44" i="10"/>
  <c r="Q44" i="10"/>
  <c r="Q42" i="10"/>
  <c r="Q45" i="10" s="1"/>
  <c r="M42" i="10"/>
  <c r="M45" i="10" s="1"/>
  <c r="M44" i="10"/>
  <c r="R44" i="10"/>
  <c r="R42" i="10"/>
  <c r="R45" i="10" s="1"/>
  <c r="I42" i="10"/>
  <c r="I45" i="10" s="1"/>
  <c r="I44" i="10"/>
  <c r="H44" i="10"/>
  <c r="AB43" i="10" l="1"/>
  <c r="AB46" i="10" s="1"/>
  <c r="D26" i="17" s="1"/>
  <c r="I43" i="10"/>
  <c r="I46" i="10" s="1"/>
  <c r="D7" i="17" s="1"/>
  <c r="S43" i="10"/>
  <c r="S46" i="10" s="1"/>
  <c r="D17" i="17" s="1"/>
  <c r="Q43" i="10"/>
  <c r="Q46" i="10" s="1"/>
  <c r="D15" i="17" s="1"/>
  <c r="AA43" i="10"/>
  <c r="AA46" i="10" s="1"/>
  <c r="D25" i="17" s="1"/>
  <c r="Z43" i="10"/>
  <c r="Z46" i="10" s="1"/>
  <c r="D24" i="17" s="1"/>
  <c r="Y43" i="10"/>
  <c r="Y46" i="10" s="1"/>
  <c r="D23" i="17" s="1"/>
  <c r="U43" i="10"/>
  <c r="U46" i="10" s="1"/>
  <c r="D19" i="17" s="1"/>
  <c r="R43" i="10"/>
  <c r="R46" i="10" s="1"/>
  <c r="D16" i="17" s="1"/>
  <c r="P43" i="10"/>
  <c r="P46" i="10" s="1"/>
  <c r="D14" i="17" s="1"/>
  <c r="O43" i="10"/>
  <c r="O46" i="10" s="1"/>
  <c r="D13" i="17" s="1"/>
  <c r="N43" i="10"/>
  <c r="N46" i="10" s="1"/>
  <c r="D12" i="17" s="1"/>
  <c r="J43" i="10"/>
  <c r="J46" i="10" s="1"/>
  <c r="D8" i="17" s="1"/>
  <c r="K43" i="10"/>
  <c r="K46" i="10" s="1"/>
  <c r="D9" i="17" s="1"/>
  <c r="M43" i="10"/>
  <c r="M46" i="10" s="1"/>
  <c r="D11" i="17" s="1"/>
  <c r="V43" i="10"/>
  <c r="V46" i="10" s="1"/>
  <c r="D20" i="17" s="1"/>
  <c r="W43" i="10"/>
  <c r="W46" i="10" s="1"/>
  <c r="D21" i="17" s="1"/>
  <c r="X43" i="10"/>
  <c r="X46" i="10" s="1"/>
  <c r="D22" i="17" s="1"/>
  <c r="T43" i="10"/>
  <c r="T46" i="10" s="1"/>
  <c r="D18" i="17" s="1"/>
  <c r="L43" i="10"/>
  <c r="L46" i="10" s="1"/>
  <c r="D10" i="17" s="1"/>
  <c r="F73" i="7" l="1"/>
  <c r="F72" i="7"/>
  <c r="F71" i="7"/>
  <c r="F70" i="7"/>
  <c r="F69" i="7"/>
  <c r="F68" i="7"/>
  <c r="F67" i="7"/>
  <c r="F66" i="7"/>
  <c r="F65" i="7"/>
  <c r="AA48" i="7"/>
  <c r="P48" i="7"/>
  <c r="D48" i="7"/>
  <c r="AB47" i="7"/>
  <c r="AA47" i="7"/>
  <c r="Q47" i="7"/>
  <c r="P47" i="7"/>
  <c r="E47" i="7"/>
  <c r="D47" i="7"/>
  <c r="R32" i="7"/>
  <c r="AC46" i="7" s="1"/>
  <c r="AD46" i="7" s="1"/>
  <c r="AF46" i="7" s="1"/>
  <c r="L32" i="7"/>
  <c r="R46" i="7" s="1"/>
  <c r="S46" i="7" s="1"/>
  <c r="U46" i="7" s="1"/>
  <c r="F32" i="7"/>
  <c r="F46" i="7" s="1"/>
  <c r="G46" i="7" s="1"/>
  <c r="I46" i="7" s="1"/>
  <c r="G16" i="7"/>
  <c r="F16" i="7"/>
  <c r="D16" i="7"/>
  <c r="G15" i="7"/>
  <c r="F15" i="7"/>
  <c r="D15" i="7"/>
  <c r="G14" i="7"/>
  <c r="F14" i="7"/>
  <c r="D14" i="7"/>
  <c r="G13" i="7"/>
  <c r="F13" i="7"/>
  <c r="D13" i="7"/>
  <c r="G12" i="7"/>
  <c r="F12" i="7"/>
  <c r="D12" i="7"/>
  <c r="G11" i="7"/>
  <c r="F11" i="7"/>
  <c r="D11" i="7"/>
  <c r="G10" i="7"/>
  <c r="F10" i="7"/>
  <c r="D10" i="7"/>
  <c r="G9" i="7"/>
  <c r="F9" i="7"/>
  <c r="D9" i="7"/>
  <c r="G17" i="7" l="1"/>
  <c r="D17" i="7"/>
  <c r="R25" i="7" s="1"/>
  <c r="AC39" i="7" s="1"/>
  <c r="AD39" i="7" s="1"/>
  <c r="AF39" i="7" s="1"/>
  <c r="F17" i="7"/>
  <c r="C90" i="7" s="1"/>
  <c r="R29" i="7"/>
  <c r="AC43" i="7" s="1"/>
  <c r="AD43" i="7" s="1"/>
  <c r="AF43" i="7" s="1"/>
  <c r="R30" i="7"/>
  <c r="AC44" i="7" s="1"/>
  <c r="AD44" i="7" s="1"/>
  <c r="AF44" i="7" s="1"/>
  <c r="R26" i="7"/>
  <c r="AC40" i="7" s="1"/>
  <c r="AD40" i="7" s="1"/>
  <c r="AF40" i="7" s="1"/>
  <c r="R28" i="7"/>
  <c r="AC42" i="7" s="1"/>
  <c r="AD42" i="7" s="1"/>
  <c r="AF42" i="7" s="1"/>
  <c r="R31" i="7"/>
  <c r="AC45" i="7" s="1"/>
  <c r="AD45" i="7" s="1"/>
  <c r="AF45" i="7" s="1"/>
  <c r="R27" i="7"/>
  <c r="AC41" i="7" s="1"/>
  <c r="AD41" i="7" s="1"/>
  <c r="AF41" i="7" s="1"/>
  <c r="L28" i="7"/>
  <c r="R42" i="7" s="1"/>
  <c r="S42" i="7" s="1"/>
  <c r="U42" i="7" s="1"/>
  <c r="L24" i="7"/>
  <c r="R38" i="7" s="1"/>
  <c r="S38" i="7" s="1"/>
  <c r="U38" i="7" s="1"/>
  <c r="L31" i="7"/>
  <c r="R45" i="7" s="1"/>
  <c r="S45" i="7" s="1"/>
  <c r="U45" i="7" s="1"/>
  <c r="L27" i="7"/>
  <c r="R41" i="7" s="1"/>
  <c r="S41" i="7" s="1"/>
  <c r="U41" i="7" s="1"/>
  <c r="L29" i="7"/>
  <c r="R43" i="7" s="1"/>
  <c r="S43" i="7" s="1"/>
  <c r="U43" i="7" s="1"/>
  <c r="L25" i="7"/>
  <c r="R39" i="7" s="1"/>
  <c r="S39" i="7" s="1"/>
  <c r="U39" i="7" s="1"/>
  <c r="L30" i="7"/>
  <c r="R44" i="7" s="1"/>
  <c r="S44" i="7" s="1"/>
  <c r="U44" i="7" s="1"/>
  <c r="L26" i="7"/>
  <c r="R40" i="7" s="1"/>
  <c r="S40" i="7" s="1"/>
  <c r="U40" i="7" s="1"/>
  <c r="C94" i="7"/>
  <c r="C83" i="7"/>
  <c r="F83" i="7" s="1"/>
  <c r="C81" i="7"/>
  <c r="F81" i="7" s="1"/>
  <c r="C75" i="7"/>
  <c r="F75" i="7" s="1"/>
  <c r="F31" i="7"/>
  <c r="F45" i="7" s="1"/>
  <c r="G45" i="7" s="1"/>
  <c r="I45" i="7" s="1"/>
  <c r="C89" i="7"/>
  <c r="C85" i="7"/>
  <c r="C87" i="7"/>
  <c r="C92" i="7"/>
  <c r="C82" i="7"/>
  <c r="F82" i="7" s="1"/>
  <c r="C80" i="7"/>
  <c r="F80" i="7" s="1"/>
  <c r="C74" i="7"/>
  <c r="F74" i="7" s="1"/>
  <c r="F29" i="7"/>
  <c r="F43" i="7" s="1"/>
  <c r="G43" i="7" s="1"/>
  <c r="I43" i="7" s="1"/>
  <c r="F30" i="7"/>
  <c r="F44" i="7" s="1"/>
  <c r="G44" i="7" s="1"/>
  <c r="I44" i="7" s="1"/>
  <c r="F26" i="7"/>
  <c r="F40" i="7" s="1"/>
  <c r="G40" i="7" s="1"/>
  <c r="I40" i="7" s="1"/>
  <c r="C91" i="7" l="1"/>
  <c r="C76" i="7"/>
  <c r="F76" i="7" s="1"/>
  <c r="C84" i="7"/>
  <c r="F24" i="7"/>
  <c r="F38" i="7" s="1"/>
  <c r="G38" i="7" s="1"/>
  <c r="I38" i="7" s="1"/>
  <c r="I47" i="7" s="1"/>
  <c r="I49" i="7" s="1"/>
  <c r="D53" i="7" s="1"/>
  <c r="C93" i="7"/>
  <c r="C77" i="7"/>
  <c r="F77" i="7" s="1"/>
  <c r="C86" i="7"/>
  <c r="F25" i="7"/>
  <c r="F39" i="7" s="1"/>
  <c r="G39" i="7" s="1"/>
  <c r="I39" i="7" s="1"/>
  <c r="C78" i="7"/>
  <c r="F78" i="7" s="1"/>
  <c r="C88" i="7"/>
  <c r="F28" i="7"/>
  <c r="F42" i="7" s="1"/>
  <c r="G42" i="7" s="1"/>
  <c r="I42" i="7" s="1"/>
  <c r="F27" i="7"/>
  <c r="F41" i="7" s="1"/>
  <c r="G41" i="7" s="1"/>
  <c r="I41" i="7" s="1"/>
  <c r="C79" i="7"/>
  <c r="F79" i="7" s="1"/>
  <c r="R24" i="7"/>
  <c r="AC38" i="7" s="1"/>
  <c r="AD38" i="7" s="1"/>
  <c r="AF38" i="7" s="1"/>
  <c r="AF47" i="7" s="1"/>
  <c r="AF49" i="7" s="1"/>
  <c r="D55" i="7" s="1"/>
  <c r="U47" i="7"/>
  <c r="U49" i="7" s="1"/>
  <c r="D54" i="7" s="1"/>
  <c r="AD66" i="14" l="1"/>
  <c r="AD62" i="14"/>
  <c r="AD58" i="14"/>
  <c r="AD54" i="14"/>
  <c r="AD50" i="14"/>
  <c r="AD69" i="14"/>
  <c r="AD65" i="14"/>
  <c r="AD61" i="14"/>
  <c r="AD57" i="14"/>
  <c r="AD53" i="14"/>
  <c r="AD49" i="14"/>
  <c r="AD68" i="14"/>
  <c r="AD64" i="14"/>
  <c r="AD60" i="14"/>
  <c r="AD56" i="14"/>
  <c r="AD52" i="14"/>
  <c r="AD67" i="14"/>
  <c r="AD63" i="14"/>
  <c r="AD59" i="14"/>
  <c r="AD55" i="14"/>
  <c r="AD51" i="14"/>
  <c r="J41" i="14" l="1"/>
  <c r="J45" i="14"/>
  <c r="J58" i="14"/>
  <c r="J57" i="14"/>
  <c r="J42" i="14"/>
  <c r="J60" i="14"/>
  <c r="J46" i="14"/>
  <c r="J40" i="14"/>
  <c r="J43" i="14"/>
  <c r="J44" i="14"/>
  <c r="J47" i="14"/>
  <c r="J55" i="14"/>
  <c r="J59" i="14"/>
  <c r="J53" i="14"/>
  <c r="J52" i="14"/>
  <c r="J51" i="14"/>
  <c r="J50" i="14"/>
  <c r="N43" i="14"/>
  <c r="N51" i="14"/>
  <c r="N44" i="14"/>
  <c r="N45" i="14"/>
  <c r="N52" i="14"/>
  <c r="N40" i="14"/>
  <c r="N50" i="14"/>
  <c r="N42" i="14"/>
  <c r="N58" i="14"/>
  <c r="N41" i="14"/>
  <c r="N46" i="14"/>
  <c r="N59" i="14"/>
  <c r="N55" i="14"/>
  <c r="N57" i="14"/>
  <c r="N47" i="14"/>
  <c r="N53" i="14"/>
  <c r="N60" i="14"/>
  <c r="R44" i="14"/>
  <c r="R42" i="14"/>
  <c r="R43" i="14"/>
  <c r="R45" i="14"/>
  <c r="R51" i="14"/>
  <c r="R59" i="14"/>
  <c r="R57" i="14"/>
  <c r="R60" i="14"/>
  <c r="R47" i="14"/>
  <c r="R46" i="14"/>
  <c r="R41" i="14"/>
  <c r="R50" i="14"/>
  <c r="R58" i="14"/>
  <c r="R52" i="14"/>
  <c r="R55" i="14"/>
  <c r="R40" i="14"/>
  <c r="R53" i="14"/>
  <c r="V59" i="14"/>
  <c r="V45" i="14"/>
  <c r="V57" i="14"/>
  <c r="V43" i="14"/>
  <c r="V51" i="14"/>
  <c r="V40" i="14"/>
  <c r="V41" i="14"/>
  <c r="V42" i="14"/>
  <c r="V46" i="14"/>
  <c r="V47" i="14"/>
  <c r="V50" i="14"/>
  <c r="V58" i="14"/>
  <c r="V55" i="14"/>
  <c r="V52" i="14"/>
  <c r="V53" i="14"/>
  <c r="V60" i="14"/>
  <c r="V44" i="14"/>
  <c r="Z47" i="14"/>
  <c r="Z59" i="14"/>
  <c r="Z60" i="14"/>
  <c r="Z51" i="14"/>
  <c r="Z41" i="14"/>
  <c r="Z43" i="14"/>
  <c r="Z55" i="14"/>
  <c r="Z45" i="14"/>
  <c r="Z46" i="14"/>
  <c r="Z50" i="14"/>
  <c r="Z44" i="14"/>
  <c r="Z58" i="14"/>
  <c r="Z57" i="14"/>
  <c r="Z40" i="14"/>
  <c r="Z52" i="14"/>
  <c r="Z42" i="14"/>
  <c r="Z53" i="14"/>
  <c r="G59" i="14"/>
  <c r="G40" i="14"/>
  <c r="G46" i="14"/>
  <c r="G44" i="14"/>
  <c r="G42" i="14"/>
  <c r="G43" i="14"/>
  <c r="G57" i="14"/>
  <c r="G52" i="14"/>
  <c r="G51" i="14"/>
  <c r="G60" i="14"/>
  <c r="G41" i="14"/>
  <c r="G50" i="14"/>
  <c r="G45" i="14"/>
  <c r="G47" i="14"/>
  <c r="G58" i="14"/>
  <c r="G55" i="14"/>
  <c r="G53" i="14"/>
  <c r="K57" i="14"/>
  <c r="K47" i="14"/>
  <c r="K40" i="14"/>
  <c r="K53" i="14"/>
  <c r="K46" i="14"/>
  <c r="K42" i="14"/>
  <c r="K59" i="14"/>
  <c r="K41" i="14"/>
  <c r="K60" i="14"/>
  <c r="K52" i="14"/>
  <c r="K51" i="14"/>
  <c r="K50" i="14"/>
  <c r="K58" i="14"/>
  <c r="K44" i="14"/>
  <c r="K55" i="14"/>
  <c r="K43" i="14"/>
  <c r="K45" i="14"/>
  <c r="O57" i="14"/>
  <c r="O40" i="14"/>
  <c r="O41" i="14"/>
  <c r="O46" i="14"/>
  <c r="O51" i="14"/>
  <c r="O44" i="14"/>
  <c r="O43" i="14"/>
  <c r="O55" i="14"/>
  <c r="O42" i="14"/>
  <c r="O60" i="14"/>
  <c r="O50" i="14"/>
  <c r="O47" i="14"/>
  <c r="O52" i="14"/>
  <c r="O58" i="14"/>
  <c r="O45" i="14"/>
  <c r="O59" i="14"/>
  <c r="O53" i="14"/>
  <c r="S60" i="14"/>
  <c r="S55" i="14"/>
  <c r="S50" i="14"/>
  <c r="S57" i="14"/>
  <c r="S40" i="14"/>
  <c r="S45" i="14"/>
  <c r="S51" i="14"/>
  <c r="S42" i="14"/>
  <c r="S59" i="14"/>
  <c r="S41" i="14"/>
  <c r="S47" i="14"/>
  <c r="S52" i="14"/>
  <c r="S53" i="14"/>
  <c r="S46" i="14"/>
  <c r="S58" i="14"/>
  <c r="S44" i="14"/>
  <c r="S43" i="14"/>
  <c r="W58" i="14"/>
  <c r="W55" i="14"/>
  <c r="W50" i="14"/>
  <c r="W52" i="14"/>
  <c r="W40" i="14"/>
  <c r="W57" i="14"/>
  <c r="W42" i="14"/>
  <c r="W43" i="14"/>
  <c r="W44" i="14"/>
  <c r="W41" i="14"/>
  <c r="W47" i="14"/>
  <c r="W51" i="14"/>
  <c r="W53" i="14"/>
  <c r="W45" i="14"/>
  <c r="W59" i="14"/>
  <c r="W46" i="14"/>
  <c r="W60" i="14"/>
  <c r="AA41" i="14"/>
  <c r="AA60" i="14"/>
  <c r="AA43" i="14"/>
  <c r="AA57" i="14"/>
  <c r="AA50" i="14"/>
  <c r="AA52" i="14"/>
  <c r="AA40" i="14"/>
  <c r="AA45" i="14"/>
  <c r="AA59" i="14"/>
  <c r="AA46" i="14"/>
  <c r="AA55" i="14"/>
  <c r="AA51" i="14"/>
  <c r="AA53" i="14"/>
  <c r="AA47" i="14"/>
  <c r="AA44" i="14"/>
  <c r="AA58" i="14"/>
  <c r="AA42" i="14"/>
  <c r="H46" i="14"/>
  <c r="H45" i="14"/>
  <c r="H44" i="14"/>
  <c r="H43" i="14"/>
  <c r="H55" i="14"/>
  <c r="H42" i="14"/>
  <c r="H57" i="14"/>
  <c r="H47" i="14"/>
  <c r="H51" i="14"/>
  <c r="H40" i="14"/>
  <c r="H52" i="14"/>
  <c r="H60" i="14"/>
  <c r="H53" i="14"/>
  <c r="H59" i="14"/>
  <c r="H58" i="14"/>
  <c r="H41" i="14"/>
  <c r="H50" i="14"/>
  <c r="L50" i="14"/>
  <c r="L41" i="14"/>
  <c r="L55" i="14"/>
  <c r="L53" i="14"/>
  <c r="L51" i="14"/>
  <c r="L45" i="14"/>
  <c r="L44" i="14"/>
  <c r="L43" i="14"/>
  <c r="L42" i="14"/>
  <c r="L40" i="14"/>
  <c r="L52" i="14"/>
  <c r="L60" i="14"/>
  <c r="L59" i="14"/>
  <c r="L58" i="14"/>
  <c r="L57" i="14"/>
  <c r="L47" i="14"/>
  <c r="L46" i="14"/>
  <c r="I42" i="14"/>
  <c r="I46" i="14"/>
  <c r="I45" i="14"/>
  <c r="I53" i="14"/>
  <c r="I44" i="14"/>
  <c r="I55" i="14"/>
  <c r="I51" i="14"/>
  <c r="I40" i="14"/>
  <c r="I60" i="14"/>
  <c r="I59" i="14"/>
  <c r="I58" i="14"/>
  <c r="I57" i="14"/>
  <c r="I41" i="14"/>
  <c r="I47" i="14"/>
  <c r="I50" i="14"/>
  <c r="I43" i="14"/>
  <c r="I52" i="14"/>
  <c r="P60" i="14"/>
  <c r="P46" i="14"/>
  <c r="P43" i="14"/>
  <c r="P50" i="14"/>
  <c r="P41" i="14"/>
  <c r="P57" i="14"/>
  <c r="P42" i="14"/>
  <c r="P51" i="14"/>
  <c r="P47" i="14"/>
  <c r="P58" i="14"/>
  <c r="P59" i="14"/>
  <c r="P52" i="14"/>
  <c r="P53" i="14"/>
  <c r="P55" i="14"/>
  <c r="P44" i="14"/>
  <c r="P45" i="14"/>
  <c r="M53" i="14"/>
  <c r="M52" i="14"/>
  <c r="M60" i="14"/>
  <c r="M40" i="14"/>
  <c r="M59" i="14"/>
  <c r="M58" i="14"/>
  <c r="M43" i="14"/>
  <c r="M42" i="14"/>
  <c r="M41" i="14"/>
  <c r="M50" i="14"/>
  <c r="M57" i="14"/>
  <c r="M51" i="14"/>
  <c r="M47" i="14"/>
  <c r="M46" i="14"/>
  <c r="M45" i="14"/>
  <c r="M44" i="14"/>
  <c r="M55" i="14"/>
  <c r="T46" i="14"/>
  <c r="T45" i="14"/>
  <c r="T44" i="14"/>
  <c r="T55" i="14"/>
  <c r="T43" i="14"/>
  <c r="T50" i="14"/>
  <c r="T53" i="14"/>
  <c r="T60" i="14"/>
  <c r="T59" i="14"/>
  <c r="T40" i="14"/>
  <c r="T58" i="14"/>
  <c r="T57" i="14"/>
  <c r="T47" i="14"/>
  <c r="T42" i="14"/>
  <c r="T41" i="14"/>
  <c r="T52" i="14"/>
  <c r="T51" i="14"/>
  <c r="Q60" i="14"/>
  <c r="Q41" i="14"/>
  <c r="Q57" i="14"/>
  <c r="Q59" i="14"/>
  <c r="Q47" i="14"/>
  <c r="Q58" i="14"/>
  <c r="Q55" i="14"/>
  <c r="Q50" i="14"/>
  <c r="Q51" i="14"/>
  <c r="Q52" i="14"/>
  <c r="Q53" i="14"/>
  <c r="Q42" i="14"/>
  <c r="Q40" i="14"/>
  <c r="Q44" i="14"/>
  <c r="Q45" i="14"/>
  <c r="Q46" i="14"/>
  <c r="Q43" i="14"/>
  <c r="X53" i="14"/>
  <c r="X60" i="14"/>
  <c r="X59" i="14"/>
  <c r="X58" i="14"/>
  <c r="X42" i="14"/>
  <c r="X50" i="14"/>
  <c r="X41" i="14"/>
  <c r="X51" i="14"/>
  <c r="X40" i="14"/>
  <c r="X52" i="14"/>
  <c r="X47" i="14"/>
  <c r="X46" i="14"/>
  <c r="X45" i="14"/>
  <c r="X55" i="14"/>
  <c r="X44" i="14"/>
  <c r="X43" i="14"/>
  <c r="X57" i="14"/>
  <c r="U43" i="14"/>
  <c r="U53" i="14"/>
  <c r="U51" i="14"/>
  <c r="U50" i="14"/>
  <c r="U45" i="14"/>
  <c r="U42" i="14"/>
  <c r="U52" i="14"/>
  <c r="U60" i="14"/>
  <c r="U59" i="14"/>
  <c r="U58" i="14"/>
  <c r="U57" i="14"/>
  <c r="U47" i="14"/>
  <c r="U46" i="14"/>
  <c r="U44" i="14"/>
  <c r="U55" i="14"/>
  <c r="U40" i="14"/>
  <c r="U41" i="14"/>
  <c r="Y40" i="14"/>
  <c r="Y52" i="14"/>
  <c r="Y53" i="14"/>
  <c r="Y60" i="14"/>
  <c r="Y59" i="14"/>
  <c r="Y43" i="14"/>
  <c r="Y58" i="14"/>
  <c r="Y42" i="14"/>
  <c r="Y41" i="14"/>
  <c r="Y50" i="14"/>
  <c r="Y51" i="14"/>
  <c r="Y47" i="14"/>
  <c r="Y46" i="14"/>
  <c r="Y45" i="14"/>
  <c r="Y44" i="14"/>
  <c r="Y55" i="14"/>
  <c r="Y57" i="14"/>
  <c r="M204" i="15" l="1"/>
  <c r="O204" i="15" s="1"/>
  <c r="R204" i="15" s="1"/>
  <c r="S204" i="15" s="1"/>
  <c r="S20" i="16" s="1"/>
  <c r="M178" i="15"/>
  <c r="O178" i="15" s="1"/>
  <c r="R178" i="15" s="1"/>
  <c r="S178" i="15" s="1"/>
  <c r="R19" i="16" s="1"/>
  <c r="M166" i="15"/>
  <c r="O166" i="15" s="1"/>
  <c r="R166" i="15" s="1"/>
  <c r="S166" i="15" s="1"/>
  <c r="R7" i="16" s="1"/>
  <c r="M172" i="15"/>
  <c r="O172" i="15" s="1"/>
  <c r="R172" i="15" s="1"/>
  <c r="S172" i="15" s="1"/>
  <c r="R13" i="16" s="1"/>
  <c r="M206" i="15"/>
  <c r="O206" i="15" s="1"/>
  <c r="R206" i="15" s="1"/>
  <c r="S206" i="15" s="1"/>
  <c r="S22" i="16" s="1"/>
  <c r="M200" i="15"/>
  <c r="O200" i="15" s="1"/>
  <c r="R200" i="15" s="1"/>
  <c r="S200" i="15" s="1"/>
  <c r="S16" i="16" s="1"/>
  <c r="M170" i="15"/>
  <c r="O170" i="15" s="1"/>
  <c r="R170" i="15" s="1"/>
  <c r="S170" i="15" s="1"/>
  <c r="R11" i="16" s="1"/>
  <c r="M194" i="15"/>
  <c r="O194" i="15" s="1"/>
  <c r="R194" i="15" s="1"/>
  <c r="S194" i="15" s="1"/>
  <c r="S10" i="16" s="1"/>
  <c r="M201" i="15"/>
  <c r="O201" i="15" s="1"/>
  <c r="R201" i="15" s="1"/>
  <c r="S201" i="15" s="1"/>
  <c r="S17" i="16" s="1"/>
  <c r="M179" i="15"/>
  <c r="O179" i="15" s="1"/>
  <c r="R179" i="15" s="1"/>
  <c r="S179" i="15" s="1"/>
  <c r="R20" i="16" s="1"/>
  <c r="M205" i="15"/>
  <c r="O205" i="15" s="1"/>
  <c r="R205" i="15" s="1"/>
  <c r="S205" i="15" s="1"/>
  <c r="S21" i="16" s="1"/>
  <c r="M164" i="15"/>
  <c r="O164" i="15" s="1"/>
  <c r="R164" i="15" s="1"/>
  <c r="S164" i="15" s="1"/>
  <c r="R5" i="16" s="1"/>
  <c r="M168" i="15"/>
  <c r="O168" i="15" s="1"/>
  <c r="R168" i="15" s="1"/>
  <c r="S168" i="15" s="1"/>
  <c r="R9" i="16" s="1"/>
  <c r="M207" i="15"/>
  <c r="O207" i="15" s="1"/>
  <c r="R207" i="15" s="1"/>
  <c r="S207" i="15" s="1"/>
  <c r="S23" i="16" s="1"/>
  <c r="M198" i="15"/>
  <c r="O198" i="15" s="1"/>
  <c r="R198" i="15" s="1"/>
  <c r="S198" i="15" s="1"/>
  <c r="S14" i="16" s="1"/>
  <c r="M197" i="15"/>
  <c r="O197" i="15" s="1"/>
  <c r="R197" i="15" s="1"/>
  <c r="S197" i="15" s="1"/>
  <c r="S13" i="16" s="1"/>
  <c r="M196" i="15"/>
  <c r="O196" i="15" s="1"/>
  <c r="R196" i="15" s="1"/>
  <c r="S196" i="15" s="1"/>
  <c r="S12" i="16" s="1"/>
  <c r="M203" i="15"/>
  <c r="O203" i="15" s="1"/>
  <c r="R203" i="15" s="1"/>
  <c r="S203" i="15" s="1"/>
  <c r="S19" i="16" s="1"/>
  <c r="M190" i="15"/>
  <c r="O190" i="15" s="1"/>
  <c r="R190" i="15" s="1"/>
  <c r="S190" i="15" s="1"/>
  <c r="S6" i="16" s="1"/>
  <c r="M175" i="15"/>
  <c r="O175" i="15" s="1"/>
  <c r="R175" i="15" s="1"/>
  <c r="S175" i="15" s="1"/>
  <c r="R16" i="16" s="1"/>
  <c r="T16" i="16" s="1"/>
  <c r="E17" i="17" s="1"/>
  <c r="M177" i="15"/>
  <c r="O177" i="15" s="1"/>
  <c r="R177" i="15" s="1"/>
  <c r="S177" i="15" s="1"/>
  <c r="R18" i="16" s="1"/>
  <c r="M182" i="15"/>
  <c r="O182" i="15" s="1"/>
  <c r="R182" i="15" s="1"/>
  <c r="S182" i="15" s="1"/>
  <c r="R23" i="16" s="1"/>
  <c r="M195" i="15"/>
  <c r="O195" i="15" s="1"/>
  <c r="R195" i="15" s="1"/>
  <c r="S195" i="15" s="1"/>
  <c r="S11" i="16" s="1"/>
  <c r="M202" i="15"/>
  <c r="O202" i="15" s="1"/>
  <c r="R202" i="15" s="1"/>
  <c r="S202" i="15" s="1"/>
  <c r="S18" i="16" s="1"/>
  <c r="M169" i="15"/>
  <c r="O169" i="15" s="1"/>
  <c r="R169" i="15" s="1"/>
  <c r="S169" i="15" s="1"/>
  <c r="R10" i="16" s="1"/>
  <c r="M176" i="15"/>
  <c r="O176" i="15" s="1"/>
  <c r="R176" i="15" s="1"/>
  <c r="S176" i="15" s="1"/>
  <c r="R17" i="16" s="1"/>
  <c r="M171" i="15"/>
  <c r="O171" i="15" s="1"/>
  <c r="R171" i="15" s="1"/>
  <c r="S171" i="15" s="1"/>
  <c r="R12" i="16" s="1"/>
  <c r="M181" i="15"/>
  <c r="O181" i="15" s="1"/>
  <c r="R181" i="15" s="1"/>
  <c r="S181" i="15" s="1"/>
  <c r="R22" i="16" s="1"/>
  <c r="M191" i="15"/>
  <c r="O191" i="15" s="1"/>
  <c r="R191" i="15" s="1"/>
  <c r="S191" i="15" s="1"/>
  <c r="S7" i="16" s="1"/>
  <c r="M192" i="15"/>
  <c r="O192" i="15" s="1"/>
  <c r="R192" i="15" s="1"/>
  <c r="S192" i="15" s="1"/>
  <c r="S8" i="16" s="1"/>
  <c r="M180" i="15"/>
  <c r="O180" i="15" s="1"/>
  <c r="R180" i="15" s="1"/>
  <c r="S180" i="15" s="1"/>
  <c r="R21" i="16" s="1"/>
  <c r="M199" i="15"/>
  <c r="O199" i="15" s="1"/>
  <c r="R199" i="15" s="1"/>
  <c r="S199" i="15" s="1"/>
  <c r="S15" i="16" s="1"/>
  <c r="M173" i="15"/>
  <c r="O173" i="15" s="1"/>
  <c r="R173" i="15" s="1"/>
  <c r="S173" i="15" s="1"/>
  <c r="R14" i="16" s="1"/>
  <c r="M165" i="15"/>
  <c r="O165" i="15" s="1"/>
  <c r="R165" i="15" s="1"/>
  <c r="S165" i="15" s="1"/>
  <c r="R6" i="16" s="1"/>
  <c r="M209" i="15"/>
  <c r="O209" i="15" s="1"/>
  <c r="R209" i="15" s="1"/>
  <c r="S209" i="15" s="1"/>
  <c r="S25" i="16" s="1"/>
  <c r="M193" i="15"/>
  <c r="O193" i="15" s="1"/>
  <c r="R193" i="15" s="1"/>
  <c r="S193" i="15" s="1"/>
  <c r="S9" i="16" s="1"/>
  <c r="M184" i="15"/>
  <c r="O184" i="15" s="1"/>
  <c r="R184" i="15" s="1"/>
  <c r="S184" i="15" s="1"/>
  <c r="R25" i="16" s="1"/>
  <c r="M174" i="15"/>
  <c r="O174" i="15" s="1"/>
  <c r="R174" i="15" s="1"/>
  <c r="S174" i="15" s="1"/>
  <c r="R15" i="16" s="1"/>
  <c r="M167" i="15"/>
  <c r="O167" i="15" s="1"/>
  <c r="R167" i="15" s="1"/>
  <c r="S167" i="15" s="1"/>
  <c r="R8" i="16" s="1"/>
  <c r="M208" i="15"/>
  <c r="O208" i="15" s="1"/>
  <c r="R208" i="15" s="1"/>
  <c r="S208" i="15" s="1"/>
  <c r="S24" i="16" s="1"/>
  <c r="M189" i="15"/>
  <c r="O189" i="15" s="1"/>
  <c r="R189" i="15" s="1"/>
  <c r="S189" i="15" s="1"/>
  <c r="S5" i="16" s="1"/>
  <c r="M183" i="15"/>
  <c r="O183" i="15" s="1"/>
  <c r="R183" i="15" s="1"/>
  <c r="S183" i="15" s="1"/>
  <c r="R24" i="16" s="1"/>
  <c r="T22" i="16" l="1"/>
  <c r="E23" i="17" s="1"/>
  <c r="F23" i="17" s="1"/>
  <c r="G23" i="17" s="1"/>
  <c r="T12" i="16"/>
  <c r="E13" i="17" s="1"/>
  <c r="F13" i="17" s="1"/>
  <c r="G13" i="17" s="1"/>
  <c r="T25" i="16"/>
  <c r="E26" i="17" s="1"/>
  <c r="F26" i="17" s="1"/>
  <c r="T6" i="16"/>
  <c r="E7" i="17" s="1"/>
  <c r="F7" i="17" s="1"/>
  <c r="T13" i="16"/>
  <c r="E14" i="17" s="1"/>
  <c r="F14" i="17" s="1"/>
  <c r="T21" i="16"/>
  <c r="E22" i="17" s="1"/>
  <c r="F22" i="17" s="1"/>
  <c r="T14" i="16"/>
  <c r="E15" i="17" s="1"/>
  <c r="F15" i="17" s="1"/>
  <c r="T7" i="16"/>
  <c r="E8" i="17" s="1"/>
  <c r="F8" i="17" s="1"/>
  <c r="G8" i="17" s="1"/>
  <c r="T24" i="16"/>
  <c r="E25" i="17" s="1"/>
  <c r="F25" i="17" s="1"/>
  <c r="G25" i="17" s="1"/>
  <c r="T5" i="16"/>
  <c r="E6" i="17" s="1"/>
  <c r="T19" i="16"/>
  <c r="E20" i="17" s="1"/>
  <c r="F20" i="17" s="1"/>
  <c r="T9" i="16"/>
  <c r="E10" i="17" s="1"/>
  <c r="T23" i="16"/>
  <c r="E24" i="17" s="1"/>
  <c r="F17" i="17"/>
  <c r="G17" i="17" s="1"/>
  <c r="T20" i="16"/>
  <c r="E21" i="17" s="1"/>
  <c r="T8" i="16"/>
  <c r="E9" i="17" s="1"/>
  <c r="T15" i="16"/>
  <c r="E16" i="17" s="1"/>
  <c r="T11" i="16"/>
  <c r="E12" i="17" s="1"/>
  <c r="T17" i="16"/>
  <c r="E18" i="17" s="1"/>
  <c r="T10" i="16"/>
  <c r="E11" i="17" s="1"/>
  <c r="T18" i="16"/>
  <c r="E19" i="17" s="1"/>
  <c r="F6" i="17" l="1"/>
  <c r="G6" i="17" s="1"/>
  <c r="H6" i="17" s="1"/>
  <c r="G26" i="17"/>
  <c r="Q117" i="28" s="1"/>
  <c r="Q118" i="28" s="1"/>
  <c r="G20" i="17"/>
  <c r="J20" i="17" s="1"/>
  <c r="G22" i="17"/>
  <c r="J22" i="17" s="1"/>
  <c r="G15" i="17"/>
  <c r="I15" i="17" s="1"/>
  <c r="F10" i="17"/>
  <c r="G10" i="17" s="1"/>
  <c r="J10" i="17" s="1"/>
  <c r="G14" i="17"/>
  <c r="I14" i="17" s="1"/>
  <c r="G7" i="17"/>
  <c r="J7" i="17" s="1"/>
  <c r="J8" i="17"/>
  <c r="H8" i="17"/>
  <c r="I8" i="17"/>
  <c r="J17" i="17"/>
  <c r="I17" i="17"/>
  <c r="H17" i="17"/>
  <c r="F19" i="17"/>
  <c r="G19" i="17" s="1"/>
  <c r="F11" i="17"/>
  <c r="G11" i="17" s="1"/>
  <c r="F18" i="17"/>
  <c r="G18" i="17" s="1"/>
  <c r="F24" i="17"/>
  <c r="G24" i="17" s="1"/>
  <c r="F12" i="17"/>
  <c r="G12" i="17" s="1"/>
  <c r="J25" i="17"/>
  <c r="I25" i="17"/>
  <c r="H25" i="17"/>
  <c r="J13" i="17"/>
  <c r="H13" i="17"/>
  <c r="I13" i="17"/>
  <c r="J23" i="17"/>
  <c r="H23" i="17"/>
  <c r="I23" i="17"/>
  <c r="F16" i="17"/>
  <c r="G16" i="17"/>
  <c r="F9" i="17"/>
  <c r="G9" i="17" s="1"/>
  <c r="F21" i="17"/>
  <c r="G21" i="17" s="1"/>
  <c r="Q10" i="31" l="1"/>
  <c r="Q14" i="32"/>
  <c r="Q16" i="32" s="1"/>
  <c r="Q19" i="32" s="1"/>
  <c r="Q21" i="32" s="1"/>
  <c r="Q22" i="32" s="1"/>
  <c r="Q11" i="31"/>
  <c r="Q12" i="31" s="1"/>
  <c r="Q13" i="31" s="1"/>
  <c r="Q14" i="31" s="1"/>
  <c r="Q15" i="31" s="1"/>
  <c r="Q16" i="31" s="1"/>
  <c r="Q17" i="31" s="1"/>
  <c r="Q25" i="31" s="1"/>
  <c r="Q26" i="31" s="1"/>
  <c r="Q27" i="31" s="1"/>
  <c r="Q28" i="31" s="1"/>
  <c r="Q30" i="31"/>
  <c r="Q32" i="31" s="1"/>
  <c r="Q36" i="31" s="1"/>
  <c r="Q37" i="31" s="1"/>
  <c r="Q38" i="31" s="1"/>
  <c r="Q39" i="31" s="1"/>
  <c r="Q48" i="30"/>
  <c r="Q128" i="30"/>
  <c r="Q79" i="28"/>
  <c r="Q80" i="28" s="1"/>
  <c r="Q141" i="28"/>
  <c r="Q143" i="28" s="1"/>
  <c r="Q145" i="28" s="1"/>
  <c r="Q146" i="28" s="1"/>
  <c r="Q42" i="29"/>
  <c r="Q47" i="29" s="1"/>
  <c r="Q48" i="29" s="1"/>
  <c r="Q52" i="29" s="1"/>
  <c r="Q82" i="29"/>
  <c r="Q95" i="29" s="1"/>
  <c r="Q32" i="28"/>
  <c r="Q33" i="28" s="1"/>
  <c r="Q46" i="28" s="1"/>
  <c r="Q47" i="28" s="1"/>
  <c r="Q48" i="28" s="1"/>
  <c r="Q22" i="29"/>
  <c r="I26" i="17"/>
  <c r="Q26" i="27"/>
  <c r="J26" i="17"/>
  <c r="P30" i="26"/>
  <c r="H26" i="17"/>
  <c r="J14" i="17"/>
  <c r="H14" i="17"/>
  <c r="H15" i="17"/>
  <c r="H20" i="17"/>
  <c r="I6" i="17"/>
  <c r="I22" i="17"/>
  <c r="J15" i="17"/>
  <c r="J6" i="17"/>
  <c r="H22" i="17"/>
  <c r="I20" i="17"/>
  <c r="H10" i="17"/>
  <c r="I10" i="17"/>
  <c r="H7" i="17"/>
  <c r="I7" i="17"/>
  <c r="J16" i="17"/>
  <c r="H16" i="17"/>
  <c r="I16" i="17"/>
  <c r="J12" i="17"/>
  <c r="H12" i="17"/>
  <c r="I12" i="17"/>
  <c r="J24" i="17"/>
  <c r="H24" i="17"/>
  <c r="I24" i="17"/>
  <c r="J18" i="17"/>
  <c r="H18" i="17"/>
  <c r="I18" i="17"/>
  <c r="J11" i="17"/>
  <c r="H11" i="17"/>
  <c r="I11" i="17"/>
  <c r="J21" i="17"/>
  <c r="I21" i="17"/>
  <c r="H21" i="17"/>
  <c r="J9" i="17"/>
  <c r="H9" i="17"/>
  <c r="I9" i="17"/>
  <c r="J19" i="17"/>
  <c r="H19" i="17"/>
  <c r="I19" i="17"/>
  <c r="P43" i="26" l="1"/>
  <c r="G15" i="34"/>
  <c r="H15" i="34" s="1"/>
  <c r="G6" i="34"/>
  <c r="H6" i="34" s="1"/>
  <c r="G14" i="34"/>
  <c r="H14" i="34" s="1"/>
  <c r="G16" i="34"/>
  <c r="H16" i="34" s="1"/>
  <c r="Q143" i="30"/>
  <c r="Q129" i="30"/>
  <c r="Q132" i="30" s="1"/>
  <c r="Q133" i="30" s="1"/>
  <c r="Q120" i="28"/>
  <c r="Q126" i="28" s="1"/>
  <c r="Q127" i="28" s="1"/>
  <c r="Q159" i="28"/>
  <c r="Q160" i="28" s="1"/>
  <c r="Q164" i="28" s="1"/>
  <c r="Q170" i="28" s="1"/>
  <c r="Q171" i="28" s="1"/>
  <c r="Q122" i="28"/>
  <c r="Q93" i="28"/>
  <c r="Q94" i="28" s="1"/>
  <c r="Q92" i="28"/>
  <c r="Q97" i="28"/>
  <c r="Q99" i="28" s="1"/>
  <c r="Q81" i="28"/>
  <c r="Q82" i="28" s="1"/>
  <c r="Q84" i="28" s="1"/>
  <c r="Q85" i="28" s="1"/>
  <c r="Q88" i="28" s="1"/>
  <c r="Q49" i="29"/>
  <c r="Q50" i="29" s="1"/>
  <c r="Q51" i="29" s="1"/>
  <c r="Q53" i="29" s="1"/>
  <c r="Q57" i="29" s="1"/>
  <c r="Q147" i="29"/>
  <c r="Q153" i="29"/>
  <c r="Q155" i="29" s="1"/>
  <c r="Q49" i="28"/>
  <c r="Q54" i="28" s="1"/>
  <c r="Q122" i="29"/>
  <c r="Q123" i="29"/>
  <c r="Q124" i="29" s="1"/>
  <c r="Q114" i="29"/>
  <c r="Q116" i="29" s="1"/>
  <c r="Q99" i="29"/>
  <c r="Q105" i="29" s="1"/>
  <c r="Q141" i="29" s="1"/>
  <c r="Q24" i="29"/>
  <c r="Q63" i="27"/>
  <c r="Q96" i="27"/>
  <c r="Q98" i="27" s="1"/>
  <c r="Q80" i="27"/>
  <c r="Q82" i="27" s="1"/>
  <c r="Q83" i="27" s="1"/>
  <c r="Q28" i="27"/>
  <c r="P35" i="26"/>
  <c r="P37" i="26"/>
  <c r="P41" i="26" s="1"/>
  <c r="P44" i="26" s="1"/>
  <c r="Q121" i="28" l="1"/>
  <c r="Q33" i="27"/>
  <c r="Q120" i="27"/>
  <c r="Q83" i="28"/>
  <c r="Q86" i="28" s="1"/>
  <c r="Q218" i="30"/>
  <c r="Q220" i="30" s="1"/>
  <c r="Q221" i="30" s="1"/>
  <c r="Q199" i="30"/>
  <c r="Q226" i="30" s="1"/>
  <c r="Q190" i="30"/>
  <c r="Q134" i="30"/>
  <c r="Q136" i="30" s="1"/>
  <c r="Q154" i="30" s="1"/>
  <c r="Q87" i="28"/>
  <c r="Q102" i="28"/>
  <c r="Q103" i="28"/>
  <c r="Q100" i="28"/>
  <c r="Q128" i="28"/>
  <c r="Q130" i="28" s="1"/>
  <c r="Q137" i="28" s="1"/>
  <c r="Q138" i="28" s="1"/>
  <c r="Q173" i="28"/>
  <c r="Q174" i="28"/>
  <c r="Q175" i="28" s="1"/>
  <c r="Q63" i="29"/>
  <c r="Q64" i="29" s="1"/>
  <c r="Q66" i="29" s="1"/>
  <c r="Q137" i="29"/>
  <c r="Q142" i="29"/>
  <c r="Q154" i="29"/>
  <c r="Q156" i="29" s="1"/>
  <c r="Q157" i="29" s="1"/>
  <c r="Q107" i="29"/>
  <c r="Q108" i="29" s="1"/>
  <c r="Q109" i="29" s="1"/>
  <c r="Q110" i="29" s="1"/>
  <c r="Q129" i="29"/>
  <c r="Q126" i="29"/>
  <c r="Q127" i="29" s="1"/>
  <c r="Q125" i="29"/>
  <c r="Q28" i="29"/>
  <c r="Q25" i="29"/>
  <c r="Q27" i="29"/>
  <c r="Q121" i="27"/>
  <c r="Q123" i="27" s="1"/>
  <c r="Q110" i="27"/>
  <c r="Q132" i="27"/>
  <c r="Q133" i="27" s="1"/>
  <c r="Q134" i="27" s="1"/>
  <c r="Q109" i="27"/>
  <c r="Q94" i="27"/>
  <c r="Q97" i="27"/>
  <c r="Q34" i="27"/>
  <c r="Q39" i="27" s="1"/>
  <c r="Q57" i="27"/>
  <c r="Q191" i="30" l="1"/>
  <c r="Q227" i="30"/>
  <c r="Q224" i="30"/>
  <c r="Q229" i="30"/>
  <c r="Q156" i="30"/>
  <c r="Q189" i="30"/>
  <c r="Q207" i="30"/>
  <c r="Q212" i="30" s="1"/>
  <c r="Q205" i="30"/>
  <c r="Q201" i="30"/>
  <c r="Q202" i="30" s="1"/>
  <c r="Q137" i="30"/>
  <c r="Q131" i="28"/>
  <c r="Q132" i="28" s="1"/>
  <c r="Q32" i="29"/>
  <c r="Q29" i="29"/>
  <c r="Q30" i="29" s="1"/>
  <c r="Q35" i="29"/>
  <c r="Q138" i="27"/>
  <c r="Q145" i="27" s="1"/>
  <c r="Q146" i="27" s="1"/>
  <c r="Q124" i="27"/>
  <c r="Q100" i="27"/>
  <c r="Q99" i="27"/>
  <c r="Q35" i="27"/>
  <c r="Q40" i="27" s="1"/>
  <c r="Q64" i="27" s="1"/>
  <c r="Q65" i="27" s="1"/>
  <c r="Q192" i="30" l="1"/>
  <c r="Q277" i="30"/>
  <c r="Q184" i="30"/>
  <c r="Q185" i="30" s="1"/>
  <c r="Q246" i="30"/>
  <c r="Q247" i="30" s="1"/>
  <c r="Q248" i="30" s="1"/>
  <c r="Q138" i="30"/>
  <c r="Q150" i="30" s="1"/>
  <c r="Q167" i="30"/>
  <c r="Q139" i="30"/>
  <c r="Q140" i="30" s="1"/>
  <c r="Q36" i="29"/>
  <c r="Q66" i="27"/>
  <c r="T66" i="27" s="1"/>
  <c r="Q150" i="27"/>
  <c r="Q151" i="27" s="1"/>
  <c r="Q149" i="27"/>
  <c r="Q102" i="27"/>
  <c r="Q101" i="27"/>
  <c r="Q43" i="27"/>
  <c r="Q44" i="27" s="1"/>
  <c r="Q45" i="27" s="1"/>
  <c r="Q47" i="27"/>
  <c r="Q48" i="27" s="1"/>
  <c r="Q49" i="27"/>
  <c r="Q144" i="30" l="1"/>
  <c r="Q145" i="30" s="1"/>
  <c r="Q151" i="30"/>
  <c r="Q242" i="30" s="1"/>
  <c r="Q243" i="30" s="1"/>
  <c r="Q266" i="30" s="1"/>
  <c r="Q153" i="30"/>
  <c r="Q173" i="30"/>
  <c r="Q183" i="30"/>
  <c r="Q186" i="30" s="1"/>
  <c r="Q193" i="30" s="1"/>
  <c r="Q196" i="30" s="1"/>
  <c r="Q51" i="27"/>
  <c r="Q52" i="27"/>
  <c r="Q69" i="27"/>
  <c r="Q71" i="27" s="1"/>
  <c r="Q67" i="27"/>
  <c r="Q68" i="27" s="1"/>
  <c r="Q157" i="30" l="1"/>
  <c r="Q158" i="30" s="1"/>
  <c r="Q162" i="30"/>
  <c r="Q160" i="30"/>
  <c r="Q180" i="30"/>
  <c r="Q70" i="27"/>
  <c r="Q163" i="30" l="1"/>
  <c r="Q164" i="30" s="1"/>
  <c r="Q171" i="30"/>
  <c r="Q172" i="30" s="1"/>
  <c r="Q168" i="30"/>
  <c r="Q169" i="30" s="1"/>
  <c r="Q159" i="30"/>
  <c r="Q174" i="30"/>
  <c r="Q175" i="30" s="1"/>
  <c r="Q176" i="3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tc={57DC99BD-C272-461E-AF21-F2CFB72CA3BA}</author>
  </authors>
  <commentList>
    <comment ref="F3" authorId="0" shapeId="0" xr:uid="{57DC99BD-C272-461E-AF21-F2CFB72CA3BA}">
      <text>
        <t xml:space="preserve">[Threaded comment]
Your version of Excel allows you to read this threaded comment; however, any edits to it will get removed if the file is opened in a newer version of Excel. Learn more: https://go.microsoft.com/fwlink/?linkid=870924
Comment:
    Untuk non domestik, karena untuk yang domestik sudah ditambahkan dengan kebocoran air
</t>
      </text>
    </comment>
  </commentList>
</comments>
</file>

<file path=xl/sharedStrings.xml><?xml version="1.0" encoding="utf-8"?>
<sst xmlns="http://schemas.openxmlformats.org/spreadsheetml/2006/main" count="5219" uniqueCount="2094">
  <si>
    <t>Penduduk, Luas Total Area dan Kepadatan Penduduk Menurut Kecamatan</t>
  </si>
  <si>
    <t>Penduduk, Luas Total Area dan Kepadatan Penduduk Menurut Kecamatan Yang Sudah Diurutkan Dari Yang Paling Padat Penduduknya</t>
  </si>
  <si>
    <t>No</t>
  </si>
  <si>
    <t>Kecamatan</t>
  </si>
  <si>
    <t>Luas Total Area (km2/sq.km)</t>
  </si>
  <si>
    <t>Penduduk (2021) (orang)</t>
  </si>
  <si>
    <t>Kepadatan Penduduk per Km2 (2021)</t>
  </si>
  <si>
    <t>Kepadatan Penduduk per Km2 (2022)</t>
  </si>
  <si>
    <t>Agrabinta</t>
  </si>
  <si>
    <t>Cianjur</t>
  </si>
  <si>
    <t>Leles</t>
  </si>
  <si>
    <t>Karangtengah</t>
  </si>
  <si>
    <t>Sindangbarang</t>
  </si>
  <si>
    <t>Pacet</t>
  </si>
  <si>
    <t>Cidaun</t>
  </si>
  <si>
    <t>Ciranjang</t>
  </si>
  <si>
    <t>Naringgul</t>
  </si>
  <si>
    <t>Cilaku</t>
  </si>
  <si>
    <t>Cibinong</t>
  </si>
  <si>
    <t>Sukaluyu</t>
  </si>
  <si>
    <t>Cikadu</t>
  </si>
  <si>
    <t>Warungkondang</t>
  </si>
  <si>
    <t>Tanggeung</t>
  </si>
  <si>
    <t>Cipanas</t>
  </si>
  <si>
    <t>Pasirkuda</t>
  </si>
  <si>
    <t>Cugenang</t>
  </si>
  <si>
    <t>Kadupandak</t>
  </si>
  <si>
    <t>Haurwangi</t>
  </si>
  <si>
    <t>Cijati</t>
  </si>
  <si>
    <t>Gekbrong</t>
  </si>
  <si>
    <t>Takokak</t>
  </si>
  <si>
    <t>Cibeber</t>
  </si>
  <si>
    <t>Sukanagara</t>
  </si>
  <si>
    <t>Sukaresmi</t>
  </si>
  <si>
    <t>Pagelaran</t>
  </si>
  <si>
    <t>Bojongpicung</t>
  </si>
  <si>
    <t>Campaka</t>
  </si>
  <si>
    <t>Campakamulya</t>
  </si>
  <si>
    <t>Mande</t>
  </si>
  <si>
    <t>Cikalongkulon</t>
  </si>
  <si>
    <t>Tahun</t>
  </si>
  <si>
    <t>Jumlah Penduduk (Jiwa)</t>
  </si>
  <si>
    <t>Tingkat Pertumbuhan</t>
  </si>
  <si>
    <t>Aritmatik</t>
  </si>
  <si>
    <t>Geometrik</t>
  </si>
  <si>
    <t>Exponensial</t>
  </si>
  <si>
    <t>Rata-Rata</t>
  </si>
  <si>
    <t>Backward Projection Metode Geometrik</t>
  </si>
  <si>
    <t>Backward Projection Metode Exponensial</t>
  </si>
  <si>
    <t>Backward Projection Metode Aritmatik</t>
  </si>
  <si>
    <t>Jumlah Penduduk</t>
  </si>
  <si>
    <t>n</t>
  </si>
  <si>
    <t xml:space="preserve">Backward Projection Geometrik </t>
  </si>
  <si>
    <t>Backward Projection Exponensial</t>
  </si>
  <si>
    <t>Backward Projection Aritmatik</t>
  </si>
  <si>
    <t>Standar Deviasi Metode Geometrik</t>
  </si>
  <si>
    <t>Standar Deviasi Metode Eksponensial</t>
  </si>
  <si>
    <t>Standar Deviasi Metode Aritmatik</t>
  </si>
  <si>
    <t>Tahun ke (X)</t>
  </si>
  <si>
    <t>Proyeksi Geometrik (Yi)</t>
  </si>
  <si>
    <t>Yi-Ymean</t>
  </si>
  <si>
    <t>(Yi-Ymean)²</t>
  </si>
  <si>
    <t>Proyeksi Exsponensial (Yi)</t>
  </si>
  <si>
    <t>Proyeksi Aritmatik (Yi)</t>
  </si>
  <si>
    <t>Jumlah</t>
  </si>
  <si>
    <t>Ymean</t>
  </si>
  <si>
    <t xml:space="preserve">Standar Deviasi </t>
  </si>
  <si>
    <t>Metode Proyeksi</t>
  </si>
  <si>
    <t>Standar Deviasi</t>
  </si>
  <si>
    <r>
      <t xml:space="preserve">Metode proyeksi yang terpilih untuk proyeksi penduduk pada kasus ini adalah </t>
    </r>
    <r>
      <rPr>
        <b/>
        <sz val="11"/>
        <color theme="1"/>
        <rFont val="Times New Roman"/>
        <family val="1"/>
      </rPr>
      <t>Metode Geometrik</t>
    </r>
    <r>
      <rPr>
        <sz val="11"/>
        <color theme="1"/>
        <rFont val="Times New Roman"/>
        <family val="1"/>
      </rPr>
      <t xml:space="preserve"> dikarenakan memiliki standar deviasi terkecil</t>
    </r>
  </si>
  <si>
    <t>Forward Projection Metode Geometrik (20 Tahun)</t>
  </si>
  <si>
    <t>Forward Projection Metode Geometrik (10 Tahun)</t>
  </si>
  <si>
    <t>TK</t>
  </si>
  <si>
    <t>SD</t>
  </si>
  <si>
    <t>MI</t>
  </si>
  <si>
    <t>SMP</t>
  </si>
  <si>
    <t>MTs</t>
  </si>
  <si>
    <t>SMA</t>
  </si>
  <si>
    <t>SMK</t>
  </si>
  <si>
    <t>MA</t>
  </si>
  <si>
    <t>PT</t>
  </si>
  <si>
    <t>Zona Prioritas</t>
  </si>
  <si>
    <t>Zona Pengembangan</t>
  </si>
  <si>
    <t>Kecamatan Cianjur</t>
  </si>
  <si>
    <t>Kecamatan Karangtengah</t>
  </si>
  <si>
    <t>Proyeksi Penduduk</t>
  </si>
  <si>
    <t xml:space="preserve">Kriteria Zona Prioritas : </t>
  </si>
  <si>
    <t>- Kepadatan penduduk</t>
  </si>
  <si>
    <t>- Klasifikasi wilayah (perkotaan atau perdesaan)</t>
  </si>
  <si>
    <t>- Karakteristik tata guna lahan/ Center of Business Development (CBD) (komersial atau rumah tangga)</t>
  </si>
  <si>
    <t>- Resiko kesehatan lingkungan</t>
  </si>
  <si>
    <t>- Diambil dari zona prioritas (Kecamatan : Cianjur)</t>
  </si>
  <si>
    <t xml:space="preserve">Kebutuhan Air </t>
  </si>
  <si>
    <t>- Kecamatan Cianjur merupakan Kota Sedang</t>
  </si>
  <si>
    <t>Uraian</t>
  </si>
  <si>
    <t>100.000 - 500.000</t>
  </si>
  <si>
    <t>Konsumsi Unit Sambungan Rumah (SR) (L/org/hari)</t>
  </si>
  <si>
    <t>Konsumsi Unit Hidran Umum (HU) (L/org/hari)</t>
  </si>
  <si>
    <t>Konsumsi Unit Non Domestik (%)</t>
  </si>
  <si>
    <t>Kehilangan Air (%)</t>
  </si>
  <si>
    <t>Faktor Hari Maksimum</t>
  </si>
  <si>
    <t>Faktor Jam Puncak</t>
  </si>
  <si>
    <t>Jumlah Jiwa per SR</t>
  </si>
  <si>
    <t>Jumlah Jiwa per HU</t>
  </si>
  <si>
    <t>Sisa Tekan di Jaringan Distribusi (meter kolam air)</t>
  </si>
  <si>
    <t>Jam Operasi</t>
  </si>
  <si>
    <t>Volume Reservoar (%) (Kebutuhan Maksimum)</t>
  </si>
  <si>
    <t xml:space="preserve">SR : HU </t>
  </si>
  <si>
    <t>Cakupan Pelayanan</t>
  </si>
  <si>
    <t>Kategori Kota (Sedang)</t>
  </si>
  <si>
    <t>80 : 20</t>
  </si>
  <si>
    <t>Proyeksi Fasilitas Umum</t>
  </si>
  <si>
    <t>Fasilitas</t>
  </si>
  <si>
    <t>Unit Satuan</t>
  </si>
  <si>
    <t>Pendidikan :</t>
  </si>
  <si>
    <t>Unit</t>
  </si>
  <si>
    <t>Komersial :</t>
  </si>
  <si>
    <t>Pasar</t>
  </si>
  <si>
    <t>Toko/Kios</t>
  </si>
  <si>
    <t>Minimarket</t>
  </si>
  <si>
    <t>Warung</t>
  </si>
  <si>
    <t>Kesehatan :</t>
  </si>
  <si>
    <t>Rumah Sakit Umum</t>
  </si>
  <si>
    <t>Tempat Ibadah :</t>
  </si>
  <si>
    <t>Masjid</t>
  </si>
  <si>
    <t>Mushola/Langgar</t>
  </si>
  <si>
    <t>Gereja</t>
  </si>
  <si>
    <t>Vihara/Kuil</t>
  </si>
  <si>
    <t>No.</t>
  </si>
  <si>
    <t>Satuan</t>
  </si>
  <si>
    <t>jiwa</t>
  </si>
  <si>
    <t>Tingkat Pelayanan</t>
  </si>
  <si>
    <t>%</t>
  </si>
  <si>
    <t>Jumlah Penduduk Terlayani</t>
  </si>
  <si>
    <t>Pelayanan</t>
  </si>
  <si>
    <t>Rasio Sambungan Rumah (SR)</t>
  </si>
  <si>
    <t>Penduduk Terlayani SR</t>
  </si>
  <si>
    <t>Jumlah Populasi</t>
  </si>
  <si>
    <t>Pelayanan Sambungan Rumah</t>
  </si>
  <si>
    <t>orang</t>
  </si>
  <si>
    <t>Jumlah Sambungan Rumah</t>
  </si>
  <si>
    <t>unit</t>
  </si>
  <si>
    <t>Kebutuhan Domestik per Kapita</t>
  </si>
  <si>
    <t>Sambungan Rumah</t>
  </si>
  <si>
    <t>L/orang/hari</t>
  </si>
  <si>
    <t>Tingkat Kebocoran Air</t>
  </si>
  <si>
    <t>Kebutuhan Air Domestik</t>
  </si>
  <si>
    <t>Kebutuhan Sambungan Rumah</t>
  </si>
  <si>
    <t>L/hari</t>
  </si>
  <si>
    <t>Total Kebutuhan Air Domestik</t>
  </si>
  <si>
    <t>m3/hari</t>
  </si>
  <si>
    <t>Kebutuhan Air</t>
  </si>
  <si>
    <t>Data Fasilitas Umum 2017 Sampai 2020</t>
  </si>
  <si>
    <t>Proyeksi Fasilitas Umum 2021 Sampai 2043</t>
  </si>
  <si>
    <t>Jumlah (Unit)</t>
  </si>
  <si>
    <t>Jumlah Penduduk (Unit)</t>
  </si>
  <si>
    <t>Total Penduduk (Jiwa)</t>
  </si>
  <si>
    <t>Pemakaian Air</t>
  </si>
  <si>
    <t>Jumlah Pemakaian  (L/hari)</t>
  </si>
  <si>
    <t xml:space="preserve"> (L/org/hari)</t>
  </si>
  <si>
    <t>Jumlah m2 (Unit)</t>
  </si>
  <si>
    <t>Total m2</t>
  </si>
  <si>
    <t xml:space="preserve"> (L/m2)</t>
  </si>
  <si>
    <t>Sumber : SNI 03-7065-2005</t>
  </si>
  <si>
    <t>Sumber : Buku SPALD-A</t>
  </si>
  <si>
    <t>(L/bed/hari)</t>
  </si>
  <si>
    <t>Jumlah unit (Unit)</t>
  </si>
  <si>
    <t>Total unit</t>
  </si>
  <si>
    <t>(L/unit/hari)</t>
  </si>
  <si>
    <t>MINIMARKET</t>
  </si>
  <si>
    <t>WARUNG</t>
  </si>
  <si>
    <t>RUMAH SAKIT UMUM</t>
  </si>
  <si>
    <t>MASJID</t>
  </si>
  <si>
    <t>MUSHOLLA / LANGGAR</t>
  </si>
  <si>
    <t>GEREJA</t>
  </si>
  <si>
    <t>VIHARA/KUIL</t>
  </si>
  <si>
    <t>PASAR</t>
  </si>
  <si>
    <t>TOKO / KIOS</t>
  </si>
  <si>
    <t>Jumlah Pemakaian  (m3/hari)</t>
  </si>
  <si>
    <t>RS</t>
  </si>
  <si>
    <t>Musholla</t>
  </si>
  <si>
    <t>Vihara</t>
  </si>
  <si>
    <t>(m3/hari)</t>
  </si>
  <si>
    <t>Kebutuhan Air Non Domestik (m3/hari)</t>
  </si>
  <si>
    <t>Kebutuhan Air Total</t>
  </si>
  <si>
    <t>Kebutuhan air domestik</t>
  </si>
  <si>
    <t>m3/s</t>
  </si>
  <si>
    <t>Kebutuhan air non domestik</t>
  </si>
  <si>
    <t>Kebocoran air (18%)</t>
  </si>
  <si>
    <t>Kebutuhan Maksimum (Qmaks)</t>
  </si>
  <si>
    <t>Kebutuhan rata-rata (Qavg)</t>
  </si>
  <si>
    <t>Kebutuhan puncak (Qpeak)</t>
  </si>
  <si>
    <t>Kebutuhan air minimum (Qmin)</t>
  </si>
  <si>
    <t>- Diambil dari zona pengembangan (Kecamatan : Warungkondang, Cipanas, Cugenang)</t>
  </si>
  <si>
    <t>Belum dihitung lagi</t>
  </si>
  <si>
    <t xml:space="preserve">Untuk menganalisis kualitas air baku dalam perencanaan ini, digunakan Peraturan Menteri Kesehatan RI Nomor 32 Tahun 2017 Tentang Standar Baku Mutu Kesehatan Lingkungan dan Persyaratan Kesehatan Air Untuk Keperluan Higiene Sanitasi, Kolam Renang, Solus Per Aqua, dan Pemandian Umum. </t>
  </si>
  <si>
    <t>Pada perencanaan ini digunakan untuk keperluan higiene sanitasi yang biasanya digunakan untuk pemeliharaan kebersihan perorangan seperti mandi dan sikat gigi, serta keperluan untuk cuci bahan pangan, peralatan makan, dan pakaian. Selain itu air untuk keperluan higiene sanitasi dapat digunakan sebagai air baku air minum.</t>
  </si>
  <si>
    <t>Adapun standar baku mutu kesehatan lingkungan untu kmedia air untuk keperluan higiene sanitasi meliputi parameter fisik, biologi, dan kimia yang dapat berupa parameter wajib dan parameter tambahan.Adapun parameter-parameternya adalah sebagai berikut :</t>
  </si>
  <si>
    <t>Adapun parameter yang harus diperbaiki ataupun dikurangi konsentrasinya adalah sebagai berikut:</t>
  </si>
  <si>
    <t>Sumber Air Baku</t>
  </si>
  <si>
    <t>Karakteristik Air Baku</t>
  </si>
  <si>
    <t>Waduk X</t>
  </si>
  <si>
    <t>Warna : 100Pt-Co</t>
  </si>
  <si>
    <t>Bahan organik ; 175 mg/L KMnO4</t>
  </si>
  <si>
    <t>Ada juga terdapat Peraturan Menteri Kesehatan Republik Indonesia Nomor 492/Menkes/Per/IV/2010 Tentang Persyaratan Kualitas Air Minum yang akan dipakai dalam perencanaan ini.</t>
  </si>
  <si>
    <t>Menurut karakteristik sumber air baku di atas dapat diketahui bahwa kualitas sumber air baku di Kabupaten Cianjur tersebut melebihi ambang batas jika dibandingkan dengan nilai baku mutu lingkungan yang ada Permenkes RI Nomor 32 Tahun 2017 dan Permenkes RI Nomor 492 Tahun 2010.</t>
  </si>
  <si>
    <t>ALTERNATIF I</t>
  </si>
  <si>
    <t>ALTERNATIF II</t>
  </si>
  <si>
    <t>ALTERNATIF III</t>
  </si>
  <si>
    <t>Effluent</t>
  </si>
  <si>
    <t>Intake Ponton</t>
  </si>
  <si>
    <t>Screen</t>
  </si>
  <si>
    <t>Pra-sedimentasi</t>
  </si>
  <si>
    <t>Koagulasi - Flokulasi</t>
  </si>
  <si>
    <t>Sedimentasi</t>
  </si>
  <si>
    <t>Filtrasi</t>
  </si>
  <si>
    <t>Desinfeksi</t>
  </si>
  <si>
    <t>Reservoir</t>
  </si>
  <si>
    <t>Adsorpsi</t>
  </si>
  <si>
    <t xml:space="preserve">Desinfeksi </t>
  </si>
  <si>
    <t>Kriteria Pemilihan</t>
  </si>
  <si>
    <t>Faktor Pembobotan</t>
  </si>
  <si>
    <t>Scoring</t>
  </si>
  <si>
    <t>Biaya operasi</t>
  </si>
  <si>
    <t>Total Score</t>
  </si>
  <si>
    <t>Scoring Teknologi</t>
  </si>
  <si>
    <t>Hasil :</t>
  </si>
  <si>
    <t>Aspek Teknis</t>
  </si>
  <si>
    <t>Ketersediaan lahan</t>
  </si>
  <si>
    <t>Kemudahan teknis pelayanan</t>
  </si>
  <si>
    <t>Presentase removal</t>
  </si>
  <si>
    <t>Kualitas effluent</t>
  </si>
  <si>
    <t>Ketersediaan tenaga operator</t>
  </si>
  <si>
    <t>Aspek Ekonomi</t>
  </si>
  <si>
    <t>Biaya konstruksi</t>
  </si>
  <si>
    <t>Biaya pemeliharaan</t>
  </si>
  <si>
    <t>Aspek Lingkungan</t>
  </si>
  <si>
    <t>Gangguan terhadap masyarakat sekitar</t>
  </si>
  <si>
    <t>Gangguan terhadap lingkungan fisik</t>
  </si>
  <si>
    <t>Alternatif I</t>
  </si>
  <si>
    <t>Alternatif II</t>
  </si>
  <si>
    <t>Alternatif III</t>
  </si>
  <si>
    <t>Influent</t>
  </si>
  <si>
    <t>Parameter Kualitas Air</t>
  </si>
  <si>
    <t>Bahan Organik (mg/L)</t>
  </si>
  <si>
    <t>% Removal Screen</t>
  </si>
  <si>
    <t>% Removal Intake</t>
  </si>
  <si>
    <t>% Removal Pre-Sedimentation</t>
  </si>
  <si>
    <t>Warna (Pt-Co)</t>
  </si>
  <si>
    <t>% Removal Coagulation-Flocculation</t>
  </si>
  <si>
    <t>% Removal Sedimentation</t>
  </si>
  <si>
    <t>% Removal Filtration</t>
  </si>
  <si>
    <t>Baku Mutu Lingkungan</t>
  </si>
  <si>
    <t>% Removal Adsorption</t>
  </si>
  <si>
    <t>% Removal Desinfection</t>
  </si>
  <si>
    <t>Ketersediaan alat operasi</t>
  </si>
  <si>
    <r>
      <t>Dari skoring tersebut, maka dipilih teknologi dengan</t>
    </r>
    <r>
      <rPr>
        <b/>
        <sz val="11"/>
        <color theme="1"/>
        <rFont val="Calibri"/>
        <family val="2"/>
        <scheme val="minor"/>
      </rPr>
      <t xml:space="preserve"> Alternatif III</t>
    </r>
    <r>
      <rPr>
        <sz val="11"/>
        <color theme="1"/>
        <rFont val="Calibri"/>
        <family val="2"/>
        <scheme val="minor"/>
      </rPr>
      <t xml:space="preserve"> yang akan digunakan pada perencanaan kali ini dikarenakan memiliki score yang paling tinggi diantara yang lain.</t>
    </r>
  </si>
  <si>
    <t>1. Screen</t>
  </si>
  <si>
    <t>m/s</t>
  </si>
  <si>
    <t>m</t>
  </si>
  <si>
    <t>Intake</t>
  </si>
  <si>
    <t>Jarak bukaan antar batang (b)</t>
  </si>
  <si>
    <t>Diameter batang (w)</t>
  </si>
  <si>
    <t xml:space="preserve">Kecepatan air melalui screen </t>
  </si>
  <si>
    <t>2. Intake</t>
  </si>
  <si>
    <t>v intake</t>
  </si>
  <si>
    <t>v inlet strainer</t>
  </si>
  <si>
    <t>diameter strainer</t>
  </si>
  <si>
    <t>A kotor strainer</t>
  </si>
  <si>
    <t>v air dalam pipa</t>
  </si>
  <si>
    <t>Td</t>
  </si>
  <si>
    <t>H foot valve</t>
  </si>
  <si>
    <t>Q backwashing</t>
  </si>
  <si>
    <t>T dinding hisap</t>
  </si>
  <si>
    <t>m/det</t>
  </si>
  <si>
    <t>menit</t>
  </si>
  <si>
    <t>&lt;0,08</t>
  </si>
  <si>
    <t>0,15-0,3</t>
  </si>
  <si>
    <t>0,006-0,012</t>
  </si>
  <si>
    <t>2 x A efektif strainer</t>
  </si>
  <si>
    <t>0,6-1,5</t>
  </si>
  <si>
    <t>&lt;20</t>
  </si>
  <si>
    <t>&gt;60</t>
  </si>
  <si>
    <t>1/3 Qhisap</t>
  </si>
  <si>
    <t>&gt;20</t>
  </si>
  <si>
    <t xml:space="preserve">Kemiringan bar </t>
  </si>
  <si>
    <t>Qasim (2000)</t>
  </si>
  <si>
    <t>Cipta Karya RISPAM 2015</t>
  </si>
  <si>
    <t>inch</t>
  </si>
  <si>
    <t>&gt;1-8</t>
  </si>
  <si>
    <t>40-60</t>
  </si>
  <si>
    <t>0,5-1</t>
  </si>
  <si>
    <t>0,3-0,6</t>
  </si>
  <si>
    <t>Ketinggian air</t>
  </si>
  <si>
    <t xml:space="preserve">Diameter bar </t>
  </si>
  <si>
    <t>degree</t>
  </si>
  <si>
    <t>Lebar saluran</t>
  </si>
  <si>
    <t xml:space="preserve">Kecepatan aliran </t>
  </si>
  <si>
    <t>&lt; 0,6</t>
  </si>
  <si>
    <t>1.</t>
  </si>
  <si>
    <t>Simbol</t>
  </si>
  <si>
    <t>Perhitungan</t>
  </si>
  <si>
    <t>Hasil</t>
  </si>
  <si>
    <t>Diameter batang</t>
  </si>
  <si>
    <t xml:space="preserve">Jarak bukaan antar batang </t>
  </si>
  <si>
    <t>Lebar</t>
  </si>
  <si>
    <t>L</t>
  </si>
  <si>
    <t>w</t>
  </si>
  <si>
    <t>b</t>
  </si>
  <si>
    <t>Kriteria</t>
  </si>
  <si>
    <t>Asumsi</t>
  </si>
  <si>
    <t>Kriteria desain</t>
  </si>
  <si>
    <t>Jumlah batang</t>
  </si>
  <si>
    <t>batang</t>
  </si>
  <si>
    <t>n=L-b/w+b</t>
  </si>
  <si>
    <t>Lebar bukan total</t>
  </si>
  <si>
    <t>L'</t>
  </si>
  <si>
    <t>L-nw</t>
  </si>
  <si>
    <t>Cek kecepatan pada aliran batang</t>
  </si>
  <si>
    <t>Ac</t>
  </si>
  <si>
    <t>m2</t>
  </si>
  <si>
    <t>Debit desain</t>
  </si>
  <si>
    <t xml:space="preserve">Waktu detensi </t>
  </si>
  <si>
    <t>Waktu detensi</t>
  </si>
  <si>
    <t>Luas penampang</t>
  </si>
  <si>
    <t>Q</t>
  </si>
  <si>
    <t>Qaverage</t>
  </si>
  <si>
    <t>HWL</t>
  </si>
  <si>
    <t>LWL</t>
  </si>
  <si>
    <t xml:space="preserve">Tingkat air tertinggi di atas danau </t>
  </si>
  <si>
    <t xml:space="preserve">Muka air terendah di atas danau </t>
  </si>
  <si>
    <t>L'xHWL</t>
  </si>
  <si>
    <t>v</t>
  </si>
  <si>
    <t>Q/Ac</t>
  </si>
  <si>
    <t>Keterangan</t>
  </si>
  <si>
    <t>&lt;0,6 m/s OK!</t>
  </si>
  <si>
    <t>Volume setiap sumur intake</t>
  </si>
  <si>
    <t>Kedalaman efektif sumur</t>
  </si>
  <si>
    <t>Asumsi freeboard</t>
  </si>
  <si>
    <t>Total kedalaman sumur intake</t>
  </si>
  <si>
    <t>Luas permukaan</t>
  </si>
  <si>
    <t>Diameter</t>
  </si>
  <si>
    <t>Kecepatan aliran</t>
  </si>
  <si>
    <t>V</t>
  </si>
  <si>
    <t>H</t>
  </si>
  <si>
    <t>Fb</t>
  </si>
  <si>
    <t>H'</t>
  </si>
  <si>
    <t>A</t>
  </si>
  <si>
    <t>d</t>
  </si>
  <si>
    <t>Va</t>
  </si>
  <si>
    <t>m3</t>
  </si>
  <si>
    <t>QxTd</t>
  </si>
  <si>
    <t>HWL-(LWL-1,5)</t>
  </si>
  <si>
    <t>H+Fb</t>
  </si>
  <si>
    <t>V/H'</t>
  </si>
  <si>
    <t>((Qx4/(vx3,14))^0,5</t>
  </si>
  <si>
    <t>Kecepatan asumsi</t>
  </si>
  <si>
    <t>Vasumsi</t>
  </si>
  <si>
    <t>Q/A</t>
  </si>
  <si>
    <t>&lt;0,08 m/s OK!</t>
  </si>
  <si>
    <t>Kawamura</t>
  </si>
  <si>
    <t>&lt;0,15</t>
  </si>
  <si>
    <t>&lt;0,1</t>
  </si>
  <si>
    <t>2.</t>
  </si>
  <si>
    <t xml:space="preserve"> </t>
  </si>
  <si>
    <t>- Diambil dari zona prioritas (Kecamatan : Cianjur, Karangtengah)</t>
  </si>
  <si>
    <t>Jumlah bak</t>
  </si>
  <si>
    <t>Beban ambang pelimpah</t>
  </si>
  <si>
    <t>Kecepatan aliran rata-rata</t>
  </si>
  <si>
    <t>Beban permukaan</t>
  </si>
  <si>
    <t>Rasio P:L</t>
  </si>
  <si>
    <t>Kedalaman bak</t>
  </si>
  <si>
    <t>buah</t>
  </si>
  <si>
    <t>L/s</t>
  </si>
  <si>
    <t>m/menit</t>
  </si>
  <si>
    <t>m/hari</t>
  </si>
  <si>
    <t>Kawamura (1991)</t>
  </si>
  <si>
    <t>min 2</t>
  </si>
  <si>
    <t>1,4 - 40</t>
  </si>
  <si>
    <t>3 - 4,5</t>
  </si>
  <si>
    <t>20 - 80</t>
  </si>
  <si>
    <t>30 - 180</t>
  </si>
  <si>
    <t>6:1</t>
  </si>
  <si>
    <t>1,5 - 2,5</t>
  </si>
  <si>
    <t>Bilangan Reynold</t>
  </si>
  <si>
    <t>Bilangan Froud</t>
  </si>
  <si>
    <t>Nre &lt; 2000</t>
  </si>
  <si>
    <t>NFr &gt; 10^-5</t>
  </si>
  <si>
    <t>Data Perencanaan</t>
  </si>
  <si>
    <t>*)</t>
  </si>
  <si>
    <t>Unit (rectangular)</t>
  </si>
  <si>
    <t>Efisiensi penyisihan</t>
  </si>
  <si>
    <t>y/yo</t>
  </si>
  <si>
    <t>Performance bak</t>
  </si>
  <si>
    <t>x</t>
  </si>
  <si>
    <t>Kecepatan pengendapan partikel diskrit</t>
  </si>
  <si>
    <t>vs</t>
  </si>
  <si>
    <t>Perbandingan panjang dan lebar bak</t>
  </si>
  <si>
    <t>P:L</t>
  </si>
  <si>
    <t>Pra-Sedimentasi (Rectangular)</t>
  </si>
  <si>
    <t>Kapasitas tiap bak</t>
  </si>
  <si>
    <t>q</t>
  </si>
  <si>
    <t>Debit</t>
  </si>
  <si>
    <t>Qav</t>
  </si>
  <si>
    <t>Q/x</t>
  </si>
  <si>
    <t>QA</t>
  </si>
  <si>
    <t>m3/m2/s</t>
  </si>
  <si>
    <t>(n x vs) /( (1-y/yo)^-n)-1)</t>
  </si>
  <si>
    <t>Dimensi bak</t>
  </si>
  <si>
    <t>As</t>
  </si>
  <si>
    <t>q/(QA)</t>
  </si>
  <si>
    <t>Panjang</t>
  </si>
  <si>
    <t>P</t>
  </si>
  <si>
    <t>SQRT(6 x As)</t>
  </si>
  <si>
    <t>1/6 x P</t>
  </si>
  <si>
    <t>h</t>
  </si>
  <si>
    <t>Freeboard</t>
  </si>
  <si>
    <t>Dimensi</t>
  </si>
  <si>
    <t>Volume bak</t>
  </si>
  <si>
    <t>P x L x h</t>
  </si>
  <si>
    <t>td</t>
  </si>
  <si>
    <t>V/q</t>
  </si>
  <si>
    <t>detik</t>
  </si>
  <si>
    <t>(V/q) / 60</t>
  </si>
  <si>
    <t>30 - 180 menit OK!</t>
  </si>
  <si>
    <t>Kontrol Aliran</t>
  </si>
  <si>
    <t>Across</t>
  </si>
  <si>
    <t>Area cross</t>
  </si>
  <si>
    <t>L x h</t>
  </si>
  <si>
    <t>Kecepatan horizontal</t>
  </si>
  <si>
    <t>q/Across</t>
  </si>
  <si>
    <t>Jari-jari hidrolis</t>
  </si>
  <si>
    <t>R</t>
  </si>
  <si>
    <t>L x h / (L + 2h)</t>
  </si>
  <si>
    <t>Nilai viskositas kinematik</t>
  </si>
  <si>
    <t>m2/s</t>
  </si>
  <si>
    <t>Ketentuan</t>
  </si>
  <si>
    <t>Nre</t>
  </si>
  <si>
    <t>(vb x R) / v</t>
  </si>
  <si>
    <t>Bilangan Froude</t>
  </si>
  <si>
    <t>NFr</t>
  </si>
  <si>
    <t>(vb^2)/(g x R)</t>
  </si>
  <si>
    <t>Kontrol Penggerusan</t>
  </si>
  <si>
    <t>Diameter partikel diskrit</t>
  </si>
  <si>
    <t>Massa jenis partikel</t>
  </si>
  <si>
    <t>ps</t>
  </si>
  <si>
    <t>kg/m3</t>
  </si>
  <si>
    <t>Massa jenis air</t>
  </si>
  <si>
    <t>pw</t>
  </si>
  <si>
    <t>Nrep</t>
  </si>
  <si>
    <t>(QA/ (As x d)) / v</t>
  </si>
  <si>
    <t>Turbulen</t>
  </si>
  <si>
    <t xml:space="preserve">Kecepatan penggerusan </t>
  </si>
  <si>
    <t>vg</t>
  </si>
  <si>
    <t>a</t>
  </si>
  <si>
    <t>Konstanta</t>
  </si>
  <si>
    <t>SQRT((8b/a) x ((ps - pw)/pw) x g x d )</t>
  </si>
  <si>
    <t>vh</t>
  </si>
  <si>
    <t>0,072 &gt; 0,0108 OK!</t>
  </si>
  <si>
    <t>Kontrol Operasional</t>
  </si>
  <si>
    <t>q1</t>
  </si>
  <si>
    <t>Q/3</t>
  </si>
  <si>
    <t xml:space="preserve">Luas </t>
  </si>
  <si>
    <t>As1</t>
  </si>
  <si>
    <t>P x L</t>
  </si>
  <si>
    <t>QA1</t>
  </si>
  <si>
    <t>q1/As1</t>
  </si>
  <si>
    <t>y/yo1</t>
  </si>
  <si>
    <t>1-(1+(((n x vs)/(QA1))^(-1/n))</t>
  </si>
  <si>
    <t>td1</t>
  </si>
  <si>
    <t>V/q1</t>
  </si>
  <si>
    <t>(V/q1)/60</t>
  </si>
  <si>
    <t>OK!</t>
  </si>
  <si>
    <t>vh1</t>
  </si>
  <si>
    <t>q1/Across</t>
  </si>
  <si>
    <t>NRe1</t>
  </si>
  <si>
    <t>(vh1 x R) / v</t>
  </si>
  <si>
    <t>NFr1</t>
  </si>
  <si>
    <t>(vh1^2)/g x R</t>
  </si>
  <si>
    <t>*) Jika satu bak dikuras maka hanya tiga bak yang beroperasi</t>
  </si>
  <si>
    <t>Saluran Inlet</t>
  </si>
  <si>
    <t>Koefisien Manning</t>
  </si>
  <si>
    <t>nmanning</t>
  </si>
  <si>
    <t>Jumlah saluran inlet</t>
  </si>
  <si>
    <t>x1</t>
  </si>
  <si>
    <t>Dimensi saluran inlet</t>
  </si>
  <si>
    <t>Kedalaman air di saluran</t>
  </si>
  <si>
    <t>P1</t>
  </si>
  <si>
    <t>L1</t>
  </si>
  <si>
    <t>H1</t>
  </si>
  <si>
    <t>Fb1</t>
  </si>
  <si>
    <t>Kecepatan horizontal di saluran</t>
  </si>
  <si>
    <t>vh2</t>
  </si>
  <si>
    <t>Q/(L1 x H1)</t>
  </si>
  <si>
    <t>R1</t>
  </si>
  <si>
    <t>(L1 x H1)/(L1 + (2 x H1))</t>
  </si>
  <si>
    <t>Kemiringan saluran</t>
  </si>
  <si>
    <t>S</t>
  </si>
  <si>
    <t>((vh2 x nmanning) / (R1^2/3))^2</t>
  </si>
  <si>
    <t>Kehilangan tekan di saluran inlet</t>
  </si>
  <si>
    <t>HL</t>
  </si>
  <si>
    <t>S x P1</t>
  </si>
  <si>
    <t>Zona Inlet</t>
  </si>
  <si>
    <t>Dimensi zona inlet</t>
  </si>
  <si>
    <t xml:space="preserve">Panjang </t>
  </si>
  <si>
    <t>Pada Zona Inlet Terdapat Pintu Air</t>
  </si>
  <si>
    <t>Lp</t>
  </si>
  <si>
    <t>Lebar Pintu Air</t>
  </si>
  <si>
    <t>Bukaan Pintu Air</t>
  </si>
  <si>
    <t>hf</t>
  </si>
  <si>
    <t xml:space="preserve">Koefisien Pemerata Aliran </t>
  </si>
  <si>
    <t xml:space="preserve">Debit melalui pintu air </t>
  </si>
  <si>
    <t>q (tiap bak)</t>
  </si>
  <si>
    <t xml:space="preserve">Headloss di pintu air </t>
  </si>
  <si>
    <t>Headloss di pintu air pertama</t>
  </si>
  <si>
    <t>Hpl</t>
  </si>
  <si>
    <t>cm</t>
  </si>
  <si>
    <t>Q/(2,746 x ((hf)^(2/3)) x Lp)</t>
  </si>
  <si>
    <t>Hp2</t>
  </si>
  <si>
    <t>Sehingga ditentukan</t>
  </si>
  <si>
    <t>Headloss di pintu air kedua</t>
  </si>
  <si>
    <t>Headloss di pintu air ketiga</t>
  </si>
  <si>
    <t>Hp3</t>
  </si>
  <si>
    <t xml:space="preserve">Headloss di pintu air keempat </t>
  </si>
  <si>
    <t>Hp4</t>
  </si>
  <si>
    <t>Sistem Outlet</t>
  </si>
  <si>
    <t>Pelimpah</t>
  </si>
  <si>
    <t>Pelimpah berupa mercu tajam dengan ketebalan 5 cm</t>
  </si>
  <si>
    <t xml:space="preserve">Panjang pelimpah </t>
  </si>
  <si>
    <t>Jumlah pelimpah</t>
  </si>
  <si>
    <t>Total panjang pelimpah</t>
  </si>
  <si>
    <t>Ltot</t>
  </si>
  <si>
    <t>Beban pelimpah</t>
  </si>
  <si>
    <t>bp</t>
  </si>
  <si>
    <t>m3/m/s</t>
  </si>
  <si>
    <t>q/Ltot</t>
  </si>
  <si>
    <t>Tinggi air di atas pelimpah</t>
  </si>
  <si>
    <t>hb</t>
  </si>
  <si>
    <t>((q/(3,33 x Ltot))^2/3</t>
  </si>
  <si>
    <t>Saluran Outlet</t>
  </si>
  <si>
    <t>Beton</t>
  </si>
  <si>
    <t>Koef. Manning</t>
  </si>
  <si>
    <t>Dibuat terjunan</t>
  </si>
  <si>
    <t>tj</t>
  </si>
  <si>
    <t>Saluran Pelimpah</t>
  </si>
  <si>
    <t xml:space="preserve">Jumlah saluran </t>
  </si>
  <si>
    <t xml:space="preserve">Panjang saluran </t>
  </si>
  <si>
    <t>Psp</t>
  </si>
  <si>
    <t xml:space="preserve">Lebar saluran </t>
  </si>
  <si>
    <t>Lsp</t>
  </si>
  <si>
    <t>Kecepatan aliran di saluran pelimpah</t>
  </si>
  <si>
    <t>Vsp</t>
  </si>
  <si>
    <t>Kriteria Desain</t>
  </si>
  <si>
    <t>Luas penampang saluran</t>
  </si>
  <si>
    <t>Across(sp)</t>
  </si>
  <si>
    <t xml:space="preserve">Kedalaman air di saluran pelimpah </t>
  </si>
  <si>
    <t>hsp</t>
  </si>
  <si>
    <t>Across(sp)/Lsp</t>
  </si>
  <si>
    <t>Fbsp</t>
  </si>
  <si>
    <t xml:space="preserve">Bilangan terjunan </t>
  </si>
  <si>
    <t>D</t>
  </si>
  <si>
    <t>((q/b)^2)/(9,81x(hsp^3))</t>
  </si>
  <si>
    <t>Panjang terjunan</t>
  </si>
  <si>
    <t>Ld</t>
  </si>
  <si>
    <t>4,3x(hsp)x(D^0,27)</t>
  </si>
  <si>
    <t>Ruang lumpur (limas terpancung)</t>
  </si>
  <si>
    <t>Pl</t>
  </si>
  <si>
    <t>Ruang underdrain</t>
  </si>
  <si>
    <t>RU</t>
  </si>
  <si>
    <t xml:space="preserve">Debit lumpur </t>
  </si>
  <si>
    <t>ql</t>
  </si>
  <si>
    <t>ml/L</t>
  </si>
  <si>
    <t xml:space="preserve">Debit pengolahan </t>
  </si>
  <si>
    <t xml:space="preserve">Volume lumpur </t>
  </si>
  <si>
    <t>Vl</t>
  </si>
  <si>
    <t>Vp</t>
  </si>
  <si>
    <t>( ql x q ) x 1000 x 86400</t>
  </si>
  <si>
    <t>ml/hari</t>
  </si>
  <si>
    <t>Volume limas</t>
  </si>
  <si>
    <t>Kedalaman ruang pengumpul lumpur</t>
  </si>
  <si>
    <t>Ketinggian limas terpancung</t>
  </si>
  <si>
    <t>h1</t>
  </si>
  <si>
    <t>h2</t>
  </si>
  <si>
    <t>1/3 x Pl x Lp x (h1 + h2)</t>
  </si>
  <si>
    <t>Volume limas terpancung</t>
  </si>
  <si>
    <t>Vlp</t>
  </si>
  <si>
    <t>(1/3) x (1/3) x Pl x (1/3) x Lp x h2</t>
  </si>
  <si>
    <t>Volume ruang lumpur</t>
  </si>
  <si>
    <t>VL</t>
  </si>
  <si>
    <t>Vp - Vlp</t>
  </si>
  <si>
    <t>Periode Pengurasan</t>
  </si>
  <si>
    <t>t</t>
  </si>
  <si>
    <t>hari</t>
  </si>
  <si>
    <t>VL/Vl</t>
  </si>
  <si>
    <t>Pipa Drain Lumpur</t>
  </si>
  <si>
    <t>Jenis pipa drain yang digunakan yaitu pipa steel</t>
  </si>
  <si>
    <t>Jarak pipa drain dan lagoon</t>
  </si>
  <si>
    <t>Ldl</t>
  </si>
  <si>
    <t xml:space="preserve">Kecepatan aliran lumpur </t>
  </si>
  <si>
    <t>Val</t>
  </si>
  <si>
    <t>Waktu pengurasan lumpur</t>
  </si>
  <si>
    <t>tp</t>
  </si>
  <si>
    <t xml:space="preserve">Volume lumpur yang dikeluarkan </t>
  </si>
  <si>
    <t>Vpl</t>
  </si>
  <si>
    <t>Vl x  t</t>
  </si>
  <si>
    <t xml:space="preserve">Debit pengurasan </t>
  </si>
  <si>
    <t>qp</t>
  </si>
  <si>
    <t>Vpl/tp</t>
  </si>
  <si>
    <t xml:space="preserve">Diameter pipa drain </t>
  </si>
  <si>
    <t>ddr</t>
  </si>
  <si>
    <t>Luas penampang pipa</t>
  </si>
  <si>
    <t>Ap</t>
  </si>
  <si>
    <t>0,25 X 3,14 x (ddr^2)</t>
  </si>
  <si>
    <t>Kecepatan aliran lumpur saat pengurasan</t>
  </si>
  <si>
    <t>Valp</t>
  </si>
  <si>
    <t>qp/Ap</t>
  </si>
  <si>
    <t xml:space="preserve">Kemiringan pipa </t>
  </si>
  <si>
    <t>Sdl</t>
  </si>
  <si>
    <t>(qp/0,278 x C x (d^2,63))^(1/0,54)</t>
  </si>
  <si>
    <t>Kehilangan tekanan akibat pengurasan</t>
  </si>
  <si>
    <t>Sdl x Ldl</t>
  </si>
  <si>
    <t>Jumlah bak minimum</t>
  </si>
  <si>
    <t>Kedalaman air</t>
  </si>
  <si>
    <t>Rasio lebar bak dan kedalaman air</t>
  </si>
  <si>
    <t>Beban Pelimpah</t>
  </si>
  <si>
    <t>Kemiringan Plate Settler</t>
  </si>
  <si>
    <t>Bilangan Reynolds</t>
  </si>
  <si>
    <t>3 - 5</t>
  </si>
  <si>
    <t>(4 - 6) : 1</t>
  </si>
  <si>
    <t>(3 - 6) : 1</t>
  </si>
  <si>
    <t>0,15 - 0,2</t>
  </si>
  <si>
    <t>5 - 20</t>
  </si>
  <si>
    <t>5 - 8.8</t>
  </si>
  <si>
    <t>&lt;12,5</t>
  </si>
  <si>
    <t>45 - 60</t>
  </si>
  <si>
    <t>25 - 50</t>
  </si>
  <si>
    <t>&lt; 2000</t>
  </si>
  <si>
    <t>&gt; 10 ^(-5)</t>
  </si>
  <si>
    <t>1-8</t>
  </si>
  <si>
    <t>Jarak tegak lurus antar plate settler</t>
  </si>
  <si>
    <t>Rasio panjang dan lebar bak</t>
  </si>
  <si>
    <t>m/min</t>
  </si>
  <si>
    <t>m3/m2.jam</t>
  </si>
  <si>
    <t>m3/m.jam</t>
  </si>
  <si>
    <t>mm</t>
  </si>
  <si>
    <t>Debit perencanaan</t>
  </si>
  <si>
    <t>Jumlah bak sedimentasi</t>
  </si>
  <si>
    <t>Lebar bak sedimentasi</t>
  </si>
  <si>
    <t>Kedalaman zona pengendapan</t>
  </si>
  <si>
    <t>Kemiringan plate settler</t>
  </si>
  <si>
    <t>Efisiensi penyisihan partikel flok</t>
  </si>
  <si>
    <t>Performance bak sangat baik</t>
  </si>
  <si>
    <t>Kecepatan pengendapan partikel flok alum</t>
  </si>
  <si>
    <t>n1</t>
  </si>
  <si>
    <t>Vs</t>
  </si>
  <si>
    <t>˚</t>
  </si>
  <si>
    <t>1/8</t>
  </si>
  <si>
    <t>cm/s</t>
  </si>
  <si>
    <t>Zona Pengendapan</t>
  </si>
  <si>
    <t>Q/4</t>
  </si>
  <si>
    <t>Debit Rencana</t>
  </si>
  <si>
    <t xml:space="preserve">Beban permukaan </t>
  </si>
  <si>
    <t>QAs</t>
  </si>
  <si>
    <t>(n1 x vs) /( (1-y/yo)^-n)-1)</t>
  </si>
  <si>
    <t xml:space="preserve">Tinggi pengendapan </t>
  </si>
  <si>
    <t>z</t>
  </si>
  <si>
    <t>w/cos a</t>
  </si>
  <si>
    <t>Panjang plate</t>
  </si>
  <si>
    <t>p</t>
  </si>
  <si>
    <t>H / sin a</t>
  </si>
  <si>
    <t>Panjang zona pengendapan</t>
  </si>
  <si>
    <t>p'</t>
  </si>
  <si>
    <t>(H/sin a)+(w/tan a)</t>
  </si>
  <si>
    <t>Kecepatan horizontal di dalam plate</t>
  </si>
  <si>
    <t>Vo</t>
  </si>
  <si>
    <t>(((H x cos a)+(w cos^2 a))/(w x sin a))*QAs</t>
  </si>
  <si>
    <t>z/QAs</t>
  </si>
  <si>
    <t>OK! 5 - 20 menit</t>
  </si>
  <si>
    <t>Debit per satu kolom plate</t>
  </si>
  <si>
    <t>Vo x w x L</t>
  </si>
  <si>
    <t>qplate</t>
  </si>
  <si>
    <t>Jumlah plate yang dibutuhkan</t>
  </si>
  <si>
    <t>n2</t>
  </si>
  <si>
    <t>(q/qplate)+1</t>
  </si>
  <si>
    <t>Panjang Zona Plate Settler</t>
  </si>
  <si>
    <t>Pz</t>
  </si>
  <si>
    <t>(n2-1) x (w/sin a)+p x cos a</t>
  </si>
  <si>
    <t>Panjang zona pengendapan tanpa plate settler</t>
  </si>
  <si>
    <t>Pi</t>
  </si>
  <si>
    <t>1/3 x Pz</t>
  </si>
  <si>
    <t>Panjang total zona pengendapan</t>
  </si>
  <si>
    <t>Pt</t>
  </si>
  <si>
    <t>Pz + Pi</t>
  </si>
  <si>
    <t>Jarak muka air dengan plate</t>
  </si>
  <si>
    <t>hl</t>
  </si>
  <si>
    <t>Jarak plate dengan dasar zona sedimentasi</t>
  </si>
  <si>
    <t>hp</t>
  </si>
  <si>
    <t>Kedalaman total bak</t>
  </si>
  <si>
    <t>Htot</t>
  </si>
  <si>
    <t>hp + H + hl</t>
  </si>
  <si>
    <t>Dimensi Bak Sedimentasi</t>
  </si>
  <si>
    <t>Panjang bak</t>
  </si>
  <si>
    <t>Lebar bak</t>
  </si>
  <si>
    <t>w/2</t>
  </si>
  <si>
    <t>(Vo x R)/v -&gt; (9,539 x 10^-7)</t>
  </si>
  <si>
    <t>Ok! &lt;2000</t>
  </si>
  <si>
    <t>(Vo^2)/g x R</t>
  </si>
  <si>
    <t>Ok! &gt;10^(-5)</t>
  </si>
  <si>
    <t>Headloss pada bukaan</t>
  </si>
  <si>
    <t>Diameter bukaan orifice</t>
  </si>
  <si>
    <t>Jarak antar pusat bukaan orifice</t>
  </si>
  <si>
    <t>0,3 - 0,9</t>
  </si>
  <si>
    <t>0,075 - 0,2</t>
  </si>
  <si>
    <t>0,25 - 0,5</t>
  </si>
  <si>
    <t>Koefisien saluran beton</t>
  </si>
  <si>
    <t>Panjang saluran inlet = Lebar bak sedimentasi</t>
  </si>
  <si>
    <t>Wor</t>
  </si>
  <si>
    <t>Koagulasi</t>
  </si>
  <si>
    <t>Gradien Kecepatan</t>
  </si>
  <si>
    <t>Reynold (1982)</t>
  </si>
  <si>
    <t>Schulz&amp;Okun (1984)</t>
  </si>
  <si>
    <t>Headloss</t>
  </si>
  <si>
    <t>Ketinggian pencampuran</t>
  </si>
  <si>
    <t>Rasio Kedalaman</t>
  </si>
  <si>
    <t>det^(-1)</t>
  </si>
  <si>
    <t>10^4 - 10^5</t>
  </si>
  <si>
    <t>20 - 60</t>
  </si>
  <si>
    <t>&gt; 0,6</t>
  </si>
  <si>
    <t>&gt;0,3</t>
  </si>
  <si>
    <t>&gt;2</t>
  </si>
  <si>
    <t>&gt; 2,83</t>
  </si>
  <si>
    <t>Tinggi terjunan</t>
  </si>
  <si>
    <t>Lebar terjunan</t>
  </si>
  <si>
    <t>Gradien</t>
  </si>
  <si>
    <t>G</t>
  </si>
  <si>
    <t>/detik</t>
  </si>
  <si>
    <t>Debit Perencanaan</t>
  </si>
  <si>
    <t>Bilangan terjunan</t>
  </si>
  <si>
    <t>Kedalaman air di beberapa titik</t>
  </si>
  <si>
    <t>Kedalaman air di titik 1</t>
  </si>
  <si>
    <t>Kedalaman air di titik 2</t>
  </si>
  <si>
    <t>Kontrol aliran</t>
  </si>
  <si>
    <t>Panjang loncatan</t>
  </si>
  <si>
    <t>Panjang bak setelah loncatan</t>
  </si>
  <si>
    <t>Waktu loncatan hidrolis</t>
  </si>
  <si>
    <t>Waktu terjunan</t>
  </si>
  <si>
    <t>Panjang bak unit koagulasi</t>
  </si>
  <si>
    <t>(G^2 x td x niu)/massa jenis x gravitasi</t>
  </si>
  <si>
    <t>((Q/w x b)^2)/(g x H^3)</t>
  </si>
  <si>
    <t>4,3 x H x D^(0,27)</t>
  </si>
  <si>
    <t>Y1</t>
  </si>
  <si>
    <t>0,54 x H x D^0,425</t>
  </si>
  <si>
    <t>Y2</t>
  </si>
  <si>
    <t>1,66 x H x D^0,27</t>
  </si>
  <si>
    <t>CA</t>
  </si>
  <si>
    <t>Y2/Y1</t>
  </si>
  <si>
    <t>OK! &gt; 2,83</t>
  </si>
  <si>
    <t>F</t>
  </si>
  <si>
    <t>(((Y2/Y1)*2)+1)/(SQRT(8))</t>
  </si>
  <si>
    <t>OK! &gt; 2</t>
  </si>
  <si>
    <t>L/Y2</t>
  </si>
  <si>
    <t>Lihat grafik hubungan antara F dengan L/Y2</t>
  </si>
  <si>
    <t>L/Y2 x Y2</t>
  </si>
  <si>
    <t>t2</t>
  </si>
  <si>
    <t>tt</t>
  </si>
  <si>
    <t>Lb</t>
  </si>
  <si>
    <t>(td-tt-t2) x Q / (Y2 x b)</t>
  </si>
  <si>
    <t>Lmin</t>
  </si>
  <si>
    <t>Ld + L + Lb</t>
  </si>
  <si>
    <t>Hb</t>
  </si>
  <si>
    <t>Bak Pembubuh Koagulan</t>
  </si>
  <si>
    <t>Koagulan yang akan digunakan adalah Al2(SO4)3</t>
  </si>
  <si>
    <t>Jumlah bak pembubuh</t>
  </si>
  <si>
    <t>Dosis alum</t>
  </si>
  <si>
    <t>Berat jenis alum</t>
  </si>
  <si>
    <t>Konsentrasi alum</t>
  </si>
  <si>
    <t>Debit pengolahan</t>
  </si>
  <si>
    <t>DA</t>
  </si>
  <si>
    <t>pAl</t>
  </si>
  <si>
    <t>Cal</t>
  </si>
  <si>
    <t>m3/det</t>
  </si>
  <si>
    <t>mg/L</t>
  </si>
  <si>
    <t>kg/L</t>
  </si>
  <si>
    <t>Kebutuhan alum</t>
  </si>
  <si>
    <t>mAl</t>
  </si>
  <si>
    <t>Kg/hari</t>
  </si>
  <si>
    <t>mg/det</t>
  </si>
  <si>
    <t>q x DA x 1000 L/m3</t>
  </si>
  <si>
    <t>Debit alum</t>
  </si>
  <si>
    <t>qAl</t>
  </si>
  <si>
    <t>mAl / pAl</t>
  </si>
  <si>
    <t>Volume alum tiap pembubuhan</t>
  </si>
  <si>
    <t>qAl x td (1 hari)</t>
  </si>
  <si>
    <t>Volume pelarut</t>
  </si>
  <si>
    <t>Vair</t>
  </si>
  <si>
    <t>((((1-Cal)/CAl) x mAl) / p air)) x td (1 hari)</t>
  </si>
  <si>
    <t>Volume larutan</t>
  </si>
  <si>
    <t>Val + Vair</t>
  </si>
  <si>
    <t>Dimensi bak pembubuh</t>
  </si>
  <si>
    <t>Diameter bak pembubuh</t>
  </si>
  <si>
    <t>Luas alas bak pembubuh</t>
  </si>
  <si>
    <t>Ketinggian bak pembubuh</t>
  </si>
  <si>
    <t>FB1</t>
  </si>
  <si>
    <t>1/4 x phi x (d^2)</t>
  </si>
  <si>
    <t>V/A</t>
  </si>
  <si>
    <t>Pompa Pembubuh Koagulan</t>
  </si>
  <si>
    <t>Jumlah pompa</t>
  </si>
  <si>
    <t>Efisiensi pompa</t>
  </si>
  <si>
    <t>ne</t>
  </si>
  <si>
    <t>Head pompa disediakan</t>
  </si>
  <si>
    <t>Hp</t>
  </si>
  <si>
    <t>Debit larutan alum</t>
  </si>
  <si>
    <t>Massa jenis larutan</t>
  </si>
  <si>
    <t>Daya pompa</t>
  </si>
  <si>
    <t>pl</t>
  </si>
  <si>
    <t>Kg/m3</t>
  </si>
  <si>
    <t>1/((Cal / pAl)+((1-Cal)/p air))</t>
  </si>
  <si>
    <t>watt</t>
  </si>
  <si>
    <t>(pl x g x ql x Hp)/ne</t>
  </si>
  <si>
    <t>Pompa yang akan digunakan memiliki motor dengan daya 80 Watt</t>
  </si>
  <si>
    <t>G x td</t>
  </si>
  <si>
    <t>Gradien Kecepatan, G</t>
  </si>
  <si>
    <t>Waktu dentensi, td</t>
  </si>
  <si>
    <t>Kecepatan aliran dalam bak, v</t>
  </si>
  <si>
    <t>Jarak antar baffle, l</t>
  </si>
  <si>
    <t>Koefisien gesekan, k</t>
  </si>
  <si>
    <t>Banyak saluran, n</t>
  </si>
  <si>
    <t>Kehilangan tekan, hL</t>
  </si>
  <si>
    <t>detik^(-1)</t>
  </si>
  <si>
    <t>Droste (1997)</t>
  </si>
  <si>
    <t>Huisman (1981)</t>
  </si>
  <si>
    <t>Bhargava&amp;Ojha (1993)</t>
  </si>
  <si>
    <t>10 - 60</t>
  </si>
  <si>
    <t>15 - 45</t>
  </si>
  <si>
    <t>0,1 - 0,4</t>
  </si>
  <si>
    <t>&gt;0,45</t>
  </si>
  <si>
    <t>2 - 3,5</t>
  </si>
  <si>
    <t>&gt;6</t>
  </si>
  <si>
    <t>0,3 - 1</t>
  </si>
  <si>
    <t>Kapasitas pengolahan</t>
  </si>
  <si>
    <t xml:space="preserve">Jumlah kompartemen tiap bak </t>
  </si>
  <si>
    <t>Tebal sekat</t>
  </si>
  <si>
    <t xml:space="preserve">G kompartemen I </t>
  </si>
  <si>
    <t>G kompartemen 2</t>
  </si>
  <si>
    <t>td Kompartemen I</t>
  </si>
  <si>
    <t>td Kompartemen II</t>
  </si>
  <si>
    <t>G X td Kompartemen I</t>
  </si>
  <si>
    <t>G x td Kompartemen II</t>
  </si>
  <si>
    <t>Total G x td</t>
  </si>
  <si>
    <t>KB</t>
  </si>
  <si>
    <t>G1</t>
  </si>
  <si>
    <t>G2</t>
  </si>
  <si>
    <t>td2</t>
  </si>
  <si>
    <t>Gtd1</t>
  </si>
  <si>
    <t>Gtd2</t>
  </si>
  <si>
    <t>SUMGTD</t>
  </si>
  <si>
    <t>G x td1</t>
  </si>
  <si>
    <t>G x td 2</t>
  </si>
  <si>
    <t>Flokulasi</t>
  </si>
  <si>
    <t>Q/n</t>
  </si>
  <si>
    <t>Kompartemen I</t>
  </si>
  <si>
    <t>Volume kompartemen</t>
  </si>
  <si>
    <t>Dimensi saluran</t>
  </si>
  <si>
    <t>Jumlah saluran</t>
  </si>
  <si>
    <t>Lebar belokan</t>
  </si>
  <si>
    <t>Kecepatan di belokan</t>
  </si>
  <si>
    <t>Ls</t>
  </si>
  <si>
    <t>ns</t>
  </si>
  <si>
    <t>HL1</t>
  </si>
  <si>
    <t>Vb</t>
  </si>
  <si>
    <t>q x td1</t>
  </si>
  <si>
    <t>V1</t>
  </si>
  <si>
    <t>G^2 x niu x td / (massa jenis air x g)</t>
  </si>
  <si>
    <t>Kehilangan tekan di belokan</t>
  </si>
  <si>
    <t>Kehilangan tekan pada saat lurus</t>
  </si>
  <si>
    <t>Kecepatan pada saat lurus</t>
  </si>
  <si>
    <t>HLL1</t>
  </si>
  <si>
    <t>HL1 - Hb</t>
  </si>
  <si>
    <t>OK! 0,1 - 0,4</t>
  </si>
  <si>
    <t>Kompartemen II</t>
  </si>
  <si>
    <t>q x td2</t>
  </si>
  <si>
    <t>V2</t>
  </si>
  <si>
    <t>ns2</t>
  </si>
  <si>
    <t>L2</t>
  </si>
  <si>
    <t>Ls2</t>
  </si>
  <si>
    <t>w2</t>
  </si>
  <si>
    <t>V2 / (h2 x L2 x ns2)</t>
  </si>
  <si>
    <t>G2^2 x niu x td2 / (massa jenis air x g)</t>
  </si>
  <si>
    <t>q / (w2 x h2)</t>
  </si>
  <si>
    <t>Vb2</t>
  </si>
  <si>
    <t>Hb2</t>
  </si>
  <si>
    <t>HL2</t>
  </si>
  <si>
    <t>HL2 - Hb2</t>
  </si>
  <si>
    <t>k x ((Vb2^2)/(2 x g)) x 2 x ns2</t>
  </si>
  <si>
    <t>HLL2</t>
  </si>
  <si>
    <t>VL2</t>
  </si>
  <si>
    <t>1/HL2 x ((h2 x Ls2)/(2h2 +Ls2))^(2/3)) x ((HLL2/ (ns2 x L2))^(1/2))</t>
  </si>
  <si>
    <t>Volume Kompartemen sebenarnya</t>
  </si>
  <si>
    <t>VS2</t>
  </si>
  <si>
    <t>ns2 x Ls2 x L2 x h2</t>
  </si>
  <si>
    <t>Waktu detensi sebenarnya</t>
  </si>
  <si>
    <t>tds2</t>
  </si>
  <si>
    <t>VS2/q</t>
  </si>
  <si>
    <t>Volume total</t>
  </si>
  <si>
    <t>Waktu detensi total</t>
  </si>
  <si>
    <t>Kehilangan tekan total</t>
  </si>
  <si>
    <t>G x td total</t>
  </si>
  <si>
    <t xml:space="preserve">Kedalaman air di akhir saluran </t>
  </si>
  <si>
    <t>Vtot</t>
  </si>
  <si>
    <t>tdtot</t>
  </si>
  <si>
    <t>Gtdtot</t>
  </si>
  <si>
    <t>h'</t>
  </si>
  <si>
    <t>V1 + V2</t>
  </si>
  <si>
    <t>td1 + td2</t>
  </si>
  <si>
    <t>HL1 + HL2</t>
  </si>
  <si>
    <t>G1 x td1 + (G2 x td2)</t>
  </si>
  <si>
    <t>h2-Htot</t>
  </si>
  <si>
    <t>Dimensi Bak Flokulasi</t>
  </si>
  <si>
    <t>Lebar saluran pada kompartemen I</t>
  </si>
  <si>
    <t>Lebar saluran pada kompartemen II</t>
  </si>
  <si>
    <t>Lebar belokan pada kompartemen I</t>
  </si>
  <si>
    <t>Lebar belokan pada kompartemen II</t>
  </si>
  <si>
    <t>Ls1</t>
  </si>
  <si>
    <t>w1</t>
  </si>
  <si>
    <t>V1/(Ls1 x L1 x ns)</t>
  </si>
  <si>
    <t>q / (w1 x h1)</t>
  </si>
  <si>
    <t>(ns1 x L1) + (ns2 x L2)+(ns1 + ns2 - 1) x t</t>
  </si>
  <si>
    <t>ns1</t>
  </si>
  <si>
    <t>k x ((Vb^2)/(2 x g)) x 2 x ns1</t>
  </si>
  <si>
    <t>1/HL1 x ((h x Ls1)/(2h +Ls1))^(2/3)) x ((HLL1/ (ns1 x L1))^(1/2))</t>
  </si>
  <si>
    <t>Lebar saluran outlet</t>
  </si>
  <si>
    <t>Pintu Air</t>
  </si>
  <si>
    <t>Lebar bukaan</t>
  </si>
  <si>
    <t>Tinggi bukaan pintu air</t>
  </si>
  <si>
    <t>Kehilangan tekan melalui pintu air</t>
  </si>
  <si>
    <t>q/ (2,746 x (hf^(2/3)) x Lp)</t>
  </si>
  <si>
    <t>Panjang saluran</t>
  </si>
  <si>
    <t>Kecepatan pada saluran outlet</t>
  </si>
  <si>
    <t>Kedalaman air di saluran outlet</t>
  </si>
  <si>
    <t>q / (Vout x h)</t>
  </si>
  <si>
    <t>Vout</t>
  </si>
  <si>
    <t>Kecepatan sebenarnya di saluran</t>
  </si>
  <si>
    <t>Kehilangan tekan di saluran outlet</t>
  </si>
  <si>
    <t>Vout1</t>
  </si>
  <si>
    <t>HL3</t>
  </si>
  <si>
    <t>q / (L x h)</t>
  </si>
  <si>
    <t>( h x L ) / (2h + L)</t>
  </si>
  <si>
    <t>(Vout1 x n(0,013)/(R^(2/3)))^2</t>
  </si>
  <si>
    <t>S x p</t>
  </si>
  <si>
    <t>Sistem Inlet</t>
  </si>
  <si>
    <t>Debit masuk dari zona inlet</t>
  </si>
  <si>
    <t>Lebar saluran inlet</t>
  </si>
  <si>
    <t>Kecepatan aliran sebenarnya</t>
  </si>
  <si>
    <t>Slope saluran</t>
  </si>
  <si>
    <t>Headloss saluran</t>
  </si>
  <si>
    <t>Lebar pintu air</t>
  </si>
  <si>
    <t>Bukaan pintu air</t>
  </si>
  <si>
    <t>Koefisien pemerata aliran</t>
  </si>
  <si>
    <t>Debit melalui pintu air</t>
  </si>
  <si>
    <t>Qin</t>
  </si>
  <si>
    <t>Acrossps</t>
  </si>
  <si>
    <t>Vhi</t>
  </si>
  <si>
    <t>Ri</t>
  </si>
  <si>
    <t>Si</t>
  </si>
  <si>
    <t>Nrei</t>
  </si>
  <si>
    <t>Nfri</t>
  </si>
  <si>
    <t>HLi</t>
  </si>
  <si>
    <t>Lpa</t>
  </si>
  <si>
    <t>Hfa</t>
  </si>
  <si>
    <t>Ma</t>
  </si>
  <si>
    <t>qpa</t>
  </si>
  <si>
    <t>HP1</t>
  </si>
  <si>
    <t>HP2</t>
  </si>
  <si>
    <t>qin</t>
  </si>
  <si>
    <t>Qav/2</t>
  </si>
  <si>
    <t>qin/vh</t>
  </si>
  <si>
    <t>Acrosssp/H</t>
  </si>
  <si>
    <t>qin / (Wsi x H)</t>
  </si>
  <si>
    <t>wsi</t>
  </si>
  <si>
    <t>(H x wsi) / (2H x wsi)</t>
  </si>
  <si>
    <t>(Vhi/ ((1/n)*(Ri^(2/3)))^2</t>
  </si>
  <si>
    <t>Vhi x Ri / v</t>
  </si>
  <si>
    <t>(Vhi^2)/(g x Ri)</t>
  </si>
  <si>
    <t>Si x L</t>
  </si>
  <si>
    <t>Q/ (2,746 x (Hfa^(2/3)) x Lpa)</t>
  </si>
  <si>
    <t>HP1 x (Ma^2)</t>
  </si>
  <si>
    <t>Orifice</t>
  </si>
  <si>
    <t>Jumlah orifice tiap bak</t>
  </si>
  <si>
    <t>Debit tiap orifice</t>
  </si>
  <si>
    <t>Luas penampang orifice</t>
  </si>
  <si>
    <t>Kecepatan aliran pada orifice</t>
  </si>
  <si>
    <t>Kehilangan tekan pada orifice</t>
  </si>
  <si>
    <t>qor</t>
  </si>
  <si>
    <t>Aor</t>
  </si>
  <si>
    <t>vor</t>
  </si>
  <si>
    <t>Hlor</t>
  </si>
  <si>
    <t>Ror</t>
  </si>
  <si>
    <t>Nfror</t>
  </si>
  <si>
    <t>Nreror</t>
  </si>
  <si>
    <t>q/n</t>
  </si>
  <si>
    <t>(L/Wor)-1</t>
  </si>
  <si>
    <t>Oor</t>
  </si>
  <si>
    <t>1/4 x phi x (Oor^2)</t>
  </si>
  <si>
    <t>qor / Aor</t>
  </si>
  <si>
    <t>k x (vor^2/(2 x g))</t>
  </si>
  <si>
    <t>Oor / 4</t>
  </si>
  <si>
    <t>(vor x Ror)/ v</t>
  </si>
  <si>
    <t>(vor^2)/( g x Ror)</t>
  </si>
  <si>
    <t>Wl &lt; 12,5</t>
  </si>
  <si>
    <t>Pelimpah berupa mercu tajam</t>
  </si>
  <si>
    <t>Wl</t>
  </si>
  <si>
    <t>m3/m.s</t>
  </si>
  <si>
    <t>3.</t>
  </si>
  <si>
    <t>Panjang pelimpah total dibutuhkan</t>
  </si>
  <si>
    <t>Panjang pelimpah</t>
  </si>
  <si>
    <t>Beban pelimpah sebenarnya</t>
  </si>
  <si>
    <t>Tinggi muka air di atas pelimpah</t>
  </si>
  <si>
    <t>Pptot</t>
  </si>
  <si>
    <t>Pp</t>
  </si>
  <si>
    <t>Wi</t>
  </si>
  <si>
    <t>q/Wl</t>
  </si>
  <si>
    <t>(n-1) x (w/sin a)</t>
  </si>
  <si>
    <t>Pptot/Pp</t>
  </si>
  <si>
    <t>q / (n x Pp)</t>
  </si>
  <si>
    <t>(q/(3,33 x Ptot))^(2/3)</t>
  </si>
  <si>
    <t>Panjang saluran pelimpah</t>
  </si>
  <si>
    <t>Lebar saluran pelimpah direncanakan</t>
  </si>
  <si>
    <t>Jumlah saluran pelimpah</t>
  </si>
  <si>
    <t>Ketinggian muka air di atas saluran</t>
  </si>
  <si>
    <t>Kedalaman saluran pelimpah</t>
  </si>
  <si>
    <t>Psal</t>
  </si>
  <si>
    <t>qs</t>
  </si>
  <si>
    <t>Debit saluran pelimpah</t>
  </si>
  <si>
    <t>n/2</t>
  </si>
  <si>
    <t>q/ns</t>
  </si>
  <si>
    <t>(qs/(1,38 x Lp)^(2/3)</t>
  </si>
  <si>
    <t>h + Fb</t>
  </si>
  <si>
    <t>(Wl^2)/( g x (H^3))</t>
  </si>
  <si>
    <t>4,3 x H x (D^0,27)</t>
  </si>
  <si>
    <t>Saluran outlet</t>
  </si>
  <si>
    <t>Panjang saluran = lebar bak sedimentasi</t>
  </si>
  <si>
    <t>Ketinggian terjunan</t>
  </si>
  <si>
    <t>Debit aliran</t>
  </si>
  <si>
    <t>Tinggi muka air di atas saluran outlet</t>
  </si>
  <si>
    <t>Kecepatan aliran di saluran outlet</t>
  </si>
  <si>
    <t>Kehilangan tekan</t>
  </si>
  <si>
    <t>((qs/Lp)^2)/(9,81 x (H^3))</t>
  </si>
  <si>
    <t>Ps</t>
  </si>
  <si>
    <t>hout</t>
  </si>
  <si>
    <t>Q/(Ls x hout)</t>
  </si>
  <si>
    <t>(Ls x hout)/(Ls + 2hout)</t>
  </si>
  <si>
    <t>((n x Vout)/(R^(2/3)))^2</t>
  </si>
  <si>
    <t>S x Ps</t>
  </si>
  <si>
    <t>Zona Lumpur</t>
  </si>
  <si>
    <t>Panjang ruang lumpur</t>
  </si>
  <si>
    <t>Lebar ruang lumpur</t>
  </si>
  <si>
    <t>Kedalaman ruang lumpur</t>
  </si>
  <si>
    <t>Kedalaman pancungan</t>
  </si>
  <si>
    <t>Berat lumpur kering yang dihasilkan</t>
  </si>
  <si>
    <t>Massa jenis lumpur kering</t>
  </si>
  <si>
    <t>Kadar air dalam lumpur</t>
  </si>
  <si>
    <t>Berat lumpur</t>
  </si>
  <si>
    <t>Massa jenis lumpur</t>
  </si>
  <si>
    <t>Volume lumpur</t>
  </si>
  <si>
    <t>Debit lumpur</t>
  </si>
  <si>
    <t>Periode pengurasan ruang lumpur</t>
  </si>
  <si>
    <t>mlk</t>
  </si>
  <si>
    <t>lb/10^6 galon air</t>
  </si>
  <si>
    <t>(Dosis alum x 2,2) +(Kekeruhan x 0,36 x 8,34)</t>
  </si>
  <si>
    <t>plk</t>
  </si>
  <si>
    <t>Cw</t>
  </si>
  <si>
    <t>mg/Lair</t>
  </si>
  <si>
    <t>mlk/Clk</t>
  </si>
  <si>
    <t>ml</t>
  </si>
  <si>
    <t>1/ ((Clk/plk)+(Cw/pw))</t>
  </si>
  <si>
    <t>m3/Lair</t>
  </si>
  <si>
    <t>ml/pl x (1/(10^6))</t>
  </si>
  <si>
    <t>(q*1000) x Vl</t>
  </si>
  <si>
    <t>T</t>
  </si>
  <si>
    <t>1/3 x P x L x (h + hp)</t>
  </si>
  <si>
    <t>(1/3) x (1/3) x P x (1/3) x L x hp</t>
  </si>
  <si>
    <t>VL/ql</t>
  </si>
  <si>
    <t>Jarak antara katup penguras dengan sludge drying bed</t>
  </si>
  <si>
    <t>Diameter pipa penguras</t>
  </si>
  <si>
    <t>Volume lumpur yang dikeluarkan setiap periode pengurasan</t>
  </si>
  <si>
    <t>Debit pengurasan lumpur</t>
  </si>
  <si>
    <t>Luas penampang pipa penguras</t>
  </si>
  <si>
    <t>Kecepatan aliran lumpur pada saat pengurasan</t>
  </si>
  <si>
    <t>Kemiringan pipa</t>
  </si>
  <si>
    <t>Kehilangan tekan pada sistem perpipaan</t>
  </si>
  <si>
    <t>Js</t>
  </si>
  <si>
    <t>T x ql</t>
  </si>
  <si>
    <t>(Vp / t) x (1/60)</t>
  </si>
  <si>
    <t>(1/4) x phi x (d^2)</t>
  </si>
  <si>
    <t>qp / A</t>
  </si>
  <si>
    <t>((qp)/((0,2785) x C x (d^2,63)))^(1/0,54)</t>
  </si>
  <si>
    <t>S x Js</t>
  </si>
  <si>
    <t>Rapid Sand Filter</t>
  </si>
  <si>
    <t>Reynolds (1982)</t>
  </si>
  <si>
    <t>Fair, Geyer, Okun (1968)</t>
  </si>
  <si>
    <t>Ketinggian air di atas pasir</t>
  </si>
  <si>
    <t>Kedalaman media penyangga</t>
  </si>
  <si>
    <t>Ukuran efektif media penyangga</t>
  </si>
  <si>
    <t>Perbandingan panjang dan lebar bak filtrasi</t>
  </si>
  <si>
    <t>Antrasit</t>
  </si>
  <si>
    <t>Kedalaman</t>
  </si>
  <si>
    <t>Ukuran efektif</t>
  </si>
  <si>
    <t>Koefisien keseragaman</t>
  </si>
  <si>
    <t>Pasir</t>
  </si>
  <si>
    <t>Laju filtrasi</t>
  </si>
  <si>
    <t>Kecepatan aliran saat backwash</t>
  </si>
  <si>
    <t>Ekspansi media filter</t>
  </si>
  <si>
    <t>Waktu untuk backwash</t>
  </si>
  <si>
    <t>Jumlah air untuk backwash</t>
  </si>
  <si>
    <t>Dimensi Bak dan Media Filtrasi</t>
  </si>
  <si>
    <t>Kecepatan filtrasi</t>
  </si>
  <si>
    <t>Kecepatan backwash</t>
  </si>
  <si>
    <t>Luas permukaan filter</t>
  </si>
  <si>
    <t>Ukuran media</t>
  </si>
  <si>
    <t>Tebal media penyaring</t>
  </si>
  <si>
    <t>Tebal media penunjang</t>
  </si>
  <si>
    <t>Sistem Underdrain</t>
  </si>
  <si>
    <t>Luas orifice : Luas media</t>
  </si>
  <si>
    <t>Luas lateral : Luas orifice</t>
  </si>
  <si>
    <t>Lias manifold : Luas lateral</t>
  </si>
  <si>
    <t>Diameter orifice</t>
  </si>
  <si>
    <t>Jarak antar orifice terdekat</t>
  </si>
  <si>
    <t>Jarak antar pusat lateral terdekat</t>
  </si>
  <si>
    <t>Pengaturan Aliran</t>
  </si>
  <si>
    <t>Kecepatan aliran dalam saluran inlet</t>
  </si>
  <si>
    <t>Kecepatan aliran dalam saluran outlet</t>
  </si>
  <si>
    <t>Kecepatan dalam saluran pencuci</t>
  </si>
  <si>
    <t>Kecepatan dalam saluran pembuangan</t>
  </si>
  <si>
    <t>m3/hr.m2</t>
  </si>
  <si>
    <t>m3/hari.m2</t>
  </si>
  <si>
    <t>%air terfiltrasi</t>
  </si>
  <si>
    <t>m/jam</t>
  </si>
  <si>
    <t>inchi</t>
  </si>
  <si>
    <t>90 - 120</t>
  </si>
  <si>
    <t>15,24 - 60,96</t>
  </si>
  <si>
    <t>0,16 - 5,08</t>
  </si>
  <si>
    <t>(1-2) : 1</t>
  </si>
  <si>
    <t>45,72 - 60,96</t>
  </si>
  <si>
    <t>0,9 - 1,1</t>
  </si>
  <si>
    <t>1,6 - 1,8</t>
  </si>
  <si>
    <t>15,24 - 20,32</t>
  </si>
  <si>
    <t>0,45 - 0,55</t>
  </si>
  <si>
    <t>1,5 - 1,7</t>
  </si>
  <si>
    <t>176 - 469,35</t>
  </si>
  <si>
    <t>880 - 1173,4</t>
  </si>
  <si>
    <t>20-50</t>
  </si>
  <si>
    <t>3-10</t>
  </si>
  <si>
    <t>1-5</t>
  </si>
  <si>
    <t>5-7,5</t>
  </si>
  <si>
    <t>15-100</t>
  </si>
  <si>
    <t>10-100</t>
  </si>
  <si>
    <t>(1,5-3) x 10^-3 :1</t>
  </si>
  <si>
    <t>(2-4):1</t>
  </si>
  <si>
    <t>(1,5-3):1</t>
  </si>
  <si>
    <t>0,25-0,75</t>
  </si>
  <si>
    <t>0,5 - 0,6</t>
  </si>
  <si>
    <t>0,45 - 2</t>
  </si>
  <si>
    <t>0,15 - 0,65</t>
  </si>
  <si>
    <t>3 - 12</t>
  </si>
  <si>
    <t>0,6 - 1,8</t>
  </si>
  <si>
    <t>0,9 - 1,8</t>
  </si>
  <si>
    <t>1,5 - 3,7</t>
  </si>
  <si>
    <t>1,2 - 2,5</t>
  </si>
  <si>
    <t>Media Filtrasi</t>
  </si>
  <si>
    <t>Panjang : Lebar bak</t>
  </si>
  <si>
    <t>Ukuran media penyaring :</t>
  </si>
  <si>
    <t>Media penyangga berupa kerikil yang terdiri dari 5 lapisan</t>
  </si>
  <si>
    <t>Waktu backwash</t>
  </si>
  <si>
    <t>Tinggi air diatas pasir</t>
  </si>
  <si>
    <t>Luas manifold : Luas lateral</t>
  </si>
  <si>
    <t>vf</t>
  </si>
  <si>
    <t>vb</t>
  </si>
  <si>
    <t>p : l</t>
  </si>
  <si>
    <t>km</t>
  </si>
  <si>
    <t>sg</t>
  </si>
  <si>
    <t>sp</t>
  </si>
  <si>
    <t>po</t>
  </si>
  <si>
    <t>tb</t>
  </si>
  <si>
    <t>ha</t>
  </si>
  <si>
    <t>dout</t>
  </si>
  <si>
    <t>ja</t>
  </si>
  <si>
    <t>vin</t>
  </si>
  <si>
    <t>vout</t>
  </si>
  <si>
    <t>vp</t>
  </si>
  <si>
    <t>2 : 1</t>
  </si>
  <si>
    <t>Kedalaman media pasir</t>
  </si>
  <si>
    <t>Ukuran efektif pasir</t>
  </si>
  <si>
    <t>Koef keseragaman pasir</t>
  </si>
  <si>
    <t>Spesifik gravity pasir</t>
  </si>
  <si>
    <t>Spheritas pasir</t>
  </si>
  <si>
    <t>Porositas pasir</t>
  </si>
  <si>
    <t>Kedalaman media antrasit</t>
  </si>
  <si>
    <t>Ukuran efektif antrasit</t>
  </si>
  <si>
    <t>Koef keseragaman antrasit</t>
  </si>
  <si>
    <t>Spesifik gravity antrasit</t>
  </si>
  <si>
    <t>Spheritas antrasit</t>
  </si>
  <si>
    <t>Porositas antrasit</t>
  </si>
  <si>
    <t>3 x 10^-3 :1</t>
  </si>
  <si>
    <t xml:space="preserve">2 :1 </t>
  </si>
  <si>
    <t>1,5 : 1</t>
  </si>
  <si>
    <t>Desain Media Filtrasi</t>
  </si>
  <si>
    <t>Distribusi lapisan media pasir</t>
  </si>
  <si>
    <t>Berat diameter 0,97 - 1,24 mm</t>
  </si>
  <si>
    <t>Berat diameter 1,24 - 1,57 mm</t>
  </si>
  <si>
    <t>Berat diameter 1,57 - 1,87 mm</t>
  </si>
  <si>
    <t>Tebal lapisan diameter 0,97 - 1,24 mm</t>
  </si>
  <si>
    <t>Tebal lapisan diameter 1,24 - 1,57 mm</t>
  </si>
  <si>
    <t>Tebal lapisan diameter 1,57 - 1,87 mm</t>
  </si>
  <si>
    <t>es</t>
  </si>
  <si>
    <t>uc</t>
  </si>
  <si>
    <t xml:space="preserve">Karakteristik media penyaring pasir </t>
  </si>
  <si>
    <t>Karakteristik media penyaring antrasit</t>
  </si>
  <si>
    <t>Agar tidak terjadi intermixing setelah pencucian maka diameter antrasit yang digunakan harus memenuhi persyaratan berikut :</t>
  </si>
  <si>
    <t>Diameter antrasit terkecil yang boleh digunakan</t>
  </si>
  <si>
    <t>d2</t>
  </si>
  <si>
    <t>0,564/(((1,6 - 1)/(2,65-1))^0,667)</t>
  </si>
  <si>
    <t>Distribusi lapisan media antrasit</t>
  </si>
  <si>
    <t>Spesifik gravitasi</t>
  </si>
  <si>
    <t>Karakteristik media penyangga (kerikil)</t>
  </si>
  <si>
    <t>Spheritas kerikil</t>
  </si>
  <si>
    <t>Porositas kerikil</t>
  </si>
  <si>
    <t>Ketebalan media kmulatif</t>
  </si>
  <si>
    <t>Distribusi lapisan media penyangga (kerikil)</t>
  </si>
  <si>
    <t>Tebal kum diameter 0,1 inchi</t>
  </si>
  <si>
    <t>Tebal kum diameter 0,4 inchi</t>
  </si>
  <si>
    <t>Tebal kum diameter 0,9 inchi</t>
  </si>
  <si>
    <t>Tebal kum diameter 1,6 inchi</t>
  </si>
  <si>
    <t>Tebal kum diameter 2,5 inchi</t>
  </si>
  <si>
    <t>tk1</t>
  </si>
  <si>
    <t>tk2</t>
  </si>
  <si>
    <t>tk3</t>
  </si>
  <si>
    <t>tk4</t>
  </si>
  <si>
    <t>tk5</t>
  </si>
  <si>
    <t>Tebal lapisan diameter 4,8 inchi</t>
  </si>
  <si>
    <t>Tebal lapisan diameter 7,22 inchi</t>
  </si>
  <si>
    <t>Tebal lapisan diameter 4,23 inchi</t>
  </si>
  <si>
    <t>Tebal lapisan diameter 3 inchi</t>
  </si>
  <si>
    <t>Tebal lapisan diameter 2,33 inchi</t>
  </si>
  <si>
    <t>Total tebal lapisan dari semua diameter</t>
  </si>
  <si>
    <t>tl1</t>
  </si>
  <si>
    <t>tl2</t>
  </si>
  <si>
    <t>tl3</t>
  </si>
  <si>
    <t>tl4</t>
  </si>
  <si>
    <t>tl5</t>
  </si>
  <si>
    <t>tltot</t>
  </si>
  <si>
    <t>Desain Bak Filtrasi</t>
  </si>
  <si>
    <t>MGD</t>
  </si>
  <si>
    <t>Kecepatan filtrasi direncanakan</t>
  </si>
  <si>
    <t>Jumlah bak filtrasi</t>
  </si>
  <si>
    <t>nbak</t>
  </si>
  <si>
    <t>1,2 x Q^0,5</t>
  </si>
  <si>
    <t>Q/nbak</t>
  </si>
  <si>
    <t>Luas permukaan bak</t>
  </si>
  <si>
    <t>Abak</t>
  </si>
  <si>
    <t>q/vf</t>
  </si>
  <si>
    <t>(2 x Abak)^(1/2)</t>
  </si>
  <si>
    <t>l</t>
  </si>
  <si>
    <t>p/2</t>
  </si>
  <si>
    <t>Luas permukaan bak sebenarnya</t>
  </si>
  <si>
    <t>Abak1</t>
  </si>
  <si>
    <t>p x l</t>
  </si>
  <si>
    <t>Kecepatan filtrasi sebenarnya</t>
  </si>
  <si>
    <t>vf1</t>
  </si>
  <si>
    <t>q / (p x l)</t>
  </si>
  <si>
    <t>OK! 176 - 496,35</t>
  </si>
  <si>
    <t>Kontrol Operasi</t>
  </si>
  <si>
    <t>Bila dilakukan pengurasan, 1 bak tidak beroperasi jumlah bak yang beroperasi menjadi 3 bak maka, q :</t>
  </si>
  <si>
    <t>Debit saat dilakukan pengurasan</t>
  </si>
  <si>
    <t>vf2</t>
  </si>
  <si>
    <t>q/Abak1</t>
  </si>
  <si>
    <t>Desain Sistem Underdrain</t>
  </si>
  <si>
    <t>Luas orifice</t>
  </si>
  <si>
    <t>Luas total orifice</t>
  </si>
  <si>
    <t>Jumlah orifice</t>
  </si>
  <si>
    <t>dor</t>
  </si>
  <si>
    <t>Aortot</t>
  </si>
  <si>
    <t>nor</t>
  </si>
  <si>
    <t>(1/4) x phi x (dor^2)</t>
  </si>
  <si>
    <t>3 x 10^-3 x Abak</t>
  </si>
  <si>
    <t>Aortot/Aor</t>
  </si>
  <si>
    <t>Filtrasi (Rapid Sand Filter)</t>
  </si>
  <si>
    <t>Pipa Lateral</t>
  </si>
  <si>
    <t xml:space="preserve">Luas lateral total </t>
  </si>
  <si>
    <t>Altot</t>
  </si>
  <si>
    <t>2/1 x Aortot</t>
  </si>
  <si>
    <t>Panjang manifold = panjang bak</t>
  </si>
  <si>
    <t>pm</t>
  </si>
  <si>
    <t xml:space="preserve">Jarak antar pipa lateral </t>
  </si>
  <si>
    <t>jl</t>
  </si>
  <si>
    <t xml:space="preserve">Jumlah pipa lateral </t>
  </si>
  <si>
    <t>nl</t>
  </si>
  <si>
    <t>pm/jl x 2</t>
  </si>
  <si>
    <t>Luas per lateral</t>
  </si>
  <si>
    <t xml:space="preserve">Al </t>
  </si>
  <si>
    <t>Altot/nl</t>
  </si>
  <si>
    <t>Diameter lateral</t>
  </si>
  <si>
    <t>dl</t>
  </si>
  <si>
    <t>SQRT ((4 x Al)/phi)</t>
  </si>
  <si>
    <t>Jumlah orifice per lateral</t>
  </si>
  <si>
    <t>nol</t>
  </si>
  <si>
    <t>nor/nl</t>
  </si>
  <si>
    <t>Pipa Manifold</t>
  </si>
  <si>
    <t>Luas manifold</t>
  </si>
  <si>
    <t>Am</t>
  </si>
  <si>
    <t>1,5/1 x Altot</t>
  </si>
  <si>
    <t>Diameter manifold</t>
  </si>
  <si>
    <t>dm</t>
  </si>
  <si>
    <t>SQRT ((4 x Am)/phi)</t>
  </si>
  <si>
    <t>Luas manifold sebenarnya</t>
  </si>
  <si>
    <t>Am1</t>
  </si>
  <si>
    <t>(1/4) x phi x d^2</t>
  </si>
  <si>
    <t>Panjang lateral</t>
  </si>
  <si>
    <t>( l - dm )/2</t>
  </si>
  <si>
    <t>Jarak antar orifice</t>
  </si>
  <si>
    <t>jor</t>
  </si>
  <si>
    <t>pl/nol</t>
  </si>
  <si>
    <t>Cek</t>
  </si>
  <si>
    <t>Jumlah orifice total sebenarnya</t>
  </si>
  <si>
    <t>nol x nl</t>
  </si>
  <si>
    <t xml:space="preserve">Luas orifice total sebenarnya </t>
  </si>
  <si>
    <t>nor x Aor</t>
  </si>
  <si>
    <t>Lolm</t>
  </si>
  <si>
    <t>Aortot : Abak</t>
  </si>
  <si>
    <t>OK! (1,5-3) x 10^-3 :1</t>
  </si>
  <si>
    <t>Luas lateral total sebenarnya</t>
  </si>
  <si>
    <t>nl x (1/4 x phi x (dl^2)</t>
  </si>
  <si>
    <t>lllo</t>
  </si>
  <si>
    <t>A/tot/Aortot</t>
  </si>
  <si>
    <t xml:space="preserve">OK! (2-4):1 </t>
  </si>
  <si>
    <t>lmll</t>
  </si>
  <si>
    <t>Am : Altot</t>
  </si>
  <si>
    <t>OK! 1,5 : 1</t>
  </si>
  <si>
    <t>Kehilangan tekan pada media pasir</t>
  </si>
  <si>
    <t>(k/g) x Vf x v x (((1-po)^2)/(po^3)) x ((6/sp)^2) x 0,2 x 4,48 x 10^6</t>
  </si>
  <si>
    <t>Kehilangan tekan pada media antrasit</t>
  </si>
  <si>
    <t>(k/g) x Vf x v x (((1-po)^2)/(po^3)) x ((6/sp)^2) x 0,6 x 0,49 x 10^6</t>
  </si>
  <si>
    <t>Kehilangan tekan pada media kerikil</t>
  </si>
  <si>
    <t>hk</t>
  </si>
  <si>
    <t>(k/g) x Vf x v x (((1-po)^2)/(po^3)) x ((6/sp)^2) x 0,548 x 0,051 x 10^6</t>
  </si>
  <si>
    <t>Debit melalui orifice</t>
  </si>
  <si>
    <t>qorb</t>
  </si>
  <si>
    <t>q/nor</t>
  </si>
  <si>
    <t>Kehilangan tekan melalui orifice</t>
  </si>
  <si>
    <t>hor</t>
  </si>
  <si>
    <t>kx((qor^2)/(Aor^2 x 2g))</t>
  </si>
  <si>
    <t>Debit melalui lateral</t>
  </si>
  <si>
    <t>Kecepatan melalui lateral</t>
  </si>
  <si>
    <t>Kehilangan tekan melalui lateral</t>
  </si>
  <si>
    <t>vl</t>
  </si>
  <si>
    <t>q/nl</t>
  </si>
  <si>
    <t>ql/(1/4 x phi x 0,508^2)</t>
  </si>
  <si>
    <t>(1/3) x f x (Ll/dl) x (Vl^2/ 2 x g)</t>
  </si>
  <si>
    <t>Manifold</t>
  </si>
  <si>
    <t xml:space="preserve">Panjang manifold </t>
  </si>
  <si>
    <t>Debit melalui manifold</t>
  </si>
  <si>
    <t>Kecepatan melalui manifold</t>
  </si>
  <si>
    <t>Kehilangan tekan melalui manifold</t>
  </si>
  <si>
    <t>Total kehilangan tekan</t>
  </si>
  <si>
    <t>Ketinggian air maksimum</t>
  </si>
  <si>
    <t>Tambahan ketinggian akibat clogging</t>
  </si>
  <si>
    <t>qm</t>
  </si>
  <si>
    <t>vm</t>
  </si>
  <si>
    <t>hm</t>
  </si>
  <si>
    <t>deltaH</t>
  </si>
  <si>
    <t>Hmaks</t>
  </si>
  <si>
    <t>Hclog</t>
  </si>
  <si>
    <t>Ketinggian bak filtrasi</t>
  </si>
  <si>
    <t>qm/(1/4 x phi x (dm^2))</t>
  </si>
  <si>
    <t>1/3 x f x (Lm/dm) x (Vm^2 x 2 x g)</t>
  </si>
  <si>
    <t>hp + ha + hk + hor + hl + hm</t>
  </si>
  <si>
    <t>Hp + Ha + Hk + deltaH + Hmaks + Hclogging</t>
  </si>
  <si>
    <t>Desain Sistem Inlet</t>
  </si>
  <si>
    <t>Kecepatan</t>
  </si>
  <si>
    <t xml:space="preserve">Ketentuan </t>
  </si>
  <si>
    <t>Luas penampang pipa inlet</t>
  </si>
  <si>
    <t>Diameter pip ainlet</t>
  </si>
  <si>
    <t>SQRT(4 x A/phi)</t>
  </si>
  <si>
    <t>d pipa pasaran (rucika black)</t>
  </si>
  <si>
    <t>Kecepatan aliran sebenarnya pada inlet</t>
  </si>
  <si>
    <t xml:space="preserve">Panjang pipa terjauh direncanakan </t>
  </si>
  <si>
    <t>Kehilangan tekan sepanjang pipa inlet</t>
  </si>
  <si>
    <t>Hmayor</t>
  </si>
  <si>
    <t>((q x L^0,54)/(0,2785 x C x d^2,63))^(1/0,54)</t>
  </si>
  <si>
    <t>Kehilangan tekan akibat aksesoris pipa</t>
  </si>
  <si>
    <t>Hminor</t>
  </si>
  <si>
    <t>Kehilangan tekan pada saluran inlet</t>
  </si>
  <si>
    <t>deltaHin</t>
  </si>
  <si>
    <t>Hmayor + Hminor</t>
  </si>
  <si>
    <t>Jumlah elbow 90 derajat - 12"</t>
  </si>
  <si>
    <t>el</t>
  </si>
  <si>
    <t>Data perencana</t>
  </si>
  <si>
    <t>Jumlah gate valve - 12"</t>
  </si>
  <si>
    <t>gv</t>
  </si>
  <si>
    <t>Ketentuan dari banyakny aksesoris</t>
  </si>
  <si>
    <t>Lebar zona inlet</t>
  </si>
  <si>
    <t>lzi</t>
  </si>
  <si>
    <t>Lebar bak filtrasi</t>
  </si>
  <si>
    <t>Panjang zona inlet</t>
  </si>
  <si>
    <t>pzi</t>
  </si>
  <si>
    <t>Kedalaman zona inlet</t>
  </si>
  <si>
    <t>hzi</t>
  </si>
  <si>
    <t>Desain Sistem Outlet</t>
  </si>
  <si>
    <t>Luas penampang pipa outlet</t>
  </si>
  <si>
    <t xml:space="preserve">q/v </t>
  </si>
  <si>
    <t>SQRT(4 x A / phi)</t>
  </si>
  <si>
    <t>ditentukan</t>
  </si>
  <si>
    <t>maka</t>
  </si>
  <si>
    <t>Kecepatan aliran sebenarnya pada outlet</t>
  </si>
  <si>
    <t>v1</t>
  </si>
  <si>
    <t>q/((1/4) x 3,14 x (d^2))</t>
  </si>
  <si>
    <t>Panjang pipa direcanakan</t>
  </si>
  <si>
    <t>Kehilangan tekan sepanjang pipa outlet</t>
  </si>
  <si>
    <t>Kecepatan aliran pada pipa outlet yang terhubung dengan pipa manifold</t>
  </si>
  <si>
    <t>qm/Am</t>
  </si>
  <si>
    <t>Tergantung aksesoris</t>
  </si>
  <si>
    <t>Kehilangan tekan pada sistem outlet</t>
  </si>
  <si>
    <t>DeltaHout</t>
  </si>
  <si>
    <t>Desain Sistem Pencucian</t>
  </si>
  <si>
    <t>Luas penampang filter</t>
  </si>
  <si>
    <t>Lama pencucian</t>
  </si>
  <si>
    <t>Debit backwash</t>
  </si>
  <si>
    <t>tbw</t>
  </si>
  <si>
    <t>qbw</t>
  </si>
  <si>
    <t>s</t>
  </si>
  <si>
    <t>Abak x vbw</t>
  </si>
  <si>
    <t>vbw</t>
  </si>
  <si>
    <t>Keadaan media pada saat terekspansi akibat backwash</t>
  </si>
  <si>
    <t>Presentasi tinggi ekspansi media pasir</t>
  </si>
  <si>
    <t>%eksppasir</t>
  </si>
  <si>
    <t>(SumLie - SumLi / Sum Li ) x 100%</t>
  </si>
  <si>
    <t>Presentasi tinggi ekspansi media antrasit</t>
  </si>
  <si>
    <t>%eksantrasit</t>
  </si>
  <si>
    <t>Kehilangan tekan pada saat backwash</t>
  </si>
  <si>
    <t>Kehilangan tekan saat backwash pada media pasir</t>
  </si>
  <si>
    <t>hpbw</t>
  </si>
  <si>
    <t>(k/g) x vbw x v x ((6/spheritas)^2) x Sum (( 1 - porositas)^2)/(porositas^3) x (Lie/d^2)</t>
  </si>
  <si>
    <t>Kehilangan tekan saat backwash pada media antrasit</t>
  </si>
  <si>
    <t>habw</t>
  </si>
  <si>
    <t>Kehilangan tekan saat backwash pada media penyangga</t>
  </si>
  <si>
    <t>hkbw</t>
  </si>
  <si>
    <t>(k/g) x vf x v x (1-porositas^2)/(porositas^3) x (6/spheritas)^2 x L x SumXi/d2</t>
  </si>
  <si>
    <t>qorbw</t>
  </si>
  <si>
    <t>qbw/nor</t>
  </si>
  <si>
    <t>Debit melalui orifice pada saat backwash</t>
  </si>
  <si>
    <t>Kehilangan tekan melalui orifice pada saat backwash</t>
  </si>
  <si>
    <t>horbw</t>
  </si>
  <si>
    <t>k x (qorbw^2/Aor^2 x 2g)</t>
  </si>
  <si>
    <t xml:space="preserve">Panjang lateral </t>
  </si>
  <si>
    <t>Debit melalui lateral pada saat backwash</t>
  </si>
  <si>
    <t>qlbw</t>
  </si>
  <si>
    <t>qbw/nl</t>
  </si>
  <si>
    <t>Kecepatan melalui lateral pada saat backwash</t>
  </si>
  <si>
    <t>vlbw</t>
  </si>
  <si>
    <t>qlbw/Al</t>
  </si>
  <si>
    <t>Kehilangan tekan melalui lateral pada saat backwash</t>
  </si>
  <si>
    <t>hlbw</t>
  </si>
  <si>
    <t>1/3 x f x (Ll/dl) x (Vlbw^2 x 2 x g)</t>
  </si>
  <si>
    <t>Ll</t>
  </si>
  <si>
    <t>Panjang manifold</t>
  </si>
  <si>
    <t>Debit melalui manifold pada saat backwash</t>
  </si>
  <si>
    <t>qmbw</t>
  </si>
  <si>
    <t>Kecepatan elalui manifold pada saat backwash</t>
  </si>
  <si>
    <t>vmbw</t>
  </si>
  <si>
    <t>qmbw/((1/4 x phi x (dm^2))</t>
  </si>
  <si>
    <t>hmbw</t>
  </si>
  <si>
    <t>(1/3) x f x (Lm/dm) x (Vmbw^2/ 2 x g)</t>
  </si>
  <si>
    <t>Lm</t>
  </si>
  <si>
    <t>Pipa pencuci dari menara air</t>
  </si>
  <si>
    <t>Jarak antara menara air dengan bak filtrasi terjauh</t>
  </si>
  <si>
    <t xml:space="preserve">Pipa yang digunakan adalah adalah pipa besi </t>
  </si>
  <si>
    <t>C</t>
  </si>
  <si>
    <t>Kecepatan pencucian</t>
  </si>
  <si>
    <t>qbw/vp</t>
  </si>
  <si>
    <t>Diameter pipa</t>
  </si>
  <si>
    <t>dp</t>
  </si>
  <si>
    <t>SQRT((4xAp^2)/(3,14)</t>
  </si>
  <si>
    <t>Kecepatan sebenarnya di dalam pipa pencucian</t>
  </si>
  <si>
    <t>qbw/(1/4) x 3,14 x (dp^2)</t>
  </si>
  <si>
    <t xml:space="preserve">Kehilangan tekan pada pipa </t>
  </si>
  <si>
    <t>((qbw x L^0,54)/(0,2785 x C x dp^2,63))^(1/0,54)</t>
  </si>
  <si>
    <t>Hmayor = Hminor</t>
  </si>
  <si>
    <t>Total kehilangan tekan pada saat backwash</t>
  </si>
  <si>
    <t>DeltaHbw</t>
  </si>
  <si>
    <t>hpbw + habw + hkbw + horbw + hlbw + hmbw + hpp</t>
  </si>
  <si>
    <t>Kehilangan tekan pada pipa pencuci</t>
  </si>
  <si>
    <t>hpp</t>
  </si>
  <si>
    <t>Hminor + Hmayor</t>
  </si>
  <si>
    <t>Kedalaman media saat terkekspansi</t>
  </si>
  <si>
    <t>Hmbw</t>
  </si>
  <si>
    <t>hpbw + habw + hk</t>
  </si>
  <si>
    <t>Desain Saluran Penampung Air Saluran</t>
  </si>
  <si>
    <t>Gutter</t>
  </si>
  <si>
    <t>Jumlah gutter</t>
  </si>
  <si>
    <t>ng</t>
  </si>
  <si>
    <t>Lebar gutter</t>
  </si>
  <si>
    <t>Lg</t>
  </si>
  <si>
    <t>Kedalaman air dalam gutter</t>
  </si>
  <si>
    <t>hg</t>
  </si>
  <si>
    <t>(qg/(1,38 x 0,5))^(2/3</t>
  </si>
  <si>
    <t>qg</t>
  </si>
  <si>
    <t>np</t>
  </si>
  <si>
    <t>Panjang pelimpah = panjang bak filtrasi</t>
  </si>
  <si>
    <t>Ptot</t>
  </si>
  <si>
    <t>Wp</t>
  </si>
  <si>
    <t>m3/s.m</t>
  </si>
  <si>
    <t>qg/ptot</t>
  </si>
  <si>
    <t>(qbw/3,33 x Lp)</t>
  </si>
  <si>
    <t xml:space="preserve">Saluran Pembuangan </t>
  </si>
  <si>
    <t>Luas penampang pipa pembuangan</t>
  </si>
  <si>
    <t>Kecepatan aliran pada saluran pembuangan</t>
  </si>
  <si>
    <t>Ab</t>
  </si>
  <si>
    <t xml:space="preserve">vb </t>
  </si>
  <si>
    <t>qbw/vb</t>
  </si>
  <si>
    <t>Diameter pipa pembuangan</t>
  </si>
  <si>
    <t>db</t>
  </si>
  <si>
    <t>SQRT((4xAb^2)/(3,14)</t>
  </si>
  <si>
    <t>20 inchi</t>
  </si>
  <si>
    <t>Kecepatan sebenarnya di dalam pipa pembuangan</t>
  </si>
  <si>
    <t>qbw/(1/4) x 3,14 x (db^2)</t>
  </si>
  <si>
    <t xml:space="preserve">OK! </t>
  </si>
  <si>
    <t>Dimensi saluran pembuangan ke bak sirkulasi</t>
  </si>
  <si>
    <t>Kedalaman saluran</t>
  </si>
  <si>
    <t>Kecepatan aliran di saluran</t>
  </si>
  <si>
    <t>Kehilangan tekan di saluran</t>
  </si>
  <si>
    <t>qbw/ L x h</t>
  </si>
  <si>
    <t>L x h / L + 2 x h</t>
  </si>
  <si>
    <t>(vout x n / (R^(2/3)))^2</t>
  </si>
  <si>
    <t>S x P</t>
  </si>
  <si>
    <t>Kadar klor dalam kaporit</t>
  </si>
  <si>
    <t>kd</t>
  </si>
  <si>
    <t>BJ kaporit</t>
  </si>
  <si>
    <t>bj</t>
  </si>
  <si>
    <t>Konsentrasi larutan</t>
  </si>
  <si>
    <t>Cl</t>
  </si>
  <si>
    <t>DPC</t>
  </si>
  <si>
    <t>dpc</t>
  </si>
  <si>
    <t>Sisa klor</t>
  </si>
  <si>
    <t>sk</t>
  </si>
  <si>
    <t>Dosis klor</t>
  </si>
  <si>
    <t>dk</t>
  </si>
  <si>
    <t>dpc + sk</t>
  </si>
  <si>
    <t>Debit air yang diolah</t>
  </si>
  <si>
    <t>Ditentukan</t>
  </si>
  <si>
    <t>Kebutuhan kaporit</t>
  </si>
  <si>
    <t>kk</t>
  </si>
  <si>
    <t>(100/60) x dk + q</t>
  </si>
  <si>
    <t>kg/det</t>
  </si>
  <si>
    <t>Volume kaporit</t>
  </si>
  <si>
    <t>vk</t>
  </si>
  <si>
    <t>kk / bj</t>
  </si>
  <si>
    <t>(95%)/5% x vk</t>
  </si>
  <si>
    <t>Volume larutan kaporit</t>
  </si>
  <si>
    <t>vlk</t>
  </si>
  <si>
    <t>vk + vp</t>
  </si>
  <si>
    <t>cc/min</t>
  </si>
  <si>
    <t>Bak Pelarut</t>
  </si>
  <si>
    <t xml:space="preserve">Volume </t>
  </si>
  <si>
    <t>Debit tiap bak</t>
  </si>
  <si>
    <t>Qp</t>
  </si>
  <si>
    <t>cc/menit</t>
  </si>
  <si>
    <t>jam</t>
  </si>
  <si>
    <t>V/Qp</t>
  </si>
  <si>
    <t>Tinggi muka air minimum</t>
  </si>
  <si>
    <t>Perbandingan panjang : lebar : tinggi</t>
  </si>
  <si>
    <t>Tinggi air maksimum</t>
  </si>
  <si>
    <t>Cipta Karya</t>
  </si>
  <si>
    <t>1 : 1 : 1/2</t>
  </si>
  <si>
    <t>2 : 1/3 : 3</t>
  </si>
  <si>
    <t xml:space="preserve">1/3 : 3 :2 </t>
  </si>
  <si>
    <t>30 - 50</t>
  </si>
  <si>
    <t>2 - 3</t>
  </si>
  <si>
    <t xml:space="preserve">Debit perencanaan </t>
  </si>
  <si>
    <t>Jumlah reservoir</t>
  </si>
  <si>
    <t>Qn</t>
  </si>
  <si>
    <t xml:space="preserve">Kapasitas reservoir </t>
  </si>
  <si>
    <t>kr</t>
  </si>
  <si>
    <t>12% x (Qn x td)</t>
  </si>
  <si>
    <t>Tinggi bak</t>
  </si>
  <si>
    <t>(kr x h)^0,5</t>
  </si>
  <si>
    <t>Bak Desinfeksi</t>
  </si>
  <si>
    <t>Jumlah bak desinfeksi</t>
  </si>
  <si>
    <t>Debit per bak</t>
  </si>
  <si>
    <t>Q / n</t>
  </si>
  <si>
    <t>Qn x td</t>
  </si>
  <si>
    <t xml:space="preserve">Luas bak </t>
  </si>
  <si>
    <t>V / h</t>
  </si>
  <si>
    <t>( A / 2 )^0,5</t>
  </si>
  <si>
    <t>l x 2</t>
  </si>
  <si>
    <t>Network Table - Nodes</t>
  </si>
  <si>
    <t xml:space="preserve">Elevation       </t>
  </si>
  <si>
    <t xml:space="preserve">Base Demand     </t>
  </si>
  <si>
    <t xml:space="preserve">Demand          </t>
  </si>
  <si>
    <t xml:space="preserve">Head            </t>
  </si>
  <si>
    <t xml:space="preserve">Pressure        </t>
  </si>
  <si>
    <t xml:space="preserve">Quality         </t>
  </si>
  <si>
    <t xml:space="preserve">m               </t>
  </si>
  <si>
    <t xml:space="preserve">LPS             </t>
  </si>
  <si>
    <t xml:space="preserve">Junc 4                  </t>
  </si>
  <si>
    <t xml:space="preserve">281.78          </t>
  </si>
  <si>
    <t xml:space="preserve">22.7            </t>
  </si>
  <si>
    <t xml:space="preserve">22.70           </t>
  </si>
  <si>
    <t xml:space="preserve">356.99          </t>
  </si>
  <si>
    <t xml:space="preserve">75.21           </t>
  </si>
  <si>
    <t xml:space="preserve">0.00            </t>
  </si>
  <si>
    <t xml:space="preserve">Junc 5                  </t>
  </si>
  <si>
    <t xml:space="preserve">258.96          </t>
  </si>
  <si>
    <t xml:space="preserve">34.00           </t>
  </si>
  <si>
    <t xml:space="preserve">355.97          </t>
  </si>
  <si>
    <t xml:space="preserve">97.01           </t>
  </si>
  <si>
    <t xml:space="preserve">Junc 6                  </t>
  </si>
  <si>
    <t xml:space="preserve">279.69          </t>
  </si>
  <si>
    <t xml:space="preserve">45.3            </t>
  </si>
  <si>
    <t xml:space="preserve">45.30           </t>
  </si>
  <si>
    <t xml:space="preserve">354.48          </t>
  </si>
  <si>
    <t xml:space="preserve">74.79           </t>
  </si>
  <si>
    <t xml:space="preserve">Junc 7                  </t>
  </si>
  <si>
    <t xml:space="preserve">294.92          </t>
  </si>
  <si>
    <t xml:space="preserve">353.81          </t>
  </si>
  <si>
    <t xml:space="preserve">58.89           </t>
  </si>
  <si>
    <t xml:space="preserve">Junc 8                  </t>
  </si>
  <si>
    <t xml:space="preserve">301.82          </t>
  </si>
  <si>
    <t xml:space="preserve">351.47          </t>
  </si>
  <si>
    <t xml:space="preserve">49.65           </t>
  </si>
  <si>
    <t xml:space="preserve">Junc 9                  </t>
  </si>
  <si>
    <t xml:space="preserve">320.23          </t>
  </si>
  <si>
    <t xml:space="preserve">350.42          </t>
  </si>
  <si>
    <t xml:space="preserve">30.19           </t>
  </si>
  <si>
    <t xml:space="preserve">Junc 10                 </t>
  </si>
  <si>
    <t xml:space="preserve">335.01          </t>
  </si>
  <si>
    <t xml:space="preserve">345.21          </t>
  </si>
  <si>
    <t xml:space="preserve">10.20           </t>
  </si>
  <si>
    <t xml:space="preserve">Junc 11                 </t>
  </si>
  <si>
    <t xml:space="preserve">326.09          </t>
  </si>
  <si>
    <t xml:space="preserve">349.72          </t>
  </si>
  <si>
    <t xml:space="preserve">23.63           </t>
  </si>
  <si>
    <t xml:space="preserve">Junc 12                 </t>
  </si>
  <si>
    <t xml:space="preserve">11.3            </t>
  </si>
  <si>
    <t xml:space="preserve">11.30           </t>
  </si>
  <si>
    <t xml:space="preserve">393.51          </t>
  </si>
  <si>
    <t xml:space="preserve">23.51           </t>
  </si>
  <si>
    <t xml:space="preserve">Junc 13                 </t>
  </si>
  <si>
    <t xml:space="preserve">402.24          </t>
  </si>
  <si>
    <t xml:space="preserve">30.24           </t>
  </si>
  <si>
    <t xml:space="preserve">Junc 14                 </t>
  </si>
  <si>
    <t xml:space="preserve">324.59          </t>
  </si>
  <si>
    <t xml:space="preserve">401.43          </t>
  </si>
  <si>
    <t xml:space="preserve">76.84           </t>
  </si>
  <si>
    <t xml:space="preserve">Junc 15                 </t>
  </si>
  <si>
    <t xml:space="preserve">323.32          </t>
  </si>
  <si>
    <t xml:space="preserve">401.23          </t>
  </si>
  <si>
    <t xml:space="preserve">77.91           </t>
  </si>
  <si>
    <t xml:space="preserve">Junc 16                 </t>
  </si>
  <si>
    <t xml:space="preserve">372.65          </t>
  </si>
  <si>
    <t xml:space="preserve">399.86          </t>
  </si>
  <si>
    <t xml:space="preserve">27.21           </t>
  </si>
  <si>
    <t xml:space="preserve">Junc 17                 </t>
  </si>
  <si>
    <t xml:space="preserve">371.98          </t>
  </si>
  <si>
    <t xml:space="preserve">397.93          </t>
  </si>
  <si>
    <t xml:space="preserve">25.95           </t>
  </si>
  <si>
    <t xml:space="preserve">Junc 18                 </t>
  </si>
  <si>
    <t xml:space="preserve">336.62          </t>
  </si>
  <si>
    <t xml:space="preserve">396.38          </t>
  </si>
  <si>
    <t xml:space="preserve">59.76           </t>
  </si>
  <si>
    <t xml:space="preserve">Junc 19                 </t>
  </si>
  <si>
    <t xml:space="preserve">334.32          </t>
  </si>
  <si>
    <t xml:space="preserve">395.95          </t>
  </si>
  <si>
    <t xml:space="preserve">61.63           </t>
  </si>
  <si>
    <t xml:space="preserve">Junc 20                 </t>
  </si>
  <si>
    <t xml:space="preserve">338.52          </t>
  </si>
  <si>
    <t xml:space="preserve">395.89          </t>
  </si>
  <si>
    <t xml:space="preserve">57.37           </t>
  </si>
  <si>
    <t xml:space="preserve">Junc 21                 </t>
  </si>
  <si>
    <t xml:space="preserve">443.3           </t>
  </si>
  <si>
    <t xml:space="preserve">520.78          </t>
  </si>
  <si>
    <t xml:space="preserve">77.48           </t>
  </si>
  <si>
    <t xml:space="preserve">Junc 22                 </t>
  </si>
  <si>
    <t xml:space="preserve">414.8           </t>
  </si>
  <si>
    <t xml:space="preserve">5.7             </t>
  </si>
  <si>
    <t xml:space="preserve">5.70            </t>
  </si>
  <si>
    <t xml:space="preserve">510.61          </t>
  </si>
  <si>
    <t xml:space="preserve">95.81           </t>
  </si>
  <si>
    <t xml:space="preserve">Junc 23                 </t>
  </si>
  <si>
    <t xml:space="preserve">448.9           </t>
  </si>
  <si>
    <t xml:space="preserve">519.50          </t>
  </si>
  <si>
    <t xml:space="preserve">70.60           </t>
  </si>
  <si>
    <t xml:space="preserve">Junc 24                 </t>
  </si>
  <si>
    <t xml:space="preserve">486.4           </t>
  </si>
  <si>
    <t xml:space="preserve">519.01          </t>
  </si>
  <si>
    <t xml:space="preserve">32.61           </t>
  </si>
  <si>
    <t xml:space="preserve">Junc 25                 </t>
  </si>
  <si>
    <t xml:space="preserve">451.8           </t>
  </si>
  <si>
    <t xml:space="preserve">517.01          </t>
  </si>
  <si>
    <t xml:space="preserve">65.21           </t>
  </si>
  <si>
    <t xml:space="preserve">Junc 26                 </t>
  </si>
  <si>
    <t xml:space="preserve">492.9           </t>
  </si>
  <si>
    <t xml:space="preserve">518.15          </t>
  </si>
  <si>
    <t xml:space="preserve">25.25           </t>
  </si>
  <si>
    <t xml:space="preserve">Junc 27                 </t>
  </si>
  <si>
    <t xml:space="preserve">433.17          </t>
  </si>
  <si>
    <t xml:space="preserve">518.84          </t>
  </si>
  <si>
    <t xml:space="preserve">85.67           </t>
  </si>
  <si>
    <t xml:space="preserve">Junc 28                 </t>
  </si>
  <si>
    <t xml:space="preserve">423.62          </t>
  </si>
  <si>
    <t xml:space="preserve">518.36          </t>
  </si>
  <si>
    <t xml:space="preserve">94.74           </t>
  </si>
  <si>
    <t xml:space="preserve">Junc 29                 </t>
  </si>
  <si>
    <t xml:space="preserve">453.06          </t>
  </si>
  <si>
    <t xml:space="preserve">516.00          </t>
  </si>
  <si>
    <t xml:space="preserve">62.94           </t>
  </si>
  <si>
    <t xml:space="preserve">Junc 30                 </t>
  </si>
  <si>
    <t xml:space="preserve">406.13          </t>
  </si>
  <si>
    <t xml:space="preserve">59.13           </t>
  </si>
  <si>
    <t xml:space="preserve">Junc 31                 </t>
  </si>
  <si>
    <t xml:space="preserve">358.85          </t>
  </si>
  <si>
    <t xml:space="preserve">45.85           </t>
  </si>
  <si>
    <t xml:space="preserve">Junc 32                 </t>
  </si>
  <si>
    <t xml:space="preserve">398.44          </t>
  </si>
  <si>
    <t xml:space="preserve">63.43           </t>
  </si>
  <si>
    <t xml:space="preserve">Resvr 1                 </t>
  </si>
  <si>
    <t xml:space="preserve">#N/A            </t>
  </si>
  <si>
    <t xml:space="preserve">-226.80         </t>
  </si>
  <si>
    <t xml:space="preserve">313.00          </t>
  </si>
  <si>
    <t xml:space="preserve">Resvr 2                 </t>
  </si>
  <si>
    <t xml:space="preserve">-226.60         </t>
  </si>
  <si>
    <t xml:space="preserve">347.00          </t>
  </si>
  <si>
    <t xml:space="preserve">Resvr 3                 </t>
  </si>
  <si>
    <t xml:space="preserve">524.00          </t>
  </si>
  <si>
    <t>NODE ID</t>
  </si>
  <si>
    <t>Network Table - Links</t>
  </si>
  <si>
    <t xml:space="preserve">Length          </t>
  </si>
  <si>
    <t xml:space="preserve">Diameter        </t>
  </si>
  <si>
    <t xml:space="preserve">Roughness       </t>
  </si>
  <si>
    <t xml:space="preserve">Flow            </t>
  </si>
  <si>
    <t xml:space="preserve">Velocity        </t>
  </si>
  <si>
    <t xml:space="preserve">Unit Headloss   </t>
  </si>
  <si>
    <t xml:space="preserve">Friction Factor </t>
  </si>
  <si>
    <t xml:space="preserve">Status          </t>
  </si>
  <si>
    <t xml:space="preserve">mm              </t>
  </si>
  <si>
    <t xml:space="preserve">m/s             </t>
  </si>
  <si>
    <t xml:space="preserve">m/km            </t>
  </si>
  <si>
    <t xml:space="preserve">Pipe 2                  </t>
  </si>
  <si>
    <t xml:space="preserve">116.48          </t>
  </si>
  <si>
    <t xml:space="preserve">0.47            </t>
  </si>
  <si>
    <t xml:space="preserve">0.36            </t>
  </si>
  <si>
    <t xml:space="preserve">0.017           </t>
  </si>
  <si>
    <t xml:space="preserve">Open            </t>
  </si>
  <si>
    <t xml:space="preserve">Pipe 3                  </t>
  </si>
  <si>
    <t xml:space="preserve">82.48           </t>
  </si>
  <si>
    <t xml:space="preserve">0.52            </t>
  </si>
  <si>
    <t xml:space="preserve">0.54            </t>
  </si>
  <si>
    <t xml:space="preserve">0.018           </t>
  </si>
  <si>
    <t xml:space="preserve">Pipe 4                  </t>
  </si>
  <si>
    <t xml:space="preserve">37.18           </t>
  </si>
  <si>
    <t xml:space="preserve">0.38            </t>
  </si>
  <si>
    <t xml:space="preserve">0.39            </t>
  </si>
  <si>
    <t xml:space="preserve">0.020           </t>
  </si>
  <si>
    <t xml:space="preserve">Pipe 5                  </t>
  </si>
  <si>
    <t xml:space="preserve">87.62           </t>
  </si>
  <si>
    <t xml:space="preserve">0.70            </t>
  </si>
  <si>
    <t xml:space="preserve">1.08            </t>
  </si>
  <si>
    <t xml:space="preserve">Pipe 6                  </t>
  </si>
  <si>
    <t xml:space="preserve">102.10          </t>
  </si>
  <si>
    <t xml:space="preserve">0.81            </t>
  </si>
  <si>
    <t xml:space="preserve">1.43            </t>
  </si>
  <si>
    <t xml:space="preserve">Pipe 7                  </t>
  </si>
  <si>
    <t xml:space="preserve">42.40           </t>
  </si>
  <si>
    <t xml:space="preserve">0.43            </t>
  </si>
  <si>
    <t xml:space="preserve">0.50            </t>
  </si>
  <si>
    <t xml:space="preserve">0.019           </t>
  </si>
  <si>
    <t xml:space="preserve">Pipe 9                  </t>
  </si>
  <si>
    <t xml:space="preserve">-14.30          </t>
  </si>
  <si>
    <t xml:space="preserve">0.56            </t>
  </si>
  <si>
    <t xml:space="preserve">1.84            </t>
  </si>
  <si>
    <t xml:space="preserve">0.021           </t>
  </si>
  <si>
    <t xml:space="preserve">Pipe 10                 </t>
  </si>
  <si>
    <t xml:space="preserve">-37.00          </t>
  </si>
  <si>
    <t xml:space="preserve">0.37            </t>
  </si>
  <si>
    <t xml:space="preserve">Pipe 13                 </t>
  </si>
  <si>
    <t xml:space="preserve">82.12           </t>
  </si>
  <si>
    <t xml:space="preserve">0.42            </t>
  </si>
  <si>
    <t xml:space="preserve">0.32            </t>
  </si>
  <si>
    <t xml:space="preserve">Pipe 14                 </t>
  </si>
  <si>
    <t xml:space="preserve">36.82           </t>
  </si>
  <si>
    <t xml:space="preserve">Pipe 15                 </t>
  </si>
  <si>
    <t xml:space="preserve">25.52           </t>
  </si>
  <si>
    <t xml:space="preserve">0.33            </t>
  </si>
  <si>
    <t xml:space="preserve">0.35            </t>
  </si>
  <si>
    <t xml:space="preserve">Pipe 16                 </t>
  </si>
  <si>
    <t xml:space="preserve">-99.18          </t>
  </si>
  <si>
    <t xml:space="preserve">0.79            </t>
  </si>
  <si>
    <t xml:space="preserve">1.36            </t>
  </si>
  <si>
    <t xml:space="preserve">Pipe 17                 </t>
  </si>
  <si>
    <t xml:space="preserve">79.40           </t>
  </si>
  <si>
    <t xml:space="preserve">0.80            </t>
  </si>
  <si>
    <t xml:space="preserve">1.61            </t>
  </si>
  <si>
    <t xml:space="preserve">Pipe 18                 </t>
  </si>
  <si>
    <t xml:space="preserve">56.70           </t>
  </si>
  <si>
    <t xml:space="preserve">0.57            </t>
  </si>
  <si>
    <t xml:space="preserve">0.86            </t>
  </si>
  <si>
    <t xml:space="preserve">Pipe 19                 </t>
  </si>
  <si>
    <t xml:space="preserve">Pipe 20                 </t>
  </si>
  <si>
    <t xml:space="preserve">Pipe 21                 </t>
  </si>
  <si>
    <t xml:space="preserve">226.80          </t>
  </si>
  <si>
    <t xml:space="preserve">0.92            </t>
  </si>
  <si>
    <t xml:space="preserve">1.22            </t>
  </si>
  <si>
    <t xml:space="preserve">0.016           </t>
  </si>
  <si>
    <t xml:space="preserve">Pipe 22                 </t>
  </si>
  <si>
    <t xml:space="preserve">0.90            </t>
  </si>
  <si>
    <t xml:space="preserve">9.80            </t>
  </si>
  <si>
    <t xml:space="preserve">0.022           </t>
  </si>
  <si>
    <t xml:space="preserve">Pipe 23                 </t>
  </si>
  <si>
    <t xml:space="preserve">187.10          </t>
  </si>
  <si>
    <t xml:space="preserve">0.95            </t>
  </si>
  <si>
    <t xml:space="preserve">1.48            </t>
  </si>
  <si>
    <t xml:space="preserve">Pipe 24                 </t>
  </si>
  <si>
    <t xml:space="preserve">68.51           </t>
  </si>
  <si>
    <t xml:space="preserve">Pipe 25                 </t>
  </si>
  <si>
    <t xml:space="preserve">34.51           </t>
  </si>
  <si>
    <t xml:space="preserve">0.44            </t>
  </si>
  <si>
    <t xml:space="preserve">0.62            </t>
  </si>
  <si>
    <t xml:space="preserve">Pipe 26                 </t>
  </si>
  <si>
    <t xml:space="preserve">11.81           </t>
  </si>
  <si>
    <t xml:space="preserve">0.46            </t>
  </si>
  <si>
    <t xml:space="preserve">0.013           </t>
  </si>
  <si>
    <t xml:space="preserve">Pipe 27                 </t>
  </si>
  <si>
    <t xml:space="preserve">-27.89          </t>
  </si>
  <si>
    <t xml:space="preserve">1.28            </t>
  </si>
  <si>
    <t xml:space="preserve">Pipe 28                 </t>
  </si>
  <si>
    <t xml:space="preserve">0.45            </t>
  </si>
  <si>
    <t xml:space="preserve">0.48            </t>
  </si>
  <si>
    <t xml:space="preserve">Pipe 29                 </t>
  </si>
  <si>
    <t xml:space="preserve">0.87            </t>
  </si>
  <si>
    <t xml:space="preserve">Pipe 30                 </t>
  </si>
  <si>
    <t xml:space="preserve">1.14            </t>
  </si>
  <si>
    <t xml:space="preserve">0.023           </t>
  </si>
  <si>
    <t xml:space="preserve">Pipe 31                 </t>
  </si>
  <si>
    <t xml:space="preserve">226.60          </t>
  </si>
  <si>
    <t xml:space="preserve">Pipe 33                 </t>
  </si>
  <si>
    <t xml:space="preserve">Pipe 35                 </t>
  </si>
  <si>
    <t xml:space="preserve">19.70           </t>
  </si>
  <si>
    <t xml:space="preserve">0.77            </t>
  </si>
  <si>
    <t xml:space="preserve">3.33            </t>
  </si>
  <si>
    <t xml:space="preserve">Pipe 36                 </t>
  </si>
  <si>
    <t xml:space="preserve">2.11            </t>
  </si>
  <si>
    <t xml:space="preserve">Pump 12                 </t>
  </si>
  <si>
    <t xml:space="preserve">-59.13          </t>
  </si>
  <si>
    <t xml:space="preserve">0.000           </t>
  </si>
  <si>
    <t xml:space="preserve">Pump 32                 </t>
  </si>
  <si>
    <t xml:space="preserve">-45.85          </t>
  </si>
  <si>
    <t xml:space="preserve">Pump 34                 </t>
  </si>
  <si>
    <t xml:space="preserve">-53.23          </t>
  </si>
  <si>
    <t>Link ID</t>
  </si>
  <si>
    <t>Hpl x (m)</t>
  </si>
  <si>
    <t>Hp2 x (m)</t>
  </si>
  <si>
    <t>Hp3 x (m)</t>
  </si>
  <si>
    <t>q/Vsp</t>
  </si>
  <si>
    <t>Gtd1 + Gtd2</t>
  </si>
  <si>
    <t>Pembubuhan alum ke dalam bak pembubuh dilakukan 24 jam sekali.</t>
  </si>
  <si>
    <t>Kedalaman saluran inlet</t>
  </si>
  <si>
    <t xml:space="preserve">Elevasi </t>
  </si>
  <si>
    <t>Awal</t>
  </si>
  <si>
    <t>Akhir</t>
  </si>
  <si>
    <t>Panjang (m)</t>
  </si>
  <si>
    <t xml:space="preserve">Slope </t>
  </si>
  <si>
    <t>Intake - IPAM</t>
  </si>
  <si>
    <t>Diameter (m)</t>
  </si>
  <si>
    <t>Kecepatan (m/s)</t>
  </si>
  <si>
    <t>IPAM - Reservoir</t>
  </si>
  <si>
    <t>PVC</t>
  </si>
  <si>
    <t>Friction Head Loss</t>
  </si>
  <si>
    <t xml:space="preserve">Major Head Loss </t>
  </si>
  <si>
    <t>Minor Head Loss</t>
  </si>
  <si>
    <t>Fitting</t>
  </si>
  <si>
    <t>k</t>
  </si>
  <si>
    <t>K total</t>
  </si>
  <si>
    <t>Elbow 90</t>
  </si>
  <si>
    <t>K Total</t>
  </si>
  <si>
    <t>v2</t>
  </si>
  <si>
    <t>m2/s2</t>
  </si>
  <si>
    <t>g</t>
  </si>
  <si>
    <t>m/s2</t>
  </si>
  <si>
    <t>2g</t>
  </si>
  <si>
    <t>Static Head</t>
  </si>
  <si>
    <t>Static Head Loss</t>
  </si>
  <si>
    <t>Velocity Head</t>
  </si>
  <si>
    <t>Total head</t>
  </si>
  <si>
    <t>Pompa Intake - IPAM</t>
  </si>
  <si>
    <t>IPAM - Reservoir 1</t>
  </si>
  <si>
    <t>IPAM - Reservoir 2</t>
  </si>
  <si>
    <t>IPAM - Reservoir 3</t>
  </si>
  <si>
    <t xml:space="preserve">Panjang (m) </t>
  </si>
  <si>
    <t>Awal + head (m)</t>
  </si>
  <si>
    <t>Titik</t>
  </si>
  <si>
    <t>Pipa Transmisi</t>
  </si>
  <si>
    <t>Diameter (mm)</t>
  </si>
  <si>
    <t>Panjang Pipa (m)</t>
  </si>
  <si>
    <t>Panjang Pasaran (m)</t>
  </si>
  <si>
    <t>IPAM - RESERVOIR 1</t>
  </si>
  <si>
    <t>IPAM - RESERVOIR 2</t>
  </si>
  <si>
    <t>IPAM - RESERVOIR 3</t>
  </si>
  <si>
    <t>Pipa</t>
  </si>
  <si>
    <t>Panjang pipa (m)</t>
  </si>
  <si>
    <t xml:space="preserve">Jumlah dibutuhkan </t>
  </si>
  <si>
    <t>Panjang pipa pasaran (m)</t>
  </si>
  <si>
    <t>Pipa Distribusi</t>
  </si>
  <si>
    <t>N1-01</t>
  </si>
  <si>
    <t>N1-02</t>
  </si>
  <si>
    <t>N1-04</t>
  </si>
  <si>
    <t xml:space="preserve">N1-03 </t>
  </si>
  <si>
    <t>N1-03</t>
  </si>
  <si>
    <t>N1-05</t>
  </si>
  <si>
    <t>N1-06</t>
  </si>
  <si>
    <t>N1-08</t>
  </si>
  <si>
    <t>N1-07</t>
  </si>
  <si>
    <t>N1-09</t>
  </si>
  <si>
    <t>Reservoir 2</t>
  </si>
  <si>
    <t>N2-01</t>
  </si>
  <si>
    <t>N2-03</t>
  </si>
  <si>
    <t>N2-02</t>
  </si>
  <si>
    <t>N2-04</t>
  </si>
  <si>
    <t>N2-06</t>
  </si>
  <si>
    <t>N2-07</t>
  </si>
  <si>
    <t>N2-05</t>
  </si>
  <si>
    <t>N2-08</t>
  </si>
  <si>
    <t>Reservoir 3</t>
  </si>
  <si>
    <t>N3-01</t>
  </si>
  <si>
    <t>N3-02</t>
  </si>
  <si>
    <t>N3-03</t>
  </si>
  <si>
    <t>N3-07</t>
  </si>
  <si>
    <t>N3-08</t>
  </si>
  <si>
    <t>N3-05</t>
  </si>
  <si>
    <t>N3-04</t>
  </si>
  <si>
    <t>N3-06</t>
  </si>
  <si>
    <t>N3-09</t>
  </si>
  <si>
    <t>Reservoir 1</t>
  </si>
  <si>
    <t>Jumlah Dibutuhkan</t>
  </si>
  <si>
    <t>Elevasi Muka Tanah</t>
  </si>
  <si>
    <t>Elevasi Dasar Pipa</t>
  </si>
  <si>
    <t>Kedalaman tanah urug (H)</t>
  </si>
  <si>
    <t>Kedalaman pasir (h)</t>
  </si>
  <si>
    <t>(Dpipa + b + d)</t>
  </si>
  <si>
    <t>Kedalaman galian (Hg)</t>
  </si>
  <si>
    <t>H + h</t>
  </si>
  <si>
    <t>Lebar (W) galian</t>
  </si>
  <si>
    <t xml:space="preserve">Volume galian </t>
  </si>
  <si>
    <t xml:space="preserve">Hg x W x 1 </t>
  </si>
  <si>
    <t>m3/m</t>
  </si>
  <si>
    <t>Volume urugan pasir</t>
  </si>
  <si>
    <t>Volume galian pasir - volume pipa</t>
  </si>
  <si>
    <t>Volume urugan tanah</t>
  </si>
  <si>
    <t>H x W x 1</t>
  </si>
  <si>
    <t>Volume tanah dibuang</t>
  </si>
  <si>
    <t>Volume galian total - Volume urugan tanah</t>
  </si>
  <si>
    <t>Diameter 710 mm</t>
  </si>
  <si>
    <t>0,71 + 0,10 + 0,10</t>
  </si>
  <si>
    <t>0,56 + 0,10 + 0,10</t>
  </si>
  <si>
    <t>Diameter 560 mm</t>
  </si>
  <si>
    <t>Diameter 400 mm</t>
  </si>
  <si>
    <t>0,40 + 0,10 + 0,10</t>
  </si>
  <si>
    <t>Diameter 335 mm</t>
  </si>
  <si>
    <t>0,335 + 0,10 + 0,10</t>
  </si>
  <si>
    <t>Diameter 315 mm</t>
  </si>
  <si>
    <t>0,315 + 0,10 + 0,10</t>
  </si>
  <si>
    <t>Diameter 280 mm</t>
  </si>
  <si>
    <t>0,280 + 0,10 + 0,10</t>
  </si>
  <si>
    <t>Diameter 250 mm</t>
  </si>
  <si>
    <t>0,250 + 0,10 + 0,10</t>
  </si>
  <si>
    <t>Diameter 180 mm</t>
  </si>
  <si>
    <t>0,18 + 0,10 + 0,10</t>
  </si>
  <si>
    <t>Diameter 160 mm</t>
  </si>
  <si>
    <t>0,16+ 0,10 + 0,10</t>
  </si>
  <si>
    <t>Diameter 140 mm</t>
  </si>
  <si>
    <t>0,14+ 0,10 + 0,10</t>
  </si>
  <si>
    <t>Diameter90 mm</t>
  </si>
  <si>
    <t>0,09+ 0,10 + 0,10</t>
  </si>
  <si>
    <t>BOQ</t>
  </si>
  <si>
    <t>Jalur Pipa</t>
  </si>
  <si>
    <t>Volume Galian (m3)</t>
  </si>
  <si>
    <t>Volume Urugan Pasir (m3)</t>
  </si>
  <si>
    <t>Volume Urugan Tanah (m3)</t>
  </si>
  <si>
    <t>Volume Buangan Tanah (m3)</t>
  </si>
  <si>
    <t>Dari Node</t>
  </si>
  <si>
    <t>Ke Node</t>
  </si>
  <si>
    <t>Pekerjaan Tanah</t>
  </si>
  <si>
    <t>Dimensi Unit</t>
  </si>
  <si>
    <t>Vol. Galian Tanah (m3)</t>
  </si>
  <si>
    <t>P (m)</t>
  </si>
  <si>
    <t>L (m)</t>
  </si>
  <si>
    <t>t galian (m)</t>
  </si>
  <si>
    <t>Pra sedimentasi</t>
  </si>
  <si>
    <t>Pekerjaan Beton</t>
  </si>
  <si>
    <t xml:space="preserve">Tebal Dinding </t>
  </si>
  <si>
    <t>Volume</t>
  </si>
  <si>
    <t>Volume Beton</t>
  </si>
  <si>
    <t>(m)</t>
  </si>
  <si>
    <t>t (m)</t>
  </si>
  <si>
    <t>(m3)</t>
  </si>
  <si>
    <t>Dimensi setelah dibeton</t>
  </si>
  <si>
    <t>A. Pekerjaan Persiapan</t>
  </si>
  <si>
    <t>B. Pekerjaan Tanah</t>
  </si>
  <si>
    <t>1 m2 Pekerjaan Pengukuran / 1000 m2/hari</t>
  </si>
  <si>
    <t>1 m3 Galian Tanah biasa sedalam 2 meter</t>
  </si>
  <si>
    <t>Upah</t>
  </si>
  <si>
    <t>Pengawas</t>
  </si>
  <si>
    <t>@</t>
  </si>
  <si>
    <t>oh</t>
  </si>
  <si>
    <t>Pekerja</t>
  </si>
  <si>
    <t>Ass. Ahli ukur</t>
  </si>
  <si>
    <t>Mandor</t>
  </si>
  <si>
    <t>JUMLAH</t>
  </si>
  <si>
    <t>1 m3 Pengangkutan/Pembuangan Tanah</t>
  </si>
  <si>
    <t>Sewa alat ukur</t>
  </si>
  <si>
    <t>B = Upah pekerja / 250 x (Jarak +75)</t>
  </si>
  <si>
    <t>B = Rupiah / 250 x (4203 + 75)</t>
  </si>
  <si>
    <t xml:space="preserve">Untuk pengukuran 1 m </t>
  </si>
  <si>
    <t>1 m3 Pengukuran dan Pemasangan Bouwplank</t>
  </si>
  <si>
    <t>1 m3 Urugan tanah biasa</t>
  </si>
  <si>
    <t>Bahan</t>
  </si>
  <si>
    <t>Kayu bangkirai</t>
  </si>
  <si>
    <t>kg</t>
  </si>
  <si>
    <t>Paku</t>
  </si>
  <si>
    <t>Kayu papan</t>
  </si>
  <si>
    <t>JUMLAH I</t>
  </si>
  <si>
    <t>1 m3 Urugan pasir</t>
  </si>
  <si>
    <t>Tukang kayu</t>
  </si>
  <si>
    <t>Pasir urug</t>
  </si>
  <si>
    <t>Kepala tukang kayu</t>
  </si>
  <si>
    <t>JUMLAH II</t>
  </si>
  <si>
    <t>JUMLAH I + II</t>
  </si>
  <si>
    <t>1 m2 Pekerjaan Pembersihan Lapangan</t>
  </si>
  <si>
    <t>1 Buah Pekerjaan Papan Nama Proyek</t>
  </si>
  <si>
    <t>Kayu (bengkirai)</t>
  </si>
  <si>
    <t>Seng plat</t>
  </si>
  <si>
    <t>Cat kayu</t>
  </si>
  <si>
    <t>Beton cor 1:2:3</t>
  </si>
  <si>
    <t>Tukang cat</t>
  </si>
  <si>
    <t>Total</t>
  </si>
  <si>
    <t>Uraian Pekerjaan</t>
  </si>
  <si>
    <t>Harga Satuan</t>
  </si>
  <si>
    <t>Jumlah Harga</t>
  </si>
  <si>
    <t>A.</t>
  </si>
  <si>
    <t>Pekerjaan Persiapan</t>
  </si>
  <si>
    <t>Pengukuran</t>
  </si>
  <si>
    <t>Pengukuran dan Pemasangan Bouwplank</t>
  </si>
  <si>
    <t>Pembersihan Lapangan</t>
  </si>
  <si>
    <t xml:space="preserve">B. </t>
  </si>
  <si>
    <t>Pengangkutan/Pembuangan tanah</t>
  </si>
  <si>
    <t>Urugan tanah biasa</t>
  </si>
  <si>
    <t>Urugan pasir</t>
  </si>
  <si>
    <t>Galian tanah biasa</t>
  </si>
  <si>
    <t>Pekerjaan Pemasangan Jaringan SPAM</t>
  </si>
  <si>
    <t>Jumlah I</t>
  </si>
  <si>
    <t>Jumlah II</t>
  </si>
  <si>
    <t>Jumlah I + II</t>
  </si>
  <si>
    <t>Pekerjaan Unit</t>
  </si>
  <si>
    <t xml:space="preserve">Harga Satuan </t>
  </si>
  <si>
    <t>Total Harga</t>
  </si>
  <si>
    <t>PEKERJAAN UNIT PRA SEDIMENTASI</t>
  </si>
  <si>
    <t>Pekerjaan Galian</t>
  </si>
  <si>
    <t>PEKERJAAN UNIT KOAGULASI</t>
  </si>
  <si>
    <t>PEKERJAAN UNIT FLOKULASI</t>
  </si>
  <si>
    <t>PEKERJAAN UNIT SEDIMENTASI</t>
  </si>
  <si>
    <t>PEKERJAAN UNIT FILTRASI</t>
  </si>
  <si>
    <t>PEKERJAAN UNIT DESINFEKSI</t>
  </si>
  <si>
    <t>TOTAL</t>
  </si>
  <si>
    <t>Pekerjaan Pembuatan Unit</t>
  </si>
  <si>
    <t>Pekerjaan galian</t>
  </si>
  <si>
    <t>B.</t>
  </si>
  <si>
    <t>Pekerjaan beton</t>
  </si>
  <si>
    <t>RAB Total Pekerjaan</t>
  </si>
  <si>
    <t>Pekerjaan pembuatan unit</t>
  </si>
  <si>
    <t>Pekerjaan pemasangan jaringan SPAM</t>
  </si>
  <si>
    <t>Harga Perbuah</t>
  </si>
  <si>
    <t xml:space="preserve">Total </t>
  </si>
  <si>
    <t>Pengadaan Aksesoris Pipa</t>
  </si>
  <si>
    <t>Aksesoris</t>
  </si>
  <si>
    <t>Harga Per satuan (Rp)</t>
  </si>
  <si>
    <t>Tee All Flange</t>
  </si>
  <si>
    <t>Reducer</t>
  </si>
  <si>
    <t>Bend 90</t>
  </si>
  <si>
    <t>Bend 45</t>
  </si>
  <si>
    <t>Gate Valve</t>
  </si>
  <si>
    <t>Giboult joint</t>
  </si>
  <si>
    <t>Meteran Air</t>
  </si>
  <si>
    <t>Jenis Pekerjaan</t>
  </si>
  <si>
    <t>Pengadaan Pipa</t>
  </si>
  <si>
    <t>Poly Aluminium Chloride 1kg (Koagulan)</t>
  </si>
  <si>
    <t>Kaporit 1 kg (desinfeksi)</t>
  </si>
  <si>
    <t>Total galian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</si>
</sst>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Rp&quot;* #,##0_-;\-&quot;Rp&quot;* #,##0_-;_-&quot;Rp&quot;* &quot;-&quot;_-;_-@_-"/>
    <numFmt numFmtId="164" formatCode="0.0%"/>
    <numFmt numFmtId="165" formatCode="0.000"/>
    <numFmt numFmtId="166" formatCode="0.0"/>
    <numFmt numFmtId="167" formatCode="0.000000"/>
    <numFmt numFmtId="168" formatCode="0.0000"/>
    <numFmt numFmtId="169" formatCode="0.0000000"/>
    <numFmt numFmtId="170" formatCode="0.00000000000"/>
    <numFmt numFmtId="171" formatCode="0.00000"/>
    <numFmt numFmtId="172" formatCode="0.00000000"/>
    <numFmt numFmtId="173" formatCode="0.000000000"/>
    <numFmt numFmtId="174" formatCode="&quot;Rp&quot;#,##0"/>
    <numFmt numFmtId="175" formatCode="_([$Rp-421]* #,##0_);_([$Rp-421]* \(#,##0\);_([$Rp-421]* &quot;-&quot;_);_(@_)"/>
    <numFmt numFmtId="176" formatCode="_([$Rp-421]* #,##0.00_);_([$Rp-421]* \(#,##0.00\);_([$Rp-421]* &quot;-&quot;??_);_(@_)"/>
    <numFmt numFmtId="177" formatCode="_([$Rp-421]* #,##0.0_);_([$Rp-421]* \(#,##0.0\);_([$Rp-421]* &quot;-&quot;?_);_(@_)"/>
    <numFmt numFmtId="178" formatCode="_-[$Rp-3809]* #,##0.00_-;\-[$Rp-3809]* #,##0.00_-;_-[$Rp-3809]* &quot;-&quot;??_-;_-@_-"/>
    <numFmt numFmtId="179" formatCode="_-[$Rp-421]* #,##0.00_-;\-[$Rp-421]* #,##0.00_-;_-[$Rp-421]* &quot;-&quot;??_-;_-@_-"/>
  </numFmts>
  <fonts count="22" x14ac:knownFonts="1">
    <font>
      <sz val="11"/>
      <color theme="1"/>
      <name val="Calibri"/>
      <family val="2"/>
      <scheme val="minor"/>
    </font>
    <font>
      <sz val="11"/>
      <color theme="1"/>
      <name val="Calibri"/>
      <family val="2"/>
      <scheme val="minor"/>
    </font>
    <font>
      <b/>
      <sz val="11"/>
      <color theme="1"/>
      <name val="Calibri"/>
      <family val="2"/>
      <scheme val="minor"/>
    </font>
    <font>
      <b/>
      <i/>
      <sz val="11"/>
      <name val="Calibri"/>
      <family val="2"/>
      <scheme val="minor"/>
    </font>
    <font>
      <b/>
      <sz val="11"/>
      <color theme="1"/>
      <name val="Times New Roman"/>
      <family val="1"/>
    </font>
    <font>
      <sz val="11"/>
      <color theme="1"/>
      <name val="Times New Roman"/>
      <family val="1"/>
    </font>
    <font>
      <sz val="11"/>
      <name val="Times New Roman"/>
      <family val="1"/>
    </font>
    <font>
      <sz val="11"/>
      <color theme="1"/>
      <name val="Calibri"/>
      <family val="2"/>
    </font>
    <font>
      <b/>
      <sz val="11"/>
      <color theme="1"/>
      <name val="Calibri"/>
      <family val="2"/>
    </font>
    <font>
      <sz val="11"/>
      <name val="Calibri"/>
      <family val="2"/>
    </font>
    <font>
      <sz val="11"/>
      <color rgb="FF000000"/>
      <name val="Calibri"/>
      <family val="2"/>
      <scheme val="minor"/>
    </font>
    <font>
      <b/>
      <sz val="11"/>
      <color rgb="FF000000"/>
      <name val="Calibri"/>
      <family val="2"/>
      <scheme val="minor"/>
    </font>
    <font>
      <i/>
      <sz val="11"/>
      <color theme="1"/>
      <name val="Calibri"/>
      <family val="2"/>
      <scheme val="minor"/>
    </font>
    <font>
      <sz val="8"/>
      <name val="Calibri"/>
      <family val="2"/>
      <scheme val="minor"/>
    </font>
    <font>
      <sz val="11"/>
      <color theme="2"/>
      <name val="Calibri"/>
      <family val="2"/>
      <scheme val="minor"/>
    </font>
    <font>
      <i/>
      <sz val="11"/>
      <color theme="1"/>
      <name val="Times New Roman"/>
      <family val="1"/>
    </font>
    <font>
      <sz val="12"/>
      <color theme="1"/>
      <name val="Calibri"/>
      <family val="2"/>
      <scheme val="minor"/>
    </font>
    <font>
      <sz val="12"/>
      <color theme="1"/>
      <name val="Times New Roman"/>
      <family val="1"/>
    </font>
    <font>
      <sz val="10"/>
      <color rgb="FF000000"/>
      <name val="Times New Roman"/>
      <family val="1"/>
    </font>
    <font>
      <sz val="12"/>
      <color rgb="FF000000"/>
      <name val="Times New Roman"/>
      <family val="1"/>
    </font>
    <font>
      <sz val="11"/>
      <color rgb="FF000000"/>
      <name val="Times New Roman"/>
      <family val="1"/>
    </font>
    <font>
      <b/>
      <sz val="12"/>
      <color rgb="FF000000"/>
      <name val="Times New Roman"/>
      <family val="1"/>
    </font>
  </fonts>
  <fills count="8">
    <fill>
      <patternFill patternType="none"/>
    </fill>
    <fill>
      <patternFill patternType="gray125"/>
    </fill>
    <fill>
      <patternFill patternType="solid">
        <fgColor theme="0" tint="-0.14999847407452621"/>
        <bgColor indexed="64"/>
      </patternFill>
    </fill>
    <fill>
      <patternFill patternType="solid">
        <fgColor theme="2" tint="-9.9978637043366805E-2"/>
        <bgColor indexed="64"/>
      </patternFill>
    </fill>
    <fill>
      <patternFill patternType="solid">
        <fgColor theme="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style="thin">
        <color indexed="64"/>
      </right>
      <top style="thin">
        <color indexed="64"/>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diagonal/>
    </border>
    <border>
      <left/>
      <right/>
      <top style="thin">
        <color rgb="FF000000"/>
      </top>
      <bottom style="thin">
        <color rgb="FF000000"/>
      </bottom>
      <diagonal/>
    </border>
    <border>
      <left/>
      <right/>
      <top style="thin">
        <color rgb="FF000000"/>
      </top>
      <bottom/>
      <diagonal/>
    </border>
  </borders>
  <cellStyleXfs count="3">
    <xf numFmtId="0" fontId="0" fillId="0" borderId="0"/>
    <xf numFmtId="9" fontId="1" fillId="0" borderId="0" applyFont="0" applyFill="0" applyBorder="0" applyAlignment="0" applyProtection="0"/>
    <xf numFmtId="0" fontId="16" fillId="0" borderId="0"/>
  </cellStyleXfs>
  <cellXfs count="414">
    <xf numFmtId="0" fontId="0" fillId="0" borderId="0" xfId="0"/>
    <xf numFmtId="0" fontId="0" fillId="0" borderId="1" xfId="0" applyBorder="1" applyAlignment="1">
      <alignment horizontal="center"/>
    </xf>
    <xf numFmtId="0" fontId="0" fillId="0" borderId="1" xfId="0" applyBorder="1" applyAlignment="1">
      <alignment horizontal="left"/>
    </xf>
    <xf numFmtId="1" fontId="0" fillId="0" borderId="1" xfId="0" applyNumberForma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left"/>
    </xf>
    <xf numFmtId="1" fontId="3" fillId="0" borderId="1" xfId="0" applyNumberFormat="1" applyFont="1" applyBorder="1" applyAlignment="1">
      <alignment horizontal="center"/>
    </xf>
    <xf numFmtId="0" fontId="4" fillId="0" borderId="2" xfId="0" applyFont="1" applyBorder="1" applyAlignment="1">
      <alignment horizontal="center" vertical="center"/>
    </xf>
    <xf numFmtId="0" fontId="4" fillId="0" borderId="1" xfId="0" applyFont="1" applyBorder="1" applyAlignment="1">
      <alignment horizontal="center" vertical="center"/>
    </xf>
    <xf numFmtId="0" fontId="5" fillId="0" borderId="0" xfId="0" applyFont="1"/>
    <xf numFmtId="0" fontId="5" fillId="0" borderId="6" xfId="0" applyFont="1" applyBorder="1" applyAlignment="1">
      <alignment horizontal="center" vertical="center"/>
    </xf>
    <xf numFmtId="0" fontId="5" fillId="0" borderId="1" xfId="0" applyFont="1" applyBorder="1" applyAlignment="1">
      <alignment horizontal="center" vertical="center"/>
    </xf>
    <xf numFmtId="10" fontId="5" fillId="0" borderId="7" xfId="1" applyNumberFormat="1" applyFont="1" applyBorder="1" applyAlignment="1">
      <alignment horizontal="center"/>
    </xf>
    <xf numFmtId="0" fontId="5" fillId="0" borderId="2" xfId="0" applyFont="1" applyBorder="1" applyAlignment="1">
      <alignment horizontal="center" vertical="center"/>
    </xf>
    <xf numFmtId="1" fontId="5" fillId="0" borderId="1" xfId="0" applyNumberFormat="1" applyFont="1" applyBorder="1" applyAlignment="1">
      <alignment horizontal="center"/>
    </xf>
    <xf numFmtId="1" fontId="5" fillId="0" borderId="0" xfId="1" applyNumberFormat="1" applyFont="1" applyAlignment="1"/>
    <xf numFmtId="10" fontId="5" fillId="0" borderId="0" xfId="1" applyNumberFormat="1" applyFont="1" applyAlignment="1"/>
    <xf numFmtId="164" fontId="5" fillId="0" borderId="0" xfId="1" applyNumberFormat="1" applyFont="1" applyAlignment="1"/>
    <xf numFmtId="0" fontId="5" fillId="0" borderId="1" xfId="0" applyFont="1" applyBorder="1" applyAlignment="1">
      <alignment horizontal="center"/>
    </xf>
    <xf numFmtId="1" fontId="5" fillId="0" borderId="1" xfId="0" applyNumberFormat="1" applyFont="1" applyBorder="1" applyAlignment="1">
      <alignment horizontal="center" vertical="center"/>
    </xf>
    <xf numFmtId="1" fontId="4" fillId="0" borderId="1" xfId="0" applyNumberFormat="1" applyFont="1" applyBorder="1" applyAlignment="1">
      <alignment horizontal="center" vertical="center"/>
    </xf>
    <xf numFmtId="1" fontId="4" fillId="0" borderId="1" xfId="0" applyNumberFormat="1" applyFont="1" applyBorder="1" applyAlignment="1">
      <alignment horizontal="center"/>
    </xf>
    <xf numFmtId="1" fontId="5" fillId="0" borderId="8" xfId="0" applyNumberFormat="1" applyFont="1" applyBorder="1" applyAlignment="1">
      <alignment horizontal="center"/>
    </xf>
    <xf numFmtId="0" fontId="2" fillId="0" borderId="0" xfId="0" applyFont="1" applyAlignment="1">
      <alignment horizontal="center"/>
    </xf>
    <xf numFmtId="0" fontId="2" fillId="0" borderId="0" xfId="0" applyFont="1"/>
    <xf numFmtId="0" fontId="0" fillId="0" borderId="0" xfId="0" quotePrefix="1"/>
    <xf numFmtId="0" fontId="3" fillId="0" borderId="9" xfId="0" applyFont="1" applyBorder="1" applyAlignment="1">
      <alignment horizontal="center"/>
    </xf>
    <xf numFmtId="0" fontId="3" fillId="0" borderId="9" xfId="0" applyFont="1" applyBorder="1" applyAlignment="1">
      <alignment horizontal="left"/>
    </xf>
    <xf numFmtId="0" fontId="0" fillId="0" borderId="1" xfId="0" applyBorder="1" applyAlignment="1">
      <alignment horizontal="center" vertical="center"/>
    </xf>
    <xf numFmtId="0" fontId="7" fillId="0" borderId="0" xfId="0" applyFont="1"/>
    <xf numFmtId="0" fontId="8" fillId="3" borderId="1" xfId="0" applyFont="1" applyFill="1" applyBorder="1" applyAlignment="1">
      <alignment horizontal="center"/>
    </xf>
    <xf numFmtId="0" fontId="8" fillId="3" borderId="1" xfId="0" applyFont="1" applyFill="1" applyBorder="1" applyAlignment="1">
      <alignment horizontal="center" vertical="center"/>
    </xf>
    <xf numFmtId="0" fontId="8" fillId="0" borderId="23" xfId="0" applyFont="1" applyBorder="1"/>
    <xf numFmtId="0" fontId="7" fillId="0" borderId="23" xfId="0" applyFont="1" applyBorder="1"/>
    <xf numFmtId="0" fontId="7" fillId="0" borderId="23" xfId="0" applyFont="1" applyBorder="1" applyAlignment="1">
      <alignment horizontal="center" vertical="center"/>
    </xf>
    <xf numFmtId="0" fontId="7" fillId="0" borderId="24" xfId="0" applyFont="1" applyBorder="1"/>
    <xf numFmtId="0" fontId="7" fillId="0" borderId="25" xfId="0" applyFont="1" applyBorder="1" applyAlignment="1">
      <alignment horizontal="center" vertical="center"/>
    </xf>
    <xf numFmtId="0" fontId="7" fillId="0" borderId="24" xfId="0" applyFont="1" applyBorder="1" applyAlignment="1">
      <alignment horizontal="center" vertical="center"/>
    </xf>
    <xf numFmtId="0" fontId="8" fillId="0" borderId="24" xfId="0" applyFont="1" applyBorder="1"/>
    <xf numFmtId="0" fontId="7" fillId="0" borderId="6" xfId="0" applyFont="1" applyBorder="1"/>
    <xf numFmtId="0" fontId="7" fillId="0" borderId="1" xfId="0" applyFont="1" applyBorder="1" applyAlignment="1">
      <alignment horizontal="center" vertical="center"/>
    </xf>
    <xf numFmtId="0" fontId="7" fillId="0" borderId="27" xfId="0" applyFont="1" applyBorder="1" applyAlignment="1">
      <alignment horizontal="center" vertical="center"/>
    </xf>
    <xf numFmtId="0" fontId="9" fillId="0" borderId="1" xfId="0" applyFont="1" applyBorder="1"/>
    <xf numFmtId="0" fontId="7" fillId="0" borderId="0" xfId="0" applyFont="1" applyAlignment="1">
      <alignment horizontal="left"/>
    </xf>
    <xf numFmtId="0" fontId="8" fillId="0" borderId="1" xfId="0" applyFont="1" applyBorder="1"/>
    <xf numFmtId="0" fontId="7" fillId="0" borderId="1" xfId="0" applyFont="1" applyBorder="1"/>
    <xf numFmtId="0" fontId="10" fillId="0" borderId="9" xfId="0" applyFont="1" applyBorder="1" applyAlignment="1">
      <alignment horizontal="center" vertical="center"/>
    </xf>
    <xf numFmtId="0" fontId="10" fillId="0" borderId="1" xfId="0" applyFont="1" applyBorder="1" applyAlignment="1">
      <alignment horizontal="center" vertical="center"/>
    </xf>
    <xf numFmtId="9" fontId="0" fillId="0" borderId="1" xfId="0" applyNumberFormat="1" applyBorder="1" applyAlignment="1">
      <alignment horizontal="center"/>
    </xf>
    <xf numFmtId="2" fontId="0" fillId="0" borderId="1" xfId="0" applyNumberFormat="1" applyBorder="1" applyAlignment="1">
      <alignment horizontal="center"/>
    </xf>
    <xf numFmtId="0" fontId="0" fillId="0" borderId="0" xfId="0" applyAlignment="1">
      <alignment horizontal="center"/>
    </xf>
    <xf numFmtId="0" fontId="2" fillId="5" borderId="1" xfId="0" applyFont="1" applyFill="1" applyBorder="1" applyAlignment="1">
      <alignment horizontal="center" vertical="center"/>
    </xf>
    <xf numFmtId="0" fontId="2" fillId="5" borderId="7" xfId="0" applyFont="1" applyFill="1" applyBorder="1" applyAlignment="1">
      <alignment horizontal="center" vertical="center"/>
    </xf>
    <xf numFmtId="2" fontId="0" fillId="0" borderId="9" xfId="0" applyNumberFormat="1" applyBorder="1" applyAlignment="1">
      <alignment horizontal="center"/>
    </xf>
    <xf numFmtId="0" fontId="2" fillId="5" borderId="8" xfId="0" applyFont="1" applyFill="1" applyBorder="1" applyAlignment="1">
      <alignment horizontal="center"/>
    </xf>
    <xf numFmtId="0" fontId="2" fillId="5" borderId="9" xfId="0" applyFont="1" applyFill="1" applyBorder="1" applyAlignment="1">
      <alignment horizontal="center"/>
    </xf>
    <xf numFmtId="0" fontId="0" fillId="0" borderId="0" xfId="0" applyAlignment="1">
      <alignment horizontal="left" vertical="top" wrapText="1"/>
    </xf>
    <xf numFmtId="0" fontId="0" fillId="0" borderId="0" xfId="0" applyAlignment="1">
      <alignment vertical="top" wrapText="1"/>
    </xf>
    <xf numFmtId="0" fontId="0" fillId="0" borderId="1" xfId="0" applyBorder="1" applyAlignment="1">
      <alignment vertical="center"/>
    </xf>
    <xf numFmtId="0" fontId="2" fillId="0" borderId="1" xfId="0" applyFont="1" applyBorder="1" applyAlignment="1">
      <alignment horizontal="center" vertical="center"/>
    </xf>
    <xf numFmtId="0" fontId="0" fillId="0" borderId="30" xfId="0" applyBorder="1"/>
    <xf numFmtId="0" fontId="0" fillId="0" borderId="29" xfId="0" applyBorder="1"/>
    <xf numFmtId="0" fontId="0" fillId="6" borderId="29" xfId="0" applyFill="1" applyBorder="1"/>
    <xf numFmtId="0" fontId="0" fillId="6" borderId="0" xfId="0" applyFill="1"/>
    <xf numFmtId="0" fontId="0" fillId="6" borderId="30" xfId="0" applyFill="1" applyBorder="1"/>
    <xf numFmtId="0" fontId="0" fillId="0" borderId="0" xfId="0" applyAlignment="1">
      <alignment horizontal="left"/>
    </xf>
    <xf numFmtId="0" fontId="0" fillId="0" borderId="10" xfId="0" applyBorder="1"/>
    <xf numFmtId="0" fontId="0" fillId="6" borderId="10" xfId="0" applyFill="1" applyBorder="1"/>
    <xf numFmtId="0" fontId="2" fillId="0" borderId="0" xfId="0" applyFont="1" applyAlignment="1">
      <alignment horizontal="left"/>
    </xf>
    <xf numFmtId="0" fontId="2" fillId="6" borderId="30" xfId="0" applyFont="1" applyFill="1" applyBorder="1"/>
    <xf numFmtId="16" fontId="0" fillId="0" borderId="0" xfId="0" quotePrefix="1" applyNumberFormat="1" applyAlignment="1">
      <alignment horizontal="center"/>
    </xf>
    <xf numFmtId="0" fontId="14" fillId="4" borderId="0" xfId="0" applyFont="1" applyFill="1"/>
    <xf numFmtId="0" fontId="2" fillId="2" borderId="7" xfId="0" applyFont="1" applyFill="1" applyBorder="1" applyAlignment="1">
      <alignment vertical="center"/>
    </xf>
    <xf numFmtId="0" fontId="2" fillId="2" borderId="10" xfId="0" applyFont="1" applyFill="1" applyBorder="1" applyAlignment="1">
      <alignment vertical="center"/>
    </xf>
    <xf numFmtId="0" fontId="2" fillId="2" borderId="3" xfId="0" applyFont="1" applyFill="1" applyBorder="1" applyAlignment="1">
      <alignment vertical="center"/>
    </xf>
    <xf numFmtId="0" fontId="8" fillId="3" borderId="7" xfId="0" applyFont="1" applyFill="1" applyBorder="1" applyAlignment="1">
      <alignment vertical="center"/>
    </xf>
    <xf numFmtId="0" fontId="8" fillId="3" borderId="10" xfId="0" applyFont="1" applyFill="1" applyBorder="1" applyAlignment="1">
      <alignment vertical="center"/>
    </xf>
    <xf numFmtId="0" fontId="9" fillId="0" borderId="7" xfId="0" applyFont="1" applyBorder="1"/>
    <xf numFmtId="0" fontId="9" fillId="0" borderId="10" xfId="0" applyFont="1" applyBorder="1"/>
    <xf numFmtId="0" fontId="9" fillId="0" borderId="3" xfId="0" applyFont="1" applyBorder="1"/>
    <xf numFmtId="1" fontId="0" fillId="0" borderId="7" xfId="0" applyNumberFormat="1" applyBorder="1"/>
    <xf numFmtId="1" fontId="0" fillId="0" borderId="10" xfId="0" applyNumberFormat="1" applyBorder="1"/>
    <xf numFmtId="1" fontId="0" fillId="0" borderId="3" xfId="0" applyNumberFormat="1" applyBorder="1"/>
    <xf numFmtId="0" fontId="7" fillId="0" borderId="1" xfId="0" applyFont="1" applyBorder="1" applyAlignment="1">
      <alignment vertical="center"/>
    </xf>
    <xf numFmtId="0" fontId="4" fillId="0" borderId="5" xfId="0" applyFont="1" applyBorder="1"/>
    <xf numFmtId="0" fontId="5" fillId="0" borderId="6" xfId="0" applyFont="1" applyBorder="1"/>
    <xf numFmtId="2" fontId="5" fillId="0" borderId="1" xfId="0" applyNumberFormat="1" applyFont="1" applyBorder="1" applyAlignment="1">
      <alignment horizontal="center" vertical="center"/>
    </xf>
    <xf numFmtId="0" fontId="4" fillId="0" borderId="6" xfId="0" applyFont="1" applyBorder="1"/>
    <xf numFmtId="0" fontId="15" fillId="0" borderId="0" xfId="0" applyFont="1"/>
    <xf numFmtId="0" fontId="4" fillId="0" borderId="7" xfId="0" applyFont="1" applyBorder="1"/>
    <xf numFmtId="0" fontId="5" fillId="0" borderId="7" xfId="0" applyFont="1" applyBorder="1"/>
    <xf numFmtId="1" fontId="5" fillId="0" borderId="0" xfId="0" applyNumberFormat="1" applyFont="1" applyAlignment="1">
      <alignment horizontal="center" vertical="center"/>
    </xf>
    <xf numFmtId="2" fontId="5" fillId="0" borderId="0" xfId="0" applyNumberFormat="1" applyFont="1" applyAlignment="1">
      <alignment horizontal="center" vertical="center"/>
    </xf>
    <xf numFmtId="0" fontId="5" fillId="0" borderId="0" xfId="0" applyFont="1" applyAlignment="1">
      <alignment horizontal="center"/>
    </xf>
    <xf numFmtId="0" fontId="4" fillId="0" borderId="9" xfId="0" applyFont="1" applyBorder="1" applyAlignment="1">
      <alignment horizontal="center" vertical="center"/>
    </xf>
    <xf numFmtId="165" fontId="5" fillId="0" borderId="9" xfId="0" applyNumberFormat="1" applyFont="1" applyBorder="1" applyAlignment="1">
      <alignment horizontal="center" vertical="center"/>
    </xf>
    <xf numFmtId="165" fontId="5" fillId="0" borderId="1" xfId="0" applyNumberFormat="1" applyFont="1" applyBorder="1" applyAlignment="1">
      <alignment horizontal="center" vertical="center"/>
    </xf>
    <xf numFmtId="0" fontId="0" fillId="7" borderId="0" xfId="0" applyFill="1"/>
    <xf numFmtId="0" fontId="2" fillId="7" borderId="21" xfId="0" applyFont="1" applyFill="1" applyBorder="1"/>
    <xf numFmtId="0" fontId="0" fillId="7" borderId="21" xfId="0" applyFill="1" applyBorder="1" applyAlignment="1">
      <alignment horizontal="left"/>
    </xf>
    <xf numFmtId="0" fontId="0" fillId="7" borderId="21" xfId="0" applyFill="1" applyBorder="1" applyAlignment="1">
      <alignment horizontal="center"/>
    </xf>
    <xf numFmtId="0" fontId="0" fillId="7" borderId="0" xfId="0" applyFill="1" applyAlignment="1">
      <alignment horizontal="center"/>
    </xf>
    <xf numFmtId="9" fontId="0" fillId="7" borderId="0" xfId="0" applyNumberFormat="1" applyFill="1" applyAlignment="1">
      <alignment horizontal="center"/>
    </xf>
    <xf numFmtId="166" fontId="0" fillId="7" borderId="0" xfId="0" applyNumberFormat="1" applyFill="1" applyAlignment="1">
      <alignment horizontal="center"/>
    </xf>
    <xf numFmtId="9" fontId="0" fillId="7" borderId="0" xfId="0" applyNumberFormat="1" applyFill="1" applyAlignment="1">
      <alignment horizontal="center" vertical="center"/>
    </xf>
    <xf numFmtId="165" fontId="0" fillId="7" borderId="0" xfId="0" applyNumberFormat="1" applyFill="1" applyAlignment="1">
      <alignment horizontal="center" vertical="center"/>
    </xf>
    <xf numFmtId="2" fontId="0" fillId="7" borderId="0" xfId="0" applyNumberFormat="1" applyFill="1" applyAlignment="1">
      <alignment horizontal="center"/>
    </xf>
    <xf numFmtId="166" fontId="0" fillId="7" borderId="0" xfId="0" applyNumberFormat="1" applyFill="1" applyAlignment="1">
      <alignment horizontal="center" vertical="center"/>
    </xf>
    <xf numFmtId="0" fontId="17" fillId="0" borderId="8" xfId="2" applyFont="1" applyBorder="1" applyAlignment="1">
      <alignment horizontal="center" vertical="center" wrapText="1"/>
    </xf>
    <xf numFmtId="0" fontId="18" fillId="0" borderId="1" xfId="2" applyFont="1" applyBorder="1" applyAlignment="1">
      <alignment horizontal="center" vertical="center" wrapText="1"/>
    </xf>
    <xf numFmtId="166" fontId="18" fillId="0" borderId="1" xfId="2" applyNumberFormat="1" applyFont="1" applyBorder="1" applyAlignment="1">
      <alignment horizontal="center" vertical="center" wrapText="1"/>
    </xf>
    <xf numFmtId="175" fontId="18" fillId="0" borderId="1" xfId="2" applyNumberFormat="1" applyFont="1" applyBorder="1" applyAlignment="1">
      <alignment horizontal="center" vertical="center" wrapText="1"/>
    </xf>
    <xf numFmtId="176" fontId="18" fillId="0" borderId="1" xfId="2" applyNumberFormat="1" applyFont="1" applyBorder="1" applyAlignment="1">
      <alignment horizontal="center" vertical="center" wrapText="1"/>
    </xf>
    <xf numFmtId="177" fontId="18" fillId="0" borderId="1" xfId="2" applyNumberFormat="1" applyFont="1" applyBorder="1" applyAlignment="1">
      <alignment horizontal="center" vertical="center" wrapText="1"/>
    </xf>
    <xf numFmtId="178" fontId="5" fillId="0" borderId="1" xfId="0" applyNumberFormat="1" applyFont="1" applyBorder="1" applyAlignment="1">
      <alignment horizontal="right"/>
    </xf>
    <xf numFmtId="0" fontId="4" fillId="0" borderId="1" xfId="0" applyFont="1" applyBorder="1" applyAlignment="1">
      <alignment horizontal="center"/>
    </xf>
    <xf numFmtId="178" fontId="5" fillId="0" borderId="1" xfId="0" applyNumberFormat="1" applyFont="1" applyBorder="1"/>
    <xf numFmtId="178" fontId="5" fillId="0" borderId="1" xfId="0" applyNumberFormat="1" applyFont="1" applyBorder="1" applyAlignment="1">
      <alignment horizontal="center" vertical="center"/>
    </xf>
    <xf numFmtId="178" fontId="5" fillId="0" borderId="1" xfId="0" applyNumberFormat="1" applyFont="1" applyBorder="1" applyAlignment="1">
      <alignment vertical="center"/>
    </xf>
    <xf numFmtId="179" fontId="5" fillId="0" borderId="1" xfId="0" applyNumberFormat="1" applyFont="1" applyBorder="1"/>
    <xf numFmtId="0" fontId="5" fillId="0" borderId="1" xfId="0" applyFont="1" applyBorder="1"/>
    <xf numFmtId="178" fontId="5" fillId="0" borderId="1" xfId="0" applyNumberFormat="1" applyFont="1" applyBorder="1" applyAlignment="1">
      <alignment horizontal="center"/>
    </xf>
    <xf numFmtId="178" fontId="5" fillId="0" borderId="1" xfId="0" applyNumberFormat="1" applyFont="1" applyBorder="1" applyAlignment="1">
      <alignment horizontal="center" vertical="center" wrapText="1"/>
    </xf>
    <xf numFmtId="178" fontId="5" fillId="0" borderId="0" xfId="0" applyNumberFormat="1" applyFont="1"/>
    <xf numFmtId="0" fontId="21" fillId="0" borderId="1" xfId="2" applyFont="1" applyBorder="1" applyAlignment="1">
      <alignment horizontal="center" vertical="center"/>
    </xf>
    <xf numFmtId="42" fontId="17" fillId="0" borderId="1" xfId="0" applyNumberFormat="1" applyFont="1" applyBorder="1"/>
    <xf numFmtId="42" fontId="19" fillId="0" borderId="1" xfId="2" applyNumberFormat="1" applyFont="1" applyBorder="1" applyAlignment="1">
      <alignment horizontal="center" vertical="center"/>
    </xf>
    <xf numFmtId="0" fontId="19" fillId="0" borderId="1" xfId="2" applyFont="1" applyBorder="1" applyAlignment="1">
      <alignment horizontal="left" vertical="center"/>
    </xf>
    <xf numFmtId="165" fontId="5" fillId="7" borderId="1" xfId="0" applyNumberFormat="1" applyFont="1" applyFill="1" applyBorder="1" applyAlignment="1">
      <alignment horizontal="center" vertical="center" wrapText="1"/>
    </xf>
    <xf numFmtId="0" fontId="5" fillId="7" borderId="1" xfId="0" applyFont="1" applyFill="1" applyBorder="1" applyAlignment="1">
      <alignment horizontal="center"/>
    </xf>
    <xf numFmtId="0" fontId="5" fillId="7" borderId="0" xfId="0" applyFont="1" applyFill="1"/>
    <xf numFmtId="0" fontId="5" fillId="7" borderId="1" xfId="0" applyFont="1" applyFill="1" applyBorder="1" applyAlignment="1">
      <alignment horizontal="center" vertical="center"/>
    </xf>
    <xf numFmtId="0" fontId="5" fillId="7" borderId="1" xfId="0" applyFont="1" applyFill="1" applyBorder="1" applyAlignment="1">
      <alignment horizontal="center" vertical="center" wrapText="1"/>
    </xf>
    <xf numFmtId="0" fontId="5" fillId="7" borderId="0" xfId="0" applyFont="1" applyFill="1" applyAlignment="1">
      <alignment vertical="center" wrapText="1"/>
    </xf>
    <xf numFmtId="0" fontId="5" fillId="7" borderId="1" xfId="0" applyFont="1" applyFill="1" applyBorder="1"/>
    <xf numFmtId="0" fontId="4" fillId="7" borderId="1" xfId="0" applyFont="1" applyFill="1" applyBorder="1" applyAlignment="1">
      <alignment horizontal="center" vertical="center"/>
    </xf>
    <xf numFmtId="165" fontId="5" fillId="7" borderId="1" xfId="0" applyNumberFormat="1" applyFont="1" applyFill="1" applyBorder="1" applyAlignment="1">
      <alignment horizontal="center" vertical="center"/>
    </xf>
    <xf numFmtId="0" fontId="4" fillId="7" borderId="7" xfId="0" applyFont="1" applyFill="1" applyBorder="1" applyAlignment="1">
      <alignment horizontal="center" vertical="center"/>
    </xf>
    <xf numFmtId="0" fontId="5" fillId="0" borderId="1" xfId="0" applyFont="1" applyBorder="1" applyAlignment="1">
      <alignment horizontal="left"/>
    </xf>
    <xf numFmtId="0" fontId="5" fillId="0" borderId="0" xfId="0" applyFont="1" applyAlignment="1">
      <alignment horizontal="left"/>
    </xf>
    <xf numFmtId="1" fontId="5" fillId="0" borderId="0" xfId="0" applyNumberFormat="1" applyFont="1" applyAlignment="1">
      <alignment horizontal="center"/>
    </xf>
    <xf numFmtId="2" fontId="5" fillId="0" borderId="1" xfId="0" applyNumberFormat="1" applyFont="1" applyBorder="1"/>
    <xf numFmtId="0" fontId="5" fillId="0" borderId="24" xfId="0" applyFont="1" applyBorder="1"/>
    <xf numFmtId="0" fontId="5" fillId="0" borderId="24" xfId="0" applyFont="1" applyBorder="1" applyAlignment="1">
      <alignment horizontal="left"/>
    </xf>
    <xf numFmtId="2" fontId="5" fillId="0" borderId="24" xfId="0" applyNumberFormat="1" applyFont="1" applyBorder="1" applyAlignment="1">
      <alignment horizontal="left"/>
    </xf>
    <xf numFmtId="2" fontId="5" fillId="0" borderId="1" xfId="0" applyNumberFormat="1" applyFont="1" applyBorder="1" applyAlignment="1">
      <alignment horizontal="center"/>
    </xf>
    <xf numFmtId="165" fontId="5" fillId="0" borderId="24" xfId="0" applyNumberFormat="1" applyFont="1" applyBorder="1"/>
    <xf numFmtId="0" fontId="5" fillId="0" borderId="24" xfId="0" applyFont="1" applyBorder="1" applyAlignment="1">
      <alignment horizontal="center"/>
    </xf>
    <xf numFmtId="174" fontId="5" fillId="0" borderId="24" xfId="0" applyNumberFormat="1" applyFont="1" applyBorder="1"/>
    <xf numFmtId="166" fontId="5" fillId="0" borderId="1" xfId="0" applyNumberFormat="1" applyFont="1" applyBorder="1" applyAlignment="1">
      <alignment horizontal="center"/>
    </xf>
    <xf numFmtId="174" fontId="5" fillId="0" borderId="1" xfId="0" applyNumberFormat="1" applyFont="1" applyBorder="1"/>
    <xf numFmtId="0" fontId="4" fillId="0" borderId="24" xfId="0" applyFont="1" applyBorder="1" applyAlignment="1">
      <alignment horizontal="center"/>
    </xf>
    <xf numFmtId="174" fontId="5" fillId="0" borderId="24" xfId="0" applyNumberFormat="1" applyFont="1" applyBorder="1" applyAlignment="1">
      <alignment horizontal="right"/>
    </xf>
    <xf numFmtId="0" fontId="4" fillId="0" borderId="23" xfId="0" applyFont="1" applyBorder="1" applyAlignment="1">
      <alignment horizontal="center" vertical="center"/>
    </xf>
    <xf numFmtId="171" fontId="5" fillId="0" borderId="24" xfId="0" applyNumberFormat="1" applyFont="1" applyBorder="1"/>
    <xf numFmtId="174" fontId="4" fillId="0" borderId="24" xfId="0" applyNumberFormat="1" applyFont="1" applyBorder="1" applyAlignment="1">
      <alignment horizontal="center"/>
    </xf>
    <xf numFmtId="0" fontId="5" fillId="0" borderId="25" xfId="0" applyFont="1" applyBorder="1" applyAlignment="1">
      <alignment horizontal="center"/>
    </xf>
    <xf numFmtId="0" fontId="5" fillId="0" borderId="25" xfId="0" applyFont="1" applyBorder="1"/>
    <xf numFmtId="2" fontId="5" fillId="0" borderId="25" xfId="0" applyNumberFormat="1" applyFont="1" applyBorder="1" applyAlignment="1">
      <alignment horizontal="center"/>
    </xf>
    <xf numFmtId="174" fontId="5" fillId="0" borderId="25" xfId="0" applyNumberFormat="1" applyFont="1" applyBorder="1"/>
    <xf numFmtId="174" fontId="5" fillId="0" borderId="0" xfId="0" applyNumberFormat="1" applyFont="1"/>
    <xf numFmtId="168" fontId="5" fillId="0" borderId="24" xfId="0" applyNumberFormat="1" applyFont="1" applyBorder="1"/>
    <xf numFmtId="0" fontId="2" fillId="2" borderId="1" xfId="0" applyFont="1" applyFill="1" applyBorder="1" applyAlignment="1">
      <alignment horizontal="center"/>
    </xf>
    <xf numFmtId="0" fontId="2" fillId="2" borderId="1" xfId="0" applyFont="1" applyFill="1" applyBorder="1" applyAlignment="1">
      <alignment horizontal="center" vertical="center" wrapText="1"/>
    </xf>
    <xf numFmtId="0" fontId="0" fillId="0" borderId="1" xfId="0" applyBorder="1" applyAlignment="1">
      <alignment horizontal="left"/>
    </xf>
    <xf numFmtId="0" fontId="2" fillId="3" borderId="1" xfId="0" applyFont="1" applyFill="1" applyBorder="1" applyAlignment="1">
      <alignment horizontal="center"/>
    </xf>
    <xf numFmtId="0" fontId="2" fillId="0" borderId="15"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0" fillId="0" borderId="18" xfId="0" quotePrefix="1" applyBorder="1" applyAlignment="1">
      <alignment horizontal="left"/>
    </xf>
    <xf numFmtId="0" fontId="0" fillId="0" borderId="0" xfId="0" quotePrefix="1" applyAlignment="1">
      <alignment horizontal="left"/>
    </xf>
    <xf numFmtId="0" fontId="0" fillId="0" borderId="19" xfId="0" quotePrefix="1" applyBorder="1" applyAlignment="1">
      <alignment horizontal="left"/>
    </xf>
    <xf numFmtId="0" fontId="0" fillId="0" borderId="18" xfId="0" quotePrefix="1" applyBorder="1" applyAlignment="1">
      <alignment horizontal="left" wrapText="1"/>
    </xf>
    <xf numFmtId="0" fontId="0" fillId="0" borderId="0" xfId="0" quotePrefix="1" applyAlignment="1">
      <alignment horizontal="left" wrapText="1"/>
    </xf>
    <xf numFmtId="0" fontId="0" fillId="0" borderId="19" xfId="0" quotePrefix="1" applyBorder="1" applyAlignment="1">
      <alignment horizontal="left" wrapText="1"/>
    </xf>
    <xf numFmtId="0" fontId="0" fillId="0" borderId="20" xfId="0" quotePrefix="1" applyBorder="1" applyAlignment="1">
      <alignment horizontal="left"/>
    </xf>
    <xf numFmtId="0" fontId="0" fillId="0" borderId="21" xfId="0" quotePrefix="1" applyBorder="1" applyAlignment="1">
      <alignment horizontal="left"/>
    </xf>
    <xf numFmtId="0" fontId="0" fillId="0" borderId="22" xfId="0" quotePrefix="1" applyBorder="1" applyAlignment="1">
      <alignment horizontal="left"/>
    </xf>
    <xf numFmtId="0" fontId="5" fillId="0" borderId="1" xfId="0" applyFont="1" applyBorder="1" applyAlignment="1">
      <alignment horizontal="left"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center" vertical="center"/>
    </xf>
    <xf numFmtId="0" fontId="5" fillId="0" borderId="7" xfId="0" applyFont="1" applyBorder="1" applyAlignment="1">
      <alignment horizontal="center" vertical="center"/>
    </xf>
    <xf numFmtId="0" fontId="5" fillId="0" borderId="3" xfId="0" applyFont="1" applyBorder="1" applyAlignment="1">
      <alignment horizontal="center" vertical="center"/>
    </xf>
    <xf numFmtId="0" fontId="5" fillId="0" borderId="10" xfId="0" applyFont="1" applyBorder="1" applyAlignment="1">
      <alignment horizontal="center" vertical="center"/>
    </xf>
    <xf numFmtId="1" fontId="5" fillId="0" borderId="7" xfId="0" applyNumberFormat="1" applyFont="1" applyBorder="1" applyAlignment="1">
      <alignment horizontal="center" vertical="center"/>
    </xf>
    <xf numFmtId="1" fontId="5" fillId="0" borderId="3" xfId="0" applyNumberFormat="1" applyFont="1" applyBorder="1" applyAlignment="1">
      <alignment horizontal="center" vertical="center"/>
    </xf>
    <xf numFmtId="0" fontId="5" fillId="0" borderId="1" xfId="0" applyFont="1" applyBorder="1" applyAlignment="1">
      <alignment horizontal="center" vertical="center"/>
    </xf>
    <xf numFmtId="1" fontId="5" fillId="0" borderId="1" xfId="0" applyNumberFormat="1" applyFont="1" applyBorder="1" applyAlignment="1">
      <alignment horizontal="center" vertical="center"/>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xf>
    <xf numFmtId="0" fontId="5" fillId="0" borderId="7" xfId="0" applyFont="1" applyBorder="1" applyAlignment="1">
      <alignment horizontal="center"/>
    </xf>
    <xf numFmtId="0" fontId="5" fillId="0" borderId="10" xfId="0" applyFont="1" applyBorder="1" applyAlignment="1">
      <alignment horizontal="center"/>
    </xf>
    <xf numFmtId="0" fontId="5" fillId="0" borderId="3" xfId="0" applyFont="1" applyBorder="1" applyAlignment="1">
      <alignment horizontal="center"/>
    </xf>
    <xf numFmtId="1" fontId="5" fillId="0" borderId="3" xfId="1" applyNumberFormat="1" applyFont="1" applyBorder="1" applyAlignment="1">
      <alignment horizontal="center"/>
    </xf>
    <xf numFmtId="1" fontId="5" fillId="0" borderId="1" xfId="1" applyNumberFormat="1" applyFont="1" applyBorder="1" applyAlignment="1">
      <alignment horizontal="center"/>
    </xf>
    <xf numFmtId="10" fontId="5" fillId="0" borderId="1" xfId="1" applyNumberFormat="1" applyFont="1" applyBorder="1" applyAlignment="1">
      <alignment horizontal="center"/>
    </xf>
    <xf numFmtId="1" fontId="5" fillId="0" borderId="7" xfId="1" applyNumberFormat="1" applyFont="1" applyBorder="1" applyAlignment="1">
      <alignment horizontal="center"/>
    </xf>
    <xf numFmtId="10" fontId="5" fillId="0" borderId="7" xfId="1" applyNumberFormat="1" applyFont="1" applyBorder="1" applyAlignment="1">
      <alignment horizontal="center"/>
    </xf>
    <xf numFmtId="10" fontId="5" fillId="0" borderId="3" xfId="1" applyNumberFormat="1" applyFont="1" applyBorder="1" applyAlignment="1">
      <alignment horizontal="center"/>
    </xf>
    <xf numFmtId="1" fontId="5" fillId="0" borderId="1" xfId="0" applyNumberFormat="1" applyFont="1" applyBorder="1" applyAlignment="1">
      <alignment horizontal="center"/>
    </xf>
    <xf numFmtId="0" fontId="4" fillId="0" borderId="2"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1" xfId="0" applyFont="1" applyBorder="1" applyAlignment="1">
      <alignment horizontal="center" vertical="center" wrapText="1"/>
    </xf>
    <xf numFmtId="0" fontId="6" fillId="0" borderId="1" xfId="0" applyFont="1" applyBorder="1"/>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2" fillId="2" borderId="1" xfId="0" applyFont="1" applyFill="1" applyBorder="1" applyAlignment="1">
      <alignment horizontal="center" vertical="center"/>
    </xf>
    <xf numFmtId="0" fontId="0" fillId="0" borderId="1" xfId="0" applyBorder="1" applyAlignment="1">
      <alignment vertical="center" wrapText="1"/>
    </xf>
    <xf numFmtId="0" fontId="0" fillId="0" borderId="1" xfId="0" applyBorder="1" applyAlignment="1">
      <alignment horizontal="center" vertical="center"/>
    </xf>
    <xf numFmtId="0" fontId="0" fillId="0" borderId="1" xfId="0" applyBorder="1" applyAlignment="1">
      <alignment vertical="center"/>
    </xf>
    <xf numFmtId="46" fontId="0" fillId="0" borderId="1" xfId="0" quotePrefix="1" applyNumberFormat="1" applyBorder="1" applyAlignment="1">
      <alignment horizontal="center" vertical="center"/>
    </xf>
    <xf numFmtId="0" fontId="11" fillId="2" borderId="1" xfId="0" applyFont="1" applyFill="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left" vertical="center"/>
    </xf>
    <xf numFmtId="0" fontId="0" fillId="0" borderId="8" xfId="0" applyBorder="1" applyAlignment="1">
      <alignment horizontal="center" vertical="center"/>
    </xf>
    <xf numFmtId="0" fontId="0" fillId="0" borderId="9" xfId="0" applyBorder="1" applyAlignment="1">
      <alignment horizontal="center" vertical="center"/>
    </xf>
    <xf numFmtId="0" fontId="7" fillId="0" borderId="8" xfId="0" applyFont="1" applyBorder="1" applyAlignment="1">
      <alignment horizontal="center" vertical="center"/>
    </xf>
    <xf numFmtId="0" fontId="7" fillId="0" borderId="28" xfId="0" applyFont="1" applyBorder="1" applyAlignment="1">
      <alignment horizontal="center" vertical="center"/>
    </xf>
    <xf numFmtId="0" fontId="7" fillId="0" borderId="9" xfId="0" applyFont="1" applyBorder="1" applyAlignment="1">
      <alignment horizontal="center" vertical="center"/>
    </xf>
    <xf numFmtId="0" fontId="8" fillId="3" borderId="10" xfId="0" applyFont="1" applyFill="1" applyBorder="1" applyAlignment="1">
      <alignment horizontal="center" vertical="center"/>
    </xf>
    <xf numFmtId="0" fontId="8" fillId="3" borderId="3" xfId="0" applyFont="1" applyFill="1" applyBorder="1" applyAlignment="1">
      <alignment horizontal="center" vertical="center"/>
    </xf>
    <xf numFmtId="0" fontId="7" fillId="0" borderId="1" xfId="0" applyFont="1" applyBorder="1" applyAlignment="1">
      <alignment horizontal="center" vertical="center"/>
    </xf>
    <xf numFmtId="0" fontId="9" fillId="0" borderId="1" xfId="0" applyFont="1" applyBorder="1"/>
    <xf numFmtId="0" fontId="8" fillId="3" borderId="1" xfId="0" applyFont="1" applyFill="1" applyBorder="1" applyAlignment="1">
      <alignment horizontal="center" vertical="center"/>
    </xf>
    <xf numFmtId="0" fontId="9" fillId="3" borderId="1" xfId="0" applyFont="1" applyFill="1" applyBorder="1"/>
    <xf numFmtId="0" fontId="8" fillId="3" borderId="7" xfId="0" applyFont="1" applyFill="1" applyBorder="1" applyAlignment="1">
      <alignment horizontal="center" vertical="center"/>
    </xf>
    <xf numFmtId="0" fontId="7" fillId="0" borderId="25" xfId="0" applyFont="1" applyBorder="1" applyAlignment="1">
      <alignment horizontal="center" vertical="center"/>
    </xf>
    <xf numFmtId="0" fontId="7" fillId="0" borderId="26" xfId="0" applyFont="1" applyBorder="1" applyAlignment="1">
      <alignment horizontal="center" vertical="center"/>
    </xf>
    <xf numFmtId="0" fontId="7" fillId="0" borderId="23" xfId="0" applyFont="1" applyBorder="1" applyAlignment="1">
      <alignment horizontal="center" vertical="center"/>
    </xf>
    <xf numFmtId="0" fontId="8" fillId="3" borderId="1" xfId="0" applyFont="1" applyFill="1" applyBorder="1" applyAlignment="1">
      <alignment horizontal="center"/>
    </xf>
    <xf numFmtId="0" fontId="4" fillId="3" borderId="7" xfId="0" applyFont="1" applyFill="1" applyBorder="1" applyAlignment="1">
      <alignment horizontal="center"/>
    </xf>
    <xf numFmtId="0" fontId="4" fillId="3" borderId="10" xfId="0" applyFont="1" applyFill="1" applyBorder="1" applyAlignment="1">
      <alignment horizontal="center"/>
    </xf>
    <xf numFmtId="0" fontId="4" fillId="3" borderId="3" xfId="0" applyFont="1" applyFill="1" applyBorder="1" applyAlignment="1">
      <alignment horizontal="center"/>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4" fillId="3" borderId="7" xfId="0" applyFont="1" applyFill="1" applyBorder="1" applyAlignment="1">
      <alignment horizontal="center" vertical="center"/>
    </xf>
    <xf numFmtId="0" fontId="6" fillId="3" borderId="7" xfId="0" applyFont="1" applyFill="1" applyBorder="1"/>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2" fontId="4" fillId="3" borderId="1" xfId="0" applyNumberFormat="1" applyFont="1" applyFill="1" applyBorder="1" applyAlignment="1">
      <alignment horizontal="center" vertical="center" wrapText="1"/>
    </xf>
    <xf numFmtId="0" fontId="2" fillId="5" borderId="7" xfId="0" applyFont="1" applyFill="1" applyBorder="1" applyAlignment="1">
      <alignment horizontal="center"/>
    </xf>
    <xf numFmtId="0" fontId="2" fillId="5" borderId="10" xfId="0" applyFont="1" applyFill="1" applyBorder="1" applyAlignment="1">
      <alignment horizontal="center"/>
    </xf>
    <xf numFmtId="0" fontId="2" fillId="4" borderId="1" xfId="0" applyFont="1" applyFill="1" applyBorder="1" applyAlignment="1">
      <alignment horizontal="center" vertical="center"/>
    </xf>
    <xf numFmtId="0" fontId="4" fillId="0" borderId="8"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7" xfId="0" applyFont="1" applyBorder="1" applyAlignment="1">
      <alignment horizontal="center" vertical="center"/>
    </xf>
    <xf numFmtId="0" fontId="0" fillId="0" borderId="1" xfId="0" applyBorder="1" applyAlignment="1">
      <alignment horizontal="left" vertical="center"/>
    </xf>
    <xf numFmtId="0" fontId="0" fillId="0" borderId="0" xfId="0" applyAlignment="1">
      <alignment horizontal="left" vertical="top" wrapText="1"/>
    </xf>
    <xf numFmtId="0" fontId="0" fillId="0" borderId="0" xfId="0" applyAlignment="1">
      <alignment horizontal="left" wrapText="1"/>
    </xf>
    <xf numFmtId="0" fontId="0" fillId="0" borderId="1" xfId="0" applyBorder="1" applyAlignment="1">
      <alignment horizontal="center" vertical="center" wrapText="1"/>
    </xf>
    <xf numFmtId="0" fontId="2" fillId="7" borderId="0" xfId="0" applyFont="1" applyFill="1" applyAlignment="1">
      <alignment horizontal="center" vertical="center"/>
    </xf>
    <xf numFmtId="0" fontId="0" fillId="7" borderId="0" xfId="0" applyFill="1" applyAlignment="1">
      <alignment horizontal="center" vertical="center"/>
    </xf>
    <xf numFmtId="0" fontId="0" fillId="7" borderId="11" xfId="0" applyFill="1" applyBorder="1" applyAlignment="1">
      <alignment horizontal="center" vertical="center"/>
    </xf>
    <xf numFmtId="0" fontId="0" fillId="7" borderId="29" xfId="0" applyFill="1" applyBorder="1" applyAlignment="1">
      <alignment horizontal="center" vertical="center"/>
    </xf>
    <xf numFmtId="0" fontId="0" fillId="7" borderId="12" xfId="0" applyFill="1" applyBorder="1" applyAlignment="1">
      <alignment horizontal="center" vertical="center"/>
    </xf>
    <xf numFmtId="0" fontId="0" fillId="7" borderId="13" xfId="0" applyFill="1" applyBorder="1" applyAlignment="1">
      <alignment horizontal="center" vertical="center"/>
    </xf>
    <xf numFmtId="0" fontId="0" fillId="7" borderId="30" xfId="0" applyFill="1" applyBorder="1" applyAlignment="1">
      <alignment horizontal="center" vertical="center"/>
    </xf>
    <xf numFmtId="0" fontId="0" fillId="7" borderId="14" xfId="0" applyFill="1" applyBorder="1" applyAlignment="1">
      <alignment horizontal="center" vertical="center"/>
    </xf>
    <xf numFmtId="0" fontId="0" fillId="7" borderId="1" xfId="0" applyFill="1" applyBorder="1" applyAlignment="1">
      <alignment horizontal="center" vertical="center"/>
    </xf>
    <xf numFmtId="0" fontId="0" fillId="0" borderId="7" xfId="0" applyBorder="1" applyAlignment="1">
      <alignment horizontal="left"/>
    </xf>
    <xf numFmtId="0" fontId="0" fillId="0" borderId="10" xfId="0" applyBorder="1" applyAlignment="1">
      <alignment horizontal="left"/>
    </xf>
    <xf numFmtId="0" fontId="0" fillId="0" borderId="3" xfId="0"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0" fillId="0" borderId="7" xfId="0" applyBorder="1" applyAlignment="1">
      <alignment horizontal="left" wrapText="1"/>
    </xf>
    <xf numFmtId="0" fontId="0" fillId="0" borderId="10" xfId="0" applyBorder="1" applyAlignment="1">
      <alignment horizontal="left" wrapText="1"/>
    </xf>
    <xf numFmtId="0" fontId="0" fillId="0" borderId="3" xfId="0" applyBorder="1" applyAlignment="1">
      <alignment horizontal="left" wrapText="1"/>
    </xf>
    <xf numFmtId="0" fontId="2" fillId="0" borderId="0" xfId="0" applyFont="1" applyAlignment="1">
      <alignment horizontal="left"/>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0" fillId="0" borderId="11" xfId="0" applyBorder="1" applyAlignment="1">
      <alignment horizontal="center" vertical="center"/>
    </xf>
    <xf numFmtId="0" fontId="0" fillId="0" borderId="29"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30" xfId="0" applyBorder="1" applyAlignment="1">
      <alignment horizontal="center" vertical="center"/>
    </xf>
    <xf numFmtId="0" fontId="0" fillId="0" borderId="14" xfId="0" applyBorder="1" applyAlignment="1">
      <alignment horizontal="center" vertical="center"/>
    </xf>
    <xf numFmtId="0" fontId="2" fillId="0" borderId="30" xfId="0" applyFont="1" applyBorder="1" applyAlignment="1">
      <alignment horizontal="left"/>
    </xf>
    <xf numFmtId="0" fontId="0" fillId="0" borderId="30" xfId="0" applyBorder="1" applyAlignment="1">
      <alignment horizontal="center"/>
    </xf>
    <xf numFmtId="0" fontId="2" fillId="4" borderId="0" xfId="0" applyFont="1" applyFill="1" applyAlignment="1">
      <alignment horizontal="center"/>
    </xf>
    <xf numFmtId="0" fontId="0" fillId="0" borderId="0" xfId="0" applyAlignment="1">
      <alignment horizontal="left"/>
    </xf>
    <xf numFmtId="0" fontId="0" fillId="0" borderId="0" xfId="0" applyAlignment="1">
      <alignment horizontal="center"/>
    </xf>
    <xf numFmtId="0" fontId="0" fillId="0" borderId="0" xfId="0" quotePrefix="1" applyAlignment="1">
      <alignment horizontal="center"/>
    </xf>
    <xf numFmtId="17" fontId="0" fillId="0" borderId="0" xfId="0" quotePrefix="1" applyNumberFormat="1" applyAlignment="1">
      <alignment horizontal="center"/>
    </xf>
    <xf numFmtId="0" fontId="0" fillId="0" borderId="29" xfId="0" applyBorder="1" applyAlignment="1">
      <alignment horizontal="center"/>
    </xf>
    <xf numFmtId="0" fontId="2" fillId="4" borderId="0" xfId="0" applyFont="1" applyFill="1"/>
    <xf numFmtId="0" fontId="0" fillId="0" borderId="0" xfId="0"/>
    <xf numFmtId="1" fontId="0" fillId="0" borderId="0" xfId="0" applyNumberFormat="1" applyAlignment="1">
      <alignment horizontal="left"/>
    </xf>
    <xf numFmtId="2" fontId="0" fillId="0" borderId="0" xfId="0" applyNumberFormat="1" applyAlignment="1">
      <alignment horizontal="left"/>
    </xf>
    <xf numFmtId="0" fontId="2" fillId="0" borderId="0" xfId="0" applyFont="1" applyAlignment="1">
      <alignment horizontal="center"/>
    </xf>
    <xf numFmtId="165" fontId="0" fillId="0" borderId="0" xfId="0" applyNumberFormat="1" applyAlignment="1">
      <alignment horizontal="left"/>
    </xf>
    <xf numFmtId="0" fontId="2" fillId="4" borderId="0" xfId="0" applyFont="1" applyFill="1" applyAlignment="1">
      <alignment horizontal="right"/>
    </xf>
    <xf numFmtId="20" fontId="0" fillId="0" borderId="0" xfId="0" quotePrefix="1" applyNumberFormat="1" applyAlignment="1">
      <alignment horizontal="center"/>
    </xf>
    <xf numFmtId="0" fontId="0" fillId="0" borderId="30" xfId="0" applyBorder="1" applyAlignment="1">
      <alignment horizontal="left"/>
    </xf>
    <xf numFmtId="12" fontId="0" fillId="0" borderId="0" xfId="0" quotePrefix="1" applyNumberFormat="1" applyAlignment="1">
      <alignment horizontal="left"/>
    </xf>
    <xf numFmtId="12" fontId="0" fillId="0" borderId="0" xfId="0" applyNumberFormat="1" applyAlignment="1">
      <alignment horizontal="left"/>
    </xf>
    <xf numFmtId="167" fontId="0" fillId="0" borderId="0" xfId="0" applyNumberFormat="1" applyAlignment="1">
      <alignment horizontal="left"/>
    </xf>
    <xf numFmtId="0" fontId="2" fillId="6" borderId="29" xfId="0" applyFont="1" applyFill="1" applyBorder="1" applyAlignment="1">
      <alignment horizontal="left"/>
    </xf>
    <xf numFmtId="0" fontId="0" fillId="6" borderId="0" xfId="0" applyFill="1" applyAlignment="1">
      <alignment horizontal="left"/>
    </xf>
    <xf numFmtId="0" fontId="2" fillId="0" borderId="10" xfId="0" applyFont="1" applyBorder="1" applyAlignment="1">
      <alignment horizontal="left"/>
    </xf>
    <xf numFmtId="0" fontId="2" fillId="0" borderId="29" xfId="0" applyFont="1" applyBorder="1" applyAlignment="1">
      <alignment horizontal="left"/>
    </xf>
    <xf numFmtId="0" fontId="0" fillId="6" borderId="29" xfId="0" applyFill="1" applyBorder="1" applyAlignment="1">
      <alignment horizontal="left"/>
    </xf>
    <xf numFmtId="0" fontId="0" fillId="6" borderId="30" xfId="0" applyFill="1" applyBorder="1" applyAlignment="1">
      <alignment horizontal="left"/>
    </xf>
    <xf numFmtId="0" fontId="12" fillId="6" borderId="0" xfId="0" applyFont="1" applyFill="1" applyAlignment="1">
      <alignment horizontal="left"/>
    </xf>
    <xf numFmtId="0" fontId="0" fillId="0" borderId="29" xfId="0" applyBorder="1" applyAlignment="1">
      <alignment horizontal="left"/>
    </xf>
    <xf numFmtId="1" fontId="0" fillId="6" borderId="0" xfId="0" applyNumberFormat="1" applyFill="1" applyAlignment="1">
      <alignment horizontal="left"/>
    </xf>
    <xf numFmtId="166" fontId="0" fillId="6" borderId="0" xfId="0" applyNumberFormat="1" applyFill="1" applyAlignment="1">
      <alignment horizontal="left"/>
    </xf>
    <xf numFmtId="166" fontId="0" fillId="0" borderId="0" xfId="0" applyNumberFormat="1" applyAlignment="1">
      <alignment horizontal="left"/>
    </xf>
    <xf numFmtId="168" fontId="0" fillId="0" borderId="0" xfId="0" applyNumberFormat="1" applyAlignment="1">
      <alignment horizontal="left"/>
    </xf>
    <xf numFmtId="170" fontId="0" fillId="0" borderId="0" xfId="0" applyNumberFormat="1" applyAlignment="1">
      <alignment horizontal="left"/>
    </xf>
    <xf numFmtId="169" fontId="0" fillId="0" borderId="30" xfId="0" applyNumberFormat="1" applyBorder="1" applyAlignment="1">
      <alignment horizontal="left"/>
    </xf>
    <xf numFmtId="171" fontId="0" fillId="0" borderId="0" xfId="0" applyNumberFormat="1" applyAlignment="1">
      <alignment horizontal="left"/>
    </xf>
    <xf numFmtId="165" fontId="0" fillId="0" borderId="30" xfId="0" applyNumberFormat="1" applyBorder="1" applyAlignment="1">
      <alignment horizontal="left"/>
    </xf>
    <xf numFmtId="9" fontId="2" fillId="0" borderId="0" xfId="1" applyFont="1" applyAlignment="1">
      <alignment horizontal="center"/>
    </xf>
    <xf numFmtId="0" fontId="2" fillId="0" borderId="30" xfId="0" applyFont="1" applyBorder="1" applyAlignment="1">
      <alignment horizontal="center"/>
    </xf>
    <xf numFmtId="168" fontId="0" fillId="0" borderId="30" xfId="0" applyNumberFormat="1" applyBorder="1" applyAlignment="1">
      <alignment horizontal="left"/>
    </xf>
    <xf numFmtId="16" fontId="0" fillId="0" borderId="0" xfId="0" quotePrefix="1" applyNumberFormat="1" applyAlignment="1">
      <alignment horizontal="center"/>
    </xf>
    <xf numFmtId="2" fontId="2" fillId="4" borderId="0" xfId="0" applyNumberFormat="1" applyFont="1" applyFill="1"/>
    <xf numFmtId="0" fontId="7" fillId="0" borderId="0" xfId="0" applyFont="1" applyAlignment="1">
      <alignment horizontal="left"/>
    </xf>
    <xf numFmtId="10" fontId="0" fillId="0" borderId="30" xfId="0" applyNumberFormat="1" applyBorder="1" applyAlignment="1">
      <alignment horizontal="left"/>
    </xf>
    <xf numFmtId="2" fontId="0" fillId="0" borderId="30" xfId="0" applyNumberFormat="1" applyBorder="1" applyAlignment="1">
      <alignment horizontal="left"/>
    </xf>
    <xf numFmtId="0" fontId="2" fillId="6" borderId="30" xfId="0" applyFont="1" applyFill="1" applyBorder="1" applyAlignment="1">
      <alignment horizontal="left"/>
    </xf>
    <xf numFmtId="2" fontId="2" fillId="6" borderId="30" xfId="0" applyNumberFormat="1" applyFont="1" applyFill="1" applyBorder="1" applyAlignment="1">
      <alignment horizontal="left"/>
    </xf>
    <xf numFmtId="2" fontId="0" fillId="6" borderId="0" xfId="0" applyNumberFormat="1" applyFill="1" applyAlignment="1">
      <alignment horizontal="left"/>
    </xf>
    <xf numFmtId="0" fontId="2" fillId="6" borderId="0" xfId="0" applyFont="1" applyFill="1" applyAlignment="1">
      <alignment horizontal="left"/>
    </xf>
    <xf numFmtId="0" fontId="0" fillId="6" borderId="10" xfId="0" applyFill="1" applyBorder="1" applyAlignment="1">
      <alignment horizontal="left"/>
    </xf>
    <xf numFmtId="169" fontId="0" fillId="0" borderId="0" xfId="0" applyNumberFormat="1" applyAlignment="1">
      <alignment horizontal="left"/>
    </xf>
    <xf numFmtId="173" fontId="0" fillId="0" borderId="0" xfId="0" applyNumberFormat="1" applyAlignment="1">
      <alignment horizontal="left"/>
    </xf>
    <xf numFmtId="166" fontId="0" fillId="0" borderId="10" xfId="0" applyNumberFormat="1" applyBorder="1" applyAlignment="1">
      <alignment horizontal="left"/>
    </xf>
    <xf numFmtId="2" fontId="0" fillId="6" borderId="10" xfId="0" applyNumberFormat="1" applyFill="1" applyBorder="1" applyAlignment="1">
      <alignment horizontal="left"/>
    </xf>
    <xf numFmtId="9" fontId="0" fillId="0" borderId="0" xfId="0" quotePrefix="1" applyNumberFormat="1" applyAlignment="1">
      <alignment horizontal="left"/>
    </xf>
    <xf numFmtId="16" fontId="0" fillId="0" borderId="0" xfId="0" quotePrefix="1" applyNumberFormat="1" applyAlignment="1">
      <alignment horizontal="left"/>
    </xf>
    <xf numFmtId="0" fontId="2" fillId="6" borderId="10" xfId="0" applyFont="1" applyFill="1" applyBorder="1" applyAlignment="1">
      <alignment horizontal="left"/>
    </xf>
    <xf numFmtId="165" fontId="0" fillId="0" borderId="0" xfId="0" quotePrefix="1" applyNumberFormat="1" applyAlignment="1">
      <alignment horizontal="left"/>
    </xf>
    <xf numFmtId="172" fontId="0" fillId="0" borderId="0" xfId="0" applyNumberFormat="1" applyAlignment="1">
      <alignment horizontal="left"/>
    </xf>
    <xf numFmtId="168" fontId="0" fillId="0" borderId="0" xfId="0" quotePrefix="1" applyNumberFormat="1" applyAlignment="1">
      <alignment horizontal="left"/>
    </xf>
    <xf numFmtId="2" fontId="0" fillId="0" borderId="0" xfId="0" quotePrefix="1" applyNumberFormat="1" applyAlignment="1">
      <alignment horizontal="left"/>
    </xf>
    <xf numFmtId="0" fontId="0" fillId="0" borderId="10" xfId="0" quotePrefix="1" applyBorder="1" applyAlignment="1">
      <alignment horizontal="left"/>
    </xf>
    <xf numFmtId="171" fontId="0" fillId="0" borderId="0" xfId="0" quotePrefix="1" applyNumberFormat="1" applyAlignment="1">
      <alignment horizontal="left"/>
    </xf>
    <xf numFmtId="0" fontId="12" fillId="0" borderId="0" xfId="0" applyFont="1" applyAlignment="1">
      <alignment horizontal="left"/>
    </xf>
    <xf numFmtId="167" fontId="0" fillId="0" borderId="0" xfId="0" quotePrefix="1" applyNumberFormat="1" applyAlignment="1">
      <alignment horizontal="left"/>
    </xf>
    <xf numFmtId="9" fontId="0" fillId="0" borderId="0" xfId="1" quotePrefix="1" applyFont="1" applyAlignment="1">
      <alignment horizontal="left"/>
    </xf>
    <xf numFmtId="9" fontId="0" fillId="0" borderId="0" xfId="1" applyFont="1" applyAlignment="1">
      <alignment horizontal="left"/>
    </xf>
    <xf numFmtId="1" fontId="0" fillId="0" borderId="0" xfId="0" quotePrefix="1" applyNumberFormat="1" applyAlignment="1">
      <alignment horizontal="left"/>
    </xf>
    <xf numFmtId="166" fontId="0" fillId="0" borderId="0" xfId="0" quotePrefix="1" applyNumberFormat="1" applyAlignment="1">
      <alignment horizontal="left"/>
    </xf>
    <xf numFmtId="1" fontId="0" fillId="6" borderId="0" xfId="0" quotePrefix="1" applyNumberFormat="1" applyFill="1" applyAlignment="1">
      <alignment horizontal="left"/>
    </xf>
    <xf numFmtId="166" fontId="0" fillId="6" borderId="0" xfId="0" quotePrefix="1" applyNumberFormat="1" applyFill="1" applyAlignment="1">
      <alignment horizontal="left"/>
    </xf>
    <xf numFmtId="0" fontId="0" fillId="6" borderId="0" xfId="0" quotePrefix="1" applyFill="1" applyAlignment="1">
      <alignment horizontal="left"/>
    </xf>
    <xf numFmtId="10" fontId="0" fillId="0" borderId="0" xfId="0" quotePrefix="1" applyNumberFormat="1" applyAlignment="1">
      <alignment horizontal="left"/>
    </xf>
    <xf numFmtId="20" fontId="0" fillId="0" borderId="0" xfId="0" quotePrefix="1" applyNumberFormat="1" applyAlignment="1">
      <alignment horizontal="left"/>
    </xf>
    <xf numFmtId="0" fontId="0" fillId="0" borderId="10" xfId="0" applyBorder="1" applyAlignment="1">
      <alignment horizontal="center"/>
    </xf>
    <xf numFmtId="9" fontId="0" fillId="0" borderId="0" xfId="0" applyNumberFormat="1" applyAlignment="1">
      <alignment horizontal="left"/>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4" fillId="0" borderId="7" xfId="0" applyFont="1" applyBorder="1" applyAlignment="1">
      <alignment horizontal="center"/>
    </xf>
    <xf numFmtId="0" fontId="4" fillId="0" borderId="10" xfId="0" applyFont="1" applyBorder="1" applyAlignment="1">
      <alignment horizontal="center"/>
    </xf>
    <xf numFmtId="0" fontId="4" fillId="0" borderId="3" xfId="0" applyFont="1" applyBorder="1" applyAlignment="1">
      <alignment horizontal="center"/>
    </xf>
    <xf numFmtId="0" fontId="5" fillId="0" borderId="1" xfId="0" applyFont="1" applyBorder="1" applyAlignment="1">
      <alignment horizontal="left" vertical="top"/>
    </xf>
    <xf numFmtId="0" fontId="4" fillId="0" borderId="1" xfId="0" applyFont="1" applyBorder="1" applyAlignment="1">
      <alignment horizontal="center"/>
    </xf>
    <xf numFmtId="0" fontId="4" fillId="7" borderId="1" xfId="0" applyFont="1" applyFill="1" applyBorder="1" applyAlignment="1">
      <alignment horizontal="center" vertical="center"/>
    </xf>
    <xf numFmtId="0" fontId="5" fillId="7" borderId="1" xfId="0" applyFont="1" applyFill="1" applyBorder="1" applyAlignment="1">
      <alignment horizontal="center"/>
    </xf>
    <xf numFmtId="0" fontId="5" fillId="7" borderId="1" xfId="0" applyFont="1" applyFill="1" applyBorder="1" applyAlignment="1">
      <alignment horizontal="center" vertical="center"/>
    </xf>
    <xf numFmtId="0" fontId="5" fillId="7" borderId="8" xfId="0" applyFont="1" applyFill="1" applyBorder="1" applyAlignment="1">
      <alignment horizontal="center" vertical="center"/>
    </xf>
    <xf numFmtId="0" fontId="5" fillId="7" borderId="9" xfId="0" applyFont="1" applyFill="1" applyBorder="1" applyAlignment="1">
      <alignment horizontal="center" vertical="center"/>
    </xf>
    <xf numFmtId="2" fontId="5" fillId="7" borderId="1" xfId="0" applyNumberFormat="1" applyFont="1" applyFill="1" applyBorder="1" applyAlignment="1">
      <alignment horizontal="center"/>
    </xf>
    <xf numFmtId="0" fontId="4" fillId="7" borderId="1" xfId="0" applyFont="1" applyFill="1" applyBorder="1" applyAlignment="1">
      <alignment horizontal="center"/>
    </xf>
    <xf numFmtId="165" fontId="5" fillId="7" borderId="1" xfId="0" applyNumberFormat="1" applyFont="1" applyFill="1" applyBorder="1" applyAlignment="1">
      <alignment horizontal="center"/>
    </xf>
    <xf numFmtId="0" fontId="17" fillId="0" borderId="1" xfId="2" applyFont="1" applyBorder="1" applyAlignment="1">
      <alignment horizontal="center"/>
    </xf>
    <xf numFmtId="0" fontId="4" fillId="7" borderId="8"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4" fillId="7" borderId="7" xfId="0" applyFont="1" applyFill="1" applyBorder="1" applyAlignment="1">
      <alignment horizontal="center" vertical="center"/>
    </xf>
    <xf numFmtId="0" fontId="4" fillId="7" borderId="3" xfId="0" applyFont="1" applyFill="1" applyBorder="1" applyAlignment="1">
      <alignment horizontal="center" vertical="center"/>
    </xf>
    <xf numFmtId="0" fontId="5" fillId="0" borderId="2" xfId="0" applyFont="1" applyBorder="1" applyAlignment="1">
      <alignment horizontal="center" vertical="center" wrapText="1"/>
    </xf>
    <xf numFmtId="0" fontId="6" fillId="0" borderId="32" xfId="0" applyFont="1" applyBorder="1"/>
    <xf numFmtId="0" fontId="6" fillId="0" borderId="4" xfId="0" applyFont="1" applyBorder="1"/>
    <xf numFmtId="0" fontId="6" fillId="0" borderId="33" xfId="0" applyFont="1" applyBorder="1"/>
    <xf numFmtId="0" fontId="6" fillId="0" borderId="5" xfId="0" applyFont="1" applyBorder="1"/>
    <xf numFmtId="0" fontId="6" fillId="0" borderId="31" xfId="0" applyFont="1" applyBorder="1"/>
    <xf numFmtId="0" fontId="5" fillId="0" borderId="25" xfId="0" applyFont="1" applyBorder="1" applyAlignment="1">
      <alignment horizontal="center" vertical="center" wrapText="1"/>
    </xf>
    <xf numFmtId="0" fontId="6" fillId="0" borderId="23" xfId="0" applyFont="1" applyBorder="1"/>
    <xf numFmtId="0" fontId="5" fillId="0" borderId="6" xfId="0" applyFont="1" applyBorder="1" applyAlignment="1">
      <alignment horizontal="left"/>
    </xf>
    <xf numFmtId="0" fontId="6" fillId="0" borderId="27" xfId="0" applyFont="1" applyBorder="1"/>
    <xf numFmtId="2" fontId="5" fillId="0" borderId="25" xfId="0" applyNumberFormat="1" applyFont="1" applyBorder="1" applyAlignment="1">
      <alignment horizontal="left" vertical="center" wrapText="1"/>
    </xf>
    <xf numFmtId="0" fontId="5" fillId="0" borderId="0" xfId="0" applyFont="1"/>
    <xf numFmtId="0" fontId="5" fillId="0" borderId="25" xfId="0" applyFont="1" applyBorder="1" applyAlignment="1">
      <alignment horizontal="left" vertical="center"/>
    </xf>
    <xf numFmtId="0" fontId="5" fillId="0" borderId="2" xfId="0" applyFont="1" applyBorder="1" applyAlignment="1">
      <alignment horizontal="center" vertical="center"/>
    </xf>
    <xf numFmtId="0" fontId="6" fillId="0" borderId="26" xfId="0" applyFont="1" applyBorder="1"/>
    <xf numFmtId="0" fontId="4" fillId="0" borderId="9" xfId="0" applyFont="1" applyBorder="1" applyAlignment="1">
      <alignment horizontal="center" vertical="center" wrapText="1"/>
    </xf>
    <xf numFmtId="0" fontId="5" fillId="0" borderId="1" xfId="0" applyFont="1" applyBorder="1" applyAlignment="1">
      <alignment horizontal="center" wrapText="1"/>
    </xf>
    <xf numFmtId="0" fontId="6" fillId="0" borderId="34" xfId="0" applyFont="1" applyBorder="1"/>
    <xf numFmtId="0" fontId="4" fillId="0" borderId="1" xfId="0" applyFont="1" applyBorder="1" applyAlignment="1">
      <alignment horizontal="right"/>
    </xf>
    <xf numFmtId="0" fontId="6" fillId="0" borderId="1" xfId="0" applyFont="1" applyBorder="1" applyAlignment="1">
      <alignment horizontal="right"/>
    </xf>
    <xf numFmtId="0" fontId="18" fillId="0" borderId="1" xfId="2" applyFont="1" applyBorder="1" applyAlignment="1">
      <alignment horizontal="center" vertical="center" wrapText="1"/>
    </xf>
    <xf numFmtId="0" fontId="4" fillId="0" borderId="6" xfId="0" applyFont="1" applyBorder="1" applyAlignment="1">
      <alignment horizontal="left"/>
    </xf>
    <xf numFmtId="0" fontId="4" fillId="0" borderId="6" xfId="0" applyFont="1" applyBorder="1" applyAlignment="1">
      <alignment horizontal="right"/>
    </xf>
    <xf numFmtId="0" fontId="6" fillId="0" borderId="34" xfId="0" applyFont="1" applyBorder="1" applyAlignment="1">
      <alignment horizontal="right"/>
    </xf>
    <xf numFmtId="0" fontId="6" fillId="0" borderId="27" xfId="0" applyFont="1" applyBorder="1" applyAlignment="1">
      <alignment horizontal="right"/>
    </xf>
    <xf numFmtId="0" fontId="4" fillId="0" borderId="2" xfId="0" applyFont="1" applyBorder="1" applyAlignment="1">
      <alignment horizontal="right"/>
    </xf>
    <xf numFmtId="0" fontId="6" fillId="0" borderId="35" xfId="0" applyFont="1" applyBorder="1" applyAlignment="1">
      <alignment horizontal="right"/>
    </xf>
    <xf numFmtId="0" fontId="6" fillId="0" borderId="32" xfId="0" applyFont="1" applyBorder="1" applyAlignment="1">
      <alignment horizontal="right"/>
    </xf>
    <xf numFmtId="0" fontId="5" fillId="0" borderId="1" xfId="0" applyFont="1" applyBorder="1" applyAlignment="1">
      <alignment horizontal="left" vertical="center"/>
    </xf>
    <xf numFmtId="0" fontId="4" fillId="0" borderId="1" xfId="0" applyFont="1" applyBorder="1" applyAlignment="1">
      <alignment horizontal="left"/>
    </xf>
    <xf numFmtId="0" fontId="20" fillId="0" borderId="1" xfId="2" applyFont="1" applyBorder="1" applyAlignment="1">
      <alignment horizontal="center" vertical="center" wrapText="1"/>
    </xf>
    <xf numFmtId="0" fontId="5" fillId="0" borderId="28" xfId="0" applyFont="1" applyBorder="1" applyAlignment="1">
      <alignment horizontal="center" vertical="center"/>
    </xf>
    <xf numFmtId="179" fontId="5" fillId="0" borderId="8" xfId="0" applyNumberFormat="1" applyFont="1" applyBorder="1" applyAlignment="1">
      <alignment horizontal="center" vertical="center"/>
    </xf>
    <xf numFmtId="179" fontId="5" fillId="0" borderId="28" xfId="0" applyNumberFormat="1" applyFont="1" applyBorder="1" applyAlignment="1">
      <alignment horizontal="center" vertical="center"/>
    </xf>
    <xf numFmtId="179" fontId="5" fillId="0" borderId="9" xfId="0" applyNumberFormat="1" applyFont="1" applyBorder="1" applyAlignment="1">
      <alignment horizontal="center" vertical="center"/>
    </xf>
    <xf numFmtId="179" fontId="5" fillId="0" borderId="1" xfId="0" applyNumberFormat="1" applyFont="1" applyBorder="1" applyAlignment="1">
      <alignment horizontal="center" vertical="center"/>
    </xf>
  </cellXfs>
  <cellStyles count="3">
    <cellStyle name="Normal" xfId="0" builtinId="0"/>
    <cellStyle name="Normal 2 2" xfId="2" xr:uid="{85263925-364C-4FC6-86A0-A57A12F6C71E}"/>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microsoft.com/office/2017/10/relationships/person" Target="persons/perso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4"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8.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6.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9" Type="http://schemas.openxmlformats.org/officeDocument/2006/relationships/image" Target="../media/image2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png"/></Relationships>
</file>

<file path=xl/drawings/_rels/drawing8.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17</xdr:col>
      <xdr:colOff>29880</xdr:colOff>
      <xdr:row>3</xdr:row>
      <xdr:rowOff>22413</xdr:rowOff>
    </xdr:from>
    <xdr:to>
      <xdr:col>23</xdr:col>
      <xdr:colOff>145143</xdr:colOff>
      <xdr:row>13</xdr:row>
      <xdr:rowOff>82177</xdr:rowOff>
    </xdr:to>
    <xdr:pic>
      <xdr:nvPicPr>
        <xdr:cNvPr id="2" name="Picture 1">
          <a:extLst>
            <a:ext uri="{FF2B5EF4-FFF2-40B4-BE49-F238E27FC236}">
              <a16:creationId xmlns:a16="http://schemas.microsoft.com/office/drawing/2014/main" id="{559E7E17-EB9C-4C56-8240-EDA789F3023A}"/>
            </a:ext>
          </a:extLst>
        </xdr:cNvPr>
        <xdr:cNvPicPr>
          <a:picLocks noChangeAspect="1"/>
        </xdr:cNvPicPr>
      </xdr:nvPicPr>
      <xdr:blipFill>
        <a:blip xmlns:r="http://schemas.openxmlformats.org/officeDocument/2006/relationships" r:embed="rId1"/>
        <a:stretch>
          <a:fillRect/>
        </a:stretch>
      </xdr:blipFill>
      <xdr:spPr>
        <a:xfrm>
          <a:off x="18195960" y="571053"/>
          <a:ext cx="3772863" cy="19495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22</xdr:col>
      <xdr:colOff>106680</xdr:colOff>
      <xdr:row>175</xdr:row>
      <xdr:rowOff>106680</xdr:rowOff>
    </xdr:from>
    <xdr:to>
      <xdr:col>29</xdr:col>
      <xdr:colOff>472842</xdr:colOff>
      <xdr:row>186</xdr:row>
      <xdr:rowOff>76372</xdr:rowOff>
    </xdr:to>
    <xdr:pic>
      <xdr:nvPicPr>
        <xdr:cNvPr id="2" name="Picture 1">
          <a:extLst>
            <a:ext uri="{FF2B5EF4-FFF2-40B4-BE49-F238E27FC236}">
              <a16:creationId xmlns:a16="http://schemas.microsoft.com/office/drawing/2014/main" id="{D6E74E25-17FA-B15C-11BF-52DF5557CE29}"/>
            </a:ext>
          </a:extLst>
        </xdr:cNvPr>
        <xdr:cNvPicPr>
          <a:picLocks noChangeAspect="1"/>
        </xdr:cNvPicPr>
      </xdr:nvPicPr>
      <xdr:blipFill>
        <a:blip xmlns:r="http://schemas.openxmlformats.org/officeDocument/2006/relationships" r:embed="rId1"/>
        <a:stretch>
          <a:fillRect/>
        </a:stretch>
      </xdr:blipFill>
      <xdr:spPr>
        <a:xfrm>
          <a:off x="16352520" y="32110680"/>
          <a:ext cx="4633362" cy="1981372"/>
        </a:xfrm>
        <a:prstGeom prst="rect">
          <a:avLst/>
        </a:prstGeom>
      </xdr:spPr>
    </xdr:pic>
    <xdr:clientData/>
  </xdr:twoCellAnchor>
  <xdr:twoCellAnchor editAs="oneCell">
    <xdr:from>
      <xdr:col>30</xdr:col>
      <xdr:colOff>152400</xdr:colOff>
      <xdr:row>175</xdr:row>
      <xdr:rowOff>152400</xdr:rowOff>
    </xdr:from>
    <xdr:to>
      <xdr:col>37</xdr:col>
      <xdr:colOff>503320</xdr:colOff>
      <xdr:row>187</xdr:row>
      <xdr:rowOff>38280</xdr:rowOff>
    </xdr:to>
    <xdr:pic>
      <xdr:nvPicPr>
        <xdr:cNvPr id="3" name="Picture 2">
          <a:extLst>
            <a:ext uri="{FF2B5EF4-FFF2-40B4-BE49-F238E27FC236}">
              <a16:creationId xmlns:a16="http://schemas.microsoft.com/office/drawing/2014/main" id="{AEAF2736-E8E4-C084-0B46-D5D4107BAF84}"/>
            </a:ext>
          </a:extLst>
        </xdr:cNvPr>
        <xdr:cNvPicPr>
          <a:picLocks noChangeAspect="1"/>
        </xdr:cNvPicPr>
      </xdr:nvPicPr>
      <xdr:blipFill>
        <a:blip xmlns:r="http://schemas.openxmlformats.org/officeDocument/2006/relationships" r:embed="rId2"/>
        <a:stretch>
          <a:fillRect/>
        </a:stretch>
      </xdr:blipFill>
      <xdr:spPr>
        <a:xfrm>
          <a:off x="22494240" y="32156400"/>
          <a:ext cx="4618120" cy="2080440"/>
        </a:xfrm>
        <a:prstGeom prst="rect">
          <a:avLst/>
        </a:prstGeom>
      </xdr:spPr>
    </xdr:pic>
    <xdr:clientData/>
  </xdr:twoCellAnchor>
  <xdr:twoCellAnchor editAs="oneCell">
    <xdr:from>
      <xdr:col>38</xdr:col>
      <xdr:colOff>411480</xdr:colOff>
      <xdr:row>175</xdr:row>
      <xdr:rowOff>167640</xdr:rowOff>
    </xdr:from>
    <xdr:to>
      <xdr:col>46</xdr:col>
      <xdr:colOff>46111</xdr:colOff>
      <xdr:row>189</xdr:row>
      <xdr:rowOff>91655</xdr:rowOff>
    </xdr:to>
    <xdr:pic>
      <xdr:nvPicPr>
        <xdr:cNvPr id="5" name="Picture 4">
          <a:extLst>
            <a:ext uri="{FF2B5EF4-FFF2-40B4-BE49-F238E27FC236}">
              <a16:creationId xmlns:a16="http://schemas.microsoft.com/office/drawing/2014/main" id="{7F8766D6-AAAE-868C-0DF6-45EC9FCF2F4C}"/>
            </a:ext>
          </a:extLst>
        </xdr:cNvPr>
        <xdr:cNvPicPr>
          <a:picLocks noChangeAspect="1"/>
        </xdr:cNvPicPr>
      </xdr:nvPicPr>
      <xdr:blipFill>
        <a:blip xmlns:r="http://schemas.openxmlformats.org/officeDocument/2006/relationships" r:embed="rId3"/>
        <a:stretch>
          <a:fillRect/>
        </a:stretch>
      </xdr:blipFill>
      <xdr:spPr>
        <a:xfrm>
          <a:off x="27630120" y="32171640"/>
          <a:ext cx="4511431" cy="2484335"/>
        </a:xfrm>
        <a:prstGeom prst="rect">
          <a:avLst/>
        </a:prstGeom>
      </xdr:spPr>
    </xdr:pic>
    <xdr:clientData/>
  </xdr:twoCellAnchor>
  <xdr:twoCellAnchor editAs="oneCell">
    <xdr:from>
      <xdr:col>19</xdr:col>
      <xdr:colOff>198120</xdr:colOff>
      <xdr:row>220</xdr:row>
      <xdr:rowOff>30480</xdr:rowOff>
    </xdr:from>
    <xdr:to>
      <xdr:col>26</xdr:col>
      <xdr:colOff>600852</xdr:colOff>
      <xdr:row>231</xdr:row>
      <xdr:rowOff>106680</xdr:rowOff>
    </xdr:to>
    <xdr:pic>
      <xdr:nvPicPr>
        <xdr:cNvPr id="4" name="Picture 3">
          <a:extLst>
            <a:ext uri="{FF2B5EF4-FFF2-40B4-BE49-F238E27FC236}">
              <a16:creationId xmlns:a16="http://schemas.microsoft.com/office/drawing/2014/main" id="{290E060C-EFDE-94AE-5E55-6049E522C422}"/>
            </a:ext>
          </a:extLst>
        </xdr:cNvPr>
        <xdr:cNvPicPr>
          <a:picLocks noChangeAspect="1"/>
        </xdr:cNvPicPr>
      </xdr:nvPicPr>
      <xdr:blipFill>
        <a:blip xmlns:r="http://schemas.openxmlformats.org/officeDocument/2006/relationships" r:embed="rId4"/>
        <a:stretch>
          <a:fillRect/>
        </a:stretch>
      </xdr:blipFill>
      <xdr:spPr>
        <a:xfrm>
          <a:off x="16901160" y="40264080"/>
          <a:ext cx="4669932" cy="20878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53340</xdr:colOff>
      <xdr:row>56</xdr:row>
      <xdr:rowOff>7620</xdr:rowOff>
    </xdr:from>
    <xdr:to>
      <xdr:col>4</xdr:col>
      <xdr:colOff>228839</xdr:colOff>
      <xdr:row>66</xdr:row>
      <xdr:rowOff>175433</xdr:rowOff>
    </xdr:to>
    <xdr:pic>
      <xdr:nvPicPr>
        <xdr:cNvPr id="2" name="Picture 1">
          <a:extLst>
            <a:ext uri="{FF2B5EF4-FFF2-40B4-BE49-F238E27FC236}">
              <a16:creationId xmlns:a16="http://schemas.microsoft.com/office/drawing/2014/main" id="{76A76498-B4CD-7788-08D5-509038B26555}"/>
            </a:ext>
          </a:extLst>
        </xdr:cNvPr>
        <xdr:cNvPicPr>
          <a:picLocks noChangeAspect="1"/>
        </xdr:cNvPicPr>
      </xdr:nvPicPr>
      <xdr:blipFill>
        <a:blip xmlns:r="http://schemas.openxmlformats.org/officeDocument/2006/relationships" r:embed="rId1"/>
        <a:stretch>
          <a:fillRect/>
        </a:stretch>
      </xdr:blipFill>
      <xdr:spPr>
        <a:xfrm>
          <a:off x="1272540" y="9197340"/>
          <a:ext cx="2758679" cy="19966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388619</xdr:colOff>
      <xdr:row>4</xdr:row>
      <xdr:rowOff>76200</xdr:rowOff>
    </xdr:from>
    <xdr:to>
      <xdr:col>25</xdr:col>
      <xdr:colOff>447016</xdr:colOff>
      <xdr:row>23</xdr:row>
      <xdr:rowOff>83820</xdr:rowOff>
    </xdr:to>
    <xdr:pic>
      <xdr:nvPicPr>
        <xdr:cNvPr id="2" name="Picture 1">
          <a:extLst>
            <a:ext uri="{FF2B5EF4-FFF2-40B4-BE49-F238E27FC236}">
              <a16:creationId xmlns:a16="http://schemas.microsoft.com/office/drawing/2014/main" id="{CFC68150-4CAE-4712-8120-D1836933BD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87199" y="822960"/>
          <a:ext cx="4935197" cy="3489960"/>
        </a:xfrm>
        <a:prstGeom prst="rect">
          <a:avLst/>
        </a:prstGeom>
      </xdr:spPr>
    </xdr:pic>
    <xdr:clientData/>
  </xdr:twoCellAnchor>
  <xdr:twoCellAnchor editAs="oneCell">
    <xdr:from>
      <xdr:col>9</xdr:col>
      <xdr:colOff>7620</xdr:colOff>
      <xdr:row>4</xdr:row>
      <xdr:rowOff>7620</xdr:rowOff>
    </xdr:from>
    <xdr:to>
      <xdr:col>17</xdr:col>
      <xdr:colOff>141446</xdr:colOff>
      <xdr:row>23</xdr:row>
      <xdr:rowOff>68580</xdr:rowOff>
    </xdr:to>
    <xdr:pic>
      <xdr:nvPicPr>
        <xdr:cNvPr id="3" name="Picture 2">
          <a:extLst>
            <a:ext uri="{FF2B5EF4-FFF2-40B4-BE49-F238E27FC236}">
              <a16:creationId xmlns:a16="http://schemas.microsoft.com/office/drawing/2014/main" id="{DEC2DB4A-E0F0-4468-8570-84045EEAA1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29400" y="754380"/>
          <a:ext cx="5010626" cy="3543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9</xdr:col>
      <xdr:colOff>40005</xdr:colOff>
      <xdr:row>14</xdr:row>
      <xdr:rowOff>5715</xdr:rowOff>
    </xdr:from>
    <xdr:ext cx="1428750" cy="314325"/>
    <xdr:pic>
      <xdr:nvPicPr>
        <xdr:cNvPr id="2" name="image4.png">
          <a:extLst>
            <a:ext uri="{FF2B5EF4-FFF2-40B4-BE49-F238E27FC236}">
              <a16:creationId xmlns:a16="http://schemas.microsoft.com/office/drawing/2014/main" id="{6F2D80E9-3E7D-4785-A37E-4BB3C156E26B}"/>
            </a:ext>
          </a:extLst>
        </xdr:cNvPr>
        <xdr:cNvPicPr preferRelativeResize="0"/>
      </xdr:nvPicPr>
      <xdr:blipFill>
        <a:blip xmlns:r="http://schemas.openxmlformats.org/officeDocument/2006/relationships" r:embed="rId1" cstate="print"/>
        <a:stretch>
          <a:fillRect/>
        </a:stretch>
      </xdr:blipFill>
      <xdr:spPr>
        <a:xfrm>
          <a:off x="7088505" y="2505075"/>
          <a:ext cx="1428750" cy="314325"/>
        </a:xfrm>
        <a:prstGeom prst="rect">
          <a:avLst/>
        </a:prstGeom>
        <a:noFill/>
      </xdr:spPr>
    </xdr:pic>
    <xdr:clientData fLocksWithSheet="0"/>
  </xdr:oneCellAnchor>
  <xdr:oneCellAnchor>
    <xdr:from>
      <xdr:col>9</xdr:col>
      <xdr:colOff>24765</xdr:colOff>
      <xdr:row>9</xdr:row>
      <xdr:rowOff>45720</xdr:rowOff>
    </xdr:from>
    <xdr:ext cx="2619375" cy="695325"/>
    <xdr:pic>
      <xdr:nvPicPr>
        <xdr:cNvPr id="3" name="image3.png">
          <a:extLst>
            <a:ext uri="{FF2B5EF4-FFF2-40B4-BE49-F238E27FC236}">
              <a16:creationId xmlns:a16="http://schemas.microsoft.com/office/drawing/2014/main" id="{45E7E87A-3654-4C03-B64D-BBAB4B5E27BF}"/>
            </a:ext>
          </a:extLst>
        </xdr:cNvPr>
        <xdr:cNvPicPr preferRelativeResize="0"/>
      </xdr:nvPicPr>
      <xdr:blipFill>
        <a:blip xmlns:r="http://schemas.openxmlformats.org/officeDocument/2006/relationships" r:embed="rId2" cstate="print"/>
        <a:stretch>
          <a:fillRect/>
        </a:stretch>
      </xdr:blipFill>
      <xdr:spPr>
        <a:xfrm>
          <a:off x="7073265" y="1668780"/>
          <a:ext cx="2619375" cy="6953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18</xdr:col>
      <xdr:colOff>7620</xdr:colOff>
      <xdr:row>3</xdr:row>
      <xdr:rowOff>175260</xdr:rowOff>
    </xdr:from>
    <xdr:ext cx="3731216" cy="2446020"/>
    <xdr:pic>
      <xdr:nvPicPr>
        <xdr:cNvPr id="2" name="Picture 1">
          <a:extLst>
            <a:ext uri="{FF2B5EF4-FFF2-40B4-BE49-F238E27FC236}">
              <a16:creationId xmlns:a16="http://schemas.microsoft.com/office/drawing/2014/main" id="{BC6606D4-5290-4A53-B76E-68533DC6E10C}"/>
            </a:ext>
          </a:extLst>
        </xdr:cNvPr>
        <xdr:cNvPicPr>
          <a:picLocks noChangeAspect="1"/>
        </xdr:cNvPicPr>
      </xdr:nvPicPr>
      <xdr:blipFill>
        <a:blip xmlns:r="http://schemas.openxmlformats.org/officeDocument/2006/relationships" r:embed="rId1"/>
        <a:stretch>
          <a:fillRect/>
        </a:stretch>
      </xdr:blipFill>
      <xdr:spPr>
        <a:xfrm>
          <a:off x="17579340" y="723900"/>
          <a:ext cx="3731216" cy="2446020"/>
        </a:xfrm>
        <a:prstGeom prst="rect">
          <a:avLst/>
        </a:prstGeom>
      </xdr:spPr>
    </xdr:pic>
    <xdr:clientData/>
  </xdr:oneCellAnchor>
  <xdr:oneCellAnchor>
    <xdr:from>
      <xdr:col>11</xdr:col>
      <xdr:colOff>54726</xdr:colOff>
      <xdr:row>3</xdr:row>
      <xdr:rowOff>83820</xdr:rowOff>
    </xdr:from>
    <xdr:ext cx="4662494" cy="2537460"/>
    <xdr:pic>
      <xdr:nvPicPr>
        <xdr:cNvPr id="3" name="Picture 2">
          <a:extLst>
            <a:ext uri="{FF2B5EF4-FFF2-40B4-BE49-F238E27FC236}">
              <a16:creationId xmlns:a16="http://schemas.microsoft.com/office/drawing/2014/main" id="{098F9C34-60A1-4D00-80A8-B1F84B109FB4}"/>
            </a:ext>
          </a:extLst>
        </xdr:cNvPr>
        <xdr:cNvPicPr>
          <a:picLocks noChangeAspect="1"/>
        </xdr:cNvPicPr>
      </xdr:nvPicPr>
      <xdr:blipFill>
        <a:blip xmlns:r="http://schemas.openxmlformats.org/officeDocument/2006/relationships" r:embed="rId2"/>
        <a:stretch>
          <a:fillRect/>
        </a:stretch>
      </xdr:blipFill>
      <xdr:spPr>
        <a:xfrm>
          <a:off x="11492346" y="632460"/>
          <a:ext cx="4662494" cy="2537460"/>
        </a:xfrm>
        <a:prstGeom prst="rect">
          <a:avLst/>
        </a:prstGeom>
      </xdr:spPr>
    </xdr:pic>
    <xdr:clientData/>
  </xdr:oneCellAnchor>
  <xdr:twoCellAnchor editAs="oneCell">
    <xdr:from>
      <xdr:col>10</xdr:col>
      <xdr:colOff>335280</xdr:colOff>
      <xdr:row>20</xdr:row>
      <xdr:rowOff>60960</xdr:rowOff>
    </xdr:from>
    <xdr:to>
      <xdr:col>14</xdr:col>
      <xdr:colOff>350821</xdr:colOff>
      <xdr:row>31</xdr:row>
      <xdr:rowOff>7783</xdr:rowOff>
    </xdr:to>
    <xdr:pic>
      <xdr:nvPicPr>
        <xdr:cNvPr id="4" name="Picture 3">
          <a:extLst>
            <a:ext uri="{FF2B5EF4-FFF2-40B4-BE49-F238E27FC236}">
              <a16:creationId xmlns:a16="http://schemas.microsoft.com/office/drawing/2014/main" id="{9C1C7A92-0D42-44D8-BCD1-092BE19FF06A}"/>
            </a:ext>
          </a:extLst>
        </xdr:cNvPr>
        <xdr:cNvPicPr>
          <a:picLocks noChangeAspect="1"/>
        </xdr:cNvPicPr>
      </xdr:nvPicPr>
      <xdr:blipFill>
        <a:blip xmlns:r="http://schemas.openxmlformats.org/officeDocument/2006/relationships" r:embed="rId3"/>
        <a:stretch>
          <a:fillRect/>
        </a:stretch>
      </xdr:blipFill>
      <xdr:spPr>
        <a:xfrm>
          <a:off x="11163300" y="3718560"/>
          <a:ext cx="3475021" cy="18823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152400</xdr:colOff>
      <xdr:row>29</xdr:row>
      <xdr:rowOff>83820</xdr:rowOff>
    </xdr:from>
    <xdr:to>
      <xdr:col>5</xdr:col>
      <xdr:colOff>105592</xdr:colOff>
      <xdr:row>34</xdr:row>
      <xdr:rowOff>0</xdr:rowOff>
    </xdr:to>
    <xdr:pic>
      <xdr:nvPicPr>
        <xdr:cNvPr id="2" name="Picture 1">
          <a:extLst>
            <a:ext uri="{FF2B5EF4-FFF2-40B4-BE49-F238E27FC236}">
              <a16:creationId xmlns:a16="http://schemas.microsoft.com/office/drawing/2014/main" id="{0D11B246-F7EE-BE49-C43B-11A75D1135A3}"/>
            </a:ext>
          </a:extLst>
        </xdr:cNvPr>
        <xdr:cNvPicPr>
          <a:picLocks noChangeAspect="1"/>
        </xdr:cNvPicPr>
      </xdr:nvPicPr>
      <xdr:blipFill>
        <a:blip xmlns:r="http://schemas.openxmlformats.org/officeDocument/2006/relationships" r:embed="rId1"/>
        <a:stretch>
          <a:fillRect/>
        </a:stretch>
      </xdr:blipFill>
      <xdr:spPr>
        <a:xfrm>
          <a:off x="762000" y="5387340"/>
          <a:ext cx="3085012" cy="830580"/>
        </a:xfrm>
        <a:prstGeom prst="rect">
          <a:avLst/>
        </a:prstGeom>
      </xdr:spPr>
    </xdr:pic>
    <xdr:clientData/>
  </xdr:twoCellAnchor>
  <xdr:twoCellAnchor editAs="oneCell">
    <xdr:from>
      <xdr:col>1</xdr:col>
      <xdr:colOff>251461</xdr:colOff>
      <xdr:row>35</xdr:row>
      <xdr:rowOff>15241</xdr:rowOff>
    </xdr:from>
    <xdr:to>
      <xdr:col>5</xdr:col>
      <xdr:colOff>103199</xdr:colOff>
      <xdr:row>36</xdr:row>
      <xdr:rowOff>15241</xdr:rowOff>
    </xdr:to>
    <xdr:pic>
      <xdr:nvPicPr>
        <xdr:cNvPr id="3" name="Picture 2">
          <a:extLst>
            <a:ext uri="{FF2B5EF4-FFF2-40B4-BE49-F238E27FC236}">
              <a16:creationId xmlns:a16="http://schemas.microsoft.com/office/drawing/2014/main" id="{7E68C684-753B-2598-AB0B-62E79403D75F}"/>
            </a:ext>
          </a:extLst>
        </xdr:cNvPr>
        <xdr:cNvPicPr>
          <a:picLocks noChangeAspect="1"/>
        </xdr:cNvPicPr>
      </xdr:nvPicPr>
      <xdr:blipFill>
        <a:blip xmlns:r="http://schemas.openxmlformats.org/officeDocument/2006/relationships" r:embed="rId2"/>
        <a:stretch>
          <a:fillRect/>
        </a:stretch>
      </xdr:blipFill>
      <xdr:spPr>
        <a:xfrm>
          <a:off x="861061" y="6416041"/>
          <a:ext cx="2983558" cy="182880"/>
        </a:xfrm>
        <a:prstGeom prst="rect">
          <a:avLst/>
        </a:prstGeom>
      </xdr:spPr>
    </xdr:pic>
    <xdr:clientData/>
  </xdr:twoCellAnchor>
  <xdr:twoCellAnchor editAs="oneCell">
    <xdr:from>
      <xdr:col>5</xdr:col>
      <xdr:colOff>396240</xdr:colOff>
      <xdr:row>29</xdr:row>
      <xdr:rowOff>0</xdr:rowOff>
    </xdr:from>
    <xdr:to>
      <xdr:col>8</xdr:col>
      <xdr:colOff>990600</xdr:colOff>
      <xdr:row>38</xdr:row>
      <xdr:rowOff>4846</xdr:rowOff>
    </xdr:to>
    <xdr:pic>
      <xdr:nvPicPr>
        <xdr:cNvPr id="4" name="Picture 3">
          <a:extLst>
            <a:ext uri="{FF2B5EF4-FFF2-40B4-BE49-F238E27FC236}">
              <a16:creationId xmlns:a16="http://schemas.microsoft.com/office/drawing/2014/main" id="{C6F4163F-649D-5EAE-540C-84DBBA49FA7C}"/>
            </a:ext>
          </a:extLst>
        </xdr:cNvPr>
        <xdr:cNvPicPr>
          <a:picLocks noChangeAspect="1"/>
        </xdr:cNvPicPr>
      </xdr:nvPicPr>
      <xdr:blipFill>
        <a:blip xmlns:r="http://schemas.openxmlformats.org/officeDocument/2006/relationships" r:embed="rId3"/>
        <a:stretch>
          <a:fillRect/>
        </a:stretch>
      </xdr:blipFill>
      <xdr:spPr>
        <a:xfrm>
          <a:off x="4137660" y="5303520"/>
          <a:ext cx="3870960" cy="1650766"/>
        </a:xfrm>
        <a:prstGeom prst="rect">
          <a:avLst/>
        </a:prstGeom>
      </xdr:spPr>
    </xdr:pic>
    <xdr:clientData/>
  </xdr:twoCellAnchor>
  <xdr:twoCellAnchor editAs="oneCell">
    <xdr:from>
      <xdr:col>1</xdr:col>
      <xdr:colOff>251461</xdr:colOff>
      <xdr:row>37</xdr:row>
      <xdr:rowOff>60961</xdr:rowOff>
    </xdr:from>
    <xdr:to>
      <xdr:col>5</xdr:col>
      <xdr:colOff>46474</xdr:colOff>
      <xdr:row>42</xdr:row>
      <xdr:rowOff>53340</xdr:rowOff>
    </xdr:to>
    <xdr:pic>
      <xdr:nvPicPr>
        <xdr:cNvPr id="5" name="Picture 4">
          <a:extLst>
            <a:ext uri="{FF2B5EF4-FFF2-40B4-BE49-F238E27FC236}">
              <a16:creationId xmlns:a16="http://schemas.microsoft.com/office/drawing/2014/main" id="{159BF586-E296-89BE-B693-FD5734737487}"/>
            </a:ext>
          </a:extLst>
        </xdr:cNvPr>
        <xdr:cNvPicPr>
          <a:picLocks noChangeAspect="1"/>
        </xdr:cNvPicPr>
      </xdr:nvPicPr>
      <xdr:blipFill>
        <a:blip xmlns:r="http://schemas.openxmlformats.org/officeDocument/2006/relationships" r:embed="rId4"/>
        <a:stretch>
          <a:fillRect/>
        </a:stretch>
      </xdr:blipFill>
      <xdr:spPr>
        <a:xfrm>
          <a:off x="861061" y="6827521"/>
          <a:ext cx="2926833" cy="906779"/>
        </a:xfrm>
        <a:prstGeom prst="rect">
          <a:avLst/>
        </a:prstGeom>
      </xdr:spPr>
    </xdr:pic>
    <xdr:clientData/>
  </xdr:twoCellAnchor>
  <xdr:twoCellAnchor editAs="oneCell">
    <xdr:from>
      <xdr:col>1</xdr:col>
      <xdr:colOff>312421</xdr:colOff>
      <xdr:row>43</xdr:row>
      <xdr:rowOff>22860</xdr:rowOff>
    </xdr:from>
    <xdr:to>
      <xdr:col>4</xdr:col>
      <xdr:colOff>891541</xdr:colOff>
      <xdr:row>44</xdr:row>
      <xdr:rowOff>33249</xdr:rowOff>
    </xdr:to>
    <xdr:pic>
      <xdr:nvPicPr>
        <xdr:cNvPr id="6" name="Picture 5">
          <a:extLst>
            <a:ext uri="{FF2B5EF4-FFF2-40B4-BE49-F238E27FC236}">
              <a16:creationId xmlns:a16="http://schemas.microsoft.com/office/drawing/2014/main" id="{F59731FF-D468-12F0-4374-DCF7C1E026F5}"/>
            </a:ext>
          </a:extLst>
        </xdr:cNvPr>
        <xdr:cNvPicPr>
          <a:picLocks noChangeAspect="1"/>
        </xdr:cNvPicPr>
      </xdr:nvPicPr>
      <xdr:blipFill>
        <a:blip xmlns:r="http://schemas.openxmlformats.org/officeDocument/2006/relationships" r:embed="rId5"/>
        <a:stretch>
          <a:fillRect/>
        </a:stretch>
      </xdr:blipFill>
      <xdr:spPr>
        <a:xfrm>
          <a:off x="922021" y="7886700"/>
          <a:ext cx="2773680" cy="193269"/>
        </a:xfrm>
        <a:prstGeom prst="rect">
          <a:avLst/>
        </a:prstGeom>
      </xdr:spPr>
    </xdr:pic>
    <xdr:clientData/>
  </xdr:twoCellAnchor>
  <xdr:twoCellAnchor editAs="oneCell">
    <xdr:from>
      <xdr:col>5</xdr:col>
      <xdr:colOff>487680</xdr:colOff>
      <xdr:row>38</xdr:row>
      <xdr:rowOff>175260</xdr:rowOff>
    </xdr:from>
    <xdr:to>
      <xdr:col>6</xdr:col>
      <xdr:colOff>792593</xdr:colOff>
      <xdr:row>40</xdr:row>
      <xdr:rowOff>91464</xdr:rowOff>
    </xdr:to>
    <xdr:pic>
      <xdr:nvPicPr>
        <xdr:cNvPr id="7" name="Picture 6">
          <a:extLst>
            <a:ext uri="{FF2B5EF4-FFF2-40B4-BE49-F238E27FC236}">
              <a16:creationId xmlns:a16="http://schemas.microsoft.com/office/drawing/2014/main" id="{19E72526-BA62-1C00-2F7B-1E98CE30AD7E}"/>
            </a:ext>
          </a:extLst>
        </xdr:cNvPr>
        <xdr:cNvPicPr>
          <a:picLocks noChangeAspect="1"/>
        </xdr:cNvPicPr>
      </xdr:nvPicPr>
      <xdr:blipFill>
        <a:blip xmlns:r="http://schemas.openxmlformats.org/officeDocument/2006/relationships" r:embed="rId6"/>
        <a:stretch>
          <a:fillRect/>
        </a:stretch>
      </xdr:blipFill>
      <xdr:spPr>
        <a:xfrm>
          <a:off x="4229100" y="7124700"/>
          <a:ext cx="1303133" cy="2819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396241</xdr:colOff>
      <xdr:row>13</xdr:row>
      <xdr:rowOff>137160</xdr:rowOff>
    </xdr:from>
    <xdr:to>
      <xdr:col>7</xdr:col>
      <xdr:colOff>434341</xdr:colOff>
      <xdr:row>25</xdr:row>
      <xdr:rowOff>52986</xdr:rowOff>
    </xdr:to>
    <xdr:pic>
      <xdr:nvPicPr>
        <xdr:cNvPr id="2" name="Picture 1">
          <a:extLst>
            <a:ext uri="{FF2B5EF4-FFF2-40B4-BE49-F238E27FC236}">
              <a16:creationId xmlns:a16="http://schemas.microsoft.com/office/drawing/2014/main" id="{F395F4FE-AD42-869B-370B-5EE8B63962D3}"/>
            </a:ext>
          </a:extLst>
        </xdr:cNvPr>
        <xdr:cNvPicPr>
          <a:picLocks noChangeAspect="1"/>
        </xdr:cNvPicPr>
      </xdr:nvPicPr>
      <xdr:blipFill>
        <a:blip xmlns:r="http://schemas.openxmlformats.org/officeDocument/2006/relationships" r:embed="rId1"/>
        <a:stretch>
          <a:fillRect/>
        </a:stretch>
      </xdr:blipFill>
      <xdr:spPr>
        <a:xfrm>
          <a:off x="1005841" y="2514600"/>
          <a:ext cx="3695700" cy="2110386"/>
        </a:xfrm>
        <a:prstGeom prst="rect">
          <a:avLst/>
        </a:prstGeom>
      </xdr:spPr>
    </xdr:pic>
    <xdr:clientData/>
  </xdr:twoCellAnchor>
  <xdr:twoCellAnchor editAs="oneCell">
    <xdr:from>
      <xdr:col>1</xdr:col>
      <xdr:colOff>571500</xdr:colOff>
      <xdr:row>26</xdr:row>
      <xdr:rowOff>0</xdr:rowOff>
    </xdr:from>
    <xdr:to>
      <xdr:col>7</xdr:col>
      <xdr:colOff>541020</xdr:colOff>
      <xdr:row>33</xdr:row>
      <xdr:rowOff>29194</xdr:rowOff>
    </xdr:to>
    <xdr:pic>
      <xdr:nvPicPr>
        <xdr:cNvPr id="3" name="Picture 2">
          <a:extLst>
            <a:ext uri="{FF2B5EF4-FFF2-40B4-BE49-F238E27FC236}">
              <a16:creationId xmlns:a16="http://schemas.microsoft.com/office/drawing/2014/main" id="{82650963-B54F-FCB3-0A8E-23362FBFC8B9}"/>
            </a:ext>
          </a:extLst>
        </xdr:cNvPr>
        <xdr:cNvPicPr>
          <a:picLocks noChangeAspect="1"/>
        </xdr:cNvPicPr>
      </xdr:nvPicPr>
      <xdr:blipFill>
        <a:blip xmlns:r="http://schemas.openxmlformats.org/officeDocument/2006/relationships" r:embed="rId2"/>
        <a:stretch>
          <a:fillRect/>
        </a:stretch>
      </xdr:blipFill>
      <xdr:spPr>
        <a:xfrm>
          <a:off x="1181100" y="4754880"/>
          <a:ext cx="3627120" cy="1309354"/>
        </a:xfrm>
        <a:prstGeom prst="rect">
          <a:avLst/>
        </a:prstGeom>
      </xdr:spPr>
    </xdr:pic>
    <xdr:clientData/>
  </xdr:twoCellAnchor>
  <xdr:twoCellAnchor editAs="oneCell">
    <xdr:from>
      <xdr:col>2</xdr:col>
      <xdr:colOff>0</xdr:colOff>
      <xdr:row>33</xdr:row>
      <xdr:rowOff>119890</xdr:rowOff>
    </xdr:from>
    <xdr:to>
      <xdr:col>7</xdr:col>
      <xdr:colOff>388620</xdr:colOff>
      <xdr:row>57</xdr:row>
      <xdr:rowOff>137160</xdr:rowOff>
    </xdr:to>
    <xdr:pic>
      <xdr:nvPicPr>
        <xdr:cNvPr id="4" name="Picture 3">
          <a:extLst>
            <a:ext uri="{FF2B5EF4-FFF2-40B4-BE49-F238E27FC236}">
              <a16:creationId xmlns:a16="http://schemas.microsoft.com/office/drawing/2014/main" id="{22DEB0BB-8D35-2B78-AFD9-FF8163ACB4B3}"/>
            </a:ext>
          </a:extLst>
        </xdr:cNvPr>
        <xdr:cNvPicPr>
          <a:picLocks noChangeAspect="1"/>
        </xdr:cNvPicPr>
      </xdr:nvPicPr>
      <xdr:blipFill>
        <a:blip xmlns:r="http://schemas.openxmlformats.org/officeDocument/2006/relationships" r:embed="rId3"/>
        <a:stretch>
          <a:fillRect/>
        </a:stretch>
      </xdr:blipFill>
      <xdr:spPr>
        <a:xfrm>
          <a:off x="1219200" y="6154930"/>
          <a:ext cx="3436620" cy="4406390"/>
        </a:xfrm>
        <a:prstGeom prst="rect">
          <a:avLst/>
        </a:prstGeom>
      </xdr:spPr>
    </xdr:pic>
    <xdr:clientData/>
  </xdr:twoCellAnchor>
  <xdr:twoCellAnchor editAs="oneCell">
    <xdr:from>
      <xdr:col>2</xdr:col>
      <xdr:colOff>137160</xdr:colOff>
      <xdr:row>57</xdr:row>
      <xdr:rowOff>144780</xdr:rowOff>
    </xdr:from>
    <xdr:to>
      <xdr:col>7</xdr:col>
      <xdr:colOff>350519</xdr:colOff>
      <xdr:row>62</xdr:row>
      <xdr:rowOff>36760</xdr:rowOff>
    </xdr:to>
    <xdr:pic>
      <xdr:nvPicPr>
        <xdr:cNvPr id="5" name="Picture 4">
          <a:extLst>
            <a:ext uri="{FF2B5EF4-FFF2-40B4-BE49-F238E27FC236}">
              <a16:creationId xmlns:a16="http://schemas.microsoft.com/office/drawing/2014/main" id="{9D3F5C53-C068-B741-EEA8-059BDE606D96}"/>
            </a:ext>
          </a:extLst>
        </xdr:cNvPr>
        <xdr:cNvPicPr>
          <a:picLocks noChangeAspect="1"/>
        </xdr:cNvPicPr>
      </xdr:nvPicPr>
      <xdr:blipFill>
        <a:blip xmlns:r="http://schemas.openxmlformats.org/officeDocument/2006/relationships" r:embed="rId4"/>
        <a:stretch>
          <a:fillRect/>
        </a:stretch>
      </xdr:blipFill>
      <xdr:spPr>
        <a:xfrm>
          <a:off x="1356360" y="10568940"/>
          <a:ext cx="3261359" cy="806380"/>
        </a:xfrm>
        <a:prstGeom prst="rect">
          <a:avLst/>
        </a:prstGeom>
      </xdr:spPr>
    </xdr:pic>
    <xdr:clientData/>
  </xdr:twoCellAnchor>
  <xdr:twoCellAnchor editAs="oneCell">
    <xdr:from>
      <xdr:col>11</xdr:col>
      <xdr:colOff>7620</xdr:colOff>
      <xdr:row>5</xdr:row>
      <xdr:rowOff>38100</xdr:rowOff>
    </xdr:from>
    <xdr:to>
      <xdr:col>18</xdr:col>
      <xdr:colOff>503333</xdr:colOff>
      <xdr:row>34</xdr:row>
      <xdr:rowOff>8077</xdr:rowOff>
    </xdr:to>
    <xdr:pic>
      <xdr:nvPicPr>
        <xdr:cNvPr id="6" name="Picture 5">
          <a:extLst>
            <a:ext uri="{FF2B5EF4-FFF2-40B4-BE49-F238E27FC236}">
              <a16:creationId xmlns:a16="http://schemas.microsoft.com/office/drawing/2014/main" id="{36D10908-247E-54DE-76D6-C311B72D11AC}"/>
            </a:ext>
          </a:extLst>
        </xdr:cNvPr>
        <xdr:cNvPicPr>
          <a:picLocks noChangeAspect="1"/>
        </xdr:cNvPicPr>
      </xdr:nvPicPr>
      <xdr:blipFill>
        <a:blip xmlns:r="http://schemas.openxmlformats.org/officeDocument/2006/relationships" r:embed="rId5"/>
        <a:stretch>
          <a:fillRect/>
        </a:stretch>
      </xdr:blipFill>
      <xdr:spPr>
        <a:xfrm>
          <a:off x="6713220" y="952500"/>
          <a:ext cx="4762913" cy="5273497"/>
        </a:xfrm>
        <a:prstGeom prst="rect">
          <a:avLst/>
        </a:prstGeom>
      </xdr:spPr>
    </xdr:pic>
    <xdr:clientData/>
  </xdr:twoCellAnchor>
  <xdr:twoCellAnchor editAs="oneCell">
    <xdr:from>
      <xdr:col>11</xdr:col>
      <xdr:colOff>99060</xdr:colOff>
      <xdr:row>34</xdr:row>
      <xdr:rowOff>7620</xdr:rowOff>
    </xdr:from>
    <xdr:to>
      <xdr:col>18</xdr:col>
      <xdr:colOff>457601</xdr:colOff>
      <xdr:row>39</xdr:row>
      <xdr:rowOff>144871</xdr:rowOff>
    </xdr:to>
    <xdr:pic>
      <xdr:nvPicPr>
        <xdr:cNvPr id="7" name="Picture 6">
          <a:extLst>
            <a:ext uri="{FF2B5EF4-FFF2-40B4-BE49-F238E27FC236}">
              <a16:creationId xmlns:a16="http://schemas.microsoft.com/office/drawing/2014/main" id="{AE5966FE-13C3-B0BB-E7A5-918551508393}"/>
            </a:ext>
          </a:extLst>
        </xdr:cNvPr>
        <xdr:cNvPicPr>
          <a:picLocks noChangeAspect="1"/>
        </xdr:cNvPicPr>
      </xdr:nvPicPr>
      <xdr:blipFill>
        <a:blip xmlns:r="http://schemas.openxmlformats.org/officeDocument/2006/relationships" r:embed="rId6"/>
        <a:stretch>
          <a:fillRect/>
        </a:stretch>
      </xdr:blipFill>
      <xdr:spPr>
        <a:xfrm>
          <a:off x="6804660" y="6225540"/>
          <a:ext cx="4625741" cy="1051651"/>
        </a:xfrm>
        <a:prstGeom prst="rect">
          <a:avLst/>
        </a:prstGeom>
      </xdr:spPr>
    </xdr:pic>
    <xdr:clientData/>
  </xdr:twoCellAnchor>
  <xdr:twoCellAnchor editAs="oneCell">
    <xdr:from>
      <xdr:col>11</xdr:col>
      <xdr:colOff>106680</xdr:colOff>
      <xdr:row>39</xdr:row>
      <xdr:rowOff>152400</xdr:rowOff>
    </xdr:from>
    <xdr:to>
      <xdr:col>18</xdr:col>
      <xdr:colOff>540893</xdr:colOff>
      <xdr:row>70</xdr:row>
      <xdr:rowOff>46206</xdr:rowOff>
    </xdr:to>
    <xdr:pic>
      <xdr:nvPicPr>
        <xdr:cNvPr id="8" name="Picture 7">
          <a:extLst>
            <a:ext uri="{FF2B5EF4-FFF2-40B4-BE49-F238E27FC236}">
              <a16:creationId xmlns:a16="http://schemas.microsoft.com/office/drawing/2014/main" id="{F7F1E06C-169B-3B05-F305-F75E496732DC}"/>
            </a:ext>
          </a:extLst>
        </xdr:cNvPr>
        <xdr:cNvPicPr>
          <a:picLocks noChangeAspect="1"/>
        </xdr:cNvPicPr>
      </xdr:nvPicPr>
      <xdr:blipFill>
        <a:blip xmlns:r="http://schemas.openxmlformats.org/officeDocument/2006/relationships" r:embed="rId7"/>
        <a:stretch>
          <a:fillRect/>
        </a:stretch>
      </xdr:blipFill>
      <xdr:spPr>
        <a:xfrm>
          <a:off x="6812280" y="7284720"/>
          <a:ext cx="4701413" cy="5563086"/>
        </a:xfrm>
        <a:prstGeom prst="rect">
          <a:avLst/>
        </a:prstGeom>
      </xdr:spPr>
    </xdr:pic>
    <xdr:clientData/>
  </xdr:twoCellAnchor>
  <xdr:twoCellAnchor editAs="oneCell">
    <xdr:from>
      <xdr:col>11</xdr:col>
      <xdr:colOff>175260</xdr:colOff>
      <xdr:row>70</xdr:row>
      <xdr:rowOff>60927</xdr:rowOff>
    </xdr:from>
    <xdr:to>
      <xdr:col>18</xdr:col>
      <xdr:colOff>464820</xdr:colOff>
      <xdr:row>105</xdr:row>
      <xdr:rowOff>99570</xdr:rowOff>
    </xdr:to>
    <xdr:pic>
      <xdr:nvPicPr>
        <xdr:cNvPr id="9" name="Picture 8">
          <a:extLst>
            <a:ext uri="{FF2B5EF4-FFF2-40B4-BE49-F238E27FC236}">
              <a16:creationId xmlns:a16="http://schemas.microsoft.com/office/drawing/2014/main" id="{212FC492-D93F-51EF-796F-85297B446023}"/>
            </a:ext>
          </a:extLst>
        </xdr:cNvPr>
        <xdr:cNvPicPr>
          <a:picLocks noChangeAspect="1"/>
        </xdr:cNvPicPr>
      </xdr:nvPicPr>
      <xdr:blipFill>
        <a:blip xmlns:r="http://schemas.openxmlformats.org/officeDocument/2006/relationships" r:embed="rId8"/>
        <a:stretch>
          <a:fillRect/>
        </a:stretch>
      </xdr:blipFill>
      <xdr:spPr>
        <a:xfrm>
          <a:off x="6880860" y="12862527"/>
          <a:ext cx="4556760" cy="6439443"/>
        </a:xfrm>
        <a:prstGeom prst="rect">
          <a:avLst/>
        </a:prstGeom>
      </xdr:spPr>
    </xdr:pic>
    <xdr:clientData/>
  </xdr:twoCellAnchor>
  <xdr:twoCellAnchor editAs="oneCell">
    <xdr:from>
      <xdr:col>11</xdr:col>
      <xdr:colOff>175260</xdr:colOff>
      <xdr:row>105</xdr:row>
      <xdr:rowOff>77803</xdr:rowOff>
    </xdr:from>
    <xdr:to>
      <xdr:col>18</xdr:col>
      <xdr:colOff>495300</xdr:colOff>
      <xdr:row>117</xdr:row>
      <xdr:rowOff>106859</xdr:rowOff>
    </xdr:to>
    <xdr:pic>
      <xdr:nvPicPr>
        <xdr:cNvPr id="10" name="Picture 9">
          <a:extLst>
            <a:ext uri="{FF2B5EF4-FFF2-40B4-BE49-F238E27FC236}">
              <a16:creationId xmlns:a16="http://schemas.microsoft.com/office/drawing/2014/main" id="{79E7EC8C-CCAD-74E0-CE01-98172FA52C6B}"/>
            </a:ext>
          </a:extLst>
        </xdr:cNvPr>
        <xdr:cNvPicPr>
          <a:picLocks noChangeAspect="1"/>
        </xdr:cNvPicPr>
      </xdr:nvPicPr>
      <xdr:blipFill>
        <a:blip xmlns:r="http://schemas.openxmlformats.org/officeDocument/2006/relationships" r:embed="rId9"/>
        <a:stretch>
          <a:fillRect/>
        </a:stretch>
      </xdr:blipFill>
      <xdr:spPr>
        <a:xfrm>
          <a:off x="6880860" y="19280203"/>
          <a:ext cx="4587240" cy="2223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7620</xdr:colOff>
      <xdr:row>19</xdr:row>
      <xdr:rowOff>68580</xdr:rowOff>
    </xdr:from>
    <xdr:to>
      <xdr:col>4</xdr:col>
      <xdr:colOff>7620</xdr:colOff>
      <xdr:row>20</xdr:row>
      <xdr:rowOff>106680</xdr:rowOff>
    </xdr:to>
    <xdr:cxnSp macro="">
      <xdr:nvCxnSpPr>
        <xdr:cNvPr id="2" name="Straight Arrow Connector 1">
          <a:extLst>
            <a:ext uri="{FF2B5EF4-FFF2-40B4-BE49-F238E27FC236}">
              <a16:creationId xmlns:a16="http://schemas.microsoft.com/office/drawing/2014/main" id="{A232626B-D7BB-4718-80D6-1CF471909DB1}"/>
            </a:ext>
          </a:extLst>
        </xdr:cNvPr>
        <xdr:cNvCxnSpPr/>
      </xdr:nvCxnSpPr>
      <xdr:spPr>
        <a:xfrm>
          <a:off x="2446020" y="354330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23</xdr:row>
      <xdr:rowOff>38100</xdr:rowOff>
    </xdr:from>
    <xdr:to>
      <xdr:col>4</xdr:col>
      <xdr:colOff>0</xdr:colOff>
      <xdr:row>24</xdr:row>
      <xdr:rowOff>76200</xdr:rowOff>
    </xdr:to>
    <xdr:cxnSp macro="">
      <xdr:nvCxnSpPr>
        <xdr:cNvPr id="3" name="Straight Arrow Connector 2">
          <a:extLst>
            <a:ext uri="{FF2B5EF4-FFF2-40B4-BE49-F238E27FC236}">
              <a16:creationId xmlns:a16="http://schemas.microsoft.com/office/drawing/2014/main" id="{B6A0E113-5B86-42B6-AEEB-0A21FA306F41}"/>
            </a:ext>
          </a:extLst>
        </xdr:cNvPr>
        <xdr:cNvCxnSpPr/>
      </xdr:nvCxnSpPr>
      <xdr:spPr>
        <a:xfrm>
          <a:off x="2438400" y="424434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27</xdr:row>
      <xdr:rowOff>30480</xdr:rowOff>
    </xdr:from>
    <xdr:to>
      <xdr:col>4</xdr:col>
      <xdr:colOff>0</xdr:colOff>
      <xdr:row>28</xdr:row>
      <xdr:rowOff>68580</xdr:rowOff>
    </xdr:to>
    <xdr:cxnSp macro="">
      <xdr:nvCxnSpPr>
        <xdr:cNvPr id="4" name="Straight Arrow Connector 3">
          <a:extLst>
            <a:ext uri="{FF2B5EF4-FFF2-40B4-BE49-F238E27FC236}">
              <a16:creationId xmlns:a16="http://schemas.microsoft.com/office/drawing/2014/main" id="{50F8ACF6-D2CA-4B11-B5A4-5D99D104E6BA}"/>
            </a:ext>
          </a:extLst>
        </xdr:cNvPr>
        <xdr:cNvCxnSpPr/>
      </xdr:nvCxnSpPr>
      <xdr:spPr>
        <a:xfrm>
          <a:off x="2438400" y="496824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31</xdr:row>
      <xdr:rowOff>38100</xdr:rowOff>
    </xdr:from>
    <xdr:to>
      <xdr:col>4</xdr:col>
      <xdr:colOff>0</xdr:colOff>
      <xdr:row>32</xdr:row>
      <xdr:rowOff>76200</xdr:rowOff>
    </xdr:to>
    <xdr:cxnSp macro="">
      <xdr:nvCxnSpPr>
        <xdr:cNvPr id="5" name="Straight Arrow Connector 4">
          <a:extLst>
            <a:ext uri="{FF2B5EF4-FFF2-40B4-BE49-F238E27FC236}">
              <a16:creationId xmlns:a16="http://schemas.microsoft.com/office/drawing/2014/main" id="{828B4DCD-97C7-401A-8B79-C7DF4DB9B236}"/>
            </a:ext>
          </a:extLst>
        </xdr:cNvPr>
        <xdr:cNvCxnSpPr/>
      </xdr:nvCxnSpPr>
      <xdr:spPr>
        <a:xfrm>
          <a:off x="2438400" y="570738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35</xdr:row>
      <xdr:rowOff>53340</xdr:rowOff>
    </xdr:from>
    <xdr:to>
      <xdr:col>4</xdr:col>
      <xdr:colOff>0</xdr:colOff>
      <xdr:row>36</xdr:row>
      <xdr:rowOff>91440</xdr:rowOff>
    </xdr:to>
    <xdr:cxnSp macro="">
      <xdr:nvCxnSpPr>
        <xdr:cNvPr id="6" name="Straight Arrow Connector 5">
          <a:extLst>
            <a:ext uri="{FF2B5EF4-FFF2-40B4-BE49-F238E27FC236}">
              <a16:creationId xmlns:a16="http://schemas.microsoft.com/office/drawing/2014/main" id="{9A353CE3-8022-44A3-B023-E6E5C463D7D1}"/>
            </a:ext>
          </a:extLst>
        </xdr:cNvPr>
        <xdr:cNvCxnSpPr/>
      </xdr:nvCxnSpPr>
      <xdr:spPr>
        <a:xfrm>
          <a:off x="2438400" y="645414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0</xdr:colOff>
      <xdr:row>19</xdr:row>
      <xdr:rowOff>38100</xdr:rowOff>
    </xdr:from>
    <xdr:to>
      <xdr:col>10</xdr:col>
      <xdr:colOff>0</xdr:colOff>
      <xdr:row>20</xdr:row>
      <xdr:rowOff>76200</xdr:rowOff>
    </xdr:to>
    <xdr:cxnSp macro="">
      <xdr:nvCxnSpPr>
        <xdr:cNvPr id="12" name="Straight Arrow Connector 11">
          <a:extLst>
            <a:ext uri="{FF2B5EF4-FFF2-40B4-BE49-F238E27FC236}">
              <a16:creationId xmlns:a16="http://schemas.microsoft.com/office/drawing/2014/main" id="{0F0CEBB7-F301-4DAC-9723-FB79F3D8634E}"/>
            </a:ext>
          </a:extLst>
        </xdr:cNvPr>
        <xdr:cNvCxnSpPr/>
      </xdr:nvCxnSpPr>
      <xdr:spPr>
        <a:xfrm>
          <a:off x="6096000" y="351282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0</xdr:colOff>
      <xdr:row>23</xdr:row>
      <xdr:rowOff>38100</xdr:rowOff>
    </xdr:from>
    <xdr:to>
      <xdr:col>10</xdr:col>
      <xdr:colOff>0</xdr:colOff>
      <xdr:row>24</xdr:row>
      <xdr:rowOff>76200</xdr:rowOff>
    </xdr:to>
    <xdr:cxnSp macro="">
      <xdr:nvCxnSpPr>
        <xdr:cNvPr id="13" name="Straight Arrow Connector 12">
          <a:extLst>
            <a:ext uri="{FF2B5EF4-FFF2-40B4-BE49-F238E27FC236}">
              <a16:creationId xmlns:a16="http://schemas.microsoft.com/office/drawing/2014/main" id="{70CC4BF5-103A-4050-B9D6-EADF09B2E198}"/>
            </a:ext>
          </a:extLst>
        </xdr:cNvPr>
        <xdr:cNvCxnSpPr/>
      </xdr:nvCxnSpPr>
      <xdr:spPr>
        <a:xfrm>
          <a:off x="6096000" y="424434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0</xdr:colOff>
      <xdr:row>27</xdr:row>
      <xdr:rowOff>53340</xdr:rowOff>
    </xdr:from>
    <xdr:to>
      <xdr:col>10</xdr:col>
      <xdr:colOff>0</xdr:colOff>
      <xdr:row>28</xdr:row>
      <xdr:rowOff>91440</xdr:rowOff>
    </xdr:to>
    <xdr:cxnSp macro="">
      <xdr:nvCxnSpPr>
        <xdr:cNvPr id="14" name="Straight Arrow Connector 13">
          <a:extLst>
            <a:ext uri="{FF2B5EF4-FFF2-40B4-BE49-F238E27FC236}">
              <a16:creationId xmlns:a16="http://schemas.microsoft.com/office/drawing/2014/main" id="{C29A998E-B455-4A68-A03C-B2E18159A1D5}"/>
            </a:ext>
          </a:extLst>
        </xdr:cNvPr>
        <xdr:cNvCxnSpPr/>
      </xdr:nvCxnSpPr>
      <xdr:spPr>
        <a:xfrm>
          <a:off x="6096000" y="499110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0</xdr:colOff>
      <xdr:row>31</xdr:row>
      <xdr:rowOff>38100</xdr:rowOff>
    </xdr:from>
    <xdr:to>
      <xdr:col>10</xdr:col>
      <xdr:colOff>0</xdr:colOff>
      <xdr:row>32</xdr:row>
      <xdr:rowOff>76200</xdr:rowOff>
    </xdr:to>
    <xdr:cxnSp macro="">
      <xdr:nvCxnSpPr>
        <xdr:cNvPr id="15" name="Straight Arrow Connector 14">
          <a:extLst>
            <a:ext uri="{FF2B5EF4-FFF2-40B4-BE49-F238E27FC236}">
              <a16:creationId xmlns:a16="http://schemas.microsoft.com/office/drawing/2014/main" id="{231C99C6-DA1B-4199-B612-C02D68F326C0}"/>
            </a:ext>
          </a:extLst>
        </xdr:cNvPr>
        <xdr:cNvCxnSpPr/>
      </xdr:nvCxnSpPr>
      <xdr:spPr>
        <a:xfrm>
          <a:off x="6096000" y="570738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0</xdr:colOff>
      <xdr:row>35</xdr:row>
      <xdr:rowOff>53340</xdr:rowOff>
    </xdr:from>
    <xdr:to>
      <xdr:col>10</xdr:col>
      <xdr:colOff>0</xdr:colOff>
      <xdr:row>36</xdr:row>
      <xdr:rowOff>91440</xdr:rowOff>
    </xdr:to>
    <xdr:cxnSp macro="">
      <xdr:nvCxnSpPr>
        <xdr:cNvPr id="16" name="Straight Arrow Connector 15">
          <a:extLst>
            <a:ext uri="{FF2B5EF4-FFF2-40B4-BE49-F238E27FC236}">
              <a16:creationId xmlns:a16="http://schemas.microsoft.com/office/drawing/2014/main" id="{238B78C6-93E7-49B6-8956-B91D740E6DC7}"/>
            </a:ext>
          </a:extLst>
        </xdr:cNvPr>
        <xdr:cNvCxnSpPr/>
      </xdr:nvCxnSpPr>
      <xdr:spPr>
        <a:xfrm>
          <a:off x="6096000" y="645414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0</xdr:colOff>
      <xdr:row>39</xdr:row>
      <xdr:rowOff>45720</xdr:rowOff>
    </xdr:from>
    <xdr:to>
      <xdr:col>10</xdr:col>
      <xdr:colOff>0</xdr:colOff>
      <xdr:row>40</xdr:row>
      <xdr:rowOff>83820</xdr:rowOff>
    </xdr:to>
    <xdr:cxnSp macro="">
      <xdr:nvCxnSpPr>
        <xdr:cNvPr id="17" name="Straight Arrow Connector 16">
          <a:extLst>
            <a:ext uri="{FF2B5EF4-FFF2-40B4-BE49-F238E27FC236}">
              <a16:creationId xmlns:a16="http://schemas.microsoft.com/office/drawing/2014/main" id="{57264A91-282F-483C-8F6A-8164037F14C3}"/>
            </a:ext>
          </a:extLst>
        </xdr:cNvPr>
        <xdr:cNvCxnSpPr/>
      </xdr:nvCxnSpPr>
      <xdr:spPr>
        <a:xfrm>
          <a:off x="6096000" y="717804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19</xdr:row>
      <xdr:rowOff>45720</xdr:rowOff>
    </xdr:from>
    <xdr:to>
      <xdr:col>16</xdr:col>
      <xdr:colOff>0</xdr:colOff>
      <xdr:row>20</xdr:row>
      <xdr:rowOff>83820</xdr:rowOff>
    </xdr:to>
    <xdr:cxnSp macro="">
      <xdr:nvCxnSpPr>
        <xdr:cNvPr id="22" name="Straight Arrow Connector 21">
          <a:extLst>
            <a:ext uri="{FF2B5EF4-FFF2-40B4-BE49-F238E27FC236}">
              <a16:creationId xmlns:a16="http://schemas.microsoft.com/office/drawing/2014/main" id="{57C8D113-A61D-42F1-A133-41132D109789}"/>
            </a:ext>
          </a:extLst>
        </xdr:cNvPr>
        <xdr:cNvCxnSpPr/>
      </xdr:nvCxnSpPr>
      <xdr:spPr>
        <a:xfrm>
          <a:off x="9753600" y="352044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23</xdr:row>
      <xdr:rowOff>38100</xdr:rowOff>
    </xdr:from>
    <xdr:to>
      <xdr:col>16</xdr:col>
      <xdr:colOff>0</xdr:colOff>
      <xdr:row>24</xdr:row>
      <xdr:rowOff>76200</xdr:rowOff>
    </xdr:to>
    <xdr:cxnSp macro="">
      <xdr:nvCxnSpPr>
        <xdr:cNvPr id="24" name="Straight Arrow Connector 23">
          <a:extLst>
            <a:ext uri="{FF2B5EF4-FFF2-40B4-BE49-F238E27FC236}">
              <a16:creationId xmlns:a16="http://schemas.microsoft.com/office/drawing/2014/main" id="{47B89629-118F-4D9D-9059-D141EDC028EC}"/>
            </a:ext>
          </a:extLst>
        </xdr:cNvPr>
        <xdr:cNvCxnSpPr/>
      </xdr:nvCxnSpPr>
      <xdr:spPr>
        <a:xfrm>
          <a:off x="9753600" y="497586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27</xdr:row>
      <xdr:rowOff>38100</xdr:rowOff>
    </xdr:from>
    <xdr:to>
      <xdr:col>16</xdr:col>
      <xdr:colOff>0</xdr:colOff>
      <xdr:row>28</xdr:row>
      <xdr:rowOff>76200</xdr:rowOff>
    </xdr:to>
    <xdr:cxnSp macro="">
      <xdr:nvCxnSpPr>
        <xdr:cNvPr id="25" name="Straight Arrow Connector 24">
          <a:extLst>
            <a:ext uri="{FF2B5EF4-FFF2-40B4-BE49-F238E27FC236}">
              <a16:creationId xmlns:a16="http://schemas.microsoft.com/office/drawing/2014/main" id="{7804C929-C0AE-42F4-8AA6-170FB548160D}"/>
            </a:ext>
          </a:extLst>
        </xdr:cNvPr>
        <xdr:cNvCxnSpPr/>
      </xdr:nvCxnSpPr>
      <xdr:spPr>
        <a:xfrm>
          <a:off x="9753600" y="570738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31</xdr:row>
      <xdr:rowOff>45720</xdr:rowOff>
    </xdr:from>
    <xdr:to>
      <xdr:col>16</xdr:col>
      <xdr:colOff>0</xdr:colOff>
      <xdr:row>32</xdr:row>
      <xdr:rowOff>83820</xdr:rowOff>
    </xdr:to>
    <xdr:cxnSp macro="">
      <xdr:nvCxnSpPr>
        <xdr:cNvPr id="26" name="Straight Arrow Connector 25">
          <a:extLst>
            <a:ext uri="{FF2B5EF4-FFF2-40B4-BE49-F238E27FC236}">
              <a16:creationId xmlns:a16="http://schemas.microsoft.com/office/drawing/2014/main" id="{ECDCDD97-3F96-42D6-860F-FA36A5133497}"/>
            </a:ext>
          </a:extLst>
        </xdr:cNvPr>
        <xdr:cNvCxnSpPr/>
      </xdr:nvCxnSpPr>
      <xdr:spPr>
        <a:xfrm>
          <a:off x="9753600" y="644652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35</xdr:row>
      <xdr:rowOff>38100</xdr:rowOff>
    </xdr:from>
    <xdr:to>
      <xdr:col>16</xdr:col>
      <xdr:colOff>0</xdr:colOff>
      <xdr:row>36</xdr:row>
      <xdr:rowOff>76200</xdr:rowOff>
    </xdr:to>
    <xdr:cxnSp macro="">
      <xdr:nvCxnSpPr>
        <xdr:cNvPr id="27" name="Straight Arrow Connector 26">
          <a:extLst>
            <a:ext uri="{FF2B5EF4-FFF2-40B4-BE49-F238E27FC236}">
              <a16:creationId xmlns:a16="http://schemas.microsoft.com/office/drawing/2014/main" id="{1DEFA207-CA9F-419F-AD0D-53211F689891}"/>
            </a:ext>
          </a:extLst>
        </xdr:cNvPr>
        <xdr:cNvCxnSpPr/>
      </xdr:nvCxnSpPr>
      <xdr:spPr>
        <a:xfrm>
          <a:off x="9753600" y="717042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7620</xdr:colOff>
      <xdr:row>15</xdr:row>
      <xdr:rowOff>45720</xdr:rowOff>
    </xdr:from>
    <xdr:to>
      <xdr:col>4</xdr:col>
      <xdr:colOff>7620</xdr:colOff>
      <xdr:row>16</xdr:row>
      <xdr:rowOff>83820</xdr:rowOff>
    </xdr:to>
    <xdr:cxnSp macro="">
      <xdr:nvCxnSpPr>
        <xdr:cNvPr id="32" name="Straight Arrow Connector 31">
          <a:extLst>
            <a:ext uri="{FF2B5EF4-FFF2-40B4-BE49-F238E27FC236}">
              <a16:creationId xmlns:a16="http://schemas.microsoft.com/office/drawing/2014/main" id="{740FC289-F5E6-4C1D-A3AB-6493E8F443A2}"/>
            </a:ext>
          </a:extLst>
        </xdr:cNvPr>
        <xdr:cNvCxnSpPr/>
      </xdr:nvCxnSpPr>
      <xdr:spPr>
        <a:xfrm>
          <a:off x="2446020" y="278892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601980</xdr:colOff>
      <xdr:row>15</xdr:row>
      <xdr:rowOff>38100</xdr:rowOff>
    </xdr:from>
    <xdr:to>
      <xdr:col>9</xdr:col>
      <xdr:colOff>601980</xdr:colOff>
      <xdr:row>16</xdr:row>
      <xdr:rowOff>76200</xdr:rowOff>
    </xdr:to>
    <xdr:cxnSp macro="">
      <xdr:nvCxnSpPr>
        <xdr:cNvPr id="33" name="Straight Arrow Connector 32">
          <a:extLst>
            <a:ext uri="{FF2B5EF4-FFF2-40B4-BE49-F238E27FC236}">
              <a16:creationId xmlns:a16="http://schemas.microsoft.com/office/drawing/2014/main" id="{45EE0287-90BA-4DC3-949D-9E75374C2DEA}"/>
            </a:ext>
          </a:extLst>
        </xdr:cNvPr>
        <xdr:cNvCxnSpPr/>
      </xdr:nvCxnSpPr>
      <xdr:spPr>
        <a:xfrm>
          <a:off x="6088380" y="278130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601980</xdr:colOff>
      <xdr:row>15</xdr:row>
      <xdr:rowOff>30480</xdr:rowOff>
    </xdr:from>
    <xdr:to>
      <xdr:col>15</xdr:col>
      <xdr:colOff>601980</xdr:colOff>
      <xdr:row>16</xdr:row>
      <xdr:rowOff>68580</xdr:rowOff>
    </xdr:to>
    <xdr:cxnSp macro="">
      <xdr:nvCxnSpPr>
        <xdr:cNvPr id="34" name="Straight Arrow Connector 33">
          <a:extLst>
            <a:ext uri="{FF2B5EF4-FFF2-40B4-BE49-F238E27FC236}">
              <a16:creationId xmlns:a16="http://schemas.microsoft.com/office/drawing/2014/main" id="{BAAE4A21-34E1-4198-8A26-57CED2560B8C}"/>
            </a:ext>
          </a:extLst>
        </xdr:cNvPr>
        <xdr:cNvCxnSpPr/>
      </xdr:nvCxnSpPr>
      <xdr:spPr>
        <a:xfrm>
          <a:off x="9745980" y="277368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11</xdr:row>
      <xdr:rowOff>38100</xdr:rowOff>
    </xdr:from>
    <xdr:to>
      <xdr:col>4</xdr:col>
      <xdr:colOff>0</xdr:colOff>
      <xdr:row>12</xdr:row>
      <xdr:rowOff>76200</xdr:rowOff>
    </xdr:to>
    <xdr:cxnSp macro="">
      <xdr:nvCxnSpPr>
        <xdr:cNvPr id="35" name="Straight Arrow Connector 34">
          <a:extLst>
            <a:ext uri="{FF2B5EF4-FFF2-40B4-BE49-F238E27FC236}">
              <a16:creationId xmlns:a16="http://schemas.microsoft.com/office/drawing/2014/main" id="{99624612-264A-47B1-B499-C743F86928F9}"/>
            </a:ext>
          </a:extLst>
        </xdr:cNvPr>
        <xdr:cNvCxnSpPr/>
      </xdr:nvCxnSpPr>
      <xdr:spPr>
        <a:xfrm>
          <a:off x="2438400" y="204978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601980</xdr:colOff>
      <xdr:row>11</xdr:row>
      <xdr:rowOff>38100</xdr:rowOff>
    </xdr:from>
    <xdr:to>
      <xdr:col>9</xdr:col>
      <xdr:colOff>601980</xdr:colOff>
      <xdr:row>12</xdr:row>
      <xdr:rowOff>76200</xdr:rowOff>
    </xdr:to>
    <xdr:cxnSp macro="">
      <xdr:nvCxnSpPr>
        <xdr:cNvPr id="36" name="Straight Arrow Connector 35">
          <a:extLst>
            <a:ext uri="{FF2B5EF4-FFF2-40B4-BE49-F238E27FC236}">
              <a16:creationId xmlns:a16="http://schemas.microsoft.com/office/drawing/2014/main" id="{696B62DA-0D66-4E70-98EA-93636A19B302}"/>
            </a:ext>
          </a:extLst>
        </xdr:cNvPr>
        <xdr:cNvCxnSpPr/>
      </xdr:nvCxnSpPr>
      <xdr:spPr>
        <a:xfrm>
          <a:off x="6088380" y="204978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601980</xdr:colOff>
      <xdr:row>11</xdr:row>
      <xdr:rowOff>30480</xdr:rowOff>
    </xdr:from>
    <xdr:to>
      <xdr:col>15</xdr:col>
      <xdr:colOff>601980</xdr:colOff>
      <xdr:row>12</xdr:row>
      <xdr:rowOff>68580</xdr:rowOff>
    </xdr:to>
    <xdr:cxnSp macro="">
      <xdr:nvCxnSpPr>
        <xdr:cNvPr id="37" name="Straight Arrow Connector 36">
          <a:extLst>
            <a:ext uri="{FF2B5EF4-FFF2-40B4-BE49-F238E27FC236}">
              <a16:creationId xmlns:a16="http://schemas.microsoft.com/office/drawing/2014/main" id="{0617CA0C-85A2-425C-80E3-0711F7846A8E}"/>
            </a:ext>
          </a:extLst>
        </xdr:cNvPr>
        <xdr:cNvCxnSpPr/>
      </xdr:nvCxnSpPr>
      <xdr:spPr>
        <a:xfrm>
          <a:off x="9745980" y="204216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250371</xdr:colOff>
      <xdr:row>47</xdr:row>
      <xdr:rowOff>152401</xdr:rowOff>
    </xdr:from>
    <xdr:to>
      <xdr:col>10</xdr:col>
      <xdr:colOff>464172</xdr:colOff>
      <xdr:row>68</xdr:row>
      <xdr:rowOff>91773</xdr:rowOff>
    </xdr:to>
    <xdr:pic>
      <xdr:nvPicPr>
        <xdr:cNvPr id="42" name="Picture 41">
          <a:extLst>
            <a:ext uri="{FF2B5EF4-FFF2-40B4-BE49-F238E27FC236}">
              <a16:creationId xmlns:a16="http://schemas.microsoft.com/office/drawing/2014/main" id="{2B8F9EC6-5052-D427-1429-73F58F69DEE6}"/>
            </a:ext>
          </a:extLst>
        </xdr:cNvPr>
        <xdr:cNvPicPr>
          <a:picLocks noChangeAspect="1"/>
        </xdr:cNvPicPr>
      </xdr:nvPicPr>
      <xdr:blipFill>
        <a:blip xmlns:r="http://schemas.openxmlformats.org/officeDocument/2006/relationships" r:embed="rId1"/>
        <a:stretch>
          <a:fillRect/>
        </a:stretch>
      </xdr:blipFill>
      <xdr:spPr>
        <a:xfrm>
          <a:off x="1469571" y="8850087"/>
          <a:ext cx="5090601" cy="3825572"/>
        </a:xfrm>
        <a:prstGeom prst="rect">
          <a:avLst/>
        </a:prstGeom>
      </xdr:spPr>
    </xdr:pic>
    <xdr:clientData/>
  </xdr:twoCellAnchor>
  <xdr:twoCellAnchor editAs="oneCell">
    <xdr:from>
      <xdr:col>22</xdr:col>
      <xdr:colOff>587829</xdr:colOff>
      <xdr:row>5</xdr:row>
      <xdr:rowOff>10886</xdr:rowOff>
    </xdr:from>
    <xdr:to>
      <xdr:col>32</xdr:col>
      <xdr:colOff>489857</xdr:colOff>
      <xdr:row>47</xdr:row>
      <xdr:rowOff>165949</xdr:rowOff>
    </xdr:to>
    <xdr:pic>
      <xdr:nvPicPr>
        <xdr:cNvPr id="43" name="Picture 42">
          <a:extLst>
            <a:ext uri="{FF2B5EF4-FFF2-40B4-BE49-F238E27FC236}">
              <a16:creationId xmlns:a16="http://schemas.microsoft.com/office/drawing/2014/main" id="{481A3ECA-311B-2324-DB74-C74A4F9D7A79}"/>
            </a:ext>
          </a:extLst>
        </xdr:cNvPr>
        <xdr:cNvPicPr>
          <a:picLocks noChangeAspect="1"/>
        </xdr:cNvPicPr>
      </xdr:nvPicPr>
      <xdr:blipFill>
        <a:blip xmlns:r="http://schemas.openxmlformats.org/officeDocument/2006/relationships" r:embed="rId2"/>
        <a:stretch>
          <a:fillRect/>
        </a:stretch>
      </xdr:blipFill>
      <xdr:spPr>
        <a:xfrm>
          <a:off x="13999029" y="936172"/>
          <a:ext cx="5998028" cy="7927463"/>
        </a:xfrm>
        <a:prstGeom prst="rect">
          <a:avLst/>
        </a:prstGeom>
      </xdr:spPr>
    </xdr:pic>
    <xdr:clientData/>
  </xdr:twoCellAnchor>
  <xdr:twoCellAnchor editAs="oneCell">
    <xdr:from>
      <xdr:col>34</xdr:col>
      <xdr:colOff>0</xdr:colOff>
      <xdr:row>6</xdr:row>
      <xdr:rowOff>0</xdr:rowOff>
    </xdr:from>
    <xdr:to>
      <xdr:col>44</xdr:col>
      <xdr:colOff>174171</xdr:colOff>
      <xdr:row>47</xdr:row>
      <xdr:rowOff>33464</xdr:rowOff>
    </xdr:to>
    <xdr:pic>
      <xdr:nvPicPr>
        <xdr:cNvPr id="44" name="Picture 43">
          <a:extLst>
            <a:ext uri="{FF2B5EF4-FFF2-40B4-BE49-F238E27FC236}">
              <a16:creationId xmlns:a16="http://schemas.microsoft.com/office/drawing/2014/main" id="{679694DC-EDB3-A616-72AF-D18961547E6A}"/>
            </a:ext>
          </a:extLst>
        </xdr:cNvPr>
        <xdr:cNvPicPr>
          <a:picLocks noChangeAspect="1"/>
        </xdr:cNvPicPr>
      </xdr:nvPicPr>
      <xdr:blipFill>
        <a:blip xmlns:r="http://schemas.openxmlformats.org/officeDocument/2006/relationships" r:embed="rId3"/>
        <a:stretch>
          <a:fillRect/>
        </a:stretch>
      </xdr:blipFill>
      <xdr:spPr>
        <a:xfrm>
          <a:off x="20726400" y="1110343"/>
          <a:ext cx="6270171" cy="7620807"/>
        </a:xfrm>
        <a:prstGeom prst="rect">
          <a:avLst/>
        </a:prstGeom>
      </xdr:spPr>
    </xdr:pic>
    <xdr:clientData/>
  </xdr:twoCellAnchor>
  <xdr:twoCellAnchor editAs="oneCell">
    <xdr:from>
      <xdr:col>34</xdr:col>
      <xdr:colOff>0</xdr:colOff>
      <xdr:row>47</xdr:row>
      <xdr:rowOff>185056</xdr:rowOff>
    </xdr:from>
    <xdr:to>
      <xdr:col>44</xdr:col>
      <xdr:colOff>261257</xdr:colOff>
      <xdr:row>57</xdr:row>
      <xdr:rowOff>28512</xdr:rowOff>
    </xdr:to>
    <xdr:pic>
      <xdr:nvPicPr>
        <xdr:cNvPr id="45" name="Picture 44">
          <a:extLst>
            <a:ext uri="{FF2B5EF4-FFF2-40B4-BE49-F238E27FC236}">
              <a16:creationId xmlns:a16="http://schemas.microsoft.com/office/drawing/2014/main" id="{00A5BCBE-4B56-C32B-5D4B-8CCDC37217D8}"/>
            </a:ext>
          </a:extLst>
        </xdr:cNvPr>
        <xdr:cNvPicPr>
          <a:picLocks noChangeAspect="1"/>
        </xdr:cNvPicPr>
      </xdr:nvPicPr>
      <xdr:blipFill>
        <a:blip xmlns:r="http://schemas.openxmlformats.org/officeDocument/2006/relationships" r:embed="rId4"/>
        <a:stretch>
          <a:fillRect/>
        </a:stretch>
      </xdr:blipFill>
      <xdr:spPr>
        <a:xfrm>
          <a:off x="20726400" y="8882742"/>
          <a:ext cx="6357257" cy="169402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3</xdr:col>
      <xdr:colOff>209431</xdr:colOff>
      <xdr:row>49</xdr:row>
      <xdr:rowOff>7620</xdr:rowOff>
    </xdr:to>
    <xdr:pic>
      <xdr:nvPicPr>
        <xdr:cNvPr id="2" name="Picture 1">
          <a:extLst>
            <a:ext uri="{FF2B5EF4-FFF2-40B4-BE49-F238E27FC236}">
              <a16:creationId xmlns:a16="http://schemas.microsoft.com/office/drawing/2014/main" id="{6188E501-CF8D-6AE3-9C6C-64BAA0840DF8}"/>
            </a:ext>
          </a:extLst>
        </xdr:cNvPr>
        <xdr:cNvPicPr>
          <a:picLocks noChangeAspect="1"/>
        </xdr:cNvPicPr>
      </xdr:nvPicPr>
      <xdr:blipFill>
        <a:blip xmlns:r="http://schemas.openxmlformats.org/officeDocument/2006/relationships" r:embed="rId1"/>
        <a:stretch>
          <a:fillRect/>
        </a:stretch>
      </xdr:blipFill>
      <xdr:spPr>
        <a:xfrm>
          <a:off x="609600" y="1653540"/>
          <a:ext cx="3036451" cy="4396740"/>
        </a:xfrm>
        <a:prstGeom prst="rect">
          <a:avLst/>
        </a:prstGeom>
      </xdr:spPr>
    </xdr:pic>
    <xdr:clientData/>
  </xdr:twoCellAnchor>
  <xdr:twoCellAnchor>
    <xdr:from>
      <xdr:col>1</xdr:col>
      <xdr:colOff>68580</xdr:colOff>
      <xdr:row>36</xdr:row>
      <xdr:rowOff>129540</xdr:rowOff>
    </xdr:from>
    <xdr:to>
      <xdr:col>1</xdr:col>
      <xdr:colOff>906780</xdr:colOff>
      <xdr:row>38</xdr:row>
      <xdr:rowOff>30480</xdr:rowOff>
    </xdr:to>
    <xdr:sp macro="" textlink="">
      <xdr:nvSpPr>
        <xdr:cNvPr id="3" name="Rectangle 2">
          <a:extLst>
            <a:ext uri="{FF2B5EF4-FFF2-40B4-BE49-F238E27FC236}">
              <a16:creationId xmlns:a16="http://schemas.microsoft.com/office/drawing/2014/main" id="{6810D2A3-586C-9B1F-2061-B2B3D6D3F68E}"/>
            </a:ext>
          </a:extLst>
        </xdr:cNvPr>
        <xdr:cNvSpPr/>
      </xdr:nvSpPr>
      <xdr:spPr>
        <a:xfrm>
          <a:off x="678180" y="3794760"/>
          <a:ext cx="838200" cy="266700"/>
        </a:xfrm>
        <a:prstGeom prst="rect">
          <a:avLst/>
        </a:prstGeom>
        <a:noFill/>
        <a:ln w="1905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ID" sz="1100"/>
        </a:p>
      </xdr:txBody>
    </xdr:sp>
    <xdr:clientData/>
  </xdr:twoCellAnchor>
  <xdr:twoCellAnchor editAs="oneCell">
    <xdr:from>
      <xdr:col>3</xdr:col>
      <xdr:colOff>388620</xdr:colOff>
      <xdr:row>25</xdr:row>
      <xdr:rowOff>15240</xdr:rowOff>
    </xdr:from>
    <xdr:to>
      <xdr:col>5</xdr:col>
      <xdr:colOff>84022</xdr:colOff>
      <xdr:row>27</xdr:row>
      <xdr:rowOff>76237</xdr:rowOff>
    </xdr:to>
    <xdr:pic>
      <xdr:nvPicPr>
        <xdr:cNvPr id="4" name="Picture 3">
          <a:extLst>
            <a:ext uri="{FF2B5EF4-FFF2-40B4-BE49-F238E27FC236}">
              <a16:creationId xmlns:a16="http://schemas.microsoft.com/office/drawing/2014/main" id="{39837BF4-304F-B492-8EB3-8CA038C358AD}"/>
            </a:ext>
          </a:extLst>
        </xdr:cNvPr>
        <xdr:cNvPicPr>
          <a:picLocks noChangeAspect="1"/>
        </xdr:cNvPicPr>
      </xdr:nvPicPr>
      <xdr:blipFill>
        <a:blip xmlns:r="http://schemas.openxmlformats.org/officeDocument/2006/relationships" r:embed="rId2"/>
        <a:stretch>
          <a:fillRect/>
        </a:stretch>
      </xdr:blipFill>
      <xdr:spPr>
        <a:xfrm>
          <a:off x="3825240" y="1668780"/>
          <a:ext cx="2331922" cy="426757"/>
        </a:xfrm>
        <a:prstGeom prst="rect">
          <a:avLst/>
        </a:prstGeom>
      </xdr:spPr>
    </xdr:pic>
    <xdr:clientData/>
  </xdr:twoCellAnchor>
  <xdr:twoCellAnchor editAs="oneCell">
    <xdr:from>
      <xdr:col>3</xdr:col>
      <xdr:colOff>388621</xdr:colOff>
      <xdr:row>28</xdr:row>
      <xdr:rowOff>76200</xdr:rowOff>
    </xdr:from>
    <xdr:to>
      <xdr:col>6</xdr:col>
      <xdr:colOff>358141</xdr:colOff>
      <xdr:row>34</xdr:row>
      <xdr:rowOff>165793</xdr:rowOff>
    </xdr:to>
    <xdr:pic>
      <xdr:nvPicPr>
        <xdr:cNvPr id="5" name="Picture 4">
          <a:extLst>
            <a:ext uri="{FF2B5EF4-FFF2-40B4-BE49-F238E27FC236}">
              <a16:creationId xmlns:a16="http://schemas.microsoft.com/office/drawing/2014/main" id="{069BD22F-AB3E-E08C-8641-82C65A8ABEC9}"/>
            </a:ext>
          </a:extLst>
        </xdr:cNvPr>
        <xdr:cNvPicPr>
          <a:picLocks noChangeAspect="1"/>
        </xdr:cNvPicPr>
      </xdr:nvPicPr>
      <xdr:blipFill>
        <a:blip xmlns:r="http://schemas.openxmlformats.org/officeDocument/2006/relationships" r:embed="rId3"/>
        <a:stretch>
          <a:fillRect/>
        </a:stretch>
      </xdr:blipFill>
      <xdr:spPr>
        <a:xfrm>
          <a:off x="3825241" y="2278380"/>
          <a:ext cx="3916680" cy="1186873"/>
        </a:xfrm>
        <a:prstGeom prst="rect">
          <a:avLst/>
        </a:prstGeom>
      </xdr:spPr>
    </xdr:pic>
    <xdr:clientData/>
  </xdr:twoCellAnchor>
  <xdr:twoCellAnchor editAs="oneCell">
    <xdr:from>
      <xdr:col>3</xdr:col>
      <xdr:colOff>510541</xdr:colOff>
      <xdr:row>34</xdr:row>
      <xdr:rowOff>160020</xdr:rowOff>
    </xdr:from>
    <xdr:to>
      <xdr:col>4</xdr:col>
      <xdr:colOff>419101</xdr:colOff>
      <xdr:row>36</xdr:row>
      <xdr:rowOff>140426</xdr:rowOff>
    </xdr:to>
    <xdr:pic>
      <xdr:nvPicPr>
        <xdr:cNvPr id="6" name="Picture 5">
          <a:extLst>
            <a:ext uri="{FF2B5EF4-FFF2-40B4-BE49-F238E27FC236}">
              <a16:creationId xmlns:a16="http://schemas.microsoft.com/office/drawing/2014/main" id="{BA202CB0-1861-7E72-0DD6-3139275FFA9A}"/>
            </a:ext>
          </a:extLst>
        </xdr:cNvPr>
        <xdr:cNvPicPr>
          <a:picLocks noChangeAspect="1"/>
        </xdr:cNvPicPr>
      </xdr:nvPicPr>
      <xdr:blipFill>
        <a:blip xmlns:r="http://schemas.openxmlformats.org/officeDocument/2006/relationships" r:embed="rId4"/>
        <a:stretch>
          <a:fillRect/>
        </a:stretch>
      </xdr:blipFill>
      <xdr:spPr>
        <a:xfrm>
          <a:off x="3947161" y="3459480"/>
          <a:ext cx="1615440" cy="346166"/>
        </a:xfrm>
        <a:prstGeom prst="rect">
          <a:avLst/>
        </a:prstGeom>
      </xdr:spPr>
    </xdr:pic>
    <xdr:clientData/>
  </xdr:twoCellAnchor>
  <xdr:twoCellAnchor editAs="oneCell">
    <xdr:from>
      <xdr:col>3</xdr:col>
      <xdr:colOff>533400</xdr:colOff>
      <xdr:row>37</xdr:row>
      <xdr:rowOff>99060</xdr:rowOff>
    </xdr:from>
    <xdr:to>
      <xdr:col>7</xdr:col>
      <xdr:colOff>376</xdr:colOff>
      <xdr:row>45</xdr:row>
      <xdr:rowOff>45842</xdr:rowOff>
    </xdr:to>
    <xdr:pic>
      <xdr:nvPicPr>
        <xdr:cNvPr id="7" name="Picture 6">
          <a:extLst>
            <a:ext uri="{FF2B5EF4-FFF2-40B4-BE49-F238E27FC236}">
              <a16:creationId xmlns:a16="http://schemas.microsoft.com/office/drawing/2014/main" id="{AEA1CE42-1CED-69F6-CEDC-BB9A131E4FCD}"/>
            </a:ext>
          </a:extLst>
        </xdr:cNvPr>
        <xdr:cNvPicPr>
          <a:picLocks noChangeAspect="1"/>
        </xdr:cNvPicPr>
      </xdr:nvPicPr>
      <xdr:blipFill>
        <a:blip xmlns:r="http://schemas.openxmlformats.org/officeDocument/2006/relationships" r:embed="rId5"/>
        <a:stretch>
          <a:fillRect/>
        </a:stretch>
      </xdr:blipFill>
      <xdr:spPr>
        <a:xfrm>
          <a:off x="3970020" y="3947160"/>
          <a:ext cx="4343776" cy="1409822"/>
        </a:xfrm>
        <a:prstGeom prst="rect">
          <a:avLst/>
        </a:prstGeom>
      </xdr:spPr>
    </xdr:pic>
    <xdr:clientData/>
  </xdr:twoCellAnchor>
  <xdr:twoCellAnchor editAs="oneCell">
    <xdr:from>
      <xdr:col>3</xdr:col>
      <xdr:colOff>563880</xdr:colOff>
      <xdr:row>44</xdr:row>
      <xdr:rowOff>167640</xdr:rowOff>
    </xdr:from>
    <xdr:to>
      <xdr:col>6</xdr:col>
      <xdr:colOff>922393</xdr:colOff>
      <xdr:row>58</xdr:row>
      <xdr:rowOff>106897</xdr:rowOff>
    </xdr:to>
    <xdr:pic>
      <xdr:nvPicPr>
        <xdr:cNvPr id="8" name="Picture 7">
          <a:extLst>
            <a:ext uri="{FF2B5EF4-FFF2-40B4-BE49-F238E27FC236}">
              <a16:creationId xmlns:a16="http://schemas.microsoft.com/office/drawing/2014/main" id="{B3937789-7BE8-C5B5-CDB9-0C20FE9E114A}"/>
            </a:ext>
          </a:extLst>
        </xdr:cNvPr>
        <xdr:cNvPicPr>
          <a:picLocks noChangeAspect="1"/>
        </xdr:cNvPicPr>
      </xdr:nvPicPr>
      <xdr:blipFill>
        <a:blip xmlns:r="http://schemas.openxmlformats.org/officeDocument/2006/relationships" r:embed="rId6"/>
        <a:stretch>
          <a:fillRect/>
        </a:stretch>
      </xdr:blipFill>
      <xdr:spPr>
        <a:xfrm>
          <a:off x="4000500" y="5295900"/>
          <a:ext cx="4305673" cy="24995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0</xdr:colOff>
      <xdr:row>15</xdr:row>
      <xdr:rowOff>45720</xdr:rowOff>
    </xdr:from>
    <xdr:to>
      <xdr:col>5</xdr:col>
      <xdr:colOff>0</xdr:colOff>
      <xdr:row>16</xdr:row>
      <xdr:rowOff>83820</xdr:rowOff>
    </xdr:to>
    <xdr:cxnSp macro="">
      <xdr:nvCxnSpPr>
        <xdr:cNvPr id="2" name="Straight Arrow Connector 1">
          <a:extLst>
            <a:ext uri="{FF2B5EF4-FFF2-40B4-BE49-F238E27FC236}">
              <a16:creationId xmlns:a16="http://schemas.microsoft.com/office/drawing/2014/main" id="{4E6D75AB-2E47-4AA2-BC04-C754EC405920}"/>
            </a:ext>
          </a:extLst>
        </xdr:cNvPr>
        <xdr:cNvCxnSpPr/>
      </xdr:nvCxnSpPr>
      <xdr:spPr>
        <a:xfrm>
          <a:off x="9753600" y="352044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19</xdr:row>
      <xdr:rowOff>38100</xdr:rowOff>
    </xdr:from>
    <xdr:to>
      <xdr:col>5</xdr:col>
      <xdr:colOff>0</xdr:colOff>
      <xdr:row>20</xdr:row>
      <xdr:rowOff>76200</xdr:rowOff>
    </xdr:to>
    <xdr:cxnSp macro="">
      <xdr:nvCxnSpPr>
        <xdr:cNvPr id="4" name="Straight Arrow Connector 3">
          <a:extLst>
            <a:ext uri="{FF2B5EF4-FFF2-40B4-BE49-F238E27FC236}">
              <a16:creationId xmlns:a16="http://schemas.microsoft.com/office/drawing/2014/main" id="{E4626BAD-2446-48BA-ACCA-C4FF411EC6FD}"/>
            </a:ext>
          </a:extLst>
        </xdr:cNvPr>
        <xdr:cNvCxnSpPr/>
      </xdr:nvCxnSpPr>
      <xdr:spPr>
        <a:xfrm>
          <a:off x="9753600" y="497586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23</xdr:row>
      <xdr:rowOff>38100</xdr:rowOff>
    </xdr:from>
    <xdr:to>
      <xdr:col>5</xdr:col>
      <xdr:colOff>0</xdr:colOff>
      <xdr:row>24</xdr:row>
      <xdr:rowOff>76200</xdr:rowOff>
    </xdr:to>
    <xdr:cxnSp macro="">
      <xdr:nvCxnSpPr>
        <xdr:cNvPr id="5" name="Straight Arrow Connector 4">
          <a:extLst>
            <a:ext uri="{FF2B5EF4-FFF2-40B4-BE49-F238E27FC236}">
              <a16:creationId xmlns:a16="http://schemas.microsoft.com/office/drawing/2014/main" id="{A8F7D28E-36D5-49FA-AA39-37EA96748708}"/>
            </a:ext>
          </a:extLst>
        </xdr:cNvPr>
        <xdr:cNvCxnSpPr/>
      </xdr:nvCxnSpPr>
      <xdr:spPr>
        <a:xfrm>
          <a:off x="9753600" y="570738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27</xdr:row>
      <xdr:rowOff>45720</xdr:rowOff>
    </xdr:from>
    <xdr:to>
      <xdr:col>5</xdr:col>
      <xdr:colOff>0</xdr:colOff>
      <xdr:row>28</xdr:row>
      <xdr:rowOff>83820</xdr:rowOff>
    </xdr:to>
    <xdr:cxnSp macro="">
      <xdr:nvCxnSpPr>
        <xdr:cNvPr id="6" name="Straight Arrow Connector 5">
          <a:extLst>
            <a:ext uri="{FF2B5EF4-FFF2-40B4-BE49-F238E27FC236}">
              <a16:creationId xmlns:a16="http://schemas.microsoft.com/office/drawing/2014/main" id="{7D432A82-349D-4651-9EE9-84E0CDB55AAA}"/>
            </a:ext>
          </a:extLst>
        </xdr:cNvPr>
        <xdr:cNvCxnSpPr/>
      </xdr:nvCxnSpPr>
      <xdr:spPr>
        <a:xfrm>
          <a:off x="9753600" y="644652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31</xdr:row>
      <xdr:rowOff>38100</xdr:rowOff>
    </xdr:from>
    <xdr:to>
      <xdr:col>5</xdr:col>
      <xdr:colOff>0</xdr:colOff>
      <xdr:row>32</xdr:row>
      <xdr:rowOff>76200</xdr:rowOff>
    </xdr:to>
    <xdr:cxnSp macro="">
      <xdr:nvCxnSpPr>
        <xdr:cNvPr id="7" name="Straight Arrow Connector 6">
          <a:extLst>
            <a:ext uri="{FF2B5EF4-FFF2-40B4-BE49-F238E27FC236}">
              <a16:creationId xmlns:a16="http://schemas.microsoft.com/office/drawing/2014/main" id="{28C24E93-80DD-4545-8859-494EAEB73F88}"/>
            </a:ext>
          </a:extLst>
        </xdr:cNvPr>
        <xdr:cNvCxnSpPr/>
      </xdr:nvCxnSpPr>
      <xdr:spPr>
        <a:xfrm>
          <a:off x="9753600" y="717042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601980</xdr:colOff>
      <xdr:row>11</xdr:row>
      <xdr:rowOff>30480</xdr:rowOff>
    </xdr:from>
    <xdr:to>
      <xdr:col>4</xdr:col>
      <xdr:colOff>601980</xdr:colOff>
      <xdr:row>12</xdr:row>
      <xdr:rowOff>68580</xdr:rowOff>
    </xdr:to>
    <xdr:cxnSp macro="">
      <xdr:nvCxnSpPr>
        <xdr:cNvPr id="8" name="Straight Arrow Connector 7">
          <a:extLst>
            <a:ext uri="{FF2B5EF4-FFF2-40B4-BE49-F238E27FC236}">
              <a16:creationId xmlns:a16="http://schemas.microsoft.com/office/drawing/2014/main" id="{DC388C1B-F7C5-4D11-A27B-4887851ACE59}"/>
            </a:ext>
          </a:extLst>
        </xdr:cNvPr>
        <xdr:cNvCxnSpPr/>
      </xdr:nvCxnSpPr>
      <xdr:spPr>
        <a:xfrm>
          <a:off x="9745980" y="277368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601980</xdr:colOff>
      <xdr:row>7</xdr:row>
      <xdr:rowOff>30480</xdr:rowOff>
    </xdr:from>
    <xdr:to>
      <xdr:col>4</xdr:col>
      <xdr:colOff>601980</xdr:colOff>
      <xdr:row>8</xdr:row>
      <xdr:rowOff>68580</xdr:rowOff>
    </xdr:to>
    <xdr:cxnSp macro="">
      <xdr:nvCxnSpPr>
        <xdr:cNvPr id="9" name="Straight Arrow Connector 8">
          <a:extLst>
            <a:ext uri="{FF2B5EF4-FFF2-40B4-BE49-F238E27FC236}">
              <a16:creationId xmlns:a16="http://schemas.microsoft.com/office/drawing/2014/main" id="{D33C5331-8F36-458E-AAE8-2319A305D210}"/>
            </a:ext>
          </a:extLst>
        </xdr:cNvPr>
        <xdr:cNvCxnSpPr/>
      </xdr:nvCxnSpPr>
      <xdr:spPr>
        <a:xfrm>
          <a:off x="9745980" y="2042160"/>
          <a:ext cx="0" cy="2209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uiiacid-my.sharepoint.com/personal/20513239_students_uii_ac_id/Documents/Documents/SEMESTER%206/ASISTENSI%20PIPAL/EXCEL/Excel%20Asis%20PIPAL.xlsx" TargetMode="External"/><Relationship Id="rId1" Type="http://schemas.openxmlformats.org/officeDocument/2006/relationships/externalLinkPath" Target="/personal/20513239_students_uii_ac_id/Documents/Documents/SEMESTER%206/ASISTENSI%20PIPAL/EXCEL/Excel%20Asis%20PIPA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sus\Downloads\Excel%20Asis%20PIPAL%201.xlsx" TargetMode="External"/><Relationship Id="rId1" Type="http://schemas.openxmlformats.org/officeDocument/2006/relationships/externalLinkPath" Target="file:///C:\Users\Asus\Downloads\Excel%20Asis%20PIP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kapitulasi"/>
      <sheetName val="Resume Kondisi Sanitasi"/>
      <sheetName val="SWOT"/>
      <sheetName val="Pembobotan Analisis SWOT"/>
      <sheetName val="Data Kondisi Daerah Rencana"/>
      <sheetName val="Kriteria Zona Prioritas "/>
      <sheetName val="Proyeksi Penduduk"/>
      <sheetName val="Debit AL Domestik"/>
      <sheetName val="Proyeksi Fasum"/>
      <sheetName val="Debit AL Non Domestik"/>
      <sheetName val="Rencana Pengembangan"/>
      <sheetName val="Debit Total"/>
      <sheetName val="Diagram Alir Alternatif "/>
      <sheetName val="Scoring"/>
      <sheetName val="Removal Efficiency"/>
      <sheetName val="Mass Balance"/>
      <sheetName val="PFD"/>
      <sheetName val="Layout"/>
      <sheetName val="Diagram Alir Perencanaan Unit"/>
      <sheetName val="Preliminary Design Criteria"/>
      <sheetName val="Preliminary Sizing"/>
      <sheetName val="Primary Design Criteria"/>
      <sheetName val="Primary Sizing"/>
      <sheetName val="Secondary Design Criteria"/>
      <sheetName val="Secondary Sizing"/>
      <sheetName val="Tertiary Design Criteria"/>
      <sheetName val="Tertiary Sizing"/>
      <sheetName val="Calculation Sludge Volume"/>
      <sheetName val="Sludge Thickening Criteria"/>
      <sheetName val="Sludge Thickening Sizing"/>
      <sheetName val="Sludge Dewatering Criteria"/>
      <sheetName val="Sludge Dewatering Sizing"/>
    </sheetNames>
    <sheetDataSet>
      <sheetData sheetId="0"/>
      <sheetData sheetId="1"/>
      <sheetData sheetId="2"/>
      <sheetData sheetId="3"/>
      <sheetData sheetId="4"/>
      <sheetData sheetId="5"/>
      <sheetData sheetId="6">
        <row r="74">
          <cell r="B74">
            <v>2023</v>
          </cell>
          <cell r="C74">
            <v>353546.68827355222</v>
          </cell>
        </row>
        <row r="75">
          <cell r="B75">
            <v>2024</v>
          </cell>
          <cell r="C75">
            <v>359910.91374536429</v>
          </cell>
        </row>
        <row r="76">
          <cell r="B76">
            <v>2025</v>
          </cell>
          <cell r="C76">
            <v>366389.70220758044</v>
          </cell>
        </row>
        <row r="77">
          <cell r="B77">
            <v>2026</v>
          </cell>
          <cell r="C77">
            <v>372985.1159188099</v>
          </cell>
        </row>
        <row r="78">
          <cell r="B78">
            <v>2027</v>
          </cell>
          <cell r="C78">
            <v>379699.25426056294</v>
          </cell>
        </row>
        <row r="79">
          <cell r="B79">
            <v>2028</v>
          </cell>
          <cell r="C79">
            <v>386534.25440550392</v>
          </cell>
        </row>
        <row r="80">
          <cell r="B80">
            <v>2029</v>
          </cell>
          <cell r="C80">
            <v>393492.29199773283</v>
          </cell>
        </row>
        <row r="81">
          <cell r="B81">
            <v>2030</v>
          </cell>
          <cell r="C81">
            <v>400575.58184531319</v>
          </cell>
        </row>
        <row r="82">
          <cell r="B82">
            <v>2031</v>
          </cell>
          <cell r="C82">
            <v>407786.3786252659</v>
          </cell>
        </row>
        <row r="83">
          <cell r="B83">
            <v>2032</v>
          </cell>
          <cell r="C83">
            <v>415126.97760125442</v>
          </cell>
        </row>
        <row r="84">
          <cell r="B84">
            <v>2033</v>
          </cell>
          <cell r="C84">
            <v>422599.71535418753</v>
          </cell>
        </row>
        <row r="85">
          <cell r="B85">
            <v>2034</v>
          </cell>
          <cell r="C85">
            <v>430206.9705259761</v>
          </cell>
        </row>
        <row r="86">
          <cell r="B86">
            <v>2035</v>
          </cell>
          <cell r="C86">
            <v>430206.9705259761</v>
          </cell>
        </row>
        <row r="87">
          <cell r="B87">
            <v>2036</v>
          </cell>
          <cell r="C87">
            <v>437951.16457667551</v>
          </cell>
        </row>
        <row r="88">
          <cell r="B88">
            <v>2037</v>
          </cell>
          <cell r="C88">
            <v>445834.76255526009</v>
          </cell>
        </row>
        <row r="89">
          <cell r="B89">
            <v>2038</v>
          </cell>
          <cell r="C89">
            <v>453860.2738842704</v>
          </cell>
        </row>
        <row r="90">
          <cell r="B90">
            <v>2039</v>
          </cell>
          <cell r="C90">
            <v>462030.25315858622</v>
          </cell>
        </row>
        <row r="91">
          <cell r="B91">
            <v>2040</v>
          </cell>
          <cell r="C91">
            <v>470347.30095857731</v>
          </cell>
        </row>
        <row r="92">
          <cell r="B92">
            <v>2041</v>
          </cell>
          <cell r="C92">
            <v>478814.06467789278</v>
          </cell>
        </row>
        <row r="93">
          <cell r="B93">
            <v>2042</v>
          </cell>
          <cell r="C93">
            <v>487433.23936615099</v>
          </cell>
        </row>
        <row r="94">
          <cell r="B94">
            <v>2043</v>
          </cell>
          <cell r="C94">
            <v>496207.56858679897</v>
          </cell>
        </row>
      </sheetData>
      <sheetData sheetId="7"/>
      <sheetData sheetId="8">
        <row r="59">
          <cell r="G59">
            <v>4.5489460740581009</v>
          </cell>
          <cell r="H59">
            <v>4.6308320581010909</v>
          </cell>
          <cell r="I59">
            <v>4.7141920790470309</v>
          </cell>
          <cell r="J59">
            <v>4.7990526711656951</v>
          </cell>
          <cell r="K59">
            <v>4.8854408463726102</v>
          </cell>
          <cell r="L59">
            <v>4.973384102827211</v>
          </cell>
          <cell r="M59">
            <v>5.0629104336857491</v>
          </cell>
          <cell r="N59">
            <v>5.1540483360117788</v>
          </cell>
          <cell r="O59">
            <v>5.2468268198470369</v>
          </cell>
          <cell r="P59">
            <v>5.3412754174456127</v>
          </cell>
          <cell r="Q59">
            <v>5.4374241926743299</v>
          </cell>
          <cell r="R59">
            <v>5.5353037505823659</v>
          </cell>
          <cell r="S59">
            <v>5.5353037505823659</v>
          </cell>
          <cell r="T59">
            <v>5.6349452471431141</v>
          </cell>
          <cell r="U59">
            <v>5.7363803991714288</v>
          </cell>
          <cell r="V59">
            <v>5.8396414944193715</v>
          </cell>
          <cell r="W59">
            <v>5.9447614018537172</v>
          </cell>
          <cell r="X59">
            <v>6.0517735821184333</v>
          </cell>
          <cell r="Y59">
            <v>6.160712098185531</v>
          </cell>
          <cell r="Z59">
            <v>6.2716116261976182</v>
          </cell>
          <cell r="AA59">
            <v>6.3845074665056369</v>
          </cell>
        </row>
        <row r="60">
          <cell r="G60">
            <v>1.2996988783023147</v>
          </cell>
          <cell r="H60">
            <v>1.3230948737431689</v>
          </cell>
          <cell r="I60">
            <v>1.3469120225848661</v>
          </cell>
          <cell r="J60">
            <v>1.3711579060473413</v>
          </cell>
          <cell r="K60">
            <v>1.3958402418207458</v>
          </cell>
          <cell r="L60">
            <v>1.4209668865220604</v>
          </cell>
          <cell r="M60">
            <v>1.4465458381959284</v>
          </cell>
          <cell r="N60">
            <v>1.4725852388605083</v>
          </cell>
          <cell r="O60">
            <v>1.4990933770991535</v>
          </cell>
          <cell r="P60">
            <v>1.5260786906987465</v>
          </cell>
          <cell r="Q60">
            <v>1.5535497693355227</v>
          </cell>
          <cell r="R60">
            <v>1.5815153573092473</v>
          </cell>
          <cell r="S60">
            <v>1.5815153573092473</v>
          </cell>
          <cell r="T60">
            <v>1.6099843563266041</v>
          </cell>
          <cell r="U60">
            <v>1.638965828334694</v>
          </cell>
          <cell r="V60">
            <v>1.6684689984055348</v>
          </cell>
          <cell r="W60">
            <v>1.6985032576724906</v>
          </cell>
          <cell r="X60">
            <v>1.7290781663195525</v>
          </cell>
          <cell r="Y60">
            <v>1.7602034566244376</v>
          </cell>
          <cell r="Z60">
            <v>1.7918890360564623</v>
          </cell>
          <cell r="AA60">
            <v>1.8241449904301821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kapitulasi"/>
      <sheetName val="Resume Kondisi Sanitasi"/>
      <sheetName val="SWOT"/>
      <sheetName val="Pembobotan Analisis SWOT"/>
      <sheetName val="Data Kondisi Daerah Rencana"/>
      <sheetName val="Kriteria Zona Prioritas "/>
      <sheetName val="Proyeksi Penduduk"/>
      <sheetName val="Debit AL Domestik"/>
      <sheetName val="Proyeksi Fasum"/>
      <sheetName val="Debit AL Non Domestik"/>
      <sheetName val="Diagram Alir Alternatif "/>
    </sheetNames>
    <sheetDataSet>
      <sheetData sheetId="0"/>
      <sheetData sheetId="1"/>
      <sheetData sheetId="2"/>
      <sheetData sheetId="3"/>
      <sheetData sheetId="4"/>
      <sheetData sheetId="5"/>
      <sheetData sheetId="6"/>
      <sheetData sheetId="7">
        <row r="14">
          <cell r="B14">
            <v>2023</v>
          </cell>
        </row>
        <row r="15">
          <cell r="B15">
            <v>2024</v>
          </cell>
        </row>
        <row r="16">
          <cell r="B16">
            <v>2025</v>
          </cell>
        </row>
        <row r="17">
          <cell r="B17">
            <v>2026</v>
          </cell>
        </row>
        <row r="18">
          <cell r="B18">
            <v>2027</v>
          </cell>
        </row>
        <row r="19">
          <cell r="B19">
            <v>2028</v>
          </cell>
        </row>
        <row r="20">
          <cell r="B20">
            <v>2029</v>
          </cell>
        </row>
        <row r="21">
          <cell r="B21">
            <v>2030</v>
          </cell>
        </row>
        <row r="22">
          <cell r="B22">
            <v>2031</v>
          </cell>
        </row>
        <row r="23">
          <cell r="B23">
            <v>2032</v>
          </cell>
        </row>
        <row r="24">
          <cell r="B24">
            <v>2033</v>
          </cell>
        </row>
        <row r="25">
          <cell r="B25">
            <v>2034</v>
          </cell>
        </row>
        <row r="26">
          <cell r="B26">
            <v>2035</v>
          </cell>
        </row>
        <row r="27">
          <cell r="B27">
            <v>2036</v>
          </cell>
        </row>
        <row r="28">
          <cell r="B28">
            <v>2037</v>
          </cell>
        </row>
        <row r="29">
          <cell r="B29">
            <v>2038</v>
          </cell>
        </row>
        <row r="30">
          <cell r="B30">
            <v>2039</v>
          </cell>
        </row>
        <row r="31">
          <cell r="B31">
            <v>2040</v>
          </cell>
        </row>
        <row r="32">
          <cell r="B32">
            <v>2041</v>
          </cell>
        </row>
        <row r="33">
          <cell r="B33">
            <v>2042</v>
          </cell>
        </row>
        <row r="34">
          <cell r="B34">
            <v>2043</v>
          </cell>
        </row>
      </sheetData>
      <sheetData sheetId="8">
        <row r="40">
          <cell r="G40">
            <v>183.14483366051525</v>
          </cell>
          <cell r="H40">
            <v>186.83864083034604</v>
          </cell>
          <cell r="I40">
            <v>190.60694757046321</v>
          </cell>
          <cell r="J40">
            <v>194.4512564460301</v>
          </cell>
          <cell r="K40">
            <v>198.37310032711028</v>
          </cell>
          <cell r="L40">
            <v>202.37404299988091</v>
          </cell>
          <cell r="M40">
            <v>206.45567979017247</v>
          </cell>
          <cell r="N40">
            <v>210.61963819958538</v>
          </cell>
          <cell r="O40">
            <v>214.86757855443534</v>
          </cell>
          <cell r="P40">
            <v>219.20119466778817</v>
          </cell>
          <cell r="Q40">
            <v>223.62221451484658</v>
          </cell>
          <cell r="R40">
            <v>228.13240092195821</v>
          </cell>
          <cell r="S40">
            <v>228.13240092195821</v>
          </cell>
          <cell r="T40">
            <v>232.73355226952097</v>
          </cell>
          <cell r="U40">
            <v>237.42750320906455</v>
          </cell>
          <cell r="V40">
            <v>242.21612539479503</v>
          </cell>
          <cell r="W40">
            <v>247.10132822989311</v>
          </cell>
          <cell r="X40">
            <v>252.08505962786518</v>
          </cell>
          <cell r="Y40">
            <v>257.16930678924922</v>
          </cell>
          <cell r="Z40">
            <v>262.35609699398606</v>
          </cell>
          <cell r="AA40">
            <v>267.64749840977242</v>
          </cell>
        </row>
        <row r="41">
          <cell r="G41">
            <v>235.77265942503112</v>
          </cell>
          <cell r="H41">
            <v>240.5279054367673</v>
          </cell>
          <cell r="I41">
            <v>245.37905894128596</v>
          </cell>
          <cell r="J41">
            <v>250.32805427534907</v>
          </cell>
          <cell r="K41">
            <v>255.37686478892357</v>
          </cell>
          <cell r="L41">
            <v>260.52750363203063</v>
          </cell>
          <cell r="M41">
            <v>265.78202455746339</v>
          </cell>
          <cell r="N41">
            <v>271.14252273969612</v>
          </cell>
          <cell r="O41">
            <v>276.61113561030754</v>
          </cell>
          <cell r="P41">
            <v>282.19004371025602</v>
          </cell>
          <cell r="Q41">
            <v>287.88147155934274</v>
          </cell>
          <cell r="R41">
            <v>293.68768854321058</v>
          </cell>
          <cell r="S41">
            <v>293.68768854321058</v>
          </cell>
          <cell r="T41">
            <v>299.61100981823392</v>
          </cell>
          <cell r="U41">
            <v>305.65379723465782</v>
          </cell>
          <cell r="V41">
            <v>311.81846027835684</v>
          </cell>
          <cell r="W41">
            <v>318.10745703158653</v>
          </cell>
          <cell r="X41">
            <v>324.52329515311379</v>
          </cell>
          <cell r="Y41">
            <v>331.0685328781139</v>
          </cell>
          <cell r="Z41">
            <v>337.7457800382349</v>
          </cell>
          <cell r="AA41">
            <v>344.55769910223574</v>
          </cell>
        </row>
        <row r="42">
          <cell r="G42">
            <v>34.734365004580482</v>
          </cell>
          <cell r="H42">
            <v>35.434914640238041</v>
          </cell>
          <cell r="I42">
            <v>36.149593504743024</v>
          </cell>
          <cell r="J42">
            <v>36.878686567350535</v>
          </cell>
          <cell r="K42">
            <v>37.622484544796777</v>
          </cell>
          <cell r="L42">
            <v>38.381284017218796</v>
          </cell>
          <cell r="M42">
            <v>39.155387546412022</v>
          </cell>
          <cell r="N42">
            <v>39.945103796473092</v>
          </cell>
          <cell r="O42">
            <v>40.750747656875667</v>
          </cell>
          <cell r="P42">
            <v>41.572640368028793</v>
          </cell>
          <cell r="Q42">
            <v>42.411109649367454</v>
          </cell>
          <cell r="R42">
            <v>43.266489830026558</v>
          </cell>
          <cell r="S42">
            <v>43.266489830026558</v>
          </cell>
          <cell r="T42">
            <v>44.139121982150535</v>
          </cell>
          <cell r="U42">
            <v>45.029354056891549</v>
          </cell>
          <cell r="V42">
            <v>45.937541023150779</v>
          </cell>
          <cell r="W42">
            <v>46.86404500911766</v>
          </cell>
          <cell r="X42">
            <v>47.80923544666409</v>
          </cell>
          <cell r="Y42">
            <v>48.77348921865071</v>
          </cell>
          <cell r="Z42">
            <v>49.757190809204253</v>
          </cell>
          <cell r="AA42">
            <v>50.760732457025803</v>
          </cell>
        </row>
        <row r="43">
          <cell r="G43">
            <v>89.467303799676998</v>
          </cell>
          <cell r="H43">
            <v>91.271749830916164</v>
          </cell>
          <cell r="I43">
            <v>93.112589330398691</v>
          </cell>
          <cell r="J43">
            <v>94.99055630984229</v>
          </cell>
          <cell r="K43">
            <v>96.90639958508261</v>
          </cell>
          <cell r="L43">
            <v>98.860883074654467</v>
          </cell>
          <cell r="M43">
            <v>100.85478610439459</v>
          </cell>
          <cell r="N43">
            <v>102.88890371818826</v>
          </cell>
          <cell r="O43">
            <v>104.96404699498278</v>
          </cell>
          <cell r="P43">
            <v>107.08104337219537</v>
          </cell>
          <cell r="Q43">
            <v>109.24073697564344</v>
          </cell>
          <cell r="R43">
            <v>111.443988956129</v>
          </cell>
          <cell r="S43">
            <v>111.443988956129</v>
          </cell>
          <cell r="T43">
            <v>113.69167783281198</v>
          </cell>
          <cell r="U43">
            <v>115.98469984350854</v>
          </cell>
          <cell r="V43">
            <v>118.32396930205505</v>
          </cell>
          <cell r="W43">
            <v>120.71041896287882</v>
          </cell>
          <cell r="X43">
            <v>123.14500039292265</v>
          </cell>
          <cell r="Y43">
            <v>125.62868435107001</v>
          </cell>
          <cell r="Z43">
            <v>128.16246117522309</v>
          </cell>
          <cell r="AA43">
            <v>130.74734117718768</v>
          </cell>
        </row>
        <row r="44">
          <cell r="G44">
            <v>51.575269249225563</v>
          </cell>
          <cell r="H44">
            <v>52.615479314292848</v>
          </cell>
          <cell r="I44">
            <v>53.676669143406308</v>
          </cell>
          <cell r="J44">
            <v>54.759261872732608</v>
          </cell>
          <cell r="K44">
            <v>55.863689172577033</v>
          </cell>
          <cell r="L44">
            <v>56.990391419506693</v>
          </cell>
          <cell r="M44">
            <v>58.13981787194512</v>
          </cell>
          <cell r="N44">
            <v>59.31242684930853</v>
          </cell>
          <cell r="O44">
            <v>60.508685914754778</v>
          </cell>
          <cell r="P44">
            <v>61.72907206161851</v>
          </cell>
          <cell r="Q44">
            <v>62.974071903606223</v>
          </cell>
          <cell r="R44">
            <v>64.244181868827312</v>
          </cell>
          <cell r="S44">
            <v>64.244181868827312</v>
          </cell>
          <cell r="T44">
            <v>65.539908397738671</v>
          </cell>
          <cell r="U44">
            <v>66.861768145081399</v>
          </cell>
          <cell r="V44">
            <v>68.210288185890548</v>
          </cell>
          <cell r="W44">
            <v>69.58600622565956</v>
          </cell>
          <cell r="X44">
            <v>70.98947081474364</v>
          </cell>
          <cell r="Y44">
            <v>72.421241567087421</v>
          </cell>
          <cell r="Z44">
            <v>73.881889383363884</v>
          </cell>
          <cell r="AA44">
            <v>75.371996678614067</v>
          </cell>
        </row>
        <row r="45">
          <cell r="G45">
            <v>34.734365004580482</v>
          </cell>
          <cell r="H45">
            <v>35.434914640238041</v>
          </cell>
          <cell r="I45">
            <v>36.149593504743024</v>
          </cell>
          <cell r="J45">
            <v>36.878686567350535</v>
          </cell>
          <cell r="K45">
            <v>37.622484544796777</v>
          </cell>
          <cell r="L45">
            <v>38.381284017218796</v>
          </cell>
          <cell r="M45">
            <v>39.155387546412022</v>
          </cell>
          <cell r="N45">
            <v>39.945103796473092</v>
          </cell>
          <cell r="O45">
            <v>40.750747656875667</v>
          </cell>
          <cell r="P45">
            <v>41.572640368028793</v>
          </cell>
          <cell r="Q45">
            <v>42.411109649367454</v>
          </cell>
          <cell r="R45">
            <v>43.266489830026558</v>
          </cell>
          <cell r="S45">
            <v>43.266489830026558</v>
          </cell>
          <cell r="T45">
            <v>44.139121982150535</v>
          </cell>
          <cell r="U45">
            <v>45.029354056891549</v>
          </cell>
          <cell r="V45">
            <v>45.937541023150779</v>
          </cell>
          <cell r="W45">
            <v>46.86404500911766</v>
          </cell>
          <cell r="X45">
            <v>47.80923544666409</v>
          </cell>
          <cell r="Y45">
            <v>48.77348921865071</v>
          </cell>
          <cell r="Z45">
            <v>49.757190809204253</v>
          </cell>
          <cell r="AA45">
            <v>50.760732457025803</v>
          </cell>
        </row>
        <row r="46">
          <cell r="G46">
            <v>64.205947432709365</v>
          </cell>
          <cell r="H46">
            <v>65.500902819833954</v>
          </cell>
          <cell r="I46">
            <v>66.821975872403769</v>
          </cell>
          <cell r="J46">
            <v>68.169693351769169</v>
          </cell>
          <cell r="K46">
            <v>69.54459264341223</v>
          </cell>
          <cell r="L46">
            <v>70.947221971222618</v>
          </cell>
          <cell r="M46">
            <v>72.378140616094953</v>
          </cell>
          <cell r="N46">
            <v>73.837919138935106</v>
          </cell>
          <cell r="O46">
            <v>75.327139608164117</v>
          </cell>
          <cell r="P46">
            <v>76.846395831810796</v>
          </cell>
          <cell r="Q46">
            <v>78.396293594285297</v>
          </cell>
          <cell r="R46">
            <v>79.977450897927881</v>
          </cell>
          <cell r="S46">
            <v>79.977450897927881</v>
          </cell>
          <cell r="T46">
            <v>81.590498209429768</v>
          </cell>
          <cell r="U46">
            <v>83.236078711223783</v>
          </cell>
          <cell r="V46">
            <v>84.914848557945376</v>
          </cell>
          <cell r="W46">
            <v>86.627477138065984</v>
          </cell>
          <cell r="X46">
            <v>88.374647340803307</v>
          </cell>
          <cell r="Y46">
            <v>90.157055828414954</v>
          </cell>
          <cell r="Z46">
            <v>91.975413313983623</v>
          </cell>
          <cell r="AA46">
            <v>93.830444844805271</v>
          </cell>
        </row>
        <row r="47">
          <cell r="G47">
            <v>16.840904244645081</v>
          </cell>
          <cell r="H47">
            <v>17.180564674054807</v>
          </cell>
          <cell r="I47">
            <v>17.527075638663284</v>
          </cell>
          <cell r="J47">
            <v>17.880575305382077</v>
          </cell>
          <cell r="K47">
            <v>18.241204627780256</v>
          </cell>
          <cell r="L47">
            <v>18.609107402287901</v>
          </cell>
          <cell r="M47">
            <v>18.984430325533101</v>
          </cell>
          <cell r="N47">
            <v>19.367323052835438</v>
          </cell>
          <cell r="O47">
            <v>19.757938257879111</v>
          </cell>
          <cell r="P47">
            <v>20.156431693589717</v>
          </cell>
          <cell r="Q47">
            <v>20.562962254238766</v>
          </cell>
          <cell r="R47">
            <v>20.977692038800754</v>
          </cell>
          <cell r="S47">
            <v>20.977692038800754</v>
          </cell>
          <cell r="T47">
            <v>21.400786415588136</v>
          </cell>
          <cell r="U47">
            <v>21.832414088189843</v>
          </cell>
          <cell r="V47">
            <v>22.272747162739773</v>
          </cell>
          <cell r="W47">
            <v>22.721961216541896</v>
          </cell>
          <cell r="X47">
            <v>23.180235368079558</v>
          </cell>
          <cell r="Y47">
            <v>23.647752348436708</v>
          </cell>
          <cell r="Z47">
            <v>24.124698574159638</v>
          </cell>
          <cell r="AA47">
            <v>24.611264221588268</v>
          </cell>
        </row>
        <row r="49">
          <cell r="AC49">
            <v>2023</v>
          </cell>
        </row>
        <row r="50">
          <cell r="G50">
            <v>11.578121668193493</v>
          </cell>
          <cell r="H50">
            <v>11.81163821341268</v>
          </cell>
          <cell r="I50">
            <v>12.049864501581007</v>
          </cell>
          <cell r="J50">
            <v>12.292895522450179</v>
          </cell>
          <cell r="K50">
            <v>12.540828181598926</v>
          </cell>
          <cell r="L50">
            <v>12.793761339072931</v>
          </cell>
          <cell r="M50">
            <v>13.051795848804007</v>
          </cell>
          <cell r="N50">
            <v>13.315034598824363</v>
          </cell>
          <cell r="O50">
            <v>13.583582552291888</v>
          </cell>
          <cell r="P50">
            <v>13.85754678934293</v>
          </cell>
          <cell r="Q50">
            <v>14.137036549789151</v>
          </cell>
          <cell r="R50">
            <v>14.422163276675519</v>
          </cell>
          <cell r="S50">
            <v>14.422163276675519</v>
          </cell>
          <cell r="T50">
            <v>14.713040660716844</v>
          </cell>
          <cell r="U50">
            <v>15.009784685630517</v>
          </cell>
          <cell r="V50">
            <v>15.312513674383593</v>
          </cell>
          <cell r="W50">
            <v>15.621348336372554</v>
          </cell>
          <cell r="X50">
            <v>15.936411815554695</v>
          </cell>
          <cell r="Y50">
            <v>16.257829739550235</v>
          </cell>
          <cell r="Z50">
            <v>16.58573026973475</v>
          </cell>
          <cell r="AA50">
            <v>16.920244152341933</v>
          </cell>
          <cell r="AC50">
            <v>2024</v>
          </cell>
        </row>
        <row r="51">
          <cell r="G51">
            <v>8527.8128868821532</v>
          </cell>
          <cell r="H51">
            <v>8699.8084368245036</v>
          </cell>
          <cell r="I51">
            <v>8875.2729265281196</v>
          </cell>
          <cell r="J51">
            <v>9054.2763202628503</v>
          </cell>
          <cell r="K51">
            <v>9236.8899933922276</v>
          </cell>
          <cell r="L51">
            <v>9423.186760833536</v>
          </cell>
          <cell r="M51">
            <v>9613.2409060918235</v>
          </cell>
          <cell r="N51">
            <v>9807.1282108795458</v>
          </cell>
          <cell r="O51">
            <v>10004.925985333535</v>
          </cell>
          <cell r="P51">
            <v>10206.713098841492</v>
          </cell>
          <cell r="Q51">
            <v>10412.570011490156</v>
          </cell>
          <cell r="R51">
            <v>10622.578806147732</v>
          </cell>
          <cell r="S51">
            <v>10622.578806147732</v>
          </cell>
          <cell r="T51">
            <v>10836.823221193443</v>
          </cell>
          <cell r="U51">
            <v>11055.388683907131</v>
          </cell>
          <cell r="V51">
            <v>11278.362344532352</v>
          </cell>
          <cell r="W51">
            <v>11505.833111026403</v>
          </cell>
          <cell r="X51">
            <v>11737.891684511285</v>
          </cell>
          <cell r="Y51">
            <v>11974.630595439638</v>
          </cell>
          <cell r="Z51">
            <v>12216.144240490086</v>
          </cell>
          <cell r="AA51">
            <v>12462.52892020676</v>
          </cell>
          <cell r="AC51">
            <v>2025</v>
          </cell>
        </row>
        <row r="52">
          <cell r="G52">
            <v>142.09512956419286</v>
          </cell>
          <cell r="H52">
            <v>144.96101443733744</v>
          </cell>
          <cell r="I52">
            <v>147.88470070122145</v>
          </cell>
          <cell r="J52">
            <v>150.86735413916128</v>
          </cell>
          <cell r="K52">
            <v>153.91016404689591</v>
          </cell>
          <cell r="L52">
            <v>157.01434370680417</v>
          </cell>
          <cell r="M52">
            <v>160.18113087168553</v>
          </cell>
          <cell r="N52">
            <v>163.411788258299</v>
          </cell>
          <cell r="O52">
            <v>166.707604050855</v>
          </cell>
          <cell r="P52">
            <v>170.06989241466323</v>
          </cell>
          <cell r="Q52">
            <v>173.49999402013958</v>
          </cell>
          <cell r="R52">
            <v>176.99927657738135</v>
          </cell>
          <cell r="S52">
            <v>176.99927657738135</v>
          </cell>
          <cell r="T52">
            <v>180.56913538152489</v>
          </cell>
          <cell r="U52">
            <v>184.2109938691018</v>
          </cell>
          <cell r="V52">
            <v>187.92630418561683</v>
          </cell>
          <cell r="W52">
            <v>191.71654776457225</v>
          </cell>
          <cell r="X52">
            <v>195.58323591817125</v>
          </cell>
          <cell r="Y52">
            <v>199.52791043993471</v>
          </cell>
          <cell r="Z52">
            <v>203.55214421947196</v>
          </cell>
          <cell r="AA52">
            <v>207.657541869651</v>
          </cell>
          <cell r="AC52">
            <v>2026</v>
          </cell>
        </row>
        <row r="53">
          <cell r="G53">
            <v>3321.8683622562421</v>
          </cell>
          <cell r="H53">
            <v>3388.8663819573108</v>
          </cell>
          <cell r="I53">
            <v>3457.2156697263326</v>
          </cell>
          <cell r="J53">
            <v>3526.9434789866145</v>
          </cell>
          <cell r="K53">
            <v>3598.0776128296557</v>
          </cell>
          <cell r="L53">
            <v>3670.6464351012883</v>
          </cell>
          <cell r="M53">
            <v>3744.6788817114043</v>
          </cell>
          <cell r="N53">
            <v>3820.2044721717903</v>
          </cell>
          <cell r="O53">
            <v>3897.2533213666547</v>
          </cell>
          <cell r="P53">
            <v>3975.8561515605716</v>
          </cell>
          <cell r="Q53">
            <v>4056.0443046485966</v>
          </cell>
          <cell r="R53">
            <v>4137.8497546534491</v>
          </cell>
          <cell r="S53">
            <v>4137.8497546534491</v>
          </cell>
          <cell r="T53">
            <v>4221.3051204747599</v>
          </cell>
          <cell r="U53">
            <v>4306.4436788954463</v>
          </cell>
          <cell r="V53">
            <v>4393.2993778504206</v>
          </cell>
          <cell r="W53">
            <v>4481.9068499628893</v>
          </cell>
          <cell r="X53">
            <v>4572.3014263536925</v>
          </cell>
          <cell r="Y53">
            <v>4664.5191507291402</v>
          </cell>
          <cell r="Z53">
            <v>4758.5967937529886</v>
          </cell>
          <cell r="AA53">
            <v>4854.5718677082859</v>
          </cell>
          <cell r="AC53">
            <v>2027</v>
          </cell>
        </row>
        <row r="54">
          <cell r="AC54">
            <v>2028</v>
          </cell>
        </row>
        <row r="55">
          <cell r="G55">
            <v>3.1576695458709527</v>
          </cell>
          <cell r="H55">
            <v>3.2213558763852763</v>
          </cell>
          <cell r="I55">
            <v>3.2863266822493657</v>
          </cell>
          <cell r="J55">
            <v>3.3526078697591393</v>
          </cell>
          <cell r="K55">
            <v>3.420225867708798</v>
          </cell>
          <cell r="L55">
            <v>3.4892076379289811</v>
          </cell>
          <cell r="M55">
            <v>3.5595806860374566</v>
          </cell>
          <cell r="N55">
            <v>3.6313730724066446</v>
          </cell>
          <cell r="O55">
            <v>3.7046134233523333</v>
          </cell>
          <cell r="P55">
            <v>3.7793309425480719</v>
          </cell>
          <cell r="Q55">
            <v>3.8555554226697684</v>
          </cell>
          <cell r="R55">
            <v>3.9333172572751414</v>
          </cell>
          <cell r="S55">
            <v>3.9333172572751414</v>
          </cell>
          <cell r="T55">
            <v>4.012647452922776</v>
          </cell>
          <cell r="U55">
            <v>4.093577641535596</v>
          </cell>
          <cell r="V55">
            <v>4.1761400930137071</v>
          </cell>
          <cell r="W55">
            <v>4.2603677281016052</v>
          </cell>
          <cell r="X55">
            <v>4.3462941315149166</v>
          </cell>
          <cell r="Y55">
            <v>4.4339535653318825</v>
          </cell>
          <cell r="Z55">
            <v>4.523380982654932</v>
          </cell>
          <cell r="AA55">
            <v>4.6146120415478</v>
          </cell>
          <cell r="AC55">
            <v>2029</v>
          </cell>
        </row>
        <row r="56">
          <cell r="AC56">
            <v>2030</v>
          </cell>
        </row>
        <row r="57">
          <cell r="G57">
            <v>787.3122734371575</v>
          </cell>
          <cell r="H57">
            <v>803.19139851206228</v>
          </cell>
          <cell r="I57">
            <v>819.39078610750857</v>
          </cell>
          <cell r="J57">
            <v>835.91689552661217</v>
          </cell>
          <cell r="K57">
            <v>852.77631634872694</v>
          </cell>
          <cell r="L57">
            <v>869.97577105695939</v>
          </cell>
          <cell r="M57">
            <v>887.52211771867246</v>
          </cell>
          <cell r="N57">
            <v>905.42235272005678</v>
          </cell>
          <cell r="O57">
            <v>923.68361355584841</v>
          </cell>
          <cell r="P57">
            <v>942.31318167531924</v>
          </cell>
          <cell r="Q57">
            <v>961.31848538566226</v>
          </cell>
          <cell r="R57">
            <v>980.70710281393519</v>
          </cell>
          <cell r="S57">
            <v>980.70710281393519</v>
          </cell>
          <cell r="T57">
            <v>1000.4867649287454</v>
          </cell>
          <cell r="U57">
            <v>1020.6653586228751</v>
          </cell>
          <cell r="V57">
            <v>1041.2509298580844</v>
          </cell>
          <cell r="W57">
            <v>1062.2516868733337</v>
          </cell>
          <cell r="X57">
            <v>1083.6760034577194</v>
          </cell>
          <cell r="Y57">
            <v>1105.532422289416</v>
          </cell>
          <cell r="Z57">
            <v>1127.8296583419631</v>
          </cell>
          <cell r="AA57">
            <v>1150.5766023592516</v>
          </cell>
          <cell r="AC57">
            <v>2031</v>
          </cell>
        </row>
        <row r="58">
          <cell r="G58">
            <v>2316.676890153989</v>
          </cell>
          <cell r="H58">
            <v>2363.4014279746643</v>
          </cell>
          <cell r="I58">
            <v>2411.0683425436182</v>
          </cell>
          <cell r="J58">
            <v>2459.696640446622</v>
          </cell>
          <cell r="K58">
            <v>2509.3057116090213</v>
          </cell>
          <cell r="L58">
            <v>2559.9153370272293</v>
          </cell>
          <cell r="M58">
            <v>2611.5456966561474</v>
          </cell>
          <cell r="N58">
            <v>2664.217377455675</v>
          </cell>
          <cell r="O58">
            <v>2717.9513815994951</v>
          </cell>
          <cell r="P58">
            <v>2772.7691348494354</v>
          </cell>
          <cell r="Q58">
            <v>2828.6924950987204</v>
          </cell>
          <cell r="R58">
            <v>2885.7437610875286</v>
          </cell>
          <cell r="S58">
            <v>2885.7437610875286</v>
          </cell>
          <cell r="T58">
            <v>2943.9456812943431</v>
          </cell>
          <cell r="U58">
            <v>3003.3214630066154</v>
          </cell>
          <cell r="V58">
            <v>3063.89478157439</v>
          </cell>
          <cell r="W58">
            <v>3125.6897898505445</v>
          </cell>
          <cell r="X58">
            <v>3188.7311278214443</v>
          </cell>
          <cell r="Y58">
            <v>3253.0439324318245</v>
          </cell>
          <cell r="Z58">
            <v>3318.6538476078354</v>
          </cell>
          <cell r="AA58">
            <v>3385.587034482236</v>
          </cell>
          <cell r="AC58">
            <v>2032</v>
          </cell>
        </row>
        <row r="59">
          <cell r="AA59">
            <v>30.764080276985336</v>
          </cell>
          <cell r="AC59">
            <v>2033</v>
          </cell>
        </row>
        <row r="60">
          <cell r="AA60">
            <v>3.0764080276985335</v>
          </cell>
          <cell r="AC60">
            <v>2034</v>
          </cell>
        </row>
        <row r="61">
          <cell r="AC61">
            <v>2035</v>
          </cell>
        </row>
        <row r="62">
          <cell r="AC62">
            <v>2036</v>
          </cell>
        </row>
        <row r="63">
          <cell r="AC63">
            <v>2037</v>
          </cell>
        </row>
        <row r="64">
          <cell r="AC64">
            <v>2038</v>
          </cell>
        </row>
        <row r="65">
          <cell r="AC65">
            <v>2039</v>
          </cell>
        </row>
        <row r="66">
          <cell r="AC66">
            <v>2040</v>
          </cell>
        </row>
        <row r="67">
          <cell r="AC67">
            <v>2041</v>
          </cell>
        </row>
        <row r="68">
          <cell r="AC68">
            <v>2042</v>
          </cell>
        </row>
        <row r="69">
          <cell r="AC69">
            <v>2043</v>
          </cell>
        </row>
      </sheetData>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AIKO SARASVATY PRABOWO" id="{7ABD120E-0894-4765-B8A6-556D9F8A7898}" userId="S::20513239@students.uii.ac.id::87fdcc95-2c16-4ed7-bd44-5de38e2f3d18"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3" dT="2023-04-08T15:08:10.15" personId="{7ABD120E-0894-4765-B8A6-556D9F8A7898}" id="{57DC99BD-C272-461E-AF21-F2CFB72CA3BA}">
    <text xml:space="preserve">Untuk non domestik, karena untuk yang domestik sudah ditambahkan dengan kebocoran air
</text>
  </threadedComment>
</ThreadedComment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81956-E24A-4622-B73D-F082F46CE968}">
  <dimension ref="A1"/>
  <sheetViews>
    <sheetView workbookViewId="0">
      <selection activeCell="J32" sqref="J32"/>
    </sheetView>
  </sheetViews>
  <sheetFormatPr defaultRowHeight="14.4" x14ac:dyDescent="0.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21EB9-F6BA-46B5-B339-87AE5F097C89}">
  <dimension ref="B3:J26"/>
  <sheetViews>
    <sheetView topLeftCell="B1" workbookViewId="0">
      <selection activeCell="G6" sqref="G6"/>
    </sheetView>
  </sheetViews>
  <sheetFormatPr defaultRowHeight="14.4" x14ac:dyDescent="0.3"/>
  <cols>
    <col min="4" max="4" width="14.21875" customWidth="1"/>
    <col min="5" max="5" width="13.6640625" customWidth="1"/>
    <col min="6" max="6" width="14.5546875" customWidth="1"/>
    <col min="7" max="7" width="15.77734375" customWidth="1"/>
    <col min="8" max="8" width="17.44140625" customWidth="1"/>
    <col min="9" max="9" width="20.21875" customWidth="1"/>
    <col min="10" max="10" width="15.21875" customWidth="1"/>
  </cols>
  <sheetData>
    <row r="3" spans="2:10" x14ac:dyDescent="0.3">
      <c r="B3" s="212" t="s">
        <v>2</v>
      </c>
      <c r="C3" s="252" t="s">
        <v>40</v>
      </c>
      <c r="D3" s="250" t="s">
        <v>185</v>
      </c>
      <c r="E3" s="250" t="s">
        <v>187</v>
      </c>
      <c r="F3" s="250" t="s">
        <v>188</v>
      </c>
      <c r="G3" s="250" t="s">
        <v>190</v>
      </c>
      <c r="H3" s="250" t="s">
        <v>189</v>
      </c>
      <c r="I3" s="250" t="s">
        <v>191</v>
      </c>
      <c r="J3" s="250" t="s">
        <v>192</v>
      </c>
    </row>
    <row r="4" spans="2:10" x14ac:dyDescent="0.3">
      <c r="B4" s="212"/>
      <c r="C4" s="252"/>
      <c r="D4" s="251"/>
      <c r="E4" s="251"/>
      <c r="F4" s="251"/>
      <c r="G4" s="251"/>
      <c r="H4" s="251"/>
      <c r="I4" s="251"/>
      <c r="J4" s="251"/>
    </row>
    <row r="5" spans="2:10" x14ac:dyDescent="0.3">
      <c r="B5" s="212"/>
      <c r="C5" s="252"/>
      <c r="D5" s="94" t="s">
        <v>186</v>
      </c>
      <c r="E5" s="94" t="s">
        <v>186</v>
      </c>
      <c r="F5" s="94" t="s">
        <v>186</v>
      </c>
      <c r="G5" s="94" t="s">
        <v>186</v>
      </c>
      <c r="H5" s="94" t="s">
        <v>186</v>
      </c>
      <c r="I5" s="94" t="s">
        <v>186</v>
      </c>
      <c r="J5" s="94" t="s">
        <v>186</v>
      </c>
    </row>
    <row r="6" spans="2:10" x14ac:dyDescent="0.3">
      <c r="B6" s="11">
        <v>1</v>
      </c>
      <c r="C6" s="11">
        <v>2023</v>
      </c>
      <c r="D6" s="95">
        <f>'Kebutuhan Air Domestik'!H46/86400</f>
        <v>9.6786941381767647E-2</v>
      </c>
      <c r="E6" s="95">
        <f>'Kebutuhan Air Non Domestik .2'!T5/86400</f>
        <v>0.30545587960735882</v>
      </c>
      <c r="F6" s="95">
        <f>E6*18%</f>
        <v>5.4982058329324582E-2</v>
      </c>
      <c r="G6" s="95">
        <f>D6+E6+F6</f>
        <v>0.45722487931845102</v>
      </c>
      <c r="H6" s="95">
        <f t="shared" ref="H6:H26" si="0">2*G6</f>
        <v>0.91444975863690203</v>
      </c>
      <c r="I6" s="95">
        <f t="shared" ref="I6:I26" si="1">1.5*G6</f>
        <v>0.68583731897767652</v>
      </c>
      <c r="J6" s="95">
        <f>0.3*G6</f>
        <v>0.13716746379553529</v>
      </c>
    </row>
    <row r="7" spans="2:10" x14ac:dyDescent="0.3">
      <c r="B7" s="11">
        <v>2</v>
      </c>
      <c r="C7" s="11">
        <v>2024</v>
      </c>
      <c r="D7" s="96">
        <f>'Kebutuhan Air Domestik'!I46/86400</f>
        <v>9.9661731422183E-2</v>
      </c>
      <c r="E7" s="96">
        <f>'Kebutuhan Air Non Domestik .2'!T6/86400</f>
        <v>0.31161640415823871</v>
      </c>
      <c r="F7" s="96">
        <f t="shared" ref="F7:F26" si="2">E7*18%</f>
        <v>5.609095274848297E-2</v>
      </c>
      <c r="G7" s="96">
        <f t="shared" ref="G7:G26" si="3">D7+E7+F7</f>
        <v>0.46736908832890467</v>
      </c>
      <c r="H7" s="96">
        <f t="shared" si="0"/>
        <v>0.93473817665780934</v>
      </c>
      <c r="I7" s="96">
        <f t="shared" si="1"/>
        <v>0.70105363249335695</v>
      </c>
      <c r="J7" s="96">
        <f t="shared" ref="J7:J26" si="4">0.3*G7</f>
        <v>0.14021072649867139</v>
      </c>
    </row>
    <row r="8" spans="2:10" x14ac:dyDescent="0.3">
      <c r="B8" s="11">
        <v>3</v>
      </c>
      <c r="C8" s="11">
        <v>2025</v>
      </c>
      <c r="D8" s="96">
        <f>'Kebutuhan Air Domestik'!J46/86400</f>
        <v>0.10260865740224026</v>
      </c>
      <c r="E8" s="96">
        <f>'Kebutuhan Air Non Domestik .2'!T7/86400</f>
        <v>0.31790117630889703</v>
      </c>
      <c r="F8" s="96">
        <f t="shared" si="2"/>
        <v>5.7222211735601464E-2</v>
      </c>
      <c r="G8" s="96">
        <f t="shared" si="3"/>
        <v>0.47773204544673875</v>
      </c>
      <c r="H8" s="96">
        <f t="shared" si="0"/>
        <v>0.9554640908934775</v>
      </c>
      <c r="I8" s="96">
        <f t="shared" si="1"/>
        <v>0.71659806817010807</v>
      </c>
      <c r="J8" s="96">
        <f t="shared" si="4"/>
        <v>0.14331961363402163</v>
      </c>
    </row>
    <row r="9" spans="2:10" x14ac:dyDescent="0.3">
      <c r="B9" s="11">
        <v>4</v>
      </c>
      <c r="C9" s="11">
        <v>2026</v>
      </c>
      <c r="D9" s="96">
        <f>'Kebutuhan Air Domestik'!K46/86400</f>
        <v>0.10445572499678246</v>
      </c>
      <c r="E9" s="96">
        <f>'Kebutuhan Air Non Domestik .2'!T8/86400</f>
        <v>0.32431270193382428</v>
      </c>
      <c r="F9" s="96">
        <f t="shared" si="2"/>
        <v>5.837628634808837E-2</v>
      </c>
      <c r="G9" s="96">
        <f t="shared" si="3"/>
        <v>0.48714471327869513</v>
      </c>
      <c r="H9" s="96">
        <f t="shared" si="0"/>
        <v>0.97428942655739026</v>
      </c>
      <c r="I9" s="96">
        <f t="shared" si="1"/>
        <v>0.73071706991804275</v>
      </c>
      <c r="J9" s="96">
        <f t="shared" si="4"/>
        <v>0.14614341398360853</v>
      </c>
    </row>
    <row r="10" spans="2:10" x14ac:dyDescent="0.3">
      <c r="B10" s="11">
        <v>5</v>
      </c>
      <c r="C10" s="11">
        <v>2027</v>
      </c>
      <c r="D10" s="96">
        <f>'Kebutuhan Air Domestik'!L46/86400</f>
        <v>0.10753082880659144</v>
      </c>
      <c r="E10" s="96">
        <f>'Kebutuhan Air Non Domestik .2'!T9/86400</f>
        <v>0.33085353744707607</v>
      </c>
      <c r="F10" s="96">
        <f t="shared" si="2"/>
        <v>5.9553636740473689E-2</v>
      </c>
      <c r="G10" s="96">
        <f t="shared" si="3"/>
        <v>0.4979380029941412</v>
      </c>
      <c r="H10" s="96">
        <f t="shared" si="0"/>
        <v>0.99587600598828241</v>
      </c>
      <c r="I10" s="96">
        <f t="shared" si="1"/>
        <v>0.74690700449121183</v>
      </c>
      <c r="J10" s="96">
        <f t="shared" si="4"/>
        <v>0.14938140089824237</v>
      </c>
    </row>
    <row r="11" spans="2:10" x14ac:dyDescent="0.3">
      <c r="B11" s="11">
        <v>6</v>
      </c>
      <c r="C11" s="11">
        <v>2028</v>
      </c>
      <c r="D11" s="96">
        <f>'Kebutuhan Air Domestik'!M46/86400</f>
        <v>0.11007464807457004</v>
      </c>
      <c r="E11" s="96">
        <f>'Kebutuhan Air Non Domestik .2'!T10/86400</f>
        <v>0.33752629082158042</v>
      </c>
      <c r="F11" s="96">
        <f t="shared" si="2"/>
        <v>6.0754732347884477E-2</v>
      </c>
      <c r="G11" s="96">
        <f t="shared" si="3"/>
        <v>0.50835567124403491</v>
      </c>
      <c r="H11" s="96">
        <f t="shared" si="0"/>
        <v>1.0167113424880698</v>
      </c>
      <c r="I11" s="96">
        <f t="shared" si="1"/>
        <v>0.76253350686605237</v>
      </c>
      <c r="J11" s="96">
        <f t="shared" si="4"/>
        <v>0.15250670137321046</v>
      </c>
    </row>
    <row r="12" spans="2:10" x14ac:dyDescent="0.3">
      <c r="B12" s="11">
        <v>7</v>
      </c>
      <c r="C12" s="11">
        <v>2029</v>
      </c>
      <c r="D12" s="96">
        <f>'Kebutuhan Air Domestik'!N46/86400</f>
        <v>0.11267520617257747</v>
      </c>
      <c r="E12" s="96">
        <f>'Kebutuhan Air Non Domestik .2'!T11/86400</f>
        <v>0.34433362262900036</v>
      </c>
      <c r="F12" s="96">
        <f t="shared" si="2"/>
        <v>6.1980052073220063E-2</v>
      </c>
      <c r="G12" s="96">
        <f t="shared" si="3"/>
        <v>0.51898888087479789</v>
      </c>
      <c r="H12" s="96">
        <f t="shared" si="0"/>
        <v>1.0379777617495958</v>
      </c>
      <c r="I12" s="96">
        <f t="shared" si="1"/>
        <v>0.77848332131219689</v>
      </c>
      <c r="J12" s="96">
        <f t="shared" si="4"/>
        <v>0.15569666426243936</v>
      </c>
    </row>
    <row r="13" spans="2:10" x14ac:dyDescent="0.3">
      <c r="B13" s="11">
        <v>8</v>
      </c>
      <c r="C13" s="11">
        <v>2030</v>
      </c>
      <c r="D13" s="96">
        <f>'Kebutuhan Air Domestik'!O46/86400</f>
        <v>0.1159639604403392</v>
      </c>
      <c r="E13" s="96">
        <f>'Kebutuhan Air Non Domestik .2'!T12/86400</f>
        <v>0.35127824710057104</v>
      </c>
      <c r="F13" s="96">
        <f t="shared" si="2"/>
        <v>6.3230084478102785E-2</v>
      </c>
      <c r="G13" s="96">
        <f t="shared" si="3"/>
        <v>0.53047229201901303</v>
      </c>
      <c r="H13" s="96">
        <f t="shared" si="0"/>
        <v>1.0609445840380261</v>
      </c>
      <c r="I13" s="96">
        <f t="shared" si="1"/>
        <v>0.79570843802851954</v>
      </c>
      <c r="J13" s="96">
        <f t="shared" si="4"/>
        <v>0.15914168760570391</v>
      </c>
    </row>
    <row r="14" spans="2:10" x14ac:dyDescent="0.3">
      <c r="B14" s="11">
        <v>9</v>
      </c>
      <c r="C14" s="11">
        <v>2031</v>
      </c>
      <c r="D14" s="96">
        <f>'Kebutuhan Air Domestik'!P46/86400</f>
        <v>0.11805143803615699</v>
      </c>
      <c r="E14" s="96">
        <f>'Kebutuhan Air Non Domestik .2'!T13/86400</f>
        <v>0.35836293320932988</v>
      </c>
      <c r="F14" s="96">
        <f t="shared" si="2"/>
        <v>6.4505327977679383E-2</v>
      </c>
      <c r="G14" s="96">
        <f t="shared" si="3"/>
        <v>0.54091969922316618</v>
      </c>
      <c r="H14" s="96">
        <f t="shared" si="0"/>
        <v>1.0818393984463324</v>
      </c>
      <c r="I14" s="96">
        <f t="shared" si="1"/>
        <v>0.81137954883474928</v>
      </c>
      <c r="J14" s="96">
        <f t="shared" si="4"/>
        <v>0.16227590976694986</v>
      </c>
    </row>
    <row r="15" spans="2:10" x14ac:dyDescent="0.3">
      <c r="B15" s="11">
        <v>10</v>
      </c>
      <c r="C15" s="11">
        <v>2032</v>
      </c>
      <c r="D15" s="96">
        <f>'Kebutuhan Air Domestik'!Q46/86400</f>
        <v>0.12148275872523112</v>
      </c>
      <c r="E15" s="96">
        <f>'Kebutuhan Air Non Domestik .2'!T14/86400</f>
        <v>0.36559050577417684</v>
      </c>
      <c r="F15" s="96">
        <f t="shared" si="2"/>
        <v>6.580629103935183E-2</v>
      </c>
      <c r="G15" s="96">
        <f t="shared" si="3"/>
        <v>0.55287955553875978</v>
      </c>
      <c r="H15" s="96">
        <f t="shared" si="0"/>
        <v>1.1057591110775196</v>
      </c>
      <c r="I15" s="96">
        <f t="shared" si="1"/>
        <v>0.82931933330813967</v>
      </c>
      <c r="J15" s="96">
        <f t="shared" si="4"/>
        <v>0.16586386666162792</v>
      </c>
    </row>
    <row r="16" spans="2:10" x14ac:dyDescent="0.3">
      <c r="B16" s="11">
        <v>11</v>
      </c>
      <c r="C16" s="11">
        <v>2033</v>
      </c>
      <c r="D16" s="96">
        <f>'Kebutuhan Air Domestik'!R46/86400</f>
        <v>0.12499936113889729</v>
      </c>
      <c r="E16" s="96">
        <f>'Kebutuhan Air Non Domestik .2'!T15/86400</f>
        <v>0.37296384658619958</v>
      </c>
      <c r="F16" s="96">
        <f t="shared" si="2"/>
        <v>6.7133492385515928E-2</v>
      </c>
      <c r="G16" s="96">
        <f t="shared" si="3"/>
        <v>0.56509670011061275</v>
      </c>
      <c r="H16" s="96">
        <f t="shared" si="0"/>
        <v>1.1301934002212255</v>
      </c>
      <c r="I16" s="96">
        <f t="shared" si="1"/>
        <v>0.84764505016591918</v>
      </c>
      <c r="J16" s="96">
        <f t="shared" si="4"/>
        <v>0.16952901003318382</v>
      </c>
    </row>
    <row r="17" spans="2:10" x14ac:dyDescent="0.3">
      <c r="B17" s="11">
        <v>12</v>
      </c>
      <c r="C17" s="11">
        <v>2034</v>
      </c>
      <c r="D17" s="96">
        <f>'Kebutuhan Air Domestik'!S46/86400</f>
        <v>0.12724948578864337</v>
      </c>
      <c r="E17" s="96">
        <f>'Kebutuhan Air Non Domestik .2'!T16/86400</f>
        <v>0.38048589555771523</v>
      </c>
      <c r="F17" s="96">
        <f t="shared" si="2"/>
        <v>6.8487461200388733E-2</v>
      </c>
      <c r="G17" s="96">
        <f t="shared" si="3"/>
        <v>0.57622284254674727</v>
      </c>
      <c r="H17" s="96">
        <f t="shared" si="0"/>
        <v>1.1524456850934945</v>
      </c>
      <c r="I17" s="96">
        <f t="shared" si="1"/>
        <v>0.86433426382012091</v>
      </c>
      <c r="J17" s="96">
        <f t="shared" si="4"/>
        <v>0.17286685276402416</v>
      </c>
    </row>
    <row r="18" spans="2:10" x14ac:dyDescent="0.3">
      <c r="B18" s="11">
        <v>13</v>
      </c>
      <c r="C18" s="11">
        <v>2035</v>
      </c>
      <c r="D18" s="96">
        <f>'Kebutuhan Air Domestik'!T46/86400</f>
        <v>0.12860320372256515</v>
      </c>
      <c r="E18" s="96">
        <f>'Kebutuhan Air Non Domestik .2'!T17/86400</f>
        <v>0.38048589555771523</v>
      </c>
      <c r="F18" s="96">
        <f t="shared" si="2"/>
        <v>6.8487461200388733E-2</v>
      </c>
      <c r="G18" s="96">
        <f t="shared" si="3"/>
        <v>0.57757656048066908</v>
      </c>
      <c r="H18" s="96">
        <f t="shared" si="0"/>
        <v>1.1551531209613382</v>
      </c>
      <c r="I18" s="96">
        <f t="shared" si="1"/>
        <v>0.86636484072100362</v>
      </c>
      <c r="J18" s="96">
        <f t="shared" si="4"/>
        <v>0.17327296814420071</v>
      </c>
    </row>
    <row r="19" spans="2:10" x14ac:dyDescent="0.3">
      <c r="B19" s="11">
        <v>14</v>
      </c>
      <c r="C19" s="11">
        <v>2036</v>
      </c>
      <c r="D19" s="96">
        <f>'Kebutuhan Air Domestik'!U46/86400</f>
        <v>0.13091820146412086</v>
      </c>
      <c r="E19" s="96">
        <f>'Kebutuhan Air Non Domestik .2'!T18/86400</f>
        <v>0.38815965189448765</v>
      </c>
      <c r="F19" s="96">
        <f t="shared" si="2"/>
        <v>6.9868737341007778E-2</v>
      </c>
      <c r="G19" s="96">
        <f t="shared" si="3"/>
        <v>0.58894659069961619</v>
      </c>
      <c r="H19" s="96">
        <f t="shared" si="0"/>
        <v>1.1778931813992324</v>
      </c>
      <c r="I19" s="96">
        <f t="shared" si="1"/>
        <v>0.88341988604942423</v>
      </c>
      <c r="J19" s="96">
        <f t="shared" si="4"/>
        <v>0.17668397720988485</v>
      </c>
    </row>
    <row r="20" spans="2:10" x14ac:dyDescent="0.3">
      <c r="B20" s="11">
        <v>15</v>
      </c>
      <c r="C20" s="11">
        <v>2037</v>
      </c>
      <c r="D20" s="96">
        <f>'Kebutuhan Air Domestik'!V46/86400</f>
        <v>0.13467776507269294</v>
      </c>
      <c r="E20" s="96">
        <f>'Kebutuhan Air Non Domestik .2'!T19/86400</f>
        <v>0.39598817529158531</v>
      </c>
      <c r="F20" s="96">
        <f t="shared" si="2"/>
        <v>7.1277871552485356E-2</v>
      </c>
      <c r="G20" s="96">
        <f t="shared" si="3"/>
        <v>0.6019438119167636</v>
      </c>
      <c r="H20" s="96">
        <f t="shared" si="0"/>
        <v>1.2038876238335272</v>
      </c>
      <c r="I20" s="96">
        <f t="shared" si="1"/>
        <v>0.90291571787514546</v>
      </c>
      <c r="J20" s="96">
        <f t="shared" si="4"/>
        <v>0.18058314357502908</v>
      </c>
    </row>
    <row r="21" spans="2:10" x14ac:dyDescent="0.3">
      <c r="B21" s="11">
        <v>16</v>
      </c>
      <c r="C21" s="11">
        <v>2038</v>
      </c>
      <c r="D21" s="96">
        <f>'Kebutuhan Air Domestik'!W46/86400</f>
        <v>0.13853025853011625</v>
      </c>
      <c r="E21" s="96">
        <f>'Kebutuhan Air Non Domestik .2'!T20/86400</f>
        <v>0.40397458715335932</v>
      </c>
      <c r="F21" s="96">
        <f t="shared" si="2"/>
        <v>7.2715425687604682E-2</v>
      </c>
      <c r="G21" s="96">
        <f t="shared" si="3"/>
        <v>0.61522027137108026</v>
      </c>
      <c r="H21" s="96">
        <f t="shared" si="0"/>
        <v>1.2304405427421605</v>
      </c>
      <c r="I21" s="96">
        <f t="shared" si="1"/>
        <v>0.92283040705662045</v>
      </c>
      <c r="J21" s="96">
        <f t="shared" si="4"/>
        <v>0.18456608141132408</v>
      </c>
    </row>
    <row r="22" spans="2:10" x14ac:dyDescent="0.3">
      <c r="B22" s="11">
        <v>17</v>
      </c>
      <c r="C22" s="11">
        <v>2039</v>
      </c>
      <c r="D22" s="96">
        <f>'Kebutuhan Air Domestik'!X46/86400</f>
        <v>0.14247780926735712</v>
      </c>
      <c r="E22" s="96">
        <f>'Kebutuhan Air Non Domestik .2'!T21/86400</f>
        <v>0.41212207183802479</v>
      </c>
      <c r="F22" s="96">
        <f t="shared" si="2"/>
        <v>7.4181972930844456E-2</v>
      </c>
      <c r="G22" s="96">
        <f t="shared" si="3"/>
        <v>0.62878185403622644</v>
      </c>
      <c r="H22" s="96">
        <f t="shared" si="0"/>
        <v>1.2575637080724529</v>
      </c>
      <c r="I22" s="96">
        <f t="shared" si="1"/>
        <v>0.94317278105433966</v>
      </c>
      <c r="J22" s="96">
        <f t="shared" si="4"/>
        <v>0.18863455621086792</v>
      </c>
    </row>
    <row r="23" spans="2:10" x14ac:dyDescent="0.3">
      <c r="B23" s="11">
        <v>18</v>
      </c>
      <c r="C23" s="11">
        <v>2040</v>
      </c>
      <c r="D23" s="96">
        <f>'Kebutuhan Air Domestik'!Y46/86400</f>
        <v>0.146522591194616</v>
      </c>
      <c r="E23" s="96">
        <f>'Kebutuhan Air Non Domestik .2'!T22/86400</f>
        <v>0.42043387792734505</v>
      </c>
      <c r="F23" s="96">
        <f t="shared" si="2"/>
        <v>7.5678098026922103E-2</v>
      </c>
      <c r="G23" s="96">
        <f t="shared" si="3"/>
        <v>0.64263456714888312</v>
      </c>
      <c r="H23" s="96">
        <f t="shared" si="0"/>
        <v>1.2852691342977662</v>
      </c>
      <c r="I23" s="96">
        <f t="shared" si="1"/>
        <v>0.96395185072332468</v>
      </c>
      <c r="J23" s="96">
        <f t="shared" si="4"/>
        <v>0.19279037014466494</v>
      </c>
    </row>
    <row r="24" spans="2:10" x14ac:dyDescent="0.3">
      <c r="B24" s="11">
        <v>19</v>
      </c>
      <c r="C24" s="11">
        <v>2041</v>
      </c>
      <c r="D24" s="96">
        <f>'Kebutuhan Air Domestik'!Z46/86400</f>
        <v>0.14916015742845717</v>
      </c>
      <c r="E24" s="96">
        <f>'Kebutuhan Air Non Domestik .2'!T23/86400</f>
        <v>0.42891331952192258</v>
      </c>
      <c r="F24" s="96">
        <f t="shared" si="2"/>
        <v>7.720439751394606E-2</v>
      </c>
      <c r="G24" s="96">
        <f t="shared" si="3"/>
        <v>0.65527787446432573</v>
      </c>
      <c r="H24" s="96">
        <f t="shared" si="0"/>
        <v>1.3105557489286515</v>
      </c>
      <c r="I24" s="96">
        <f t="shared" si="1"/>
        <v>0.98291681169648859</v>
      </c>
      <c r="J24" s="96">
        <f t="shared" si="4"/>
        <v>0.19658336233929771</v>
      </c>
    </row>
    <row r="25" spans="2:10" x14ac:dyDescent="0.3">
      <c r="B25" s="11">
        <v>20</v>
      </c>
      <c r="C25" s="11">
        <v>2042</v>
      </c>
      <c r="D25" s="96">
        <f>'Kebutuhan Air Domestik'!AA46/86400</f>
        <v>0.15337899265388219</v>
      </c>
      <c r="E25" s="96">
        <f>'Kebutuhan Air Non Domestik .2'!T24/86400</f>
        <v>0.43756377756261466</v>
      </c>
      <c r="F25" s="96">
        <f t="shared" si="2"/>
        <v>7.8761479961270642E-2</v>
      </c>
      <c r="G25" s="96">
        <f t="shared" si="3"/>
        <v>0.66970425017776747</v>
      </c>
      <c r="H25" s="96">
        <f t="shared" si="0"/>
        <v>1.3394085003555349</v>
      </c>
      <c r="I25" s="96">
        <f t="shared" si="1"/>
        <v>1.0045563752666511</v>
      </c>
      <c r="J25" s="96">
        <f t="shared" si="4"/>
        <v>0.20091127505333023</v>
      </c>
    </row>
    <row r="26" spans="2:10" x14ac:dyDescent="0.3">
      <c r="B26" s="11">
        <v>21</v>
      </c>
      <c r="C26" s="11">
        <v>2043</v>
      </c>
      <c r="D26" s="96">
        <f>'Kebutuhan Air Domestik'!AB46/86400</f>
        <v>0.15613998158197939</v>
      </c>
      <c r="E26" s="96">
        <f>'Kebutuhan Air Non Domestik .2'!T25/86400</f>
        <v>0.44638870117860008</v>
      </c>
      <c r="F26" s="96">
        <f t="shared" si="2"/>
        <v>8.0349966212148016E-2</v>
      </c>
      <c r="G26" s="96">
        <f t="shared" si="3"/>
        <v>0.68287864897272743</v>
      </c>
      <c r="H26" s="96">
        <f t="shared" si="0"/>
        <v>1.3657572979454549</v>
      </c>
      <c r="I26" s="96">
        <f t="shared" si="1"/>
        <v>1.024317973459091</v>
      </c>
      <c r="J26" s="96">
        <f t="shared" si="4"/>
        <v>0.20486359469181822</v>
      </c>
    </row>
  </sheetData>
  <mergeCells count="9">
    <mergeCell ref="I3:I4"/>
    <mergeCell ref="J3:J4"/>
    <mergeCell ref="D3:D4"/>
    <mergeCell ref="C3:C5"/>
    <mergeCell ref="B3:B5"/>
    <mergeCell ref="E3:E4"/>
    <mergeCell ref="F3:F4"/>
    <mergeCell ref="G3:G4"/>
    <mergeCell ref="H3:H4"/>
  </mergeCell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887AA-7ED2-4AEC-BE67-29A96C5DDB1F}">
  <dimension ref="B2:AB13"/>
  <sheetViews>
    <sheetView topLeftCell="R4" workbookViewId="0">
      <selection activeCell="V15" sqref="V15"/>
    </sheetView>
  </sheetViews>
  <sheetFormatPr defaultRowHeight="14.4" x14ac:dyDescent="0.3"/>
  <cols>
    <col min="22" max="22" width="13.5546875" customWidth="1"/>
  </cols>
  <sheetData>
    <row r="2" spans="2:28" ht="14.4" customHeight="1" x14ac:dyDescent="0.3">
      <c r="B2" s="254" t="s">
        <v>195</v>
      </c>
      <c r="C2" s="254"/>
      <c r="D2" s="254"/>
      <c r="E2" s="254"/>
      <c r="F2" s="254"/>
      <c r="G2" s="254"/>
      <c r="H2" s="254"/>
      <c r="I2" s="254"/>
      <c r="J2" s="56"/>
      <c r="K2" s="56"/>
      <c r="L2" s="254" t="s">
        <v>204</v>
      </c>
      <c r="M2" s="254"/>
      <c r="N2" s="254"/>
      <c r="O2" s="254"/>
      <c r="P2" s="254"/>
      <c r="Q2" s="254"/>
      <c r="R2" s="254"/>
      <c r="S2" s="254"/>
      <c r="T2" s="57"/>
      <c r="V2" s="255" t="s">
        <v>198</v>
      </c>
      <c r="W2" s="255"/>
      <c r="X2" s="255"/>
      <c r="Y2" s="255"/>
      <c r="Z2" s="255"/>
      <c r="AA2" s="255"/>
      <c r="AB2" s="255"/>
    </row>
    <row r="3" spans="2:28" x14ac:dyDescent="0.3">
      <c r="B3" s="254"/>
      <c r="C3" s="254"/>
      <c r="D3" s="254"/>
      <c r="E3" s="254"/>
      <c r="F3" s="254"/>
      <c r="G3" s="254"/>
      <c r="H3" s="254"/>
      <c r="I3" s="254"/>
      <c r="J3" s="56"/>
      <c r="K3" s="56"/>
      <c r="L3" s="254"/>
      <c r="M3" s="254"/>
      <c r="N3" s="254"/>
      <c r="O3" s="254"/>
      <c r="P3" s="254"/>
      <c r="Q3" s="254"/>
      <c r="R3" s="254"/>
      <c r="S3" s="254"/>
      <c r="T3" s="57"/>
      <c r="V3" s="255"/>
      <c r="W3" s="255"/>
      <c r="X3" s="255"/>
      <c r="Y3" s="255"/>
      <c r="Z3" s="255"/>
      <c r="AA3" s="255"/>
      <c r="AB3" s="255"/>
    </row>
    <row r="4" spans="2:28" x14ac:dyDescent="0.3">
      <c r="B4" s="254"/>
      <c r="C4" s="254"/>
      <c r="D4" s="254"/>
      <c r="E4" s="254"/>
      <c r="F4" s="254"/>
      <c r="G4" s="254"/>
      <c r="H4" s="254"/>
      <c r="I4" s="254"/>
      <c r="J4" s="56"/>
      <c r="K4" s="56"/>
      <c r="L4" s="254"/>
      <c r="M4" s="254"/>
      <c r="N4" s="254"/>
      <c r="O4" s="254"/>
      <c r="P4" s="254"/>
      <c r="Q4" s="254"/>
      <c r="R4" s="254"/>
      <c r="S4" s="254"/>
      <c r="T4" s="57"/>
    </row>
    <row r="5" spans="2:28" x14ac:dyDescent="0.3">
      <c r="B5" s="254"/>
      <c r="C5" s="254"/>
      <c r="D5" s="254"/>
      <c r="E5" s="254"/>
      <c r="F5" s="254"/>
      <c r="G5" s="254"/>
      <c r="H5" s="254"/>
      <c r="I5" s="254"/>
      <c r="J5" s="56"/>
      <c r="K5" s="56"/>
      <c r="L5" s="56"/>
      <c r="M5" s="56"/>
      <c r="N5" s="56"/>
      <c r="O5" s="56"/>
      <c r="P5" s="56"/>
      <c r="Q5" s="56"/>
      <c r="R5" s="56"/>
      <c r="S5" s="56"/>
      <c r="T5" s="57"/>
      <c r="V5" s="256" t="s">
        <v>199</v>
      </c>
      <c r="W5" s="215" t="s">
        <v>200</v>
      </c>
      <c r="X5" s="215"/>
      <c r="Y5" s="215"/>
      <c r="Z5" s="215"/>
      <c r="AA5" s="215"/>
    </row>
    <row r="6" spans="2:28" x14ac:dyDescent="0.3">
      <c r="B6" s="254" t="s">
        <v>196</v>
      </c>
      <c r="C6" s="254"/>
      <c r="D6" s="254"/>
      <c r="E6" s="254"/>
      <c r="F6" s="254"/>
      <c r="G6" s="254"/>
      <c r="H6" s="254"/>
      <c r="I6" s="254"/>
      <c r="J6" s="56"/>
      <c r="K6" s="56"/>
      <c r="L6" s="56"/>
      <c r="M6" s="56"/>
      <c r="N6" s="56"/>
      <c r="O6" s="56"/>
      <c r="P6" s="56"/>
      <c r="Q6" s="56"/>
      <c r="R6" s="56"/>
      <c r="S6" s="56"/>
      <c r="T6" s="57"/>
      <c r="V6" s="256"/>
      <c r="W6" s="215"/>
      <c r="X6" s="215"/>
      <c r="Y6" s="215"/>
      <c r="Z6" s="215"/>
      <c r="AA6" s="215"/>
    </row>
    <row r="7" spans="2:28" x14ac:dyDescent="0.3">
      <c r="B7" s="254"/>
      <c r="C7" s="254"/>
      <c r="D7" s="254"/>
      <c r="E7" s="254"/>
      <c r="F7" s="254"/>
      <c r="G7" s="254"/>
      <c r="H7" s="254"/>
      <c r="I7" s="254"/>
      <c r="J7" s="56"/>
      <c r="K7" s="56"/>
      <c r="L7" s="56"/>
      <c r="M7" s="56"/>
      <c r="N7" s="56"/>
      <c r="O7" s="56"/>
      <c r="P7" s="56"/>
      <c r="Q7" s="56"/>
      <c r="R7" s="56"/>
      <c r="S7" s="56"/>
      <c r="T7" s="57"/>
      <c r="V7" s="215" t="s">
        <v>201</v>
      </c>
      <c r="W7" s="253" t="s">
        <v>202</v>
      </c>
      <c r="X7" s="253"/>
      <c r="Y7" s="253"/>
      <c r="Z7" s="253"/>
      <c r="AA7" s="253"/>
    </row>
    <row r="8" spans="2:28" x14ac:dyDescent="0.3">
      <c r="B8" s="254"/>
      <c r="C8" s="254"/>
      <c r="D8" s="254"/>
      <c r="E8" s="254"/>
      <c r="F8" s="254"/>
      <c r="G8" s="254"/>
      <c r="H8" s="254"/>
      <c r="I8" s="254"/>
      <c r="J8" s="56"/>
      <c r="K8" s="56"/>
      <c r="L8" s="56"/>
      <c r="M8" s="56"/>
      <c r="N8" s="56"/>
      <c r="O8" s="56"/>
      <c r="P8" s="56"/>
      <c r="Q8" s="56"/>
      <c r="R8" s="56"/>
      <c r="S8" s="56"/>
      <c r="V8" s="215"/>
      <c r="W8" s="253" t="s">
        <v>203</v>
      </c>
      <c r="X8" s="253"/>
      <c r="Y8" s="253"/>
      <c r="Z8" s="253"/>
      <c r="AA8" s="253"/>
    </row>
    <row r="9" spans="2:28" x14ac:dyDescent="0.3">
      <c r="B9" s="254"/>
      <c r="C9" s="254"/>
      <c r="D9" s="254"/>
      <c r="E9" s="254"/>
      <c r="F9" s="254"/>
      <c r="G9" s="254"/>
      <c r="H9" s="254"/>
      <c r="I9" s="254"/>
      <c r="J9" s="56"/>
      <c r="K9" s="56"/>
      <c r="L9" s="56"/>
      <c r="M9" s="56"/>
      <c r="N9" s="56"/>
      <c r="O9" s="56"/>
      <c r="P9" s="56"/>
      <c r="Q9" s="56"/>
      <c r="R9" s="56"/>
      <c r="S9" s="56"/>
    </row>
    <row r="10" spans="2:28" ht="14.4" customHeight="1" x14ac:dyDescent="0.3">
      <c r="B10" s="254" t="s">
        <v>197</v>
      </c>
      <c r="C10" s="254"/>
      <c r="D10" s="254"/>
      <c r="E10" s="254"/>
      <c r="F10" s="254"/>
      <c r="G10" s="254"/>
      <c r="H10" s="254"/>
      <c r="I10" s="254"/>
      <c r="J10" s="56"/>
      <c r="K10" s="56"/>
      <c r="L10" s="56"/>
      <c r="M10" s="56"/>
      <c r="N10" s="56"/>
      <c r="O10" s="56"/>
      <c r="P10" s="56"/>
      <c r="Q10" s="56"/>
      <c r="R10" s="56"/>
      <c r="S10" s="56"/>
      <c r="V10" s="254" t="s">
        <v>205</v>
      </c>
      <c r="W10" s="254"/>
      <c r="X10" s="254"/>
      <c r="Y10" s="254"/>
      <c r="Z10" s="254"/>
      <c r="AA10" s="254"/>
      <c r="AB10" s="254"/>
    </row>
    <row r="11" spans="2:28" x14ac:dyDescent="0.3">
      <c r="B11" s="254"/>
      <c r="C11" s="254"/>
      <c r="D11" s="254"/>
      <c r="E11" s="254"/>
      <c r="F11" s="254"/>
      <c r="G11" s="254"/>
      <c r="H11" s="254"/>
      <c r="I11" s="254"/>
      <c r="J11" s="56"/>
      <c r="K11" s="56"/>
      <c r="L11" s="56"/>
      <c r="M11" s="56"/>
      <c r="N11" s="56"/>
      <c r="O11" s="56"/>
      <c r="P11" s="56"/>
      <c r="Q11" s="56"/>
      <c r="R11" s="56"/>
      <c r="S11" s="56"/>
      <c r="V11" s="254"/>
      <c r="W11" s="254"/>
      <c r="X11" s="254"/>
      <c r="Y11" s="254"/>
      <c r="Z11" s="254"/>
      <c r="AA11" s="254"/>
      <c r="AB11" s="254"/>
    </row>
    <row r="12" spans="2:28" x14ac:dyDescent="0.3">
      <c r="B12" s="254"/>
      <c r="C12" s="254"/>
      <c r="D12" s="254"/>
      <c r="E12" s="254"/>
      <c r="F12" s="254"/>
      <c r="G12" s="254"/>
      <c r="H12" s="254"/>
      <c r="I12" s="254"/>
      <c r="J12" s="56"/>
      <c r="K12" s="56"/>
      <c r="L12" s="56"/>
      <c r="M12" s="56"/>
      <c r="N12" s="56"/>
      <c r="O12" s="56"/>
      <c r="P12" s="56"/>
      <c r="Q12" s="56"/>
      <c r="R12" s="56"/>
      <c r="S12" s="56"/>
      <c r="V12" s="254"/>
      <c r="W12" s="254"/>
      <c r="X12" s="254"/>
      <c r="Y12" s="254"/>
      <c r="Z12" s="254"/>
      <c r="AA12" s="254"/>
      <c r="AB12" s="254"/>
    </row>
    <row r="13" spans="2:28" x14ac:dyDescent="0.3">
      <c r="B13" s="254"/>
      <c r="C13" s="254"/>
      <c r="D13" s="254"/>
      <c r="E13" s="254"/>
      <c r="F13" s="254"/>
      <c r="G13" s="254"/>
      <c r="H13" s="254"/>
      <c r="I13" s="254"/>
      <c r="J13" s="56"/>
      <c r="K13" s="56"/>
      <c r="L13" s="56"/>
      <c r="M13" s="56"/>
      <c r="N13" s="56"/>
      <c r="O13" s="56"/>
      <c r="P13" s="56"/>
      <c r="Q13" s="56"/>
      <c r="R13" s="56"/>
      <c r="S13" s="56"/>
      <c r="V13" s="254"/>
      <c r="W13" s="254"/>
      <c r="X13" s="254"/>
      <c r="Y13" s="254"/>
      <c r="Z13" s="254"/>
      <c r="AA13" s="254"/>
      <c r="AB13" s="254"/>
    </row>
  </sheetData>
  <mergeCells count="11">
    <mergeCell ref="W8:AA8"/>
    <mergeCell ref="V10:AB13"/>
    <mergeCell ref="L2:S4"/>
    <mergeCell ref="B2:I5"/>
    <mergeCell ref="B6:I9"/>
    <mergeCell ref="B10:I13"/>
    <mergeCell ref="V2:AB3"/>
    <mergeCell ref="V5:V6"/>
    <mergeCell ref="W5:AA6"/>
    <mergeCell ref="V7:V8"/>
    <mergeCell ref="W7:AA7"/>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6F797-F2FB-47C1-8720-0FEBD469F3D2}">
  <sheetPr>
    <pageSetUpPr fitToPage="1"/>
  </sheetPr>
  <dimension ref="B7:S45"/>
  <sheetViews>
    <sheetView zoomScale="63" zoomScaleNormal="63" workbookViewId="0">
      <selection activeCell="T16" sqref="T16"/>
    </sheetView>
  </sheetViews>
  <sheetFormatPr defaultRowHeight="14.4" x14ac:dyDescent="0.3"/>
  <sheetData>
    <row r="7" spans="2:19" x14ac:dyDescent="0.3">
      <c r="B7" s="97"/>
      <c r="C7" s="257" t="s">
        <v>206</v>
      </c>
      <c r="D7" s="257"/>
      <c r="E7" s="257"/>
      <c r="F7" s="257"/>
      <c r="G7" s="97"/>
      <c r="H7" s="97"/>
      <c r="I7" s="257" t="s">
        <v>207</v>
      </c>
      <c r="J7" s="257"/>
      <c r="K7" s="257"/>
      <c r="L7" s="257"/>
      <c r="M7" s="97"/>
      <c r="N7" s="97"/>
      <c r="O7" s="257" t="s">
        <v>208</v>
      </c>
      <c r="P7" s="257"/>
      <c r="Q7" s="257"/>
      <c r="R7" s="257"/>
      <c r="S7" s="97"/>
    </row>
    <row r="8" spans="2:19" x14ac:dyDescent="0.3">
      <c r="B8" s="97"/>
      <c r="C8" s="257"/>
      <c r="D8" s="257"/>
      <c r="E8" s="257"/>
      <c r="F8" s="257"/>
      <c r="G8" s="97"/>
      <c r="H8" s="97"/>
      <c r="I8" s="257"/>
      <c r="J8" s="257"/>
      <c r="K8" s="257"/>
      <c r="L8" s="257"/>
      <c r="M8" s="97"/>
      <c r="N8" s="97"/>
      <c r="O8" s="257"/>
      <c r="P8" s="257"/>
      <c r="Q8" s="257"/>
      <c r="R8" s="257"/>
      <c r="S8" s="97"/>
    </row>
    <row r="9" spans="2:19" x14ac:dyDescent="0.3">
      <c r="B9" s="97"/>
      <c r="C9" s="97"/>
      <c r="D9" s="97"/>
      <c r="E9" s="97"/>
      <c r="F9" s="97"/>
      <c r="G9" s="97"/>
      <c r="H9" s="97"/>
      <c r="I9" s="97"/>
      <c r="J9" s="97"/>
      <c r="K9" s="97"/>
      <c r="L9" s="97"/>
      <c r="M9" s="97"/>
      <c r="N9" s="97"/>
      <c r="O9" s="97"/>
      <c r="P9" s="97"/>
      <c r="Q9" s="97"/>
      <c r="R9" s="97"/>
      <c r="S9" s="97"/>
    </row>
    <row r="10" spans="2:19" x14ac:dyDescent="0.3">
      <c r="B10" s="97"/>
      <c r="C10" s="258" t="s">
        <v>210</v>
      </c>
      <c r="D10" s="258"/>
      <c r="E10" s="258"/>
      <c r="F10" s="258"/>
      <c r="G10" s="97"/>
      <c r="H10" s="97"/>
      <c r="I10" s="259" t="s">
        <v>210</v>
      </c>
      <c r="J10" s="260"/>
      <c r="K10" s="260"/>
      <c r="L10" s="261"/>
      <c r="M10" s="97"/>
      <c r="N10" s="97"/>
      <c r="O10" s="259" t="s">
        <v>210</v>
      </c>
      <c r="P10" s="260"/>
      <c r="Q10" s="260"/>
      <c r="R10" s="261"/>
      <c r="S10" s="97"/>
    </row>
    <row r="11" spans="2:19" x14ac:dyDescent="0.3">
      <c r="B11" s="97"/>
      <c r="C11" s="258"/>
      <c r="D11" s="258"/>
      <c r="E11" s="258"/>
      <c r="F11" s="258"/>
      <c r="G11" s="97"/>
      <c r="H11" s="97"/>
      <c r="I11" s="262"/>
      <c r="J11" s="263"/>
      <c r="K11" s="263"/>
      <c r="L11" s="264"/>
      <c r="M11" s="97"/>
      <c r="N11" s="97"/>
      <c r="O11" s="262"/>
      <c r="P11" s="263"/>
      <c r="Q11" s="263"/>
      <c r="R11" s="264"/>
      <c r="S11" s="97"/>
    </row>
    <row r="12" spans="2:19" x14ac:dyDescent="0.3">
      <c r="B12" s="97"/>
      <c r="C12" s="97"/>
      <c r="D12" s="97"/>
      <c r="E12" s="97"/>
      <c r="F12" s="97"/>
      <c r="G12" s="97"/>
      <c r="H12" s="97"/>
      <c r="I12" s="97"/>
      <c r="J12" s="97"/>
      <c r="K12" s="97"/>
      <c r="L12" s="97"/>
      <c r="M12" s="97"/>
      <c r="N12" s="97"/>
      <c r="O12" s="97"/>
      <c r="P12" s="97"/>
      <c r="Q12" s="97"/>
      <c r="R12" s="97"/>
      <c r="S12" s="97"/>
    </row>
    <row r="13" spans="2:19" x14ac:dyDescent="0.3">
      <c r="B13" s="97"/>
      <c r="C13" s="97"/>
      <c r="D13" s="97"/>
      <c r="E13" s="97"/>
      <c r="F13" s="97"/>
      <c r="G13" s="97"/>
      <c r="H13" s="97"/>
      <c r="I13" s="97"/>
      <c r="J13" s="97"/>
      <c r="K13" s="97"/>
      <c r="L13" s="97"/>
      <c r="M13" s="97"/>
      <c r="N13" s="97"/>
      <c r="O13" s="97"/>
      <c r="P13" s="97"/>
      <c r="Q13" s="97"/>
      <c r="R13" s="97"/>
      <c r="S13" s="97"/>
    </row>
    <row r="14" spans="2:19" x14ac:dyDescent="0.3">
      <c r="B14" s="97"/>
      <c r="C14" s="258" t="s">
        <v>211</v>
      </c>
      <c r="D14" s="258"/>
      <c r="E14" s="258"/>
      <c r="F14" s="258"/>
      <c r="G14" s="97"/>
      <c r="H14" s="97"/>
      <c r="I14" s="259" t="s">
        <v>211</v>
      </c>
      <c r="J14" s="260"/>
      <c r="K14" s="260"/>
      <c r="L14" s="261"/>
      <c r="M14" s="97"/>
      <c r="N14" s="97"/>
      <c r="O14" s="259" t="s">
        <v>211</v>
      </c>
      <c r="P14" s="260"/>
      <c r="Q14" s="260"/>
      <c r="R14" s="261"/>
      <c r="S14" s="97"/>
    </row>
    <row r="15" spans="2:19" x14ac:dyDescent="0.3">
      <c r="B15" s="97"/>
      <c r="C15" s="258"/>
      <c r="D15" s="258"/>
      <c r="E15" s="258"/>
      <c r="F15" s="258"/>
      <c r="G15" s="97"/>
      <c r="H15" s="97"/>
      <c r="I15" s="262"/>
      <c r="J15" s="263"/>
      <c r="K15" s="263"/>
      <c r="L15" s="264"/>
      <c r="M15" s="97"/>
      <c r="N15" s="97"/>
      <c r="O15" s="262"/>
      <c r="P15" s="263"/>
      <c r="Q15" s="263"/>
      <c r="R15" s="264"/>
      <c r="S15" s="97"/>
    </row>
    <row r="16" spans="2:19" x14ac:dyDescent="0.3">
      <c r="B16" s="97"/>
      <c r="C16" s="97"/>
      <c r="D16" s="97"/>
      <c r="E16" s="97"/>
      <c r="F16" s="97"/>
      <c r="G16" s="97"/>
      <c r="H16" s="97"/>
      <c r="I16" s="97"/>
      <c r="J16" s="97"/>
      <c r="K16" s="97"/>
      <c r="L16" s="97"/>
      <c r="M16" s="97"/>
      <c r="N16" s="97"/>
      <c r="O16" s="97"/>
      <c r="P16" s="97"/>
      <c r="Q16" s="97"/>
      <c r="R16" s="97"/>
      <c r="S16" s="97"/>
    </row>
    <row r="17" spans="2:19" x14ac:dyDescent="0.3">
      <c r="B17" s="97"/>
      <c r="C17" s="97"/>
      <c r="D17" s="97"/>
      <c r="E17" s="97"/>
      <c r="F17" s="97"/>
      <c r="G17" s="97"/>
      <c r="H17" s="97"/>
      <c r="I17" s="97"/>
      <c r="J17" s="97"/>
      <c r="K17" s="97"/>
      <c r="L17" s="97"/>
      <c r="M17" s="97"/>
      <c r="N17" s="97"/>
      <c r="O17" s="97"/>
      <c r="P17" s="97"/>
      <c r="Q17" s="97"/>
      <c r="R17" s="97"/>
      <c r="S17" s="97"/>
    </row>
    <row r="18" spans="2:19" x14ac:dyDescent="0.3">
      <c r="B18" s="97"/>
      <c r="C18" s="258" t="s">
        <v>212</v>
      </c>
      <c r="D18" s="258"/>
      <c r="E18" s="258"/>
      <c r="F18" s="258"/>
      <c r="G18" s="97"/>
      <c r="H18" s="97"/>
      <c r="I18" s="265" t="s">
        <v>212</v>
      </c>
      <c r="J18" s="265"/>
      <c r="K18" s="265"/>
      <c r="L18" s="265"/>
      <c r="M18" s="97"/>
      <c r="N18" s="97"/>
      <c r="O18" s="265" t="s">
        <v>212</v>
      </c>
      <c r="P18" s="265"/>
      <c r="Q18" s="265"/>
      <c r="R18" s="265"/>
      <c r="S18" s="97"/>
    </row>
    <row r="19" spans="2:19" x14ac:dyDescent="0.3">
      <c r="B19" s="97"/>
      <c r="C19" s="258"/>
      <c r="D19" s="258"/>
      <c r="E19" s="258"/>
      <c r="F19" s="258"/>
      <c r="G19" s="97"/>
      <c r="H19" s="97"/>
      <c r="I19" s="265"/>
      <c r="J19" s="265"/>
      <c r="K19" s="265"/>
      <c r="L19" s="265"/>
      <c r="M19" s="97"/>
      <c r="N19" s="97"/>
      <c r="O19" s="265"/>
      <c r="P19" s="265"/>
      <c r="Q19" s="265"/>
      <c r="R19" s="265"/>
      <c r="S19" s="97"/>
    </row>
    <row r="20" spans="2:19" x14ac:dyDescent="0.3">
      <c r="B20" s="97"/>
      <c r="C20" s="97"/>
      <c r="D20" s="97"/>
      <c r="E20" s="97"/>
      <c r="F20" s="97"/>
      <c r="G20" s="97"/>
      <c r="H20" s="97"/>
      <c r="I20" s="97"/>
      <c r="J20" s="97"/>
      <c r="K20" s="97"/>
      <c r="L20" s="97"/>
      <c r="M20" s="97"/>
      <c r="N20" s="97"/>
      <c r="O20" s="97"/>
      <c r="P20" s="97"/>
      <c r="Q20" s="97"/>
      <c r="R20" s="97"/>
      <c r="S20" s="97"/>
    </row>
    <row r="21" spans="2:19" x14ac:dyDescent="0.3">
      <c r="B21" s="97"/>
      <c r="C21" s="97"/>
      <c r="D21" s="97"/>
      <c r="E21" s="97"/>
      <c r="F21" s="97"/>
      <c r="G21" s="97"/>
      <c r="H21" s="97"/>
      <c r="I21" s="97"/>
      <c r="J21" s="97"/>
      <c r="K21" s="97"/>
      <c r="L21" s="97"/>
      <c r="M21" s="97"/>
      <c r="N21" s="97"/>
      <c r="O21" s="97"/>
      <c r="P21" s="97"/>
      <c r="Q21" s="97"/>
      <c r="R21" s="97"/>
      <c r="S21" s="97"/>
    </row>
    <row r="22" spans="2:19" x14ac:dyDescent="0.3">
      <c r="B22" s="97"/>
      <c r="C22" s="258" t="s">
        <v>213</v>
      </c>
      <c r="D22" s="258"/>
      <c r="E22" s="258"/>
      <c r="F22" s="258"/>
      <c r="G22" s="97"/>
      <c r="H22" s="97"/>
      <c r="I22" s="265" t="s">
        <v>213</v>
      </c>
      <c r="J22" s="265"/>
      <c r="K22" s="265"/>
      <c r="L22" s="265"/>
      <c r="M22" s="97"/>
      <c r="N22" s="97"/>
      <c r="O22" s="265" t="s">
        <v>213</v>
      </c>
      <c r="P22" s="265"/>
      <c r="Q22" s="265"/>
      <c r="R22" s="265"/>
      <c r="S22" s="97"/>
    </row>
    <row r="23" spans="2:19" x14ac:dyDescent="0.3">
      <c r="B23" s="97"/>
      <c r="C23" s="258"/>
      <c r="D23" s="258"/>
      <c r="E23" s="258"/>
      <c r="F23" s="258"/>
      <c r="G23" s="97"/>
      <c r="H23" s="97"/>
      <c r="I23" s="265"/>
      <c r="J23" s="265"/>
      <c r="K23" s="265"/>
      <c r="L23" s="265"/>
      <c r="M23" s="97"/>
      <c r="N23" s="97"/>
      <c r="O23" s="265"/>
      <c r="P23" s="265"/>
      <c r="Q23" s="265"/>
      <c r="R23" s="265"/>
      <c r="S23" s="97"/>
    </row>
    <row r="24" spans="2:19" x14ac:dyDescent="0.3">
      <c r="B24" s="97"/>
      <c r="C24" s="97"/>
      <c r="D24" s="97"/>
      <c r="E24" s="97"/>
      <c r="F24" s="97"/>
      <c r="G24" s="97"/>
      <c r="H24" s="97"/>
      <c r="I24" s="97"/>
      <c r="J24" s="97"/>
      <c r="K24" s="97"/>
      <c r="L24" s="97"/>
      <c r="M24" s="97"/>
      <c r="N24" s="97"/>
      <c r="O24" s="97"/>
      <c r="P24" s="97"/>
      <c r="Q24" s="97"/>
      <c r="R24" s="97"/>
      <c r="S24" s="97"/>
    </row>
    <row r="25" spans="2:19" x14ac:dyDescent="0.3">
      <c r="B25" s="97"/>
      <c r="C25" s="97"/>
      <c r="D25" s="97"/>
      <c r="E25" s="97"/>
      <c r="F25" s="97"/>
      <c r="G25" s="97"/>
      <c r="H25" s="97"/>
      <c r="I25" s="97"/>
      <c r="J25" s="97"/>
      <c r="K25" s="97"/>
      <c r="L25" s="97"/>
      <c r="M25" s="97"/>
      <c r="N25" s="97"/>
      <c r="O25" s="97"/>
      <c r="P25" s="97"/>
      <c r="Q25" s="97"/>
      <c r="R25" s="97"/>
      <c r="S25" s="97"/>
    </row>
    <row r="26" spans="2:19" x14ac:dyDescent="0.3">
      <c r="B26" s="97"/>
      <c r="C26" s="258" t="s">
        <v>214</v>
      </c>
      <c r="D26" s="258"/>
      <c r="E26" s="258"/>
      <c r="F26" s="258"/>
      <c r="G26" s="97"/>
      <c r="H26" s="97"/>
      <c r="I26" s="265" t="s">
        <v>218</v>
      </c>
      <c r="J26" s="265"/>
      <c r="K26" s="265"/>
      <c r="L26" s="265"/>
      <c r="M26" s="97"/>
      <c r="N26" s="97"/>
      <c r="O26" s="265" t="s">
        <v>214</v>
      </c>
      <c r="P26" s="265"/>
      <c r="Q26" s="265"/>
      <c r="R26" s="265"/>
      <c r="S26" s="97"/>
    </row>
    <row r="27" spans="2:19" x14ac:dyDescent="0.3">
      <c r="B27" s="97"/>
      <c r="C27" s="258"/>
      <c r="D27" s="258"/>
      <c r="E27" s="258"/>
      <c r="F27" s="258"/>
      <c r="G27" s="97"/>
      <c r="H27" s="97"/>
      <c r="I27" s="265"/>
      <c r="J27" s="265"/>
      <c r="K27" s="265"/>
      <c r="L27" s="265"/>
      <c r="M27" s="97"/>
      <c r="N27" s="97"/>
      <c r="O27" s="265"/>
      <c r="P27" s="265"/>
      <c r="Q27" s="265"/>
      <c r="R27" s="265"/>
      <c r="S27" s="97"/>
    </row>
    <row r="28" spans="2:19" x14ac:dyDescent="0.3">
      <c r="B28" s="97"/>
      <c r="C28" s="97"/>
      <c r="D28" s="97"/>
      <c r="E28" s="97"/>
      <c r="F28" s="97"/>
      <c r="G28" s="97"/>
      <c r="H28" s="97"/>
      <c r="I28" s="97"/>
      <c r="J28" s="97"/>
      <c r="K28" s="97"/>
      <c r="L28" s="97"/>
      <c r="M28" s="97"/>
      <c r="N28" s="97"/>
      <c r="O28" s="97"/>
      <c r="P28" s="97"/>
      <c r="Q28" s="97"/>
      <c r="R28" s="97"/>
      <c r="S28" s="97"/>
    </row>
    <row r="29" spans="2:19" x14ac:dyDescent="0.3">
      <c r="B29" s="97"/>
      <c r="C29" s="97"/>
      <c r="D29" s="97"/>
      <c r="E29" s="97"/>
      <c r="F29" s="97"/>
      <c r="G29" s="97"/>
      <c r="H29" s="97"/>
      <c r="I29" s="97"/>
      <c r="J29" s="97"/>
      <c r="K29" s="97"/>
      <c r="L29" s="97"/>
      <c r="M29" s="97"/>
      <c r="N29" s="97"/>
      <c r="O29" s="97"/>
      <c r="P29" s="97"/>
      <c r="Q29" s="97"/>
      <c r="R29" s="97"/>
      <c r="S29" s="97"/>
    </row>
    <row r="30" spans="2:19" x14ac:dyDescent="0.3">
      <c r="B30" s="97"/>
      <c r="C30" s="258" t="s">
        <v>215</v>
      </c>
      <c r="D30" s="258"/>
      <c r="E30" s="258"/>
      <c r="F30" s="258"/>
      <c r="G30" s="97"/>
      <c r="H30" s="97"/>
      <c r="I30" s="265" t="s">
        <v>214</v>
      </c>
      <c r="J30" s="265"/>
      <c r="K30" s="265"/>
      <c r="L30" s="265"/>
      <c r="M30" s="97"/>
      <c r="N30" s="97"/>
      <c r="O30" s="265" t="s">
        <v>215</v>
      </c>
      <c r="P30" s="265"/>
      <c r="Q30" s="265"/>
      <c r="R30" s="265"/>
      <c r="S30" s="97"/>
    </row>
    <row r="31" spans="2:19" x14ac:dyDescent="0.3">
      <c r="B31" s="97"/>
      <c r="C31" s="258"/>
      <c r="D31" s="258"/>
      <c r="E31" s="258"/>
      <c r="F31" s="258"/>
      <c r="G31" s="97"/>
      <c r="H31" s="97"/>
      <c r="I31" s="265"/>
      <c r="J31" s="265"/>
      <c r="K31" s="265"/>
      <c r="L31" s="265"/>
      <c r="M31" s="97"/>
      <c r="N31" s="97"/>
      <c r="O31" s="265"/>
      <c r="P31" s="265"/>
      <c r="Q31" s="265"/>
      <c r="R31" s="265"/>
      <c r="S31" s="97"/>
    </row>
    <row r="32" spans="2:19" x14ac:dyDescent="0.3">
      <c r="B32" s="97"/>
      <c r="C32" s="97"/>
      <c r="D32" s="97"/>
      <c r="E32" s="97"/>
      <c r="F32" s="97"/>
      <c r="G32" s="97"/>
      <c r="H32" s="97"/>
      <c r="I32" s="97"/>
      <c r="J32" s="97"/>
      <c r="K32" s="97"/>
      <c r="L32" s="97"/>
      <c r="M32" s="97"/>
      <c r="N32" s="97"/>
      <c r="O32" s="97"/>
      <c r="P32" s="97"/>
      <c r="Q32" s="97"/>
      <c r="R32" s="97"/>
      <c r="S32" s="97"/>
    </row>
    <row r="33" spans="2:19" x14ac:dyDescent="0.3">
      <c r="B33" s="97"/>
      <c r="C33" s="97"/>
      <c r="D33" s="97"/>
      <c r="E33" s="97"/>
      <c r="F33" s="97"/>
      <c r="G33" s="97"/>
      <c r="H33" s="97"/>
      <c r="I33" s="97"/>
      <c r="J33" s="97"/>
      <c r="K33" s="97"/>
      <c r="L33" s="97"/>
      <c r="M33" s="97"/>
      <c r="N33" s="97"/>
      <c r="O33" s="97"/>
      <c r="P33" s="97"/>
      <c r="Q33" s="97"/>
      <c r="R33" s="97"/>
      <c r="S33" s="97"/>
    </row>
    <row r="34" spans="2:19" x14ac:dyDescent="0.3">
      <c r="B34" s="97"/>
      <c r="C34" s="258" t="s">
        <v>216</v>
      </c>
      <c r="D34" s="258"/>
      <c r="E34" s="258"/>
      <c r="F34" s="258"/>
      <c r="G34" s="97"/>
      <c r="H34" s="97"/>
      <c r="I34" s="265" t="s">
        <v>215</v>
      </c>
      <c r="J34" s="265"/>
      <c r="K34" s="265"/>
      <c r="L34" s="265"/>
      <c r="M34" s="97"/>
      <c r="N34" s="97"/>
      <c r="O34" s="265" t="s">
        <v>216</v>
      </c>
      <c r="P34" s="265"/>
      <c r="Q34" s="265"/>
      <c r="R34" s="265"/>
      <c r="S34" s="97"/>
    </row>
    <row r="35" spans="2:19" x14ac:dyDescent="0.3">
      <c r="B35" s="97"/>
      <c r="C35" s="258"/>
      <c r="D35" s="258"/>
      <c r="E35" s="258"/>
      <c r="F35" s="258"/>
      <c r="G35" s="97"/>
      <c r="H35" s="97"/>
      <c r="I35" s="265"/>
      <c r="J35" s="265"/>
      <c r="K35" s="265"/>
      <c r="L35" s="265"/>
      <c r="M35" s="97"/>
      <c r="N35" s="97"/>
      <c r="O35" s="265"/>
      <c r="P35" s="265"/>
      <c r="Q35" s="265"/>
      <c r="R35" s="265"/>
      <c r="S35" s="97"/>
    </row>
    <row r="36" spans="2:19" x14ac:dyDescent="0.3">
      <c r="B36" s="97"/>
      <c r="C36" s="97"/>
      <c r="D36" s="97"/>
      <c r="E36" s="97"/>
      <c r="F36" s="97"/>
      <c r="G36" s="97"/>
      <c r="H36" s="97"/>
      <c r="I36" s="97"/>
      <c r="J36" s="97"/>
      <c r="K36" s="97"/>
      <c r="L36" s="97"/>
      <c r="M36" s="97"/>
      <c r="N36" s="97"/>
      <c r="O36" s="97"/>
      <c r="P36" s="97"/>
      <c r="Q36" s="97"/>
      <c r="R36" s="97"/>
      <c r="S36" s="97"/>
    </row>
    <row r="37" spans="2:19" x14ac:dyDescent="0.3">
      <c r="B37" s="97"/>
      <c r="C37" s="97"/>
      <c r="D37" s="97"/>
      <c r="E37" s="97"/>
      <c r="F37" s="97"/>
      <c r="G37" s="97"/>
      <c r="H37" s="97"/>
      <c r="I37" s="97"/>
      <c r="J37" s="97"/>
      <c r="K37" s="97"/>
      <c r="L37" s="97"/>
      <c r="M37" s="97"/>
      <c r="N37" s="97"/>
      <c r="O37" s="97"/>
      <c r="P37" s="97"/>
      <c r="Q37" s="97"/>
      <c r="R37" s="97"/>
      <c r="S37" s="97"/>
    </row>
    <row r="38" spans="2:19" x14ac:dyDescent="0.3">
      <c r="B38" s="97"/>
      <c r="C38" s="258" t="s">
        <v>217</v>
      </c>
      <c r="D38" s="258"/>
      <c r="E38" s="258"/>
      <c r="F38" s="258"/>
      <c r="G38" s="97"/>
      <c r="H38" s="97"/>
      <c r="I38" s="265" t="s">
        <v>219</v>
      </c>
      <c r="J38" s="265"/>
      <c r="K38" s="265"/>
      <c r="L38" s="265"/>
      <c r="M38" s="97"/>
      <c r="N38" s="97"/>
      <c r="O38" s="265" t="s">
        <v>217</v>
      </c>
      <c r="P38" s="265"/>
      <c r="Q38" s="265"/>
      <c r="R38" s="265"/>
      <c r="S38" s="97"/>
    </row>
    <row r="39" spans="2:19" x14ac:dyDescent="0.3">
      <c r="B39" s="97"/>
      <c r="C39" s="258"/>
      <c r="D39" s="258"/>
      <c r="E39" s="258"/>
      <c r="F39" s="258"/>
      <c r="G39" s="97"/>
      <c r="H39" s="97"/>
      <c r="I39" s="265"/>
      <c r="J39" s="265"/>
      <c r="K39" s="265"/>
      <c r="L39" s="265"/>
      <c r="M39" s="97"/>
      <c r="N39" s="97"/>
      <c r="O39" s="265"/>
      <c r="P39" s="265"/>
      <c r="Q39" s="265"/>
      <c r="R39" s="265"/>
      <c r="S39" s="97"/>
    </row>
    <row r="40" spans="2:19" x14ac:dyDescent="0.3">
      <c r="B40" s="97"/>
      <c r="C40" s="97"/>
      <c r="D40" s="97"/>
      <c r="E40" s="97"/>
      <c r="F40" s="97"/>
      <c r="G40" s="97"/>
      <c r="H40" s="97"/>
      <c r="I40" s="97"/>
      <c r="J40" s="97"/>
      <c r="K40" s="97"/>
      <c r="L40" s="97"/>
      <c r="M40" s="97"/>
      <c r="N40" s="97"/>
      <c r="O40" s="97"/>
      <c r="P40" s="97"/>
      <c r="Q40" s="97"/>
      <c r="R40" s="97"/>
      <c r="S40" s="97"/>
    </row>
    <row r="41" spans="2:19" x14ac:dyDescent="0.3">
      <c r="B41" s="97"/>
      <c r="C41" s="97"/>
      <c r="D41" s="97"/>
      <c r="E41" s="97"/>
      <c r="F41" s="97"/>
      <c r="G41" s="97"/>
      <c r="H41" s="97"/>
      <c r="I41" s="97"/>
      <c r="J41" s="97"/>
      <c r="K41" s="97"/>
      <c r="L41" s="97"/>
      <c r="M41" s="97"/>
      <c r="N41" s="97"/>
      <c r="O41" s="97"/>
      <c r="P41" s="97"/>
      <c r="Q41" s="97"/>
      <c r="R41" s="97"/>
      <c r="S41" s="97"/>
    </row>
    <row r="42" spans="2:19" x14ac:dyDescent="0.3">
      <c r="G42" s="97"/>
      <c r="H42" s="97"/>
      <c r="I42" s="265" t="s">
        <v>217</v>
      </c>
      <c r="J42" s="265"/>
      <c r="K42" s="265"/>
      <c r="L42" s="265"/>
      <c r="M42" s="97"/>
      <c r="N42" s="97"/>
      <c r="O42" s="97"/>
      <c r="P42" s="97"/>
      <c r="Q42" s="97"/>
      <c r="R42" s="97"/>
      <c r="S42" s="97"/>
    </row>
    <row r="43" spans="2:19" x14ac:dyDescent="0.3">
      <c r="G43" s="97"/>
      <c r="H43" s="97"/>
      <c r="I43" s="265"/>
      <c r="J43" s="265"/>
      <c r="K43" s="265"/>
      <c r="L43" s="265"/>
      <c r="M43" s="97"/>
      <c r="N43" s="97"/>
      <c r="O43" s="97"/>
      <c r="P43" s="97"/>
      <c r="Q43" s="97"/>
      <c r="R43" s="97"/>
      <c r="S43" s="97"/>
    </row>
    <row r="44" spans="2:19" x14ac:dyDescent="0.3">
      <c r="G44" s="97"/>
      <c r="H44" s="97"/>
      <c r="I44" s="97"/>
      <c r="J44" s="97"/>
      <c r="K44" s="97"/>
      <c r="L44" s="97"/>
      <c r="M44" s="97"/>
      <c r="N44" s="97"/>
      <c r="O44" s="97"/>
      <c r="P44" s="97"/>
      <c r="Q44" s="97"/>
      <c r="R44" s="97"/>
      <c r="S44" s="97"/>
    </row>
    <row r="45" spans="2:19" x14ac:dyDescent="0.3">
      <c r="G45" s="97"/>
      <c r="H45" s="97"/>
      <c r="I45" s="97"/>
      <c r="J45" s="97"/>
      <c r="K45" s="97"/>
      <c r="L45" s="97"/>
      <c r="M45" s="97"/>
      <c r="N45" s="97"/>
      <c r="O45" s="97"/>
      <c r="P45" s="97"/>
      <c r="Q45" s="97"/>
      <c r="R45" s="97"/>
      <c r="S45" s="97"/>
    </row>
  </sheetData>
  <mergeCells count="28">
    <mergeCell ref="C38:F39"/>
    <mergeCell ref="I38:L39"/>
    <mergeCell ref="O34:R35"/>
    <mergeCell ref="I42:L43"/>
    <mergeCell ref="O38:R39"/>
    <mergeCell ref="C30:F31"/>
    <mergeCell ref="I30:L31"/>
    <mergeCell ref="O26:R27"/>
    <mergeCell ref="C34:F35"/>
    <mergeCell ref="I34:L35"/>
    <mergeCell ref="O30:R31"/>
    <mergeCell ref="C22:F23"/>
    <mergeCell ref="I22:L23"/>
    <mergeCell ref="C26:F27"/>
    <mergeCell ref="I26:L27"/>
    <mergeCell ref="O22:R23"/>
    <mergeCell ref="C14:F15"/>
    <mergeCell ref="I14:L15"/>
    <mergeCell ref="O14:R15"/>
    <mergeCell ref="C18:F19"/>
    <mergeCell ref="I18:L19"/>
    <mergeCell ref="O18:R19"/>
    <mergeCell ref="C7:F8"/>
    <mergeCell ref="I7:L8"/>
    <mergeCell ref="O7:R8"/>
    <mergeCell ref="C10:F11"/>
    <mergeCell ref="I10:L11"/>
    <mergeCell ref="O10:R11"/>
  </mergeCells>
  <pageMargins left="0.7" right="0.7" top="0.75" bottom="0.75" header="0.3" footer="0.3"/>
  <pageSetup scale="6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935C8-81C3-4471-A8CF-F8A3EA893E2E}">
  <dimension ref="A2:U23"/>
  <sheetViews>
    <sheetView topLeftCell="H3" zoomScale="83" zoomScaleNormal="83" workbookViewId="0">
      <selection activeCell="I10" sqref="I10"/>
    </sheetView>
  </sheetViews>
  <sheetFormatPr defaultRowHeight="14.4" x14ac:dyDescent="0.3"/>
  <cols>
    <col min="2" max="2" width="27.109375" customWidth="1"/>
    <col min="3" max="3" width="14.109375" customWidth="1"/>
    <col min="4" max="4" width="24.88671875" customWidth="1"/>
    <col min="5" max="5" width="13.5546875" customWidth="1"/>
    <col min="6" max="6" width="19.109375" customWidth="1"/>
    <col min="7" max="7" width="13.5546875" customWidth="1"/>
    <col min="8" max="8" width="24.5546875" customWidth="1"/>
    <col min="9" max="9" width="13.5546875" customWidth="1"/>
    <col min="10" max="10" width="32.44140625" customWidth="1"/>
    <col min="11" max="11" width="13.5546875" customWidth="1"/>
    <col min="12" max="12" width="31.44140625" customWidth="1"/>
    <col min="13" max="13" width="13.5546875" customWidth="1"/>
    <col min="14" max="14" width="24.21875" customWidth="1"/>
    <col min="15" max="15" width="13.5546875" customWidth="1"/>
    <col min="16" max="16" width="23.109375" customWidth="1"/>
    <col min="17" max="17" width="13.5546875" customWidth="1"/>
    <col min="18" max="18" width="21.44140625" customWidth="1"/>
    <col min="19" max="19" width="13.88671875" customWidth="1"/>
    <col min="20" max="20" width="22.5546875" customWidth="1"/>
  </cols>
  <sheetData>
    <row r="2" spans="1:21" x14ac:dyDescent="0.3">
      <c r="A2" s="97"/>
      <c r="B2" s="97"/>
      <c r="C2" s="97"/>
      <c r="D2" s="97"/>
      <c r="E2" s="97"/>
      <c r="F2" s="97"/>
      <c r="G2" s="97"/>
      <c r="H2" s="97"/>
      <c r="I2" s="97"/>
      <c r="J2" s="97"/>
      <c r="K2" s="97"/>
      <c r="L2" s="97"/>
      <c r="M2" s="97"/>
      <c r="N2" s="97"/>
      <c r="O2" s="97"/>
      <c r="P2" s="97"/>
      <c r="Q2" s="97"/>
      <c r="R2" s="97"/>
      <c r="S2" s="97"/>
      <c r="T2" s="97"/>
      <c r="U2" s="97"/>
    </row>
    <row r="3" spans="1:21" ht="15" thickBot="1" x14ac:dyDescent="0.35">
      <c r="A3" s="97"/>
      <c r="B3" s="98" t="s">
        <v>239</v>
      </c>
      <c r="C3" s="97"/>
      <c r="D3" s="97"/>
      <c r="E3" s="97"/>
      <c r="F3" s="97"/>
      <c r="G3" s="97"/>
      <c r="H3" s="97"/>
      <c r="I3" s="97"/>
      <c r="J3" s="97"/>
      <c r="K3" s="97"/>
      <c r="L3" s="97"/>
      <c r="M3" s="97"/>
      <c r="N3" s="97"/>
      <c r="O3" s="97"/>
      <c r="P3" s="97"/>
      <c r="Q3" s="97"/>
      <c r="R3" s="97"/>
      <c r="S3" s="97"/>
      <c r="T3" s="97"/>
      <c r="U3" s="97"/>
    </row>
    <row r="4" spans="1:21" x14ac:dyDescent="0.3">
      <c r="A4" s="97"/>
      <c r="B4" s="97"/>
      <c r="C4" s="97"/>
      <c r="D4" s="97"/>
      <c r="E4" s="97"/>
      <c r="F4" s="97"/>
      <c r="G4" s="97"/>
      <c r="H4" s="97"/>
      <c r="I4" s="97"/>
      <c r="J4" s="97"/>
      <c r="K4" s="97"/>
      <c r="L4" s="97"/>
      <c r="M4" s="97"/>
      <c r="N4" s="97"/>
      <c r="O4" s="97"/>
      <c r="P4" s="97"/>
      <c r="Q4" s="97"/>
      <c r="R4" s="97"/>
      <c r="S4" s="97"/>
      <c r="T4" s="97"/>
      <c r="U4" s="97"/>
    </row>
    <row r="5" spans="1:21" ht="15" thickBot="1" x14ac:dyDescent="0.35">
      <c r="A5" s="97"/>
      <c r="B5" s="99" t="s">
        <v>243</v>
      </c>
      <c r="C5" s="100" t="s">
        <v>242</v>
      </c>
      <c r="D5" s="100" t="s">
        <v>246</v>
      </c>
      <c r="E5" s="100" t="s">
        <v>209</v>
      </c>
      <c r="F5" s="100" t="s">
        <v>245</v>
      </c>
      <c r="G5" s="100" t="s">
        <v>209</v>
      </c>
      <c r="H5" s="100" t="s">
        <v>247</v>
      </c>
      <c r="I5" s="100" t="s">
        <v>209</v>
      </c>
      <c r="J5" s="100" t="s">
        <v>249</v>
      </c>
      <c r="K5" s="100" t="s">
        <v>209</v>
      </c>
      <c r="L5" s="100" t="s">
        <v>250</v>
      </c>
      <c r="M5" s="100" t="s">
        <v>209</v>
      </c>
      <c r="N5" s="100" t="s">
        <v>251</v>
      </c>
      <c r="O5" s="100" t="s">
        <v>209</v>
      </c>
      <c r="P5" s="100" t="s">
        <v>254</v>
      </c>
      <c r="Q5" s="100" t="s">
        <v>209</v>
      </c>
      <c r="R5" s="100" t="s">
        <v>252</v>
      </c>
      <c r="S5" s="97"/>
      <c r="T5" s="97"/>
      <c r="U5" s="97"/>
    </row>
    <row r="6" spans="1:21" x14ac:dyDescent="0.3">
      <c r="A6" s="97"/>
      <c r="B6" s="97" t="s">
        <v>248</v>
      </c>
      <c r="C6" s="101">
        <v>100</v>
      </c>
      <c r="D6" s="102">
        <v>0</v>
      </c>
      <c r="E6" s="101">
        <f>C6-(C6*D6)</f>
        <v>100</v>
      </c>
      <c r="F6" s="102">
        <v>0</v>
      </c>
      <c r="G6" s="101">
        <f>E6-(E6*F6)</f>
        <v>100</v>
      </c>
      <c r="H6" s="102">
        <v>0</v>
      </c>
      <c r="I6" s="101">
        <f>G6-(G6*H6)</f>
        <v>100</v>
      </c>
      <c r="J6" s="102">
        <v>0.88</v>
      </c>
      <c r="K6" s="101">
        <f>I6-(I6*J6)</f>
        <v>12</v>
      </c>
      <c r="L6" s="102">
        <v>0.91</v>
      </c>
      <c r="M6" s="101">
        <f>K6-(K6*L6)</f>
        <v>1.08</v>
      </c>
      <c r="N6" s="102">
        <v>0.91</v>
      </c>
      <c r="O6" s="103">
        <f>M6-(M6*N6)</f>
        <v>9.7199999999999953E-2</v>
      </c>
      <c r="P6" s="102">
        <v>0</v>
      </c>
      <c r="Q6" s="103">
        <f>O6-(O6*P6)</f>
        <v>9.7199999999999953E-2</v>
      </c>
      <c r="R6" s="101">
        <v>15</v>
      </c>
      <c r="S6" s="97"/>
      <c r="T6" s="97"/>
      <c r="U6" s="97"/>
    </row>
    <row r="7" spans="1:21" x14ac:dyDescent="0.3">
      <c r="A7" s="97"/>
      <c r="B7" s="97" t="s">
        <v>244</v>
      </c>
      <c r="C7" s="101">
        <v>175</v>
      </c>
      <c r="D7" s="102">
        <v>0</v>
      </c>
      <c r="E7" s="101">
        <f>C7-(C7*D7)</f>
        <v>175</v>
      </c>
      <c r="F7" s="102">
        <v>0</v>
      </c>
      <c r="G7" s="101">
        <f>E7-(E7*F7)</f>
        <v>175</v>
      </c>
      <c r="H7" s="102">
        <v>0</v>
      </c>
      <c r="I7" s="101">
        <f>G7-(G7*H7)</f>
        <v>175</v>
      </c>
      <c r="J7" s="102">
        <v>0.7</v>
      </c>
      <c r="K7" s="101">
        <f>I7-(I7*J7)</f>
        <v>52.500000000000014</v>
      </c>
      <c r="L7" s="102">
        <v>0</v>
      </c>
      <c r="M7" s="101">
        <f>K7-(K7*L7)</f>
        <v>52.500000000000014</v>
      </c>
      <c r="N7" s="102">
        <v>0</v>
      </c>
      <c r="O7" s="103">
        <f>M7-(M7*N7)</f>
        <v>52.500000000000014</v>
      </c>
      <c r="P7" s="102">
        <v>0.9</v>
      </c>
      <c r="Q7" s="103">
        <f>O7-(O7*P7)</f>
        <v>5.25</v>
      </c>
      <c r="R7" s="101">
        <v>10</v>
      </c>
      <c r="S7" s="97"/>
      <c r="T7" s="97"/>
      <c r="U7" s="97"/>
    </row>
    <row r="8" spans="1:21" x14ac:dyDescent="0.3">
      <c r="A8" s="97"/>
      <c r="B8" s="97"/>
      <c r="C8" s="101"/>
      <c r="D8" s="102"/>
      <c r="E8" s="101"/>
      <c r="F8" s="102"/>
      <c r="G8" s="101"/>
      <c r="H8" s="102"/>
      <c r="I8" s="101"/>
      <c r="J8" s="101"/>
      <c r="K8" s="101"/>
      <c r="L8" s="101"/>
      <c r="M8" s="101"/>
      <c r="N8" s="101"/>
      <c r="O8" s="101"/>
      <c r="P8" s="101"/>
      <c r="Q8" s="101"/>
      <c r="R8" s="101"/>
      <c r="S8" s="97"/>
      <c r="T8" s="97"/>
      <c r="U8" s="97"/>
    </row>
    <row r="9" spans="1:21" x14ac:dyDescent="0.3">
      <c r="A9" s="97"/>
      <c r="B9" s="97"/>
      <c r="C9" s="101"/>
      <c r="D9" s="102"/>
      <c r="E9" s="101"/>
      <c r="F9" s="102"/>
      <c r="G9" s="101"/>
      <c r="H9" s="102"/>
      <c r="I9" s="101"/>
      <c r="J9" s="101"/>
      <c r="K9" s="101"/>
      <c r="L9" s="101"/>
      <c r="M9" s="101"/>
      <c r="N9" s="101"/>
      <c r="O9" s="101"/>
      <c r="P9" s="101"/>
      <c r="Q9" s="101"/>
      <c r="R9" s="101"/>
      <c r="S9" s="97"/>
      <c r="T9" s="97"/>
      <c r="U9" s="97"/>
    </row>
    <row r="10" spans="1:21" ht="15" thickBot="1" x14ac:dyDescent="0.35">
      <c r="A10" s="97"/>
      <c r="B10" s="98" t="s">
        <v>240</v>
      </c>
      <c r="C10" s="97"/>
      <c r="D10" s="97"/>
      <c r="E10" s="97"/>
      <c r="F10" s="97"/>
      <c r="G10" s="97"/>
      <c r="H10" s="97"/>
      <c r="I10" s="97"/>
      <c r="J10" s="101"/>
      <c r="K10" s="101"/>
      <c r="L10" s="101"/>
      <c r="M10" s="101"/>
      <c r="N10" s="101"/>
      <c r="O10" s="101"/>
      <c r="P10" s="101"/>
      <c r="Q10" s="101"/>
      <c r="R10" s="101"/>
      <c r="S10" s="97"/>
      <c r="T10" s="97"/>
      <c r="U10" s="97"/>
    </row>
    <row r="11" spans="1:21" x14ac:dyDescent="0.3">
      <c r="A11" s="97"/>
      <c r="B11" s="97"/>
      <c r="C11" s="97"/>
      <c r="D11" s="97"/>
      <c r="E11" s="97"/>
      <c r="F11" s="97"/>
      <c r="G11" s="97"/>
      <c r="H11" s="97"/>
      <c r="I11" s="97"/>
      <c r="J11" s="101"/>
      <c r="K11" s="101"/>
      <c r="L11" s="101"/>
      <c r="M11" s="101"/>
      <c r="N11" s="101"/>
      <c r="O11" s="101"/>
      <c r="P11" s="101"/>
      <c r="Q11" s="101"/>
      <c r="R11" s="101"/>
      <c r="S11" s="97"/>
      <c r="T11" s="97"/>
      <c r="U11" s="97"/>
    </row>
    <row r="12" spans="1:21" ht="15" thickBot="1" x14ac:dyDescent="0.35">
      <c r="A12" s="97"/>
      <c r="B12" s="99" t="s">
        <v>243</v>
      </c>
      <c r="C12" s="100" t="s">
        <v>242</v>
      </c>
      <c r="D12" s="100" t="s">
        <v>246</v>
      </c>
      <c r="E12" s="100" t="s">
        <v>209</v>
      </c>
      <c r="F12" s="100" t="s">
        <v>245</v>
      </c>
      <c r="G12" s="100" t="s">
        <v>209</v>
      </c>
      <c r="H12" s="100" t="s">
        <v>247</v>
      </c>
      <c r="I12" s="100" t="s">
        <v>209</v>
      </c>
      <c r="J12" s="100" t="s">
        <v>249</v>
      </c>
      <c r="K12" s="100" t="s">
        <v>209</v>
      </c>
      <c r="L12" s="100" t="s">
        <v>253</v>
      </c>
      <c r="M12" s="100" t="s">
        <v>209</v>
      </c>
      <c r="N12" s="100" t="s">
        <v>250</v>
      </c>
      <c r="O12" s="100" t="s">
        <v>209</v>
      </c>
      <c r="P12" s="100" t="s">
        <v>251</v>
      </c>
      <c r="Q12" s="100" t="s">
        <v>209</v>
      </c>
      <c r="R12" s="100" t="s">
        <v>254</v>
      </c>
      <c r="S12" s="100" t="s">
        <v>209</v>
      </c>
      <c r="T12" s="100" t="s">
        <v>252</v>
      </c>
      <c r="U12" s="97"/>
    </row>
    <row r="13" spans="1:21" x14ac:dyDescent="0.3">
      <c r="A13" s="97"/>
      <c r="B13" s="97" t="s">
        <v>248</v>
      </c>
      <c r="C13" s="101">
        <v>100</v>
      </c>
      <c r="D13" s="102">
        <v>0</v>
      </c>
      <c r="E13" s="101">
        <f>C13-(C13*D13)</f>
        <v>100</v>
      </c>
      <c r="F13" s="102">
        <v>0</v>
      </c>
      <c r="G13" s="101">
        <f>E13-(E13*F13)</f>
        <v>100</v>
      </c>
      <c r="H13" s="102">
        <v>0</v>
      </c>
      <c r="I13" s="101">
        <f>G13-(G13*H13)</f>
        <v>100</v>
      </c>
      <c r="J13" s="102">
        <v>0.88</v>
      </c>
      <c r="K13" s="101">
        <f>I13-(I13*J13)</f>
        <v>12</v>
      </c>
      <c r="L13" s="104">
        <v>0.77</v>
      </c>
      <c r="M13" s="101">
        <f>K13-(K13*L13)</f>
        <v>2.76</v>
      </c>
      <c r="N13" s="104">
        <v>0.91</v>
      </c>
      <c r="O13" s="103">
        <f>M13-(M13*N13)</f>
        <v>0.24839999999999973</v>
      </c>
      <c r="P13" s="104">
        <v>0.91</v>
      </c>
      <c r="Q13" s="105">
        <f>O13-(O13*P13)</f>
        <v>2.2355999999999959E-2</v>
      </c>
      <c r="R13" s="104">
        <v>0</v>
      </c>
      <c r="S13" s="106">
        <f>Q13-(Q13*R13)</f>
        <v>2.2355999999999959E-2</v>
      </c>
      <c r="T13" s="101">
        <v>15</v>
      </c>
      <c r="U13" s="97"/>
    </row>
    <row r="14" spans="1:21" x14ac:dyDescent="0.3">
      <c r="A14" s="97"/>
      <c r="B14" s="97" t="s">
        <v>244</v>
      </c>
      <c r="C14" s="101">
        <v>175</v>
      </c>
      <c r="D14" s="102">
        <v>0</v>
      </c>
      <c r="E14" s="101">
        <f>C14-(C14*D14)</f>
        <v>175</v>
      </c>
      <c r="F14" s="102">
        <v>0</v>
      </c>
      <c r="G14" s="101">
        <f>E14-(E14*F14)</f>
        <v>175</v>
      </c>
      <c r="H14" s="102">
        <v>0</v>
      </c>
      <c r="I14" s="101">
        <f>G14-(G14*H14)</f>
        <v>175</v>
      </c>
      <c r="J14" s="102">
        <v>0.7</v>
      </c>
      <c r="K14" s="101">
        <f>I14-(I14*J14)</f>
        <v>52.500000000000014</v>
      </c>
      <c r="L14" s="104">
        <v>0</v>
      </c>
      <c r="M14" s="101">
        <f>K14-(K14*L14)</f>
        <v>52.500000000000014</v>
      </c>
      <c r="N14" s="104">
        <v>0</v>
      </c>
      <c r="O14" s="103">
        <f>M14-(M14*N14)</f>
        <v>52.500000000000014</v>
      </c>
      <c r="P14" s="104">
        <v>0</v>
      </c>
      <c r="Q14" s="107">
        <f>O14-(O14*P14)</f>
        <v>52.500000000000014</v>
      </c>
      <c r="R14" s="104">
        <v>0.9</v>
      </c>
      <c r="S14" s="106">
        <f>Q14-(Q14*R14)</f>
        <v>5.25</v>
      </c>
      <c r="T14" s="101">
        <v>10</v>
      </c>
      <c r="U14" s="97"/>
    </row>
    <row r="15" spans="1:21" x14ac:dyDescent="0.3">
      <c r="A15" s="97"/>
      <c r="B15" s="97"/>
      <c r="C15" s="101"/>
      <c r="D15" s="102"/>
      <c r="E15" s="101"/>
      <c r="F15" s="102"/>
      <c r="G15" s="101"/>
      <c r="H15" s="102"/>
      <c r="I15" s="101"/>
      <c r="J15" s="101"/>
      <c r="K15" s="101"/>
      <c r="L15" s="101"/>
      <c r="M15" s="101"/>
      <c r="N15" s="101"/>
      <c r="O15" s="101"/>
      <c r="P15" s="101"/>
      <c r="Q15" s="101"/>
      <c r="R15" s="101"/>
      <c r="S15" s="97"/>
      <c r="T15" s="97"/>
      <c r="U15" s="97"/>
    </row>
    <row r="16" spans="1:21" x14ac:dyDescent="0.3">
      <c r="A16" s="97"/>
      <c r="B16" s="97"/>
      <c r="C16" s="101"/>
      <c r="D16" s="102"/>
      <c r="E16" s="101"/>
      <c r="F16" s="102"/>
      <c r="G16" s="101"/>
      <c r="H16" s="102"/>
      <c r="I16" s="101"/>
      <c r="J16" s="101"/>
      <c r="K16" s="101"/>
      <c r="L16" s="101"/>
      <c r="M16" s="101"/>
      <c r="N16" s="101"/>
      <c r="O16" s="101"/>
      <c r="P16" s="101"/>
      <c r="Q16" s="101"/>
      <c r="R16" s="101"/>
      <c r="S16" s="97"/>
      <c r="T16" s="97"/>
      <c r="U16" s="97"/>
    </row>
    <row r="17" spans="1:21" ht="15" thickBot="1" x14ac:dyDescent="0.35">
      <c r="A17" s="97"/>
      <c r="B17" s="98" t="s">
        <v>241</v>
      </c>
      <c r="C17" s="97"/>
      <c r="D17" s="97"/>
      <c r="E17" s="97"/>
      <c r="F17" s="97"/>
      <c r="G17" s="97"/>
      <c r="H17" s="97"/>
      <c r="I17" s="97"/>
      <c r="J17" s="101"/>
      <c r="K17" s="101"/>
      <c r="L17" s="101"/>
      <c r="M17" s="101"/>
      <c r="N17" s="101"/>
      <c r="O17" s="101"/>
      <c r="P17" s="101"/>
      <c r="Q17" s="101"/>
      <c r="R17" s="101"/>
      <c r="S17" s="97"/>
      <c r="T17" s="97"/>
      <c r="U17" s="97"/>
    </row>
    <row r="18" spans="1:21" x14ac:dyDescent="0.3">
      <c r="A18" s="97"/>
      <c r="B18" s="97"/>
      <c r="C18" s="97"/>
      <c r="D18" s="97"/>
      <c r="E18" s="97"/>
      <c r="F18" s="97"/>
      <c r="G18" s="97"/>
      <c r="H18" s="97"/>
      <c r="I18" s="97"/>
      <c r="J18" s="101"/>
      <c r="K18" s="101"/>
      <c r="L18" s="101"/>
      <c r="M18" s="101"/>
      <c r="N18" s="101"/>
      <c r="O18" s="101"/>
      <c r="P18" s="101"/>
      <c r="Q18" s="101"/>
      <c r="R18" s="101"/>
      <c r="S18" s="97"/>
      <c r="T18" s="97"/>
      <c r="U18" s="97"/>
    </row>
    <row r="19" spans="1:21" ht="15" thickBot="1" x14ac:dyDescent="0.35">
      <c r="A19" s="97"/>
      <c r="B19" s="99" t="s">
        <v>243</v>
      </c>
      <c r="C19" s="100" t="s">
        <v>242</v>
      </c>
      <c r="D19" s="100" t="s">
        <v>245</v>
      </c>
      <c r="E19" s="100" t="s">
        <v>209</v>
      </c>
      <c r="F19" s="100" t="s">
        <v>246</v>
      </c>
      <c r="G19" s="100" t="s">
        <v>209</v>
      </c>
      <c r="H19" s="100" t="s">
        <v>247</v>
      </c>
      <c r="I19" s="100" t="s">
        <v>209</v>
      </c>
      <c r="J19" s="100" t="s">
        <v>249</v>
      </c>
      <c r="K19" s="100" t="s">
        <v>209</v>
      </c>
      <c r="L19" s="100" t="s">
        <v>250</v>
      </c>
      <c r="M19" s="100" t="s">
        <v>209</v>
      </c>
      <c r="N19" s="100" t="s">
        <v>251</v>
      </c>
      <c r="O19" s="100" t="s">
        <v>209</v>
      </c>
      <c r="P19" s="100" t="s">
        <v>254</v>
      </c>
      <c r="Q19" s="100" t="s">
        <v>209</v>
      </c>
      <c r="R19" s="100" t="s">
        <v>252</v>
      </c>
      <c r="S19" s="97"/>
      <c r="T19" s="97"/>
      <c r="U19" s="97"/>
    </row>
    <row r="20" spans="1:21" x14ac:dyDescent="0.3">
      <c r="A20" s="97"/>
      <c r="B20" s="97" t="s">
        <v>248</v>
      </c>
      <c r="C20" s="101">
        <v>100</v>
      </c>
      <c r="D20" s="102">
        <v>0</v>
      </c>
      <c r="E20" s="101">
        <f>C20-(C20*D20)</f>
        <v>100</v>
      </c>
      <c r="F20" s="102">
        <v>0</v>
      </c>
      <c r="G20" s="101">
        <f>E20-(E20*F20)</f>
        <v>100</v>
      </c>
      <c r="H20" s="102">
        <v>0</v>
      </c>
      <c r="I20" s="101">
        <f>G20-(G20*H20)</f>
        <v>100</v>
      </c>
      <c r="J20" s="102">
        <v>0.88</v>
      </c>
      <c r="K20" s="101">
        <f>I20-(I20*J20)</f>
        <v>12</v>
      </c>
      <c r="L20" s="102">
        <v>0.91</v>
      </c>
      <c r="M20" s="101">
        <f>K20-(K20*L20)</f>
        <v>1.08</v>
      </c>
      <c r="N20" s="102">
        <v>0.91</v>
      </c>
      <c r="O20" s="103">
        <f>M20-(M20*N20)</f>
        <v>9.7199999999999953E-2</v>
      </c>
      <c r="P20" s="102">
        <v>0</v>
      </c>
      <c r="Q20" s="103">
        <f>O20-(O20*P20)</f>
        <v>9.7199999999999953E-2</v>
      </c>
      <c r="R20" s="101">
        <v>15</v>
      </c>
      <c r="S20" s="97"/>
      <c r="T20" s="97"/>
      <c r="U20" s="97"/>
    </row>
    <row r="21" spans="1:21" x14ac:dyDescent="0.3">
      <c r="A21" s="97"/>
      <c r="B21" s="97" t="s">
        <v>244</v>
      </c>
      <c r="C21" s="101">
        <v>175</v>
      </c>
      <c r="D21" s="102">
        <v>0</v>
      </c>
      <c r="E21" s="101">
        <f>C21-(C21*D21)</f>
        <v>175</v>
      </c>
      <c r="F21" s="102">
        <v>0</v>
      </c>
      <c r="G21" s="101">
        <f>E21-(E21*F21)</f>
        <v>175</v>
      </c>
      <c r="H21" s="102">
        <v>0</v>
      </c>
      <c r="I21" s="101">
        <f>G21-(G21*H21)</f>
        <v>175</v>
      </c>
      <c r="J21" s="102">
        <v>0.7</v>
      </c>
      <c r="K21" s="101">
        <f>I21-(I21*J21)</f>
        <v>52.500000000000014</v>
      </c>
      <c r="L21" s="102">
        <v>0</v>
      </c>
      <c r="M21" s="101">
        <f>K21-(K21*L21)</f>
        <v>52.500000000000014</v>
      </c>
      <c r="N21" s="102">
        <v>0</v>
      </c>
      <c r="O21" s="103">
        <f>M21-(M21*N21)</f>
        <v>52.500000000000014</v>
      </c>
      <c r="P21" s="102">
        <v>0.9</v>
      </c>
      <c r="Q21" s="103">
        <f>O21-(O21*P21)</f>
        <v>5.25</v>
      </c>
      <c r="R21" s="101">
        <v>10</v>
      </c>
      <c r="S21" s="97"/>
      <c r="T21" s="97"/>
      <c r="U21" s="97"/>
    </row>
    <row r="22" spans="1:21" x14ac:dyDescent="0.3">
      <c r="A22" s="97"/>
      <c r="B22" s="97"/>
      <c r="C22" s="101"/>
      <c r="D22" s="102"/>
      <c r="E22" s="101"/>
      <c r="F22" s="102"/>
      <c r="G22" s="101"/>
      <c r="H22" s="102"/>
      <c r="I22" s="101"/>
      <c r="J22" s="101"/>
      <c r="K22" s="101"/>
      <c r="L22" s="101"/>
      <c r="M22" s="101"/>
      <c r="N22" s="101"/>
      <c r="O22" s="101"/>
      <c r="P22" s="101"/>
      <c r="Q22" s="101"/>
      <c r="R22" s="101"/>
      <c r="S22" s="97"/>
      <c r="T22" s="97"/>
      <c r="U22" s="97"/>
    </row>
    <row r="23" spans="1:21" x14ac:dyDescent="0.3">
      <c r="A23" s="97"/>
      <c r="B23" s="97"/>
      <c r="C23" s="101"/>
      <c r="D23" s="102"/>
      <c r="E23" s="101"/>
      <c r="F23" s="102"/>
      <c r="G23" s="101"/>
      <c r="H23" s="102"/>
      <c r="I23" s="101"/>
      <c r="J23" s="101"/>
      <c r="K23" s="101"/>
      <c r="L23" s="97"/>
      <c r="M23" s="97"/>
      <c r="N23" s="97"/>
      <c r="O23" s="97"/>
      <c r="P23" s="97"/>
      <c r="Q23" s="97"/>
      <c r="R23" s="97"/>
      <c r="S23" s="97"/>
      <c r="T23" s="97"/>
      <c r="U23" s="97"/>
    </row>
  </sheetData>
  <pageMargins left="0.70866141732283472" right="0.70866141732283472" top="0.74803149606299213" bottom="0.74803149606299213" header="0.31496062992125984" footer="0.31496062992125984"/>
  <pageSetup paperSize="8"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29AE8-CB23-4E19-AACC-ACF0410D2BD8}">
  <dimension ref="C3:N29"/>
  <sheetViews>
    <sheetView workbookViewId="0">
      <selection activeCell="C3" sqref="C3:N20"/>
    </sheetView>
  </sheetViews>
  <sheetFormatPr defaultRowHeight="14.4" x14ac:dyDescent="0.3"/>
  <cols>
    <col min="6" max="6" width="6.109375" customWidth="1"/>
    <col min="7" max="7" width="3.6640625" customWidth="1"/>
    <col min="8" max="8" width="19.109375" customWidth="1"/>
    <col min="9" max="9" width="14.21875" customWidth="1"/>
    <col min="10" max="10" width="14.77734375" customWidth="1"/>
    <col min="11" max="11" width="12.21875" customWidth="1"/>
    <col min="12" max="12" width="12.5546875" customWidth="1"/>
    <col min="13" max="13" width="12.44140625" customWidth="1"/>
    <col min="14" max="14" width="13.109375" customWidth="1"/>
  </cols>
  <sheetData>
    <row r="3" spans="3:14" ht="14.4" customHeight="1" x14ac:dyDescent="0.3">
      <c r="C3" s="275" t="s">
        <v>220</v>
      </c>
      <c r="D3" s="275"/>
      <c r="E3" s="275"/>
      <c r="F3" s="275"/>
      <c r="G3" s="275"/>
      <c r="H3" s="276" t="s">
        <v>221</v>
      </c>
      <c r="I3" s="275" t="s">
        <v>239</v>
      </c>
      <c r="J3" s="275" t="s">
        <v>240</v>
      </c>
      <c r="K3" s="275" t="s">
        <v>241</v>
      </c>
      <c r="L3" s="275" t="s">
        <v>222</v>
      </c>
      <c r="M3" s="275"/>
      <c r="N3" s="275"/>
    </row>
    <row r="4" spans="3:14" x14ac:dyDescent="0.3">
      <c r="C4" s="275"/>
      <c r="D4" s="275"/>
      <c r="E4" s="275"/>
      <c r="F4" s="275"/>
      <c r="G4" s="275"/>
      <c r="H4" s="276"/>
      <c r="I4" s="275"/>
      <c r="J4" s="275"/>
      <c r="K4" s="275"/>
      <c r="L4" s="59" t="s">
        <v>239</v>
      </c>
      <c r="M4" s="59" t="s">
        <v>240</v>
      </c>
      <c r="N4" s="59" t="s">
        <v>241</v>
      </c>
    </row>
    <row r="5" spans="3:14" x14ac:dyDescent="0.3">
      <c r="C5" s="270" t="s">
        <v>227</v>
      </c>
      <c r="D5" s="270"/>
      <c r="E5" s="270"/>
      <c r="F5" s="270"/>
      <c r="G5" s="270"/>
      <c r="H5" s="270"/>
      <c r="I5" s="270"/>
      <c r="J5" s="270"/>
      <c r="K5" s="270"/>
      <c r="L5" s="270"/>
      <c r="M5" s="270"/>
      <c r="N5" s="270"/>
    </row>
    <row r="6" spans="3:14" x14ac:dyDescent="0.3">
      <c r="C6" s="164" t="s">
        <v>228</v>
      </c>
      <c r="D6" s="164"/>
      <c r="E6" s="164"/>
      <c r="F6" s="164"/>
      <c r="G6" s="164"/>
      <c r="H6" s="1">
        <v>7</v>
      </c>
      <c r="I6" s="1">
        <v>9</v>
      </c>
      <c r="J6" s="1">
        <v>8</v>
      </c>
      <c r="K6" s="1">
        <v>7</v>
      </c>
      <c r="L6" s="1">
        <f>H6*I6</f>
        <v>63</v>
      </c>
      <c r="M6" s="1">
        <f>H6*J6</f>
        <v>56</v>
      </c>
      <c r="N6" s="1">
        <f>H6*K6</f>
        <v>49</v>
      </c>
    </row>
    <row r="7" spans="3:14" x14ac:dyDescent="0.3">
      <c r="C7" s="164" t="s">
        <v>229</v>
      </c>
      <c r="D7" s="164"/>
      <c r="E7" s="164"/>
      <c r="F7" s="164"/>
      <c r="G7" s="164"/>
      <c r="H7" s="1">
        <v>5</v>
      </c>
      <c r="I7" s="1">
        <v>3</v>
      </c>
      <c r="J7" s="1">
        <v>4</v>
      </c>
      <c r="K7" s="1">
        <v>8</v>
      </c>
      <c r="L7" s="1">
        <f t="shared" ref="L7:L11" si="0">H7*I7</f>
        <v>15</v>
      </c>
      <c r="M7" s="1">
        <f t="shared" ref="M7:M11" si="1">H7*J7</f>
        <v>20</v>
      </c>
      <c r="N7" s="1">
        <f t="shared" ref="N7:N11" si="2">H7*K7</f>
        <v>40</v>
      </c>
    </row>
    <row r="8" spans="3:14" x14ac:dyDescent="0.3">
      <c r="C8" s="266" t="s">
        <v>230</v>
      </c>
      <c r="D8" s="267"/>
      <c r="E8" s="267"/>
      <c r="F8" s="267"/>
      <c r="G8" s="268"/>
      <c r="H8" s="1">
        <v>7</v>
      </c>
      <c r="I8" s="1">
        <v>7</v>
      </c>
      <c r="J8" s="1">
        <v>8</v>
      </c>
      <c r="K8" s="1">
        <v>9</v>
      </c>
      <c r="L8" s="1">
        <f t="shared" si="0"/>
        <v>49</v>
      </c>
      <c r="M8" s="1">
        <f t="shared" si="1"/>
        <v>56</v>
      </c>
      <c r="N8" s="1">
        <f t="shared" si="2"/>
        <v>63</v>
      </c>
    </row>
    <row r="9" spans="3:14" x14ac:dyDescent="0.3">
      <c r="C9" s="266" t="s">
        <v>231</v>
      </c>
      <c r="D9" s="267"/>
      <c r="E9" s="267"/>
      <c r="F9" s="267"/>
      <c r="G9" s="268"/>
      <c r="H9" s="1">
        <v>7</v>
      </c>
      <c r="I9" s="1">
        <v>7</v>
      </c>
      <c r="J9" s="1">
        <v>8</v>
      </c>
      <c r="K9" s="1">
        <v>9</v>
      </c>
      <c r="L9" s="1">
        <f t="shared" si="0"/>
        <v>49</v>
      </c>
      <c r="M9" s="1">
        <f t="shared" si="1"/>
        <v>56</v>
      </c>
      <c r="N9" s="1">
        <f t="shared" si="2"/>
        <v>63</v>
      </c>
    </row>
    <row r="10" spans="3:14" x14ac:dyDescent="0.3">
      <c r="C10" s="266" t="s">
        <v>232</v>
      </c>
      <c r="D10" s="267"/>
      <c r="E10" s="267"/>
      <c r="F10" s="267"/>
      <c r="G10" s="268"/>
      <c r="H10" s="1">
        <v>3</v>
      </c>
      <c r="I10" s="1">
        <v>4</v>
      </c>
      <c r="J10" s="1">
        <v>5</v>
      </c>
      <c r="K10" s="1">
        <v>7</v>
      </c>
      <c r="L10" s="1">
        <f t="shared" si="0"/>
        <v>12</v>
      </c>
      <c r="M10" s="1">
        <f t="shared" si="1"/>
        <v>15</v>
      </c>
      <c r="N10" s="1">
        <f t="shared" si="2"/>
        <v>21</v>
      </c>
    </row>
    <row r="11" spans="3:14" x14ac:dyDescent="0.3">
      <c r="C11" s="266" t="s">
        <v>255</v>
      </c>
      <c r="D11" s="267"/>
      <c r="E11" s="267"/>
      <c r="F11" s="267"/>
      <c r="G11" s="268"/>
      <c r="H11" s="1">
        <v>3</v>
      </c>
      <c r="I11" s="1">
        <v>7</v>
      </c>
      <c r="J11" s="1">
        <v>8</v>
      </c>
      <c r="K11" s="1">
        <v>7</v>
      </c>
      <c r="L11" s="1">
        <f t="shared" si="0"/>
        <v>21</v>
      </c>
      <c r="M11" s="1">
        <f t="shared" si="1"/>
        <v>24</v>
      </c>
      <c r="N11" s="1">
        <f t="shared" si="2"/>
        <v>21</v>
      </c>
    </row>
    <row r="12" spans="3:14" x14ac:dyDescent="0.3">
      <c r="C12" s="270" t="s">
        <v>233</v>
      </c>
      <c r="D12" s="270"/>
      <c r="E12" s="270"/>
      <c r="F12" s="270"/>
      <c r="G12" s="270"/>
      <c r="H12" s="270"/>
      <c r="I12" s="270"/>
      <c r="J12" s="270"/>
      <c r="K12" s="270"/>
      <c r="L12" s="270"/>
      <c r="M12" s="270"/>
      <c r="N12" s="270"/>
    </row>
    <row r="13" spans="3:14" ht="14.4" customHeight="1" x14ac:dyDescent="0.3">
      <c r="C13" s="271" t="s">
        <v>234</v>
      </c>
      <c r="D13" s="272"/>
      <c r="E13" s="272"/>
      <c r="F13" s="272"/>
      <c r="G13" s="273"/>
      <c r="H13" s="1">
        <v>5</v>
      </c>
      <c r="I13" s="1">
        <v>9</v>
      </c>
      <c r="J13" s="1">
        <v>9</v>
      </c>
      <c r="K13" s="1">
        <v>6</v>
      </c>
      <c r="L13" s="1">
        <f>H13*I13</f>
        <v>45</v>
      </c>
      <c r="M13" s="1">
        <f>H13*J13</f>
        <v>45</v>
      </c>
      <c r="N13" s="1">
        <f>H13*K13</f>
        <v>30</v>
      </c>
    </row>
    <row r="14" spans="3:14" x14ac:dyDescent="0.3">
      <c r="C14" s="266" t="s">
        <v>223</v>
      </c>
      <c r="D14" s="267"/>
      <c r="E14" s="267"/>
      <c r="F14" s="267"/>
      <c r="G14" s="268"/>
      <c r="H14" s="1">
        <v>4</v>
      </c>
      <c r="I14" s="1">
        <v>9</v>
      </c>
      <c r="J14" s="1">
        <v>7</v>
      </c>
      <c r="K14" s="1">
        <v>7</v>
      </c>
      <c r="L14" s="1">
        <f t="shared" ref="L14:L15" si="3">H14*I14</f>
        <v>36</v>
      </c>
      <c r="M14" s="1">
        <f t="shared" ref="M14:M15" si="4">H14*J14</f>
        <v>28</v>
      </c>
      <c r="N14" s="1">
        <f t="shared" ref="N14:N15" si="5">H14*K14</f>
        <v>28</v>
      </c>
    </row>
    <row r="15" spans="3:14" x14ac:dyDescent="0.3">
      <c r="C15" s="164" t="s">
        <v>235</v>
      </c>
      <c r="D15" s="164"/>
      <c r="E15" s="164"/>
      <c r="F15" s="164"/>
      <c r="G15" s="164"/>
      <c r="H15" s="1">
        <v>3</v>
      </c>
      <c r="I15" s="1">
        <v>8</v>
      </c>
      <c r="J15" s="1">
        <v>7</v>
      </c>
      <c r="K15" s="1">
        <v>7</v>
      </c>
      <c r="L15" s="1">
        <f t="shared" si="3"/>
        <v>24</v>
      </c>
      <c r="M15" s="1">
        <f t="shared" si="4"/>
        <v>21</v>
      </c>
      <c r="N15" s="1">
        <f t="shared" si="5"/>
        <v>21</v>
      </c>
    </row>
    <row r="16" spans="3:14" x14ac:dyDescent="0.3">
      <c r="C16" s="270" t="s">
        <v>236</v>
      </c>
      <c r="D16" s="270"/>
      <c r="E16" s="270"/>
      <c r="F16" s="270"/>
      <c r="G16" s="270"/>
      <c r="H16" s="270"/>
      <c r="I16" s="270"/>
      <c r="J16" s="270"/>
      <c r="K16" s="270"/>
      <c r="L16" s="270"/>
      <c r="M16" s="270"/>
      <c r="N16" s="270"/>
    </row>
    <row r="17" spans="3:14" x14ac:dyDescent="0.3">
      <c r="C17" s="164" t="s">
        <v>237</v>
      </c>
      <c r="D17" s="164"/>
      <c r="E17" s="164"/>
      <c r="F17" s="164"/>
      <c r="G17" s="164"/>
      <c r="H17" s="1">
        <v>3</v>
      </c>
      <c r="I17" s="1">
        <v>6</v>
      </c>
      <c r="J17" s="1">
        <v>7</v>
      </c>
      <c r="K17" s="1">
        <v>8</v>
      </c>
      <c r="L17" s="1">
        <f>H17*I17</f>
        <v>18</v>
      </c>
      <c r="M17" s="1">
        <f>H17*J17</f>
        <v>21</v>
      </c>
      <c r="N17" s="1">
        <f>H17*K17</f>
        <v>24</v>
      </c>
    </row>
    <row r="18" spans="3:14" x14ac:dyDescent="0.3">
      <c r="C18" s="164" t="s">
        <v>238</v>
      </c>
      <c r="D18" s="164"/>
      <c r="E18" s="164"/>
      <c r="F18" s="164"/>
      <c r="G18" s="164"/>
      <c r="H18" s="1">
        <v>3</v>
      </c>
      <c r="I18" s="1">
        <v>6</v>
      </c>
      <c r="J18" s="1">
        <v>7</v>
      </c>
      <c r="K18" s="1">
        <v>8</v>
      </c>
      <c r="L18" s="1">
        <f>H18*I18</f>
        <v>18</v>
      </c>
      <c r="M18" s="1">
        <f t="shared" ref="M18" si="6">H18*J18</f>
        <v>21</v>
      </c>
      <c r="N18" s="1">
        <f>H18*K18</f>
        <v>24</v>
      </c>
    </row>
    <row r="19" spans="3:14" x14ac:dyDescent="0.3">
      <c r="C19" s="269" t="s">
        <v>224</v>
      </c>
      <c r="D19" s="269"/>
      <c r="E19" s="269"/>
      <c r="F19" s="269"/>
      <c r="G19" s="269"/>
      <c r="H19" s="28">
        <f>SUM(H6:H11,H13:H15,H17:H18)</f>
        <v>50</v>
      </c>
      <c r="I19" s="58"/>
      <c r="J19" s="58"/>
      <c r="K19" s="58"/>
      <c r="L19" s="28">
        <f>SUM(L6:L11,L13:L15,L17:L18)</f>
        <v>350</v>
      </c>
      <c r="M19" s="1">
        <f>SUM(M6:M11,M13:M15,M17:M18)</f>
        <v>363</v>
      </c>
      <c r="N19" s="28">
        <f>SUM(N6:N11,N13:N15,N17:N18)</f>
        <v>384</v>
      </c>
    </row>
    <row r="20" spans="3:14" x14ac:dyDescent="0.3">
      <c r="C20" s="269" t="s">
        <v>225</v>
      </c>
      <c r="D20" s="269"/>
      <c r="E20" s="269"/>
      <c r="F20" s="269"/>
      <c r="G20" s="269"/>
      <c r="H20" s="58"/>
      <c r="I20" s="58"/>
      <c r="J20" s="58"/>
      <c r="K20" s="58"/>
      <c r="L20" s="59">
        <f>L19</f>
        <v>350</v>
      </c>
      <c r="M20" s="59">
        <f>M19</f>
        <v>363</v>
      </c>
      <c r="N20" s="59">
        <f>N19</f>
        <v>384</v>
      </c>
    </row>
    <row r="22" spans="3:14" x14ac:dyDescent="0.3">
      <c r="C22" s="274" t="s">
        <v>226</v>
      </c>
      <c r="D22" s="274"/>
      <c r="E22" s="274"/>
      <c r="F22" s="274"/>
      <c r="G22" s="274"/>
      <c r="H22" s="274"/>
      <c r="I22" s="274"/>
    </row>
    <row r="23" spans="3:14" ht="14.4" customHeight="1" x14ac:dyDescent="0.3">
      <c r="C23" s="173" t="s">
        <v>256</v>
      </c>
      <c r="D23" s="173"/>
      <c r="E23" s="173"/>
      <c r="F23" s="173"/>
      <c r="G23" s="173"/>
      <c r="H23" s="173"/>
      <c r="I23" s="173"/>
      <c r="J23" s="173"/>
    </row>
    <row r="24" spans="3:14" x14ac:dyDescent="0.3">
      <c r="C24" s="173"/>
      <c r="D24" s="173"/>
      <c r="E24" s="173"/>
      <c r="F24" s="173"/>
      <c r="G24" s="173"/>
      <c r="H24" s="173"/>
      <c r="I24" s="173"/>
      <c r="J24" s="173"/>
    </row>
    <row r="29" spans="3:14" ht="14.4" customHeight="1" x14ac:dyDescent="0.3"/>
  </sheetData>
  <mergeCells count="24">
    <mergeCell ref="K3:K4"/>
    <mergeCell ref="L3:N3"/>
    <mergeCell ref="C5:N5"/>
    <mergeCell ref="C6:G6"/>
    <mergeCell ref="C7:G7"/>
    <mergeCell ref="C3:G4"/>
    <mergeCell ref="H3:H4"/>
    <mergeCell ref="I3:I4"/>
    <mergeCell ref="J3:J4"/>
    <mergeCell ref="C23:J24"/>
    <mergeCell ref="C10:G10"/>
    <mergeCell ref="C9:G9"/>
    <mergeCell ref="C8:G8"/>
    <mergeCell ref="C11:G11"/>
    <mergeCell ref="C20:G20"/>
    <mergeCell ref="C12:N12"/>
    <mergeCell ref="C13:G13"/>
    <mergeCell ref="C14:G14"/>
    <mergeCell ref="C22:I22"/>
    <mergeCell ref="C19:G19"/>
    <mergeCell ref="C15:G15"/>
    <mergeCell ref="C16:N16"/>
    <mergeCell ref="C17:G17"/>
    <mergeCell ref="C18:G18"/>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53037-14F2-4CDE-9D14-95A4FBC7A81D}">
  <dimension ref="D6:G35"/>
  <sheetViews>
    <sheetView topLeftCell="A7" workbookViewId="0">
      <selection activeCell="D28" sqref="D28"/>
    </sheetView>
  </sheetViews>
  <sheetFormatPr defaultRowHeight="14.4" x14ac:dyDescent="0.3"/>
  <sheetData>
    <row r="6" spans="4:7" x14ac:dyDescent="0.3">
      <c r="D6" s="277" t="s">
        <v>211</v>
      </c>
      <c r="E6" s="278"/>
      <c r="F6" s="278"/>
      <c r="G6" s="279"/>
    </row>
    <row r="7" spans="4:7" x14ac:dyDescent="0.3">
      <c r="D7" s="280"/>
      <c r="E7" s="281"/>
      <c r="F7" s="281"/>
      <c r="G7" s="282"/>
    </row>
    <row r="10" spans="4:7" x14ac:dyDescent="0.3">
      <c r="D10" s="277" t="s">
        <v>260</v>
      </c>
      <c r="E10" s="278"/>
      <c r="F10" s="278"/>
      <c r="G10" s="279"/>
    </row>
    <row r="11" spans="4:7" x14ac:dyDescent="0.3">
      <c r="D11" s="280"/>
      <c r="E11" s="281"/>
      <c r="F11" s="281"/>
      <c r="G11" s="282"/>
    </row>
    <row r="14" spans="4:7" x14ac:dyDescent="0.3">
      <c r="D14" s="215" t="s">
        <v>212</v>
      </c>
      <c r="E14" s="215"/>
      <c r="F14" s="215"/>
      <c r="G14" s="215"/>
    </row>
    <row r="15" spans="4:7" x14ac:dyDescent="0.3">
      <c r="D15" s="215"/>
      <c r="E15" s="215"/>
      <c r="F15" s="215"/>
      <c r="G15" s="215"/>
    </row>
    <row r="18" spans="4:7" x14ac:dyDescent="0.3">
      <c r="D18" s="215" t="s">
        <v>213</v>
      </c>
      <c r="E18" s="215"/>
      <c r="F18" s="215"/>
      <c r="G18" s="215"/>
    </row>
    <row r="19" spans="4:7" x14ac:dyDescent="0.3">
      <c r="D19" s="215"/>
      <c r="E19" s="215"/>
      <c r="F19" s="215"/>
      <c r="G19" s="215"/>
    </row>
    <row r="22" spans="4:7" x14ac:dyDescent="0.3">
      <c r="D22" s="215" t="s">
        <v>214</v>
      </c>
      <c r="E22" s="215"/>
      <c r="F22" s="215"/>
      <c r="G22" s="215"/>
    </row>
    <row r="23" spans="4:7" x14ac:dyDescent="0.3">
      <c r="D23" s="215"/>
      <c r="E23" s="215"/>
      <c r="F23" s="215"/>
      <c r="G23" s="215"/>
    </row>
    <row r="26" spans="4:7" x14ac:dyDescent="0.3">
      <c r="D26" s="215" t="s">
        <v>1285</v>
      </c>
      <c r="E26" s="215"/>
      <c r="F26" s="215"/>
      <c r="G26" s="215"/>
    </row>
    <row r="27" spans="4:7" x14ac:dyDescent="0.3">
      <c r="D27" s="215"/>
      <c r="E27" s="215"/>
      <c r="F27" s="215"/>
      <c r="G27" s="215"/>
    </row>
    <row r="30" spans="4:7" x14ac:dyDescent="0.3">
      <c r="D30" s="215" t="s">
        <v>216</v>
      </c>
      <c r="E30" s="215"/>
      <c r="F30" s="215"/>
      <c r="G30" s="215"/>
    </row>
    <row r="31" spans="4:7" x14ac:dyDescent="0.3">
      <c r="D31" s="215"/>
      <c r="E31" s="215"/>
      <c r="F31" s="215"/>
      <c r="G31" s="215"/>
    </row>
    <row r="34" spans="4:7" x14ac:dyDescent="0.3">
      <c r="D34" s="215" t="s">
        <v>217</v>
      </c>
      <c r="E34" s="215"/>
      <c r="F34" s="215"/>
      <c r="G34" s="215"/>
    </row>
    <row r="35" spans="4:7" x14ac:dyDescent="0.3">
      <c r="D35" s="215"/>
      <c r="E35" s="215"/>
      <c r="F35" s="215"/>
      <c r="G35" s="215"/>
    </row>
  </sheetData>
  <mergeCells count="8">
    <mergeCell ref="D26:G27"/>
    <mergeCell ref="D30:G31"/>
    <mergeCell ref="D34:G35"/>
    <mergeCell ref="D6:G7"/>
    <mergeCell ref="D10:G11"/>
    <mergeCell ref="D14:G15"/>
    <mergeCell ref="D18:G19"/>
    <mergeCell ref="D22:G2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7574B-7439-4474-849B-B3F00393F749}">
  <dimension ref="A2:U46"/>
  <sheetViews>
    <sheetView topLeftCell="B19" zoomScale="70" zoomScaleNormal="70" workbookViewId="0">
      <selection activeCell="C43" sqref="C43:F43"/>
    </sheetView>
  </sheetViews>
  <sheetFormatPr defaultRowHeight="14.4" x14ac:dyDescent="0.3"/>
  <sheetData>
    <row r="2" spans="1:21" x14ac:dyDescent="0.3">
      <c r="A2" s="285" t="s">
        <v>115</v>
      </c>
      <c r="B2" s="285"/>
      <c r="C2" s="285"/>
      <c r="D2" s="285"/>
      <c r="E2" s="285"/>
      <c r="F2" s="285"/>
      <c r="G2" s="285" t="s">
        <v>129</v>
      </c>
      <c r="H2" s="285"/>
      <c r="I2" s="285"/>
      <c r="J2" s="285" t="s">
        <v>286</v>
      </c>
      <c r="K2" s="285"/>
      <c r="L2" s="285"/>
      <c r="M2" s="285" t="s">
        <v>287</v>
      </c>
      <c r="N2" s="285"/>
      <c r="O2" s="285"/>
      <c r="P2" s="285" t="s">
        <v>360</v>
      </c>
      <c r="Q2" s="285"/>
      <c r="R2" s="285"/>
      <c r="S2" s="285"/>
      <c r="T2" s="285"/>
      <c r="U2" s="285"/>
    </row>
    <row r="3" spans="1:21" x14ac:dyDescent="0.3">
      <c r="B3" s="283" t="s">
        <v>257</v>
      </c>
      <c r="C3" s="283"/>
      <c r="D3" s="283"/>
      <c r="E3" s="283"/>
      <c r="F3" s="283"/>
      <c r="G3" s="284"/>
      <c r="H3" s="284"/>
      <c r="I3" s="284"/>
      <c r="J3" s="284"/>
      <c r="K3" s="284"/>
      <c r="L3" s="284"/>
      <c r="M3" s="284"/>
      <c r="N3" s="284"/>
      <c r="O3" s="284"/>
      <c r="P3" s="284"/>
      <c r="Q3" s="284"/>
      <c r="R3" s="284"/>
      <c r="S3" s="284"/>
      <c r="T3" s="284"/>
      <c r="U3" s="284"/>
    </row>
    <row r="4" spans="1:21" x14ac:dyDescent="0.3">
      <c r="B4" s="286" t="s">
        <v>261</v>
      </c>
      <c r="C4" s="286"/>
      <c r="D4" s="286"/>
      <c r="E4" s="286"/>
      <c r="F4" s="286"/>
      <c r="G4" s="287" t="s">
        <v>259</v>
      </c>
      <c r="H4" s="287"/>
      <c r="I4" s="287"/>
      <c r="J4" s="288">
        <v>2.5399999999999999E-2</v>
      </c>
      <c r="K4" s="287"/>
      <c r="L4" s="287"/>
      <c r="M4" s="289"/>
      <c r="N4" s="287"/>
      <c r="O4" s="287"/>
      <c r="P4" s="287"/>
      <c r="Q4" s="287"/>
      <c r="R4" s="287"/>
      <c r="S4" s="287"/>
      <c r="T4" s="287"/>
      <c r="U4" s="287"/>
    </row>
    <row r="5" spans="1:21" x14ac:dyDescent="0.3">
      <c r="B5" s="286" t="s">
        <v>262</v>
      </c>
      <c r="C5" s="286"/>
      <c r="D5" s="286"/>
      <c r="E5" s="286"/>
      <c r="F5" s="286"/>
      <c r="G5" s="287" t="s">
        <v>259</v>
      </c>
      <c r="H5" s="287"/>
      <c r="I5" s="287"/>
      <c r="J5" s="287">
        <v>1.2699999999999999E-2</v>
      </c>
      <c r="K5" s="287"/>
      <c r="L5" s="287"/>
      <c r="M5" s="288"/>
      <c r="N5" s="287"/>
      <c r="O5" s="287"/>
      <c r="P5" s="287"/>
      <c r="Q5" s="287"/>
      <c r="R5" s="287"/>
      <c r="S5" s="287"/>
      <c r="T5" s="287"/>
      <c r="U5" s="287"/>
    </row>
    <row r="6" spans="1:21" x14ac:dyDescent="0.3">
      <c r="B6" s="286" t="s">
        <v>263</v>
      </c>
      <c r="C6" s="286"/>
      <c r="D6" s="286"/>
      <c r="E6" s="286"/>
      <c r="F6" s="286"/>
      <c r="G6" s="287" t="s">
        <v>274</v>
      </c>
      <c r="H6" s="287"/>
      <c r="I6" s="287"/>
      <c r="J6" s="288" t="s">
        <v>298</v>
      </c>
      <c r="K6" s="287"/>
      <c r="L6" s="287"/>
      <c r="M6" s="288"/>
      <c r="N6" s="287"/>
      <c r="O6" s="287"/>
      <c r="P6" s="287" t="s">
        <v>362</v>
      </c>
      <c r="Q6" s="287"/>
      <c r="R6" s="287"/>
      <c r="S6" s="287"/>
      <c r="T6" s="287"/>
      <c r="U6" s="287"/>
    </row>
    <row r="7" spans="1:21" x14ac:dyDescent="0.3">
      <c r="B7" s="286" t="s">
        <v>293</v>
      </c>
      <c r="C7" s="286"/>
      <c r="D7" s="286"/>
      <c r="E7" s="286"/>
      <c r="F7" s="286"/>
      <c r="G7" s="287" t="s">
        <v>259</v>
      </c>
      <c r="H7" s="287"/>
      <c r="I7" s="287"/>
      <c r="J7" s="288"/>
      <c r="K7" s="287"/>
      <c r="L7" s="287"/>
      <c r="M7" s="288" t="s">
        <v>289</v>
      </c>
      <c r="N7" s="287"/>
      <c r="O7" s="287"/>
      <c r="P7" s="287"/>
      <c r="Q7" s="287"/>
      <c r="R7" s="287"/>
      <c r="S7" s="287"/>
      <c r="T7" s="287"/>
      <c r="U7" s="287"/>
    </row>
    <row r="8" spans="1:21" x14ac:dyDescent="0.3">
      <c r="B8" s="286" t="s">
        <v>285</v>
      </c>
      <c r="C8" s="286"/>
      <c r="D8" s="286"/>
      <c r="E8" s="286"/>
      <c r="F8" s="286"/>
      <c r="G8" s="287" t="s">
        <v>295</v>
      </c>
      <c r="H8" s="287"/>
      <c r="I8" s="287"/>
      <c r="J8" s="288"/>
      <c r="K8" s="287"/>
      <c r="L8" s="287"/>
      <c r="M8" s="288" t="s">
        <v>290</v>
      </c>
      <c r="N8" s="287"/>
      <c r="O8" s="287"/>
      <c r="P8" s="287"/>
      <c r="Q8" s="287"/>
      <c r="R8" s="287"/>
      <c r="S8" s="287"/>
      <c r="T8" s="287"/>
      <c r="U8" s="287"/>
    </row>
    <row r="9" spans="1:21" x14ac:dyDescent="0.3">
      <c r="B9" s="286" t="s">
        <v>294</v>
      </c>
      <c r="C9" s="286"/>
      <c r="D9" s="286"/>
      <c r="E9" s="286"/>
      <c r="F9" s="286"/>
      <c r="G9" s="287" t="s">
        <v>288</v>
      </c>
      <c r="H9" s="287"/>
      <c r="I9" s="287"/>
      <c r="J9" s="288"/>
      <c r="K9" s="287"/>
      <c r="L9" s="287"/>
      <c r="M9" s="288" t="s">
        <v>291</v>
      </c>
      <c r="N9" s="287"/>
      <c r="O9" s="287"/>
      <c r="P9" s="287"/>
      <c r="Q9" s="287"/>
      <c r="R9" s="287"/>
      <c r="S9" s="287"/>
      <c r="T9" s="287"/>
      <c r="U9" s="287"/>
    </row>
    <row r="10" spans="1:21" x14ac:dyDescent="0.3">
      <c r="B10" s="286" t="s">
        <v>297</v>
      </c>
      <c r="C10" s="286"/>
      <c r="D10" s="286"/>
      <c r="E10" s="286"/>
      <c r="F10" s="286"/>
      <c r="G10" s="287" t="s">
        <v>258</v>
      </c>
      <c r="H10" s="287"/>
      <c r="I10" s="287"/>
      <c r="J10" s="288"/>
      <c r="K10" s="287"/>
      <c r="L10" s="287"/>
      <c r="M10" s="288" t="s">
        <v>292</v>
      </c>
      <c r="N10" s="287"/>
      <c r="O10" s="287"/>
      <c r="P10" s="287"/>
      <c r="Q10" s="287"/>
      <c r="R10" s="287"/>
      <c r="S10" s="287"/>
      <c r="T10" s="287"/>
      <c r="U10" s="287"/>
    </row>
    <row r="11" spans="1:21" x14ac:dyDescent="0.3">
      <c r="B11" s="286" t="s">
        <v>296</v>
      </c>
      <c r="C11" s="286"/>
      <c r="D11" s="286"/>
      <c r="E11" s="286"/>
      <c r="F11" s="286"/>
      <c r="G11" s="287" t="s">
        <v>259</v>
      </c>
      <c r="H11" s="287"/>
      <c r="I11" s="287"/>
      <c r="J11" s="288"/>
      <c r="K11" s="287"/>
      <c r="L11" s="287"/>
      <c r="M11" s="287">
        <v>1.5</v>
      </c>
      <c r="N11" s="287"/>
      <c r="O11" s="287"/>
      <c r="P11" s="287"/>
      <c r="Q11" s="287"/>
      <c r="R11" s="287"/>
      <c r="S11" s="287"/>
      <c r="T11" s="287"/>
      <c r="U11" s="287"/>
    </row>
    <row r="12" spans="1:21" x14ac:dyDescent="0.3">
      <c r="B12" s="283" t="s">
        <v>264</v>
      </c>
      <c r="C12" s="283"/>
      <c r="D12" s="283"/>
      <c r="E12" s="283"/>
      <c r="F12" s="283"/>
      <c r="G12" s="284"/>
      <c r="H12" s="284"/>
      <c r="I12" s="284"/>
      <c r="J12" s="284"/>
      <c r="K12" s="284"/>
      <c r="L12" s="284"/>
      <c r="M12" s="284"/>
      <c r="N12" s="284"/>
      <c r="O12" s="284"/>
      <c r="P12" s="284"/>
      <c r="Q12" s="284"/>
      <c r="R12" s="284"/>
      <c r="S12" s="284"/>
      <c r="T12" s="284"/>
      <c r="U12" s="284"/>
    </row>
    <row r="13" spans="1:21" x14ac:dyDescent="0.3">
      <c r="B13" s="286" t="s">
        <v>265</v>
      </c>
      <c r="C13" s="286"/>
      <c r="D13" s="286"/>
      <c r="E13" s="286"/>
      <c r="F13" s="286"/>
      <c r="G13" s="287" t="s">
        <v>274</v>
      </c>
      <c r="H13" s="287"/>
      <c r="I13" s="287"/>
      <c r="J13" s="287" t="s">
        <v>276</v>
      </c>
      <c r="K13" s="287"/>
      <c r="L13" s="287"/>
      <c r="M13" s="290"/>
      <c r="N13" s="290"/>
      <c r="O13" s="290"/>
      <c r="P13" s="290"/>
      <c r="Q13" s="290"/>
      <c r="R13" s="290"/>
      <c r="S13" s="290"/>
      <c r="T13" s="290"/>
      <c r="U13" s="290"/>
    </row>
    <row r="14" spans="1:21" x14ac:dyDescent="0.3">
      <c r="B14" s="286" t="s">
        <v>266</v>
      </c>
      <c r="C14" s="286"/>
      <c r="D14" s="286"/>
      <c r="E14" s="286"/>
      <c r="F14" s="286"/>
      <c r="G14" s="287" t="s">
        <v>274</v>
      </c>
      <c r="H14" s="287"/>
      <c r="I14" s="287"/>
      <c r="J14" s="287" t="s">
        <v>277</v>
      </c>
      <c r="K14" s="287"/>
      <c r="L14" s="287"/>
      <c r="M14" s="287"/>
      <c r="N14" s="287"/>
      <c r="O14" s="287"/>
      <c r="P14" s="287" t="s">
        <v>361</v>
      </c>
      <c r="Q14" s="287"/>
      <c r="R14" s="287"/>
      <c r="S14" s="287"/>
      <c r="T14" s="287"/>
      <c r="U14" s="287"/>
    </row>
    <row r="15" spans="1:21" x14ac:dyDescent="0.3">
      <c r="B15" s="286" t="s">
        <v>267</v>
      </c>
      <c r="C15" s="286"/>
      <c r="D15" s="286"/>
      <c r="E15" s="286"/>
      <c r="F15" s="286"/>
      <c r="G15" s="287" t="s">
        <v>259</v>
      </c>
      <c r="H15" s="287"/>
      <c r="I15" s="287"/>
      <c r="J15" s="287" t="s">
        <v>278</v>
      </c>
      <c r="K15" s="287"/>
      <c r="L15" s="287"/>
      <c r="M15" s="287"/>
      <c r="N15" s="287"/>
      <c r="O15" s="287"/>
      <c r="P15" s="287"/>
      <c r="Q15" s="287"/>
      <c r="R15" s="287"/>
      <c r="S15" s="287"/>
      <c r="T15" s="287"/>
      <c r="U15" s="287"/>
    </row>
    <row r="16" spans="1:21" x14ac:dyDescent="0.3">
      <c r="B16" s="286" t="s">
        <v>268</v>
      </c>
      <c r="C16" s="286"/>
      <c r="D16" s="286"/>
      <c r="E16" s="286"/>
      <c r="F16" s="286"/>
      <c r="G16" s="287" t="s">
        <v>279</v>
      </c>
      <c r="H16" s="287"/>
      <c r="I16" s="287"/>
      <c r="J16" s="287"/>
      <c r="K16" s="287"/>
      <c r="L16" s="287"/>
      <c r="M16" s="287"/>
      <c r="N16" s="287"/>
      <c r="O16" s="287"/>
      <c r="P16" s="287"/>
      <c r="Q16" s="287"/>
      <c r="R16" s="287"/>
      <c r="S16" s="287"/>
      <c r="T16" s="287"/>
      <c r="U16" s="287"/>
    </row>
    <row r="17" spans="1:21" x14ac:dyDescent="0.3">
      <c r="B17" s="286" t="s">
        <v>269</v>
      </c>
      <c r="C17" s="286"/>
      <c r="D17" s="286"/>
      <c r="E17" s="286"/>
      <c r="F17" s="286"/>
      <c r="G17" s="287" t="s">
        <v>274</v>
      </c>
      <c r="H17" s="287"/>
      <c r="I17" s="287"/>
      <c r="J17" s="287" t="s">
        <v>280</v>
      </c>
      <c r="K17" s="287"/>
      <c r="L17" s="287"/>
      <c r="M17" s="287"/>
      <c r="N17" s="287"/>
      <c r="O17" s="287"/>
      <c r="P17" s="287"/>
      <c r="Q17" s="287"/>
      <c r="R17" s="287"/>
      <c r="S17" s="287"/>
      <c r="T17" s="287"/>
      <c r="U17" s="287"/>
    </row>
    <row r="18" spans="1:21" x14ac:dyDescent="0.3">
      <c r="B18" s="286" t="s">
        <v>323</v>
      </c>
      <c r="C18" s="286"/>
      <c r="D18" s="286"/>
      <c r="E18" s="286"/>
      <c r="F18" s="286"/>
      <c r="G18" s="287" t="s">
        <v>275</v>
      </c>
      <c r="H18" s="287"/>
      <c r="I18" s="287"/>
      <c r="J18" s="287" t="s">
        <v>281</v>
      </c>
      <c r="K18" s="287"/>
      <c r="L18" s="287"/>
      <c r="M18" s="287"/>
      <c r="N18" s="287"/>
      <c r="O18" s="287"/>
      <c r="P18" s="287"/>
      <c r="Q18" s="287"/>
      <c r="R18" s="287"/>
      <c r="S18" s="287"/>
      <c r="T18" s="287"/>
      <c r="U18" s="287"/>
    </row>
    <row r="19" spans="1:21" x14ac:dyDescent="0.3">
      <c r="B19" s="286" t="s">
        <v>271</v>
      </c>
      <c r="C19" s="286"/>
      <c r="D19" s="286"/>
      <c r="E19" s="286"/>
      <c r="F19" s="286"/>
      <c r="G19" s="287"/>
      <c r="H19" s="287"/>
      <c r="I19" s="287"/>
      <c r="J19" s="287" t="s">
        <v>282</v>
      </c>
      <c r="K19" s="287"/>
      <c r="L19" s="287"/>
      <c r="M19" s="287"/>
      <c r="N19" s="287"/>
      <c r="O19" s="287"/>
      <c r="P19" s="287"/>
      <c r="Q19" s="287"/>
      <c r="R19" s="287"/>
      <c r="S19" s="287"/>
      <c r="T19" s="287"/>
      <c r="U19" s="287"/>
    </row>
    <row r="20" spans="1:21" x14ac:dyDescent="0.3">
      <c r="B20" s="286" t="s">
        <v>272</v>
      </c>
      <c r="C20" s="286"/>
      <c r="D20" s="286"/>
      <c r="E20" s="286"/>
      <c r="F20" s="286"/>
      <c r="G20" s="287"/>
      <c r="H20" s="287"/>
      <c r="I20" s="287"/>
      <c r="J20" s="287" t="s">
        <v>283</v>
      </c>
      <c r="K20" s="287"/>
      <c r="L20" s="287"/>
      <c r="M20" s="287"/>
      <c r="N20" s="287"/>
      <c r="O20" s="287"/>
      <c r="P20" s="287"/>
      <c r="Q20" s="287"/>
      <c r="R20" s="287"/>
      <c r="S20" s="287"/>
      <c r="T20" s="287"/>
      <c r="U20" s="287"/>
    </row>
    <row r="21" spans="1:21" x14ac:dyDescent="0.3">
      <c r="B21" s="286" t="s">
        <v>273</v>
      </c>
      <c r="C21" s="286"/>
      <c r="D21" s="286"/>
      <c r="E21" s="286"/>
      <c r="F21" s="286"/>
      <c r="G21" s="287"/>
      <c r="H21" s="287"/>
      <c r="I21" s="287"/>
      <c r="J21" s="287" t="s">
        <v>284</v>
      </c>
      <c r="K21" s="287"/>
      <c r="L21" s="287"/>
      <c r="M21" s="287"/>
      <c r="N21" s="287"/>
      <c r="O21" s="287"/>
      <c r="P21" s="287"/>
      <c r="Q21" s="287"/>
      <c r="R21" s="287"/>
      <c r="S21" s="287"/>
      <c r="T21" s="287"/>
      <c r="U21" s="287"/>
    </row>
    <row r="24" spans="1:21" x14ac:dyDescent="0.3">
      <c r="A24" s="297" t="s">
        <v>299</v>
      </c>
      <c r="B24" s="297"/>
      <c r="C24" s="291" t="s">
        <v>211</v>
      </c>
      <c r="D24" s="291"/>
      <c r="E24" s="291"/>
      <c r="F24" s="291"/>
      <c r="G24" s="291" t="s">
        <v>300</v>
      </c>
      <c r="H24" s="291"/>
      <c r="I24" s="291"/>
      <c r="J24" s="291" t="s">
        <v>129</v>
      </c>
      <c r="K24" s="291"/>
      <c r="L24" s="291"/>
      <c r="M24" s="291" t="s">
        <v>301</v>
      </c>
      <c r="N24" s="291"/>
      <c r="O24" s="291"/>
      <c r="P24" s="291" t="s">
        <v>302</v>
      </c>
      <c r="Q24" s="291"/>
      <c r="R24" s="291"/>
      <c r="S24" s="291" t="s">
        <v>334</v>
      </c>
      <c r="T24" s="291"/>
      <c r="U24" s="291"/>
    </row>
    <row r="25" spans="1:21" x14ac:dyDescent="0.3">
      <c r="C25" s="292" t="s">
        <v>305</v>
      </c>
      <c r="D25" s="292"/>
      <c r="E25" s="292"/>
      <c r="F25" s="292"/>
      <c r="G25" s="286" t="s">
        <v>306</v>
      </c>
      <c r="H25" s="286"/>
      <c r="I25" s="286"/>
      <c r="J25" s="286" t="s">
        <v>259</v>
      </c>
      <c r="K25" s="286"/>
      <c r="L25" s="286"/>
      <c r="M25" s="286" t="s">
        <v>310</v>
      </c>
      <c r="N25" s="286"/>
      <c r="O25" s="286"/>
      <c r="P25" s="286">
        <v>1.5</v>
      </c>
      <c r="Q25" s="286"/>
      <c r="R25" s="286"/>
      <c r="S25" s="287"/>
      <c r="T25" s="287"/>
      <c r="U25" s="287"/>
    </row>
    <row r="26" spans="1:21" x14ac:dyDescent="0.3">
      <c r="C26" s="292" t="s">
        <v>303</v>
      </c>
      <c r="D26" s="292"/>
      <c r="E26" s="292"/>
      <c r="F26" s="292"/>
      <c r="G26" s="286" t="s">
        <v>307</v>
      </c>
      <c r="H26" s="286"/>
      <c r="I26" s="286"/>
      <c r="J26" s="286" t="s">
        <v>259</v>
      </c>
      <c r="K26" s="286"/>
      <c r="L26" s="286"/>
      <c r="M26" s="286" t="s">
        <v>311</v>
      </c>
      <c r="N26" s="286"/>
      <c r="O26" s="286"/>
      <c r="P26" s="286">
        <v>1.2699999999999999E-2</v>
      </c>
      <c r="Q26" s="286"/>
      <c r="R26" s="286"/>
      <c r="S26" s="287"/>
      <c r="T26" s="287"/>
      <c r="U26" s="287"/>
    </row>
    <row r="27" spans="1:21" x14ac:dyDescent="0.3">
      <c r="C27" s="292" t="s">
        <v>304</v>
      </c>
      <c r="D27" s="292"/>
      <c r="E27" s="292"/>
      <c r="F27" s="292"/>
      <c r="G27" s="286" t="s">
        <v>308</v>
      </c>
      <c r="H27" s="286"/>
      <c r="I27" s="286"/>
      <c r="J27" s="286" t="s">
        <v>259</v>
      </c>
      <c r="K27" s="286"/>
      <c r="L27" s="286"/>
      <c r="M27" s="286" t="s">
        <v>311</v>
      </c>
      <c r="N27" s="286"/>
      <c r="O27" s="286"/>
      <c r="P27" s="286">
        <v>2.5399999999999999E-2</v>
      </c>
      <c r="Q27" s="286"/>
      <c r="R27" s="286"/>
      <c r="S27" s="287"/>
      <c r="T27" s="287"/>
      <c r="U27" s="287"/>
    </row>
    <row r="28" spans="1:21" x14ac:dyDescent="0.3">
      <c r="C28" s="286" t="s">
        <v>312</v>
      </c>
      <c r="D28" s="286"/>
      <c r="E28" s="286"/>
      <c r="F28" s="286"/>
      <c r="G28" s="286" t="s">
        <v>51</v>
      </c>
      <c r="H28" s="286"/>
      <c r="I28" s="286"/>
      <c r="J28" s="286" t="s">
        <v>313</v>
      </c>
      <c r="K28" s="286"/>
      <c r="L28" s="286"/>
      <c r="M28" s="286" t="s">
        <v>314</v>
      </c>
      <c r="N28" s="286"/>
      <c r="O28" s="286"/>
      <c r="P28" s="293">
        <f>(P25-P27)/(P26+P27)</f>
        <v>38.703412073490817</v>
      </c>
      <c r="Q28" s="293"/>
      <c r="R28" s="293"/>
      <c r="S28" s="287"/>
      <c r="T28" s="287"/>
      <c r="U28" s="287"/>
    </row>
    <row r="29" spans="1:21" x14ac:dyDescent="0.3">
      <c r="C29" s="286" t="s">
        <v>315</v>
      </c>
      <c r="D29" s="286"/>
      <c r="E29" s="286"/>
      <c r="F29" s="286"/>
      <c r="G29" s="286" t="s">
        <v>316</v>
      </c>
      <c r="H29" s="286"/>
      <c r="I29" s="286"/>
      <c r="J29" s="286" t="s">
        <v>259</v>
      </c>
      <c r="K29" s="286"/>
      <c r="L29" s="286"/>
      <c r="M29" s="286" t="s">
        <v>317</v>
      </c>
      <c r="N29" s="286"/>
      <c r="O29" s="286"/>
      <c r="P29" s="294">
        <f>P25-(P28*P26)</f>
        <v>1.0084666666666666</v>
      </c>
      <c r="Q29" s="294"/>
      <c r="R29" s="294"/>
      <c r="S29" s="287"/>
      <c r="T29" s="287"/>
      <c r="U29" s="287"/>
    </row>
    <row r="30" spans="1:21" x14ac:dyDescent="0.3">
      <c r="C30" s="286" t="s">
        <v>321</v>
      </c>
      <c r="D30" s="286"/>
      <c r="E30" s="286"/>
      <c r="F30" s="286"/>
      <c r="G30" s="286" t="s">
        <v>325</v>
      </c>
      <c r="H30" s="286"/>
      <c r="I30" s="286"/>
      <c r="J30" s="286" t="s">
        <v>186</v>
      </c>
      <c r="K30" s="286"/>
      <c r="L30" s="286"/>
      <c r="M30" s="286" t="s">
        <v>326</v>
      </c>
      <c r="N30" s="286"/>
      <c r="O30" s="286"/>
      <c r="P30" s="294">
        <f>'Kebutuhan Air Total'!G26</f>
        <v>0.68287864897272743</v>
      </c>
      <c r="Q30" s="294"/>
      <c r="R30" s="294"/>
      <c r="S30" s="287"/>
      <c r="T30" s="287"/>
      <c r="U30" s="287"/>
    </row>
    <row r="31" spans="1:21" x14ac:dyDescent="0.3">
      <c r="C31" s="286" t="s">
        <v>329</v>
      </c>
      <c r="D31" s="286"/>
      <c r="E31" s="286"/>
      <c r="F31" s="286"/>
      <c r="G31" s="286" t="s">
        <v>327</v>
      </c>
      <c r="H31" s="286"/>
      <c r="I31" s="286"/>
      <c r="J31" s="286" t="s">
        <v>259</v>
      </c>
      <c r="K31" s="286"/>
      <c r="L31" s="286"/>
      <c r="M31" s="286" t="s">
        <v>310</v>
      </c>
      <c r="N31" s="286"/>
      <c r="O31" s="286"/>
      <c r="P31" s="286">
        <v>10</v>
      </c>
      <c r="Q31" s="286"/>
      <c r="R31" s="286"/>
      <c r="S31" s="287"/>
      <c r="T31" s="287"/>
      <c r="U31" s="287"/>
    </row>
    <row r="32" spans="1:21" x14ac:dyDescent="0.3">
      <c r="C32" s="286" t="s">
        <v>330</v>
      </c>
      <c r="D32" s="286"/>
      <c r="E32" s="286"/>
      <c r="F32" s="286"/>
      <c r="G32" s="286" t="s">
        <v>328</v>
      </c>
      <c r="H32" s="286"/>
      <c r="I32" s="286"/>
      <c r="J32" s="286" t="s">
        <v>259</v>
      </c>
      <c r="K32" s="286"/>
      <c r="L32" s="286"/>
      <c r="M32" s="286" t="s">
        <v>310</v>
      </c>
      <c r="N32" s="286"/>
      <c r="O32" s="286"/>
      <c r="P32" s="286">
        <v>4</v>
      </c>
      <c r="Q32" s="286"/>
      <c r="R32" s="286"/>
      <c r="S32" s="287"/>
      <c r="T32" s="287"/>
      <c r="U32" s="287"/>
    </row>
    <row r="33" spans="1:21" x14ac:dyDescent="0.3">
      <c r="C33" s="286" t="s">
        <v>322</v>
      </c>
      <c r="D33" s="286"/>
      <c r="E33" s="286"/>
      <c r="F33" s="286"/>
      <c r="G33" s="286" t="s">
        <v>270</v>
      </c>
      <c r="H33" s="286"/>
      <c r="I33" s="286"/>
      <c r="J33" s="286" t="s">
        <v>275</v>
      </c>
      <c r="K33" s="286"/>
      <c r="L33" s="286"/>
      <c r="M33" s="286" t="s">
        <v>309</v>
      </c>
      <c r="N33" s="286"/>
      <c r="O33" s="286"/>
      <c r="P33" s="286">
        <v>5</v>
      </c>
      <c r="Q33" s="286"/>
      <c r="R33" s="286"/>
      <c r="S33" s="287"/>
      <c r="T33" s="287"/>
      <c r="U33" s="287"/>
    </row>
    <row r="34" spans="1:21" x14ac:dyDescent="0.3">
      <c r="C34" s="286" t="s">
        <v>324</v>
      </c>
      <c r="D34" s="286"/>
      <c r="E34" s="286"/>
      <c r="F34" s="286"/>
      <c r="G34" s="286" t="s">
        <v>319</v>
      </c>
      <c r="H34" s="286"/>
      <c r="I34" s="286"/>
      <c r="J34" s="286" t="s">
        <v>320</v>
      </c>
      <c r="K34" s="286"/>
      <c r="L34" s="286"/>
      <c r="M34" s="286" t="s">
        <v>331</v>
      </c>
      <c r="N34" s="286"/>
      <c r="O34" s="286"/>
      <c r="P34" s="294">
        <f>P29*P31</f>
        <v>10.084666666666667</v>
      </c>
      <c r="Q34" s="294"/>
      <c r="R34" s="294"/>
      <c r="S34" s="287"/>
      <c r="T34" s="287"/>
      <c r="U34" s="287"/>
    </row>
    <row r="35" spans="1:21" x14ac:dyDescent="0.3">
      <c r="C35" s="286" t="s">
        <v>318</v>
      </c>
      <c r="D35" s="286"/>
      <c r="E35" s="286"/>
      <c r="F35" s="286"/>
      <c r="G35" s="286" t="s">
        <v>332</v>
      </c>
      <c r="H35" s="286"/>
      <c r="I35" s="286"/>
      <c r="J35" s="286" t="s">
        <v>258</v>
      </c>
      <c r="K35" s="286"/>
      <c r="L35" s="286"/>
      <c r="M35" s="286" t="s">
        <v>333</v>
      </c>
      <c r="N35" s="286"/>
      <c r="O35" s="286"/>
      <c r="P35" s="294">
        <f>P30/P34</f>
        <v>6.7714548387591139E-2</v>
      </c>
      <c r="Q35" s="294"/>
      <c r="R35" s="294"/>
      <c r="S35" s="295" t="s">
        <v>335</v>
      </c>
      <c r="T35" s="295"/>
      <c r="U35" s="295"/>
    </row>
    <row r="36" spans="1:21" x14ac:dyDescent="0.3">
      <c r="A36" s="297" t="s">
        <v>363</v>
      </c>
      <c r="B36" s="297"/>
      <c r="C36" s="291" t="s">
        <v>260</v>
      </c>
      <c r="D36" s="291"/>
      <c r="E36" s="291"/>
      <c r="F36" s="291"/>
      <c r="G36" s="291" t="s">
        <v>300</v>
      </c>
      <c r="H36" s="291"/>
      <c r="I36" s="291"/>
      <c r="J36" s="291" t="s">
        <v>129</v>
      </c>
      <c r="K36" s="291"/>
      <c r="L36" s="291"/>
      <c r="M36" s="291" t="s">
        <v>301</v>
      </c>
      <c r="N36" s="291"/>
      <c r="O36" s="291"/>
      <c r="P36" s="291" t="s">
        <v>302</v>
      </c>
      <c r="Q36" s="291"/>
      <c r="R36" s="291"/>
      <c r="S36" s="291" t="s">
        <v>334</v>
      </c>
      <c r="T36" s="291"/>
      <c r="U36" s="291"/>
    </row>
    <row r="37" spans="1:21" x14ac:dyDescent="0.3">
      <c r="C37" s="286" t="s">
        <v>336</v>
      </c>
      <c r="D37" s="286"/>
      <c r="E37" s="286"/>
      <c r="F37" s="286"/>
      <c r="G37" s="286" t="s">
        <v>343</v>
      </c>
      <c r="H37" s="286"/>
      <c r="I37" s="286"/>
      <c r="J37" s="286" t="s">
        <v>350</v>
      </c>
      <c r="K37" s="286"/>
      <c r="L37" s="286"/>
      <c r="M37" s="286" t="s">
        <v>351</v>
      </c>
      <c r="N37" s="286"/>
      <c r="O37" s="286"/>
      <c r="P37" s="286">
        <f>P30*(P33*60)</f>
        <v>204.86359469181824</v>
      </c>
      <c r="Q37" s="286"/>
      <c r="R37" s="286"/>
      <c r="S37" s="286"/>
      <c r="T37" s="286"/>
      <c r="U37" s="286"/>
    </row>
    <row r="38" spans="1:21" x14ac:dyDescent="0.3">
      <c r="C38" s="286" t="s">
        <v>337</v>
      </c>
      <c r="D38" s="286"/>
      <c r="E38" s="286"/>
      <c r="F38" s="286"/>
      <c r="G38" s="286" t="s">
        <v>344</v>
      </c>
      <c r="H38" s="286"/>
      <c r="I38" s="286"/>
      <c r="J38" s="286" t="s">
        <v>259</v>
      </c>
      <c r="K38" s="286"/>
      <c r="L38" s="286"/>
      <c r="M38" s="286" t="s">
        <v>352</v>
      </c>
      <c r="N38" s="286"/>
      <c r="O38" s="286"/>
      <c r="P38" s="286">
        <f>P31-(P32-1.5)</f>
        <v>7.5</v>
      </c>
      <c r="Q38" s="286"/>
      <c r="R38" s="286"/>
      <c r="S38" s="286"/>
      <c r="T38" s="286"/>
      <c r="U38" s="286"/>
    </row>
    <row r="39" spans="1:21" x14ac:dyDescent="0.3">
      <c r="C39" s="286" t="s">
        <v>338</v>
      </c>
      <c r="D39" s="286"/>
      <c r="E39" s="286"/>
      <c r="F39" s="286"/>
      <c r="G39" s="286" t="s">
        <v>345</v>
      </c>
      <c r="H39" s="286"/>
      <c r="I39" s="286"/>
      <c r="J39" s="286" t="s">
        <v>259</v>
      </c>
      <c r="K39" s="286"/>
      <c r="L39" s="286"/>
      <c r="M39" s="286" t="s">
        <v>310</v>
      </c>
      <c r="N39" s="286"/>
      <c r="O39" s="286"/>
      <c r="P39" s="286">
        <v>0.5</v>
      </c>
      <c r="Q39" s="286"/>
      <c r="R39" s="286"/>
      <c r="S39" s="286"/>
      <c r="T39" s="286"/>
      <c r="U39" s="286"/>
    </row>
    <row r="40" spans="1:21" x14ac:dyDescent="0.3">
      <c r="C40" s="286" t="s">
        <v>339</v>
      </c>
      <c r="D40" s="286"/>
      <c r="E40" s="286"/>
      <c r="F40" s="286"/>
      <c r="G40" s="286" t="s">
        <v>346</v>
      </c>
      <c r="H40" s="286"/>
      <c r="I40" s="286"/>
      <c r="J40" s="286" t="s">
        <v>259</v>
      </c>
      <c r="K40" s="286"/>
      <c r="L40" s="286"/>
      <c r="M40" s="286" t="s">
        <v>353</v>
      </c>
      <c r="N40" s="286"/>
      <c r="O40" s="286"/>
      <c r="P40" s="286">
        <f>P38+P39</f>
        <v>8</v>
      </c>
      <c r="Q40" s="286"/>
      <c r="R40" s="286"/>
      <c r="S40" s="286"/>
      <c r="T40" s="286"/>
      <c r="U40" s="286"/>
    </row>
    <row r="41" spans="1:21" x14ac:dyDescent="0.3">
      <c r="C41" s="286" t="s">
        <v>340</v>
      </c>
      <c r="D41" s="286"/>
      <c r="E41" s="286"/>
      <c r="F41" s="286"/>
      <c r="G41" s="286" t="s">
        <v>347</v>
      </c>
      <c r="H41" s="286"/>
      <c r="I41" s="286"/>
      <c r="J41" s="286" t="s">
        <v>320</v>
      </c>
      <c r="K41" s="286"/>
      <c r="L41" s="286"/>
      <c r="M41" s="286" t="s">
        <v>354</v>
      </c>
      <c r="N41" s="286"/>
      <c r="O41" s="286"/>
      <c r="P41" s="294">
        <f>P37/P40</f>
        <v>25.607949336477279</v>
      </c>
      <c r="Q41" s="294"/>
      <c r="R41" s="294"/>
      <c r="S41" s="286"/>
      <c r="T41" s="286"/>
      <c r="U41" s="286"/>
    </row>
    <row r="42" spans="1:21" x14ac:dyDescent="0.3">
      <c r="C42" s="286" t="s">
        <v>356</v>
      </c>
      <c r="D42" s="286"/>
      <c r="E42" s="286"/>
      <c r="F42" s="286"/>
      <c r="G42" s="286" t="s">
        <v>357</v>
      </c>
      <c r="H42" s="286"/>
      <c r="I42" s="286"/>
      <c r="J42" s="286" t="s">
        <v>258</v>
      </c>
      <c r="K42" s="286"/>
      <c r="L42" s="286"/>
      <c r="M42" s="286" t="s">
        <v>311</v>
      </c>
      <c r="N42" s="286"/>
      <c r="O42" s="286"/>
      <c r="P42" s="286">
        <v>0.6</v>
      </c>
      <c r="Q42" s="286"/>
      <c r="R42" s="286"/>
      <c r="S42" s="286"/>
      <c r="T42" s="286"/>
      <c r="U42" s="286"/>
    </row>
    <row r="43" spans="1:21" x14ac:dyDescent="0.3">
      <c r="C43" s="286" t="s">
        <v>341</v>
      </c>
      <c r="D43" s="286"/>
      <c r="E43" s="286"/>
      <c r="F43" s="286"/>
      <c r="G43" s="286" t="s">
        <v>348</v>
      </c>
      <c r="H43" s="286"/>
      <c r="I43" s="286"/>
      <c r="J43" s="286" t="s">
        <v>259</v>
      </c>
      <c r="K43" s="286"/>
      <c r="L43" s="286"/>
      <c r="M43" s="286" t="s">
        <v>355</v>
      </c>
      <c r="N43" s="286"/>
      <c r="O43" s="286"/>
      <c r="P43" s="296">
        <f>SQRT((P30*4)/(P42*3.14))</f>
        <v>1.204096554109918</v>
      </c>
      <c r="Q43" s="296"/>
      <c r="R43" s="296"/>
      <c r="S43" s="286"/>
      <c r="T43" s="286"/>
      <c r="U43" s="286"/>
    </row>
    <row r="44" spans="1:21" x14ac:dyDescent="0.3">
      <c r="C44" s="286" t="s">
        <v>342</v>
      </c>
      <c r="D44" s="286"/>
      <c r="E44" s="286"/>
      <c r="F44" s="286"/>
      <c r="G44" s="286" t="s">
        <v>349</v>
      </c>
      <c r="H44" s="286"/>
      <c r="I44" s="286"/>
      <c r="J44" s="286" t="s">
        <v>258</v>
      </c>
      <c r="K44" s="286"/>
      <c r="L44" s="286"/>
      <c r="M44" s="286" t="s">
        <v>358</v>
      </c>
      <c r="N44" s="286"/>
      <c r="O44" s="286"/>
      <c r="P44" s="294">
        <f>P30/P41</f>
        <v>2.6666666666666665E-2</v>
      </c>
      <c r="Q44" s="294"/>
      <c r="R44" s="294"/>
      <c r="S44" s="295" t="s">
        <v>359</v>
      </c>
      <c r="T44" s="295"/>
      <c r="U44" s="295"/>
    </row>
    <row r="46" spans="1:21" x14ac:dyDescent="0.3">
      <c r="I46" t="s">
        <v>364</v>
      </c>
    </row>
  </sheetData>
  <mergeCells count="247">
    <mergeCell ref="J43:L43"/>
    <mergeCell ref="J44:L44"/>
    <mergeCell ref="A24:B24"/>
    <mergeCell ref="A36:B36"/>
    <mergeCell ref="C41:F41"/>
    <mergeCell ref="C43:F43"/>
    <mergeCell ref="C44:F44"/>
    <mergeCell ref="C42:F42"/>
    <mergeCell ref="G42:I42"/>
    <mergeCell ref="J42:L42"/>
    <mergeCell ref="G37:I37"/>
    <mergeCell ref="G38:I38"/>
    <mergeCell ref="G39:I39"/>
    <mergeCell ref="G40:I40"/>
    <mergeCell ref="G41:I41"/>
    <mergeCell ref="G43:I43"/>
    <mergeCell ref="G44:I44"/>
    <mergeCell ref="C37:F37"/>
    <mergeCell ref="C38:F38"/>
    <mergeCell ref="C39:F39"/>
    <mergeCell ref="C40:F40"/>
    <mergeCell ref="C32:F32"/>
    <mergeCell ref="C33:F33"/>
    <mergeCell ref="C34:F34"/>
    <mergeCell ref="S36:U36"/>
    <mergeCell ref="M38:O38"/>
    <mergeCell ref="M39:O39"/>
    <mergeCell ref="M40:O40"/>
    <mergeCell ref="M41:O41"/>
    <mergeCell ref="P36:R36"/>
    <mergeCell ref="G36:I36"/>
    <mergeCell ref="J36:L36"/>
    <mergeCell ref="M36:O36"/>
    <mergeCell ref="J37:L37"/>
    <mergeCell ref="J38:L38"/>
    <mergeCell ref="J39:L39"/>
    <mergeCell ref="J40:L40"/>
    <mergeCell ref="J41:L41"/>
    <mergeCell ref="M43:O43"/>
    <mergeCell ref="M44:O44"/>
    <mergeCell ref="S37:U37"/>
    <mergeCell ref="S38:U38"/>
    <mergeCell ref="S39:U39"/>
    <mergeCell ref="S40:U40"/>
    <mergeCell ref="P37:R37"/>
    <mergeCell ref="P38:R38"/>
    <mergeCell ref="P39:R39"/>
    <mergeCell ref="P40:R40"/>
    <mergeCell ref="M37:O37"/>
    <mergeCell ref="P42:R42"/>
    <mergeCell ref="S42:U42"/>
    <mergeCell ref="P44:R44"/>
    <mergeCell ref="S41:U41"/>
    <mergeCell ref="S43:U43"/>
    <mergeCell ref="S44:U44"/>
    <mergeCell ref="P41:R41"/>
    <mergeCell ref="P43:R43"/>
    <mergeCell ref="M42:O42"/>
    <mergeCell ref="S24:U24"/>
    <mergeCell ref="S25:U25"/>
    <mergeCell ref="S26:U26"/>
    <mergeCell ref="S27:U27"/>
    <mergeCell ref="S28:U28"/>
    <mergeCell ref="J32:L32"/>
    <mergeCell ref="J33:L33"/>
    <mergeCell ref="J34:L34"/>
    <mergeCell ref="J35:L35"/>
    <mergeCell ref="M32:O32"/>
    <mergeCell ref="M33:O33"/>
    <mergeCell ref="M34:O34"/>
    <mergeCell ref="M35:O35"/>
    <mergeCell ref="S29:U29"/>
    <mergeCell ref="S30:U30"/>
    <mergeCell ref="S31:U31"/>
    <mergeCell ref="S32:U32"/>
    <mergeCell ref="S33:U33"/>
    <mergeCell ref="S34:U34"/>
    <mergeCell ref="P32:R32"/>
    <mergeCell ref="P33:R33"/>
    <mergeCell ref="P34:R34"/>
    <mergeCell ref="S35:U35"/>
    <mergeCell ref="P35:R35"/>
    <mergeCell ref="P30:R30"/>
    <mergeCell ref="P31:R31"/>
    <mergeCell ref="J30:L30"/>
    <mergeCell ref="J31:L31"/>
    <mergeCell ref="M30:O30"/>
    <mergeCell ref="M31:O31"/>
    <mergeCell ref="C30:F30"/>
    <mergeCell ref="C31:F31"/>
    <mergeCell ref="G30:I30"/>
    <mergeCell ref="G31:I31"/>
    <mergeCell ref="C35:F35"/>
    <mergeCell ref="C36:F36"/>
    <mergeCell ref="G32:I32"/>
    <mergeCell ref="G33:I33"/>
    <mergeCell ref="G34:I34"/>
    <mergeCell ref="G35:I35"/>
    <mergeCell ref="C26:F26"/>
    <mergeCell ref="G26:I26"/>
    <mergeCell ref="J26:L26"/>
    <mergeCell ref="M26:O26"/>
    <mergeCell ref="P26:R26"/>
    <mergeCell ref="P25:R25"/>
    <mergeCell ref="P27:R27"/>
    <mergeCell ref="P28:R28"/>
    <mergeCell ref="P29:R29"/>
    <mergeCell ref="M25:O25"/>
    <mergeCell ref="M27:O27"/>
    <mergeCell ref="M28:O28"/>
    <mergeCell ref="M29:O29"/>
    <mergeCell ref="J25:L25"/>
    <mergeCell ref="J27:L27"/>
    <mergeCell ref="J28:L28"/>
    <mergeCell ref="J29:L29"/>
    <mergeCell ref="G25:I25"/>
    <mergeCell ref="G27:I27"/>
    <mergeCell ref="G28:I28"/>
    <mergeCell ref="G29:I29"/>
    <mergeCell ref="C25:F25"/>
    <mergeCell ref="C27:F27"/>
    <mergeCell ref="C28:F28"/>
    <mergeCell ref="S8:U8"/>
    <mergeCell ref="S9:U9"/>
    <mergeCell ref="S10:U10"/>
    <mergeCell ref="S11:U11"/>
    <mergeCell ref="M13:O13"/>
    <mergeCell ref="M14:O14"/>
    <mergeCell ref="S14:U14"/>
    <mergeCell ref="C29:F29"/>
    <mergeCell ref="S21:U21"/>
    <mergeCell ref="P13:R13"/>
    <mergeCell ref="S13:U13"/>
    <mergeCell ref="M11:O11"/>
    <mergeCell ref="C24:F24"/>
    <mergeCell ref="G24:I24"/>
    <mergeCell ref="J24:L24"/>
    <mergeCell ref="M24:O24"/>
    <mergeCell ref="P24:R24"/>
    <mergeCell ref="S15:U15"/>
    <mergeCell ref="S16:U16"/>
    <mergeCell ref="S17:U17"/>
    <mergeCell ref="S18:U18"/>
    <mergeCell ref="S19:U19"/>
    <mergeCell ref="S20:U20"/>
    <mergeCell ref="M21:O21"/>
    <mergeCell ref="M10:O10"/>
    <mergeCell ref="P8:R8"/>
    <mergeCell ref="P9:R9"/>
    <mergeCell ref="P10:R10"/>
    <mergeCell ref="P11:R11"/>
    <mergeCell ref="P7:R7"/>
    <mergeCell ref="P21:R21"/>
    <mergeCell ref="M15:O15"/>
    <mergeCell ref="M16:O16"/>
    <mergeCell ref="M17:O17"/>
    <mergeCell ref="M18:O18"/>
    <mergeCell ref="M19:O19"/>
    <mergeCell ref="M20:O20"/>
    <mergeCell ref="P14:R14"/>
    <mergeCell ref="P15:R15"/>
    <mergeCell ref="P16:R16"/>
    <mergeCell ref="P17:R17"/>
    <mergeCell ref="P18:R18"/>
    <mergeCell ref="P19:R19"/>
    <mergeCell ref="P20:R20"/>
    <mergeCell ref="J21:L21"/>
    <mergeCell ref="G16:L16"/>
    <mergeCell ref="B7:F7"/>
    <mergeCell ref="G7:I7"/>
    <mergeCell ref="J7:L7"/>
    <mergeCell ref="J8:L8"/>
    <mergeCell ref="J9:L9"/>
    <mergeCell ref="J10:L10"/>
    <mergeCell ref="J11:L11"/>
    <mergeCell ref="G20:I20"/>
    <mergeCell ref="G21:I21"/>
    <mergeCell ref="J13:L13"/>
    <mergeCell ref="J14:L14"/>
    <mergeCell ref="J15:L15"/>
    <mergeCell ref="J17:L17"/>
    <mergeCell ref="J18:L18"/>
    <mergeCell ref="J19:L19"/>
    <mergeCell ref="J20:L20"/>
    <mergeCell ref="B20:F20"/>
    <mergeCell ref="B21:F21"/>
    <mergeCell ref="G13:I13"/>
    <mergeCell ref="G14:I14"/>
    <mergeCell ref="G15:I15"/>
    <mergeCell ref="G17:I17"/>
    <mergeCell ref="G18:I18"/>
    <mergeCell ref="G19:I19"/>
    <mergeCell ref="B19:F19"/>
    <mergeCell ref="B18:F18"/>
    <mergeCell ref="B17:F17"/>
    <mergeCell ref="B16:F16"/>
    <mergeCell ref="B15:F15"/>
    <mergeCell ref="B14:F14"/>
    <mergeCell ref="B13:F13"/>
    <mergeCell ref="B12:F12"/>
    <mergeCell ref="G12:I12"/>
    <mergeCell ref="J12:L12"/>
    <mergeCell ref="M12:O12"/>
    <mergeCell ref="P12:R12"/>
    <mergeCell ref="S12:U12"/>
    <mergeCell ref="B6:F6"/>
    <mergeCell ref="G6:I6"/>
    <mergeCell ref="J6:L6"/>
    <mergeCell ref="M6:O6"/>
    <mergeCell ref="P6:R6"/>
    <mergeCell ref="S6:U6"/>
    <mergeCell ref="S7:U7"/>
    <mergeCell ref="B11:F11"/>
    <mergeCell ref="B10:F10"/>
    <mergeCell ref="B8:F8"/>
    <mergeCell ref="B9:F9"/>
    <mergeCell ref="G8:I8"/>
    <mergeCell ref="G9:I9"/>
    <mergeCell ref="G10:I10"/>
    <mergeCell ref="G11:I11"/>
    <mergeCell ref="M7:O7"/>
    <mergeCell ref="M8:O8"/>
    <mergeCell ref="M9:O9"/>
    <mergeCell ref="B5:F5"/>
    <mergeCell ref="G5:I5"/>
    <mergeCell ref="J5:L5"/>
    <mergeCell ref="M5:O5"/>
    <mergeCell ref="P5:R5"/>
    <mergeCell ref="S5:U5"/>
    <mergeCell ref="B4:F4"/>
    <mergeCell ref="G4:I4"/>
    <mergeCell ref="J4:L4"/>
    <mergeCell ref="M4:O4"/>
    <mergeCell ref="P4:R4"/>
    <mergeCell ref="S4:U4"/>
    <mergeCell ref="B3:F3"/>
    <mergeCell ref="G3:I3"/>
    <mergeCell ref="J3:L3"/>
    <mergeCell ref="M3:O3"/>
    <mergeCell ref="P3:R3"/>
    <mergeCell ref="S3:U3"/>
    <mergeCell ref="G2:I2"/>
    <mergeCell ref="J2:L2"/>
    <mergeCell ref="M2:O2"/>
    <mergeCell ref="P2:R2"/>
    <mergeCell ref="S2:U2"/>
    <mergeCell ref="A2:F2"/>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9817D-F8F2-417F-A7AF-B8192194F727}">
  <dimension ref="B3:V151"/>
  <sheetViews>
    <sheetView topLeftCell="A22" zoomScale="73" zoomScaleNormal="73" workbookViewId="0">
      <selection activeCell="N120" sqref="N120:P120"/>
    </sheetView>
  </sheetViews>
  <sheetFormatPr defaultRowHeight="14.4" x14ac:dyDescent="0.3"/>
  <cols>
    <col min="16" max="16" width="16.44140625" customWidth="1"/>
  </cols>
  <sheetData>
    <row r="3" spans="2:21" x14ac:dyDescent="0.3">
      <c r="B3" s="285" t="s">
        <v>115</v>
      </c>
      <c r="C3" s="285"/>
      <c r="D3" s="285"/>
      <c r="E3" s="285"/>
      <c r="F3" s="285"/>
      <c r="G3" s="285" t="s">
        <v>129</v>
      </c>
      <c r="H3" s="285"/>
      <c r="I3" s="285"/>
      <c r="J3" s="285" t="s">
        <v>286</v>
      </c>
      <c r="K3" s="285"/>
      <c r="L3" s="285"/>
      <c r="M3" s="285" t="s">
        <v>287</v>
      </c>
      <c r="N3" s="285"/>
      <c r="O3" s="285"/>
      <c r="P3" s="285" t="s">
        <v>376</v>
      </c>
      <c r="Q3" s="285"/>
      <c r="R3" s="285"/>
      <c r="S3" s="285"/>
      <c r="T3" s="285"/>
      <c r="U3" s="285"/>
    </row>
    <row r="4" spans="2:21" x14ac:dyDescent="0.3">
      <c r="B4" s="286" t="s">
        <v>366</v>
      </c>
      <c r="C4" s="286"/>
      <c r="D4" s="286"/>
      <c r="E4" s="286"/>
      <c r="F4" s="286"/>
      <c r="G4" s="287" t="s">
        <v>372</v>
      </c>
      <c r="H4" s="287"/>
      <c r="I4" s="287"/>
      <c r="J4" s="287"/>
      <c r="K4" s="287"/>
      <c r="L4" s="287"/>
      <c r="M4" s="287"/>
      <c r="N4" s="287"/>
      <c r="O4" s="287"/>
      <c r="P4" s="287" t="s">
        <v>377</v>
      </c>
      <c r="Q4" s="287"/>
      <c r="R4" s="287"/>
      <c r="S4" s="290"/>
      <c r="T4" s="290"/>
      <c r="U4" s="290"/>
    </row>
    <row r="5" spans="2:21" x14ac:dyDescent="0.3">
      <c r="B5" s="286" t="s">
        <v>367</v>
      </c>
      <c r="C5" s="286"/>
      <c r="D5" s="286"/>
      <c r="E5" s="286"/>
      <c r="F5" s="286"/>
      <c r="G5" s="287" t="s">
        <v>373</v>
      </c>
      <c r="H5" s="287"/>
      <c r="I5" s="287"/>
      <c r="J5" s="287"/>
      <c r="K5" s="287"/>
      <c r="L5" s="287"/>
      <c r="M5" s="287"/>
      <c r="N5" s="287"/>
      <c r="O5" s="287"/>
      <c r="P5" s="287" t="s">
        <v>378</v>
      </c>
      <c r="Q5" s="287"/>
      <c r="R5" s="287"/>
      <c r="S5" s="287"/>
      <c r="T5" s="287"/>
      <c r="U5" s="287"/>
    </row>
    <row r="6" spans="2:21" x14ac:dyDescent="0.3">
      <c r="B6" s="286" t="s">
        <v>368</v>
      </c>
      <c r="C6" s="286"/>
      <c r="D6" s="286"/>
      <c r="E6" s="286"/>
      <c r="F6" s="286"/>
      <c r="G6" s="287" t="s">
        <v>374</v>
      </c>
      <c r="H6" s="287"/>
      <c r="I6" s="287"/>
      <c r="J6" s="287"/>
      <c r="K6" s="287"/>
      <c r="L6" s="287"/>
      <c r="M6" s="287"/>
      <c r="N6" s="287"/>
      <c r="O6" s="287"/>
      <c r="P6" s="287" t="s">
        <v>379</v>
      </c>
      <c r="Q6" s="287"/>
      <c r="R6" s="287"/>
      <c r="S6" s="287"/>
      <c r="T6" s="287"/>
      <c r="U6" s="287"/>
    </row>
    <row r="7" spans="2:21" x14ac:dyDescent="0.3">
      <c r="B7" s="286" t="s">
        <v>369</v>
      </c>
      <c r="C7" s="286"/>
      <c r="D7" s="286"/>
      <c r="E7" s="286"/>
      <c r="F7" s="286"/>
      <c r="G7" s="287" t="s">
        <v>375</v>
      </c>
      <c r="H7" s="287"/>
      <c r="I7" s="287"/>
      <c r="J7" s="287"/>
      <c r="K7" s="287"/>
      <c r="L7" s="287"/>
      <c r="M7" s="287"/>
      <c r="N7" s="287"/>
      <c r="O7" s="287"/>
      <c r="P7" s="287" t="s">
        <v>380</v>
      </c>
      <c r="Q7" s="287"/>
      <c r="R7" s="287"/>
      <c r="S7" s="287"/>
      <c r="T7" s="287"/>
      <c r="U7" s="287"/>
    </row>
    <row r="8" spans="2:21" x14ac:dyDescent="0.3">
      <c r="B8" s="286" t="s">
        <v>323</v>
      </c>
      <c r="C8" s="286"/>
      <c r="D8" s="286"/>
      <c r="E8" s="286"/>
      <c r="F8" s="286"/>
      <c r="G8" s="287" t="s">
        <v>275</v>
      </c>
      <c r="H8" s="287"/>
      <c r="I8" s="287"/>
      <c r="J8" s="287"/>
      <c r="K8" s="287"/>
      <c r="L8" s="287"/>
      <c r="M8" s="287"/>
      <c r="N8" s="287"/>
      <c r="O8" s="287"/>
      <c r="P8" s="287" t="s">
        <v>381</v>
      </c>
      <c r="Q8" s="287"/>
      <c r="R8" s="287"/>
      <c r="S8" s="287"/>
      <c r="T8" s="287"/>
      <c r="U8" s="287"/>
    </row>
    <row r="9" spans="2:21" x14ac:dyDescent="0.3">
      <c r="B9" s="286" t="s">
        <v>370</v>
      </c>
      <c r="C9" s="286"/>
      <c r="D9" s="286"/>
      <c r="E9" s="286"/>
      <c r="F9" s="286"/>
      <c r="G9" s="287"/>
      <c r="H9" s="287"/>
      <c r="I9" s="287"/>
      <c r="J9" s="287"/>
      <c r="K9" s="287"/>
      <c r="L9" s="287"/>
      <c r="M9" s="287"/>
      <c r="N9" s="287"/>
      <c r="O9" s="287"/>
      <c r="P9" s="298" t="s">
        <v>382</v>
      </c>
      <c r="Q9" s="287"/>
      <c r="R9" s="287"/>
      <c r="S9" s="287"/>
      <c r="T9" s="287"/>
      <c r="U9" s="287"/>
    </row>
    <row r="10" spans="2:21" x14ac:dyDescent="0.3">
      <c r="B10" s="286" t="s">
        <v>371</v>
      </c>
      <c r="C10" s="286"/>
      <c r="D10" s="286"/>
      <c r="E10" s="286"/>
      <c r="F10" s="286"/>
      <c r="G10" s="287" t="s">
        <v>259</v>
      </c>
      <c r="H10" s="287"/>
      <c r="I10" s="287"/>
      <c r="J10" s="287"/>
      <c r="K10" s="287"/>
      <c r="L10" s="287"/>
      <c r="M10" s="287"/>
      <c r="N10" s="287"/>
      <c r="O10" s="287"/>
      <c r="P10" s="287" t="s">
        <v>383</v>
      </c>
      <c r="Q10" s="287"/>
      <c r="R10" s="287"/>
      <c r="S10" s="287"/>
      <c r="T10" s="287"/>
      <c r="U10" s="287"/>
    </row>
    <row r="11" spans="2:21" x14ac:dyDescent="0.3">
      <c r="B11" s="286" t="s">
        <v>384</v>
      </c>
      <c r="C11" s="286"/>
      <c r="D11" s="286"/>
      <c r="E11" s="286"/>
      <c r="F11" s="286"/>
      <c r="G11" s="287"/>
      <c r="H11" s="287"/>
      <c r="I11" s="287"/>
      <c r="J11" s="287"/>
      <c r="K11" s="287"/>
      <c r="L11" s="287"/>
      <c r="M11" s="287"/>
      <c r="N11" s="287"/>
      <c r="O11" s="287"/>
      <c r="P11" s="287" t="s">
        <v>386</v>
      </c>
      <c r="Q11" s="287"/>
      <c r="R11" s="287"/>
      <c r="S11" s="287"/>
      <c r="T11" s="287"/>
      <c r="U11" s="287"/>
    </row>
    <row r="12" spans="2:21" x14ac:dyDescent="0.3">
      <c r="B12" s="286" t="s">
        <v>385</v>
      </c>
      <c r="C12" s="286"/>
      <c r="D12" s="286"/>
      <c r="E12" s="286"/>
      <c r="F12" s="286"/>
      <c r="G12" s="287"/>
      <c r="H12" s="287"/>
      <c r="I12" s="287"/>
      <c r="J12" s="287"/>
      <c r="K12" s="287"/>
      <c r="L12" s="287"/>
      <c r="M12" s="287"/>
      <c r="N12" s="287"/>
      <c r="O12" s="287"/>
      <c r="P12" s="287" t="s">
        <v>387</v>
      </c>
      <c r="Q12" s="287"/>
      <c r="R12" s="287"/>
      <c r="S12" s="287"/>
      <c r="T12" s="287"/>
      <c r="U12" s="287"/>
    </row>
    <row r="13" spans="2:21" x14ac:dyDescent="0.3">
      <c r="B13" s="286"/>
      <c r="C13" s="286"/>
      <c r="D13" s="286"/>
      <c r="E13" s="286"/>
      <c r="F13" s="286"/>
      <c r="G13" s="287"/>
      <c r="H13" s="287"/>
      <c r="I13" s="287"/>
      <c r="J13" s="287"/>
      <c r="K13" s="287"/>
      <c r="L13" s="287"/>
      <c r="M13" s="287"/>
      <c r="N13" s="287"/>
      <c r="O13" s="287"/>
      <c r="P13" s="287"/>
      <c r="Q13" s="287"/>
      <c r="R13" s="287"/>
      <c r="S13" s="287"/>
      <c r="T13" s="287"/>
      <c r="U13" s="287"/>
    </row>
    <row r="14" spans="2:21" x14ac:dyDescent="0.3">
      <c r="B14" s="286"/>
      <c r="C14" s="286"/>
      <c r="D14" s="286"/>
      <c r="E14" s="286"/>
      <c r="F14" s="286"/>
      <c r="G14" s="287"/>
      <c r="H14" s="287"/>
      <c r="I14" s="287"/>
      <c r="J14" s="287"/>
      <c r="K14" s="287"/>
      <c r="L14" s="287"/>
      <c r="M14" s="287"/>
      <c r="N14" s="287"/>
      <c r="O14" s="287"/>
      <c r="P14" s="287"/>
      <c r="Q14" s="287"/>
      <c r="R14" s="287"/>
      <c r="S14" s="287"/>
      <c r="T14" s="287"/>
      <c r="U14" s="287"/>
    </row>
    <row r="15" spans="2:21" x14ac:dyDescent="0.3">
      <c r="O15">
        <f>1/8</f>
        <v>0.125</v>
      </c>
    </row>
    <row r="17" spans="2:22" x14ac:dyDescent="0.3">
      <c r="B17" s="297" t="s">
        <v>389</v>
      </c>
      <c r="C17" s="297"/>
      <c r="D17" s="291" t="s">
        <v>388</v>
      </c>
      <c r="E17" s="291"/>
      <c r="F17" s="291"/>
      <c r="G17" s="291"/>
      <c r="H17" s="291" t="s">
        <v>300</v>
      </c>
      <c r="I17" s="291"/>
      <c r="J17" s="291"/>
      <c r="K17" s="291" t="s">
        <v>129</v>
      </c>
      <c r="L17" s="291"/>
      <c r="M17" s="291"/>
      <c r="N17" s="291" t="s">
        <v>301</v>
      </c>
      <c r="O17" s="291"/>
      <c r="P17" s="291"/>
      <c r="Q17" s="291" t="s">
        <v>302</v>
      </c>
      <c r="R17" s="291"/>
      <c r="S17" s="291"/>
      <c r="T17" s="291" t="s">
        <v>334</v>
      </c>
      <c r="U17" s="291"/>
      <c r="V17" s="291"/>
    </row>
    <row r="18" spans="2:22" x14ac:dyDescent="0.3">
      <c r="D18" s="286" t="s">
        <v>390</v>
      </c>
      <c r="E18" s="286"/>
      <c r="F18" s="286"/>
      <c r="G18" s="286"/>
      <c r="H18" s="286" t="s">
        <v>394</v>
      </c>
      <c r="I18" s="286"/>
      <c r="J18" s="286"/>
      <c r="K18" s="286" t="s">
        <v>372</v>
      </c>
      <c r="L18" s="286"/>
      <c r="M18" s="286"/>
      <c r="N18" s="286"/>
      <c r="O18" s="286"/>
      <c r="P18" s="286"/>
      <c r="Q18" s="286">
        <v>4</v>
      </c>
      <c r="R18" s="286"/>
      <c r="S18" s="286"/>
      <c r="T18" s="286"/>
      <c r="U18" s="286"/>
      <c r="V18" s="286"/>
    </row>
    <row r="19" spans="2:22" x14ac:dyDescent="0.3">
      <c r="D19" s="286" t="s">
        <v>391</v>
      </c>
      <c r="E19" s="286"/>
      <c r="F19" s="286"/>
      <c r="G19" s="286"/>
      <c r="H19" s="286" t="s">
        <v>392</v>
      </c>
      <c r="I19" s="286"/>
      <c r="J19" s="286"/>
      <c r="K19" s="286"/>
      <c r="L19" s="286"/>
      <c r="M19" s="286"/>
      <c r="N19" s="286"/>
      <c r="O19" s="286"/>
      <c r="P19" s="286"/>
      <c r="Q19" s="286">
        <v>0.6</v>
      </c>
      <c r="R19" s="286"/>
      <c r="S19" s="286"/>
      <c r="T19" s="286"/>
      <c r="U19" s="286"/>
      <c r="V19" s="286"/>
    </row>
    <row r="20" spans="2:22" x14ac:dyDescent="0.3">
      <c r="D20" s="286" t="s">
        <v>393</v>
      </c>
      <c r="E20" s="286"/>
      <c r="F20" s="286"/>
      <c r="G20" s="286"/>
      <c r="H20" s="286" t="s">
        <v>51</v>
      </c>
      <c r="I20" s="286"/>
      <c r="J20" s="286"/>
      <c r="K20" s="286"/>
      <c r="L20" s="286"/>
      <c r="M20" s="286"/>
      <c r="N20" s="286"/>
      <c r="O20" s="286"/>
      <c r="P20" s="286"/>
      <c r="Q20" s="300">
        <v>0.125</v>
      </c>
      <c r="R20" s="301"/>
      <c r="S20" s="301"/>
      <c r="T20" s="286"/>
      <c r="U20" s="286"/>
      <c r="V20" s="286"/>
    </row>
    <row r="21" spans="2:22" x14ac:dyDescent="0.3">
      <c r="D21" s="286" t="s">
        <v>395</v>
      </c>
      <c r="E21" s="286"/>
      <c r="F21" s="286"/>
      <c r="G21" s="286"/>
      <c r="H21" s="286" t="s">
        <v>396</v>
      </c>
      <c r="I21" s="286"/>
      <c r="J21" s="286"/>
      <c r="K21" s="286" t="s">
        <v>258</v>
      </c>
      <c r="L21" s="286"/>
      <c r="M21" s="286"/>
      <c r="N21" s="286"/>
      <c r="O21" s="286"/>
      <c r="P21" s="286"/>
      <c r="Q21" s="286">
        <v>2.5000000000000001E-4</v>
      </c>
      <c r="R21" s="286"/>
      <c r="S21" s="286"/>
      <c r="T21" s="286"/>
      <c r="U21" s="286"/>
      <c r="V21" s="286"/>
    </row>
    <row r="22" spans="2:22" x14ac:dyDescent="0.3">
      <c r="D22" s="286" t="s">
        <v>397</v>
      </c>
      <c r="E22" s="286"/>
      <c r="F22" s="286"/>
      <c r="G22" s="286"/>
      <c r="H22" s="286" t="s">
        <v>398</v>
      </c>
      <c r="I22" s="286"/>
      <c r="J22" s="286"/>
      <c r="K22" s="286"/>
      <c r="L22" s="286"/>
      <c r="M22" s="286"/>
      <c r="N22" s="286"/>
      <c r="O22" s="286"/>
      <c r="P22" s="286"/>
      <c r="Q22" s="170" t="s">
        <v>382</v>
      </c>
      <c r="R22" s="286"/>
      <c r="S22" s="286"/>
      <c r="T22" s="286"/>
      <c r="U22" s="286"/>
      <c r="V22" s="286"/>
    </row>
    <row r="25" spans="2:22" x14ac:dyDescent="0.3">
      <c r="B25" s="297" t="s">
        <v>299</v>
      </c>
      <c r="C25" s="297"/>
      <c r="D25" s="291" t="s">
        <v>399</v>
      </c>
      <c r="E25" s="291"/>
      <c r="F25" s="291"/>
      <c r="G25" s="291"/>
      <c r="H25" s="291" t="s">
        <v>300</v>
      </c>
      <c r="I25" s="291"/>
      <c r="J25" s="291"/>
      <c r="K25" s="291" t="s">
        <v>129</v>
      </c>
      <c r="L25" s="291"/>
      <c r="M25" s="291"/>
      <c r="N25" s="291" t="s">
        <v>301</v>
      </c>
      <c r="O25" s="291"/>
      <c r="P25" s="291"/>
      <c r="Q25" s="291" t="s">
        <v>302</v>
      </c>
      <c r="R25" s="291"/>
      <c r="S25" s="291"/>
      <c r="T25" s="291" t="s">
        <v>334</v>
      </c>
      <c r="U25" s="291"/>
      <c r="V25" s="291"/>
    </row>
    <row r="26" spans="2:22" x14ac:dyDescent="0.3">
      <c r="D26" s="286" t="s">
        <v>402</v>
      </c>
      <c r="E26" s="286"/>
      <c r="F26" s="286"/>
      <c r="G26" s="286"/>
      <c r="H26" s="286" t="s">
        <v>325</v>
      </c>
      <c r="I26" s="286"/>
      <c r="J26" s="286"/>
      <c r="K26" s="286" t="s">
        <v>186</v>
      </c>
      <c r="L26" s="286"/>
      <c r="M26" s="286"/>
      <c r="N26" s="286" t="s">
        <v>403</v>
      </c>
      <c r="O26" s="286"/>
      <c r="P26" s="286"/>
      <c r="Q26" s="294">
        <f>'Kebutuhan Air Total'!G26</f>
        <v>0.68287864897272743</v>
      </c>
      <c r="R26" s="294"/>
      <c r="S26" s="294"/>
      <c r="T26" s="286"/>
      <c r="U26" s="286"/>
      <c r="V26" s="286"/>
    </row>
    <row r="27" spans="2:22" x14ac:dyDescent="0.3">
      <c r="B27" s="60"/>
      <c r="C27" s="60"/>
      <c r="D27" s="299" t="s">
        <v>390</v>
      </c>
      <c r="E27" s="299"/>
      <c r="F27" s="299"/>
      <c r="G27" s="299"/>
      <c r="H27" s="299" t="s">
        <v>394</v>
      </c>
      <c r="I27" s="299"/>
      <c r="J27" s="299"/>
      <c r="K27" s="299" t="s">
        <v>372</v>
      </c>
      <c r="L27" s="299"/>
      <c r="M27" s="299"/>
      <c r="N27" s="299" t="s">
        <v>310</v>
      </c>
      <c r="O27" s="299"/>
      <c r="P27" s="299"/>
      <c r="Q27" s="299">
        <f>Q18</f>
        <v>4</v>
      </c>
      <c r="R27" s="299"/>
      <c r="S27" s="299"/>
      <c r="T27" s="299"/>
      <c r="U27" s="299"/>
      <c r="V27" s="299"/>
    </row>
    <row r="28" spans="2:22" x14ac:dyDescent="0.3">
      <c r="D28" s="286" t="s">
        <v>400</v>
      </c>
      <c r="E28" s="286"/>
      <c r="F28" s="286"/>
      <c r="G28" s="286"/>
      <c r="H28" s="286" t="s">
        <v>401</v>
      </c>
      <c r="I28" s="286"/>
      <c r="J28" s="286"/>
      <c r="K28" s="286" t="s">
        <v>186</v>
      </c>
      <c r="L28" s="286"/>
      <c r="M28" s="286"/>
      <c r="N28" s="286" t="s">
        <v>404</v>
      </c>
      <c r="O28" s="286"/>
      <c r="P28" s="286"/>
      <c r="Q28" s="294">
        <f>Q26/Q27</f>
        <v>0.17071966224318186</v>
      </c>
      <c r="R28" s="294"/>
      <c r="S28" s="294"/>
      <c r="T28" s="286"/>
      <c r="U28" s="286"/>
      <c r="V28" s="286"/>
    </row>
    <row r="29" spans="2:22" x14ac:dyDescent="0.3">
      <c r="D29" s="286" t="s">
        <v>391</v>
      </c>
      <c r="E29" s="286"/>
      <c r="F29" s="286"/>
      <c r="G29" s="286"/>
      <c r="H29" s="286" t="s">
        <v>392</v>
      </c>
      <c r="I29" s="286"/>
      <c r="J29" s="286"/>
      <c r="K29" s="287"/>
      <c r="L29" s="287"/>
      <c r="M29" s="287"/>
      <c r="N29" s="287"/>
      <c r="O29" s="287"/>
      <c r="P29" s="287"/>
      <c r="Q29" s="296">
        <f>Q19</f>
        <v>0.6</v>
      </c>
      <c r="R29" s="296"/>
      <c r="S29" s="296"/>
      <c r="T29" s="287"/>
      <c r="U29" s="287"/>
      <c r="V29" s="287"/>
    </row>
    <row r="30" spans="2:22" x14ac:dyDescent="0.3">
      <c r="D30" s="286" t="s">
        <v>395</v>
      </c>
      <c r="E30" s="286"/>
      <c r="F30" s="286"/>
      <c r="G30" s="286"/>
      <c r="H30" s="286" t="s">
        <v>396</v>
      </c>
      <c r="I30" s="286"/>
      <c r="J30" s="286"/>
      <c r="K30" s="286" t="s">
        <v>258</v>
      </c>
      <c r="L30" s="286"/>
      <c r="M30" s="286"/>
      <c r="N30" s="286"/>
      <c r="O30" s="286"/>
      <c r="P30" s="286"/>
      <c r="Q30" s="286">
        <f>Q21</f>
        <v>2.5000000000000001E-4</v>
      </c>
      <c r="R30" s="286"/>
      <c r="S30" s="286"/>
      <c r="T30" s="286"/>
      <c r="U30" s="286"/>
      <c r="V30" s="286"/>
    </row>
    <row r="31" spans="2:22" x14ac:dyDescent="0.3">
      <c r="D31" s="286" t="s">
        <v>393</v>
      </c>
      <c r="E31" s="286"/>
      <c r="F31" s="286"/>
      <c r="G31" s="286"/>
      <c r="H31" s="286" t="s">
        <v>51</v>
      </c>
      <c r="I31" s="286"/>
      <c r="J31" s="286"/>
      <c r="K31" s="286"/>
      <c r="L31" s="286"/>
      <c r="M31" s="286"/>
      <c r="N31" s="286"/>
      <c r="O31" s="286"/>
      <c r="P31" s="286"/>
      <c r="Q31" s="296">
        <v>0.125</v>
      </c>
      <c r="R31" s="296"/>
      <c r="S31" s="296"/>
      <c r="T31" s="286"/>
      <c r="U31" s="286"/>
      <c r="V31" s="286"/>
    </row>
    <row r="32" spans="2:22" x14ac:dyDescent="0.3">
      <c r="D32" s="286" t="s">
        <v>369</v>
      </c>
      <c r="E32" s="286"/>
      <c r="F32" s="286"/>
      <c r="G32" s="286"/>
      <c r="H32" s="286" t="s">
        <v>405</v>
      </c>
      <c r="I32" s="286"/>
      <c r="J32" s="286"/>
      <c r="K32" s="286" t="s">
        <v>406</v>
      </c>
      <c r="L32" s="286"/>
      <c r="M32" s="286"/>
      <c r="N32" s="286" t="s">
        <v>407</v>
      </c>
      <c r="O32" s="286"/>
      <c r="P32" s="286"/>
      <c r="Q32" s="302">
        <f>(Q31*Q30)/(((1-Q29)^(-Q31))-1)</f>
        <v>2.5751237351230924E-4</v>
      </c>
      <c r="R32" s="302"/>
      <c r="S32" s="302"/>
      <c r="T32" s="286"/>
      <c r="U32" s="286"/>
      <c r="V32" s="286"/>
    </row>
    <row r="33" spans="2:22" x14ac:dyDescent="0.3">
      <c r="D33" s="286" t="s">
        <v>408</v>
      </c>
      <c r="E33" s="286"/>
      <c r="F33" s="286"/>
      <c r="G33" s="286"/>
      <c r="H33" s="286" t="s">
        <v>409</v>
      </c>
      <c r="I33" s="286"/>
      <c r="J33" s="286"/>
      <c r="K33" s="286" t="s">
        <v>320</v>
      </c>
      <c r="L33" s="286"/>
      <c r="M33" s="286"/>
      <c r="N33" s="286" t="s">
        <v>410</v>
      </c>
      <c r="O33" s="286"/>
      <c r="P33" s="286"/>
      <c r="Q33" s="294">
        <f>Q28/Q32</f>
        <v>662.95712285460866</v>
      </c>
      <c r="R33" s="294"/>
      <c r="S33" s="294"/>
      <c r="T33" s="286"/>
      <c r="U33" s="286"/>
      <c r="V33" s="286"/>
    </row>
    <row r="34" spans="2:22" x14ac:dyDescent="0.3">
      <c r="D34" s="286" t="s">
        <v>411</v>
      </c>
      <c r="E34" s="286"/>
      <c r="F34" s="286"/>
      <c r="G34" s="286"/>
      <c r="H34" s="286" t="s">
        <v>412</v>
      </c>
      <c r="I34" s="286"/>
      <c r="J34" s="286"/>
      <c r="K34" s="286" t="s">
        <v>259</v>
      </c>
      <c r="L34" s="286"/>
      <c r="M34" s="286"/>
      <c r="N34" s="286" t="s">
        <v>413</v>
      </c>
      <c r="O34" s="286"/>
      <c r="P34" s="286"/>
      <c r="Q34" s="293">
        <f>SQRT(6*Q33)</f>
        <v>63.069348634084143</v>
      </c>
      <c r="R34" s="293"/>
      <c r="S34" s="293"/>
      <c r="T34" s="286"/>
      <c r="U34" s="286"/>
      <c r="V34" s="286"/>
    </row>
    <row r="35" spans="2:22" x14ac:dyDescent="0.3">
      <c r="D35" s="286" t="s">
        <v>305</v>
      </c>
      <c r="E35" s="286"/>
      <c r="F35" s="286"/>
      <c r="G35" s="286"/>
      <c r="H35" s="286" t="s">
        <v>306</v>
      </c>
      <c r="I35" s="286"/>
      <c r="J35" s="286"/>
      <c r="K35" s="286" t="s">
        <v>259</v>
      </c>
      <c r="L35" s="286"/>
      <c r="M35" s="286"/>
      <c r="N35" s="286" t="s">
        <v>414</v>
      </c>
      <c r="O35" s="286"/>
      <c r="P35" s="286"/>
      <c r="Q35" s="313">
        <f>(1/6)*Q34</f>
        <v>10.51155810568069</v>
      </c>
      <c r="R35" s="313"/>
      <c r="S35" s="313"/>
      <c r="T35" s="286"/>
      <c r="U35" s="286"/>
      <c r="V35" s="286"/>
    </row>
    <row r="36" spans="2:22" x14ac:dyDescent="0.3">
      <c r="D36" s="286" t="s">
        <v>371</v>
      </c>
      <c r="E36" s="286"/>
      <c r="F36" s="286"/>
      <c r="G36" s="286"/>
      <c r="H36" s="286" t="s">
        <v>415</v>
      </c>
      <c r="I36" s="286"/>
      <c r="J36" s="286"/>
      <c r="K36" s="286" t="s">
        <v>259</v>
      </c>
      <c r="L36" s="286"/>
      <c r="M36" s="286"/>
      <c r="N36" s="286" t="s">
        <v>310</v>
      </c>
      <c r="O36" s="286"/>
      <c r="P36" s="286"/>
      <c r="Q36" s="286">
        <v>1.5</v>
      </c>
      <c r="R36" s="286"/>
      <c r="S36" s="286"/>
      <c r="T36" s="286"/>
      <c r="U36" s="286"/>
      <c r="V36" s="286"/>
    </row>
    <row r="37" spans="2:22" x14ac:dyDescent="0.3">
      <c r="D37" s="286" t="s">
        <v>416</v>
      </c>
      <c r="E37" s="286"/>
      <c r="F37" s="286"/>
      <c r="G37" s="286"/>
      <c r="H37" s="286" t="s">
        <v>345</v>
      </c>
      <c r="I37" s="286"/>
      <c r="J37" s="286"/>
      <c r="K37" s="286" t="s">
        <v>259</v>
      </c>
      <c r="L37" s="286"/>
      <c r="M37" s="286"/>
      <c r="N37" s="286" t="s">
        <v>310</v>
      </c>
      <c r="O37" s="286"/>
      <c r="P37" s="286"/>
      <c r="Q37" s="286">
        <v>0.3</v>
      </c>
      <c r="R37" s="286"/>
      <c r="S37" s="286"/>
      <c r="T37" s="286"/>
      <c r="U37" s="286"/>
      <c r="V37" s="286"/>
    </row>
    <row r="38" spans="2:22" x14ac:dyDescent="0.3">
      <c r="B38" s="62"/>
      <c r="C38" s="62"/>
      <c r="D38" s="303" t="s">
        <v>417</v>
      </c>
      <c r="E38" s="303"/>
      <c r="F38" s="303"/>
      <c r="G38" s="303"/>
      <c r="H38" s="307"/>
      <c r="I38" s="307"/>
      <c r="J38" s="307"/>
      <c r="K38" s="307"/>
      <c r="L38" s="307"/>
      <c r="M38" s="307"/>
      <c r="N38" s="307"/>
      <c r="O38" s="307"/>
      <c r="P38" s="307"/>
      <c r="Q38" s="307"/>
      <c r="R38" s="307"/>
      <c r="S38" s="307"/>
      <c r="T38" s="307"/>
      <c r="U38" s="307"/>
      <c r="V38" s="307"/>
    </row>
    <row r="39" spans="2:22" x14ac:dyDescent="0.3">
      <c r="B39" s="63"/>
      <c r="C39" s="63"/>
      <c r="D39" s="304" t="s">
        <v>411</v>
      </c>
      <c r="E39" s="304"/>
      <c r="F39" s="304"/>
      <c r="G39" s="304"/>
      <c r="H39" s="304" t="s">
        <v>412</v>
      </c>
      <c r="I39" s="304"/>
      <c r="J39" s="304"/>
      <c r="K39" s="304" t="s">
        <v>259</v>
      </c>
      <c r="L39" s="304"/>
      <c r="M39" s="304"/>
      <c r="N39" s="304"/>
      <c r="O39" s="304"/>
      <c r="P39" s="304"/>
      <c r="Q39" s="311">
        <f>Q34</f>
        <v>63.069348634084143</v>
      </c>
      <c r="R39" s="304"/>
      <c r="S39" s="304"/>
      <c r="T39" s="304"/>
      <c r="U39" s="304"/>
      <c r="V39" s="304"/>
    </row>
    <row r="40" spans="2:22" x14ac:dyDescent="0.3">
      <c r="B40" s="63"/>
      <c r="C40" s="63"/>
      <c r="D40" s="304" t="s">
        <v>305</v>
      </c>
      <c r="E40" s="304"/>
      <c r="F40" s="304"/>
      <c r="G40" s="304"/>
      <c r="H40" s="304" t="s">
        <v>306</v>
      </c>
      <c r="I40" s="304"/>
      <c r="J40" s="304"/>
      <c r="K40" s="304" t="s">
        <v>259</v>
      </c>
      <c r="L40" s="304"/>
      <c r="M40" s="304"/>
      <c r="N40" s="304"/>
      <c r="O40" s="304"/>
      <c r="P40" s="304"/>
      <c r="Q40" s="312">
        <f>Q35</f>
        <v>10.51155810568069</v>
      </c>
      <c r="R40" s="304"/>
      <c r="S40" s="304"/>
      <c r="T40" s="304"/>
      <c r="U40" s="304"/>
      <c r="V40" s="304"/>
    </row>
    <row r="41" spans="2:22" x14ac:dyDescent="0.3">
      <c r="B41" s="63"/>
      <c r="C41" s="63"/>
      <c r="D41" s="304" t="s">
        <v>371</v>
      </c>
      <c r="E41" s="304"/>
      <c r="F41" s="304"/>
      <c r="G41" s="304"/>
      <c r="H41" s="304" t="s">
        <v>415</v>
      </c>
      <c r="I41" s="304"/>
      <c r="J41" s="304"/>
      <c r="K41" s="304" t="s">
        <v>259</v>
      </c>
      <c r="L41" s="304"/>
      <c r="M41" s="304"/>
      <c r="N41" s="304"/>
      <c r="O41" s="304"/>
      <c r="P41" s="304"/>
      <c r="Q41" s="304">
        <f>Q36</f>
        <v>1.5</v>
      </c>
      <c r="R41" s="304"/>
      <c r="S41" s="304"/>
      <c r="T41" s="304"/>
      <c r="U41" s="304"/>
      <c r="V41" s="304"/>
    </row>
    <row r="42" spans="2:22" x14ac:dyDescent="0.3">
      <c r="B42" s="64"/>
      <c r="C42" s="64"/>
      <c r="D42" s="308" t="s">
        <v>416</v>
      </c>
      <c r="E42" s="308"/>
      <c r="F42" s="308"/>
      <c r="G42" s="308"/>
      <c r="H42" s="308" t="s">
        <v>345</v>
      </c>
      <c r="I42" s="308"/>
      <c r="J42" s="308"/>
      <c r="K42" s="308" t="s">
        <v>259</v>
      </c>
      <c r="L42" s="308"/>
      <c r="M42" s="308"/>
      <c r="N42" s="308"/>
      <c r="O42" s="308"/>
      <c r="P42" s="308"/>
      <c r="Q42" s="308">
        <f>Q37</f>
        <v>0.3</v>
      </c>
      <c r="R42" s="308"/>
      <c r="S42" s="308"/>
      <c r="T42" s="308"/>
      <c r="U42" s="308"/>
      <c r="V42" s="308"/>
    </row>
    <row r="43" spans="2:22" x14ac:dyDescent="0.3">
      <c r="D43" s="286" t="s">
        <v>418</v>
      </c>
      <c r="E43" s="286"/>
      <c r="F43" s="286"/>
      <c r="G43" s="286"/>
      <c r="H43" s="286" t="s">
        <v>343</v>
      </c>
      <c r="I43" s="286"/>
      <c r="J43" s="286"/>
      <c r="K43" s="286" t="s">
        <v>350</v>
      </c>
      <c r="L43" s="286"/>
      <c r="M43" s="286"/>
      <c r="N43" s="286" t="s">
        <v>419</v>
      </c>
      <c r="O43" s="286"/>
      <c r="P43" s="286"/>
      <c r="Q43" s="313">
        <f>Q39*Q40*Q41</f>
        <v>994.43568428191281</v>
      </c>
      <c r="R43" s="313"/>
      <c r="S43" s="313"/>
      <c r="T43" s="286"/>
      <c r="U43" s="286"/>
      <c r="V43" s="286"/>
    </row>
    <row r="44" spans="2:22" x14ac:dyDescent="0.3">
      <c r="D44" s="286" t="s">
        <v>323</v>
      </c>
      <c r="E44" s="286"/>
      <c r="F44" s="286"/>
      <c r="G44" s="286"/>
      <c r="H44" s="286" t="s">
        <v>420</v>
      </c>
      <c r="I44" s="286"/>
      <c r="J44" s="286"/>
      <c r="K44" s="286" t="s">
        <v>422</v>
      </c>
      <c r="L44" s="286"/>
      <c r="M44" s="286"/>
      <c r="N44" s="286" t="s">
        <v>421</v>
      </c>
      <c r="O44" s="286"/>
      <c r="P44" s="286"/>
      <c r="Q44" s="286">
        <f>Q43/Q28</f>
        <v>5824.962814566652</v>
      </c>
      <c r="R44" s="286"/>
      <c r="S44" s="286"/>
      <c r="T44" s="286"/>
      <c r="U44" s="286"/>
      <c r="V44" s="286"/>
    </row>
    <row r="45" spans="2:22" x14ac:dyDescent="0.3">
      <c r="D45" s="286"/>
      <c r="E45" s="286"/>
      <c r="F45" s="286"/>
      <c r="G45" s="286"/>
      <c r="H45" s="286"/>
      <c r="I45" s="286"/>
      <c r="J45" s="286"/>
      <c r="K45" s="286" t="s">
        <v>275</v>
      </c>
      <c r="L45" s="286"/>
      <c r="M45" s="286"/>
      <c r="N45" s="286" t="s">
        <v>423</v>
      </c>
      <c r="O45" s="286"/>
      <c r="P45" s="286"/>
      <c r="Q45" s="313">
        <f>Q44/60</f>
        <v>97.082713576110862</v>
      </c>
      <c r="R45" s="313"/>
      <c r="S45" s="313"/>
      <c r="T45" s="295" t="s">
        <v>424</v>
      </c>
      <c r="U45" s="295"/>
      <c r="V45" s="295"/>
    </row>
    <row r="46" spans="2:22" x14ac:dyDescent="0.3">
      <c r="B46" s="66"/>
      <c r="C46" s="66"/>
      <c r="D46" s="305" t="s">
        <v>425</v>
      </c>
      <c r="E46" s="305"/>
      <c r="F46" s="305"/>
      <c r="G46" s="305"/>
      <c r="H46" s="267"/>
      <c r="I46" s="267"/>
      <c r="J46" s="267"/>
      <c r="K46" s="267"/>
      <c r="L46" s="267"/>
      <c r="M46" s="267"/>
      <c r="N46" s="267"/>
      <c r="O46" s="267"/>
      <c r="P46" s="267"/>
      <c r="Q46" s="267"/>
      <c r="R46" s="267"/>
      <c r="S46" s="267"/>
      <c r="T46" s="267"/>
      <c r="U46" s="267"/>
      <c r="V46" s="267"/>
    </row>
    <row r="47" spans="2:22" x14ac:dyDescent="0.3">
      <c r="D47" s="286" t="s">
        <v>427</v>
      </c>
      <c r="E47" s="286"/>
      <c r="F47" s="286"/>
      <c r="G47" s="286"/>
      <c r="H47" s="286" t="s">
        <v>426</v>
      </c>
      <c r="I47" s="286"/>
      <c r="J47" s="286"/>
      <c r="K47" s="286" t="s">
        <v>320</v>
      </c>
      <c r="L47" s="286"/>
      <c r="M47" s="286"/>
      <c r="N47" s="286" t="s">
        <v>428</v>
      </c>
      <c r="O47" s="286"/>
      <c r="P47" s="286"/>
      <c r="Q47" s="294">
        <f>Q40*Q41</f>
        <v>15.767337158521034</v>
      </c>
      <c r="R47" s="294"/>
      <c r="S47" s="294"/>
      <c r="T47" s="286"/>
      <c r="U47" s="286"/>
      <c r="V47" s="286"/>
    </row>
    <row r="48" spans="2:22" x14ac:dyDescent="0.3">
      <c r="D48" s="286" t="s">
        <v>429</v>
      </c>
      <c r="E48" s="286"/>
      <c r="F48" s="286"/>
      <c r="G48" s="286"/>
      <c r="H48" s="286" t="s">
        <v>457</v>
      </c>
      <c r="I48" s="286"/>
      <c r="J48" s="286"/>
      <c r="K48" s="286" t="s">
        <v>258</v>
      </c>
      <c r="L48" s="286"/>
      <c r="M48" s="286"/>
      <c r="N48" s="286" t="s">
        <v>430</v>
      </c>
      <c r="O48" s="286"/>
      <c r="P48" s="286"/>
      <c r="Q48" s="314">
        <f>Q28/Q47</f>
        <v>1.0827425108425553E-2</v>
      </c>
      <c r="R48" s="314"/>
      <c r="S48" s="314"/>
      <c r="T48" s="286"/>
      <c r="U48" s="286"/>
      <c r="V48" s="286"/>
    </row>
    <row r="49" spans="2:22" x14ac:dyDescent="0.3">
      <c r="D49" s="286" t="s">
        <v>431</v>
      </c>
      <c r="E49" s="286"/>
      <c r="F49" s="286"/>
      <c r="G49" s="286"/>
      <c r="H49" s="286" t="s">
        <v>432</v>
      </c>
      <c r="I49" s="286"/>
      <c r="J49" s="286"/>
      <c r="K49" s="286" t="s">
        <v>259</v>
      </c>
      <c r="L49" s="286"/>
      <c r="M49" s="286"/>
      <c r="N49" s="286" t="s">
        <v>433</v>
      </c>
      <c r="O49" s="286"/>
      <c r="P49" s="286"/>
      <c r="Q49" s="294">
        <f>(Q40*Q41)/(Q40+(2*Q41))</f>
        <v>1.1669518078667731</v>
      </c>
      <c r="R49" s="294"/>
      <c r="S49" s="294"/>
      <c r="T49" s="286"/>
      <c r="U49" s="286"/>
      <c r="V49" s="286"/>
    </row>
    <row r="50" spans="2:22" x14ac:dyDescent="0.3">
      <c r="D50" s="286" t="s">
        <v>434</v>
      </c>
      <c r="E50" s="286"/>
      <c r="F50" s="286"/>
      <c r="G50" s="286"/>
      <c r="H50" s="286" t="s">
        <v>332</v>
      </c>
      <c r="I50" s="286"/>
      <c r="J50" s="286"/>
      <c r="K50" s="286" t="s">
        <v>435</v>
      </c>
      <c r="L50" s="286"/>
      <c r="M50" s="286"/>
      <c r="N50" s="286" t="s">
        <v>436</v>
      </c>
      <c r="O50" s="286"/>
      <c r="P50" s="286"/>
      <c r="Q50" s="315">
        <f>9.539*(10^(-7))</f>
        <v>9.5389999999999988E-7</v>
      </c>
      <c r="R50" s="315"/>
      <c r="S50" s="315"/>
      <c r="T50" s="286"/>
      <c r="U50" s="286"/>
      <c r="V50" s="286"/>
    </row>
    <row r="51" spans="2:22" x14ac:dyDescent="0.3">
      <c r="D51" s="286" t="s">
        <v>384</v>
      </c>
      <c r="E51" s="286"/>
      <c r="F51" s="286"/>
      <c r="G51" s="286"/>
      <c r="H51" s="286" t="s">
        <v>437</v>
      </c>
      <c r="I51" s="286"/>
      <c r="J51" s="286"/>
      <c r="K51" s="286"/>
      <c r="L51" s="286"/>
      <c r="M51" s="286"/>
      <c r="N51" s="286" t="s">
        <v>438</v>
      </c>
      <c r="O51" s="286"/>
      <c r="P51" s="286"/>
      <c r="Q51" s="294">
        <f>(Q48*Q49)/Q50</f>
        <v>13245.710561714322</v>
      </c>
      <c r="R51" s="294"/>
      <c r="S51" s="294"/>
      <c r="T51" s="295" t="s">
        <v>451</v>
      </c>
      <c r="U51" s="295"/>
      <c r="V51" s="295"/>
    </row>
    <row r="52" spans="2:22" x14ac:dyDescent="0.3">
      <c r="B52" s="60"/>
      <c r="C52" s="60"/>
      <c r="D52" s="299" t="s">
        <v>439</v>
      </c>
      <c r="E52" s="299"/>
      <c r="F52" s="299"/>
      <c r="G52" s="299"/>
      <c r="H52" s="299" t="s">
        <v>440</v>
      </c>
      <c r="I52" s="299"/>
      <c r="J52" s="299"/>
      <c r="K52" s="299"/>
      <c r="L52" s="299"/>
      <c r="M52" s="299"/>
      <c r="N52" s="299" t="s">
        <v>441</v>
      </c>
      <c r="O52" s="299"/>
      <c r="P52" s="299"/>
      <c r="Q52" s="316">
        <f>(Q48^2)/(9.81*Q49)</f>
        <v>1.024067181399479E-5</v>
      </c>
      <c r="R52" s="316"/>
      <c r="S52" s="316"/>
      <c r="T52" s="299"/>
      <c r="U52" s="299"/>
      <c r="V52" s="299"/>
    </row>
    <row r="53" spans="2:22" x14ac:dyDescent="0.3">
      <c r="B53" s="61"/>
      <c r="C53" s="61"/>
      <c r="D53" s="306" t="s">
        <v>442</v>
      </c>
      <c r="E53" s="306"/>
      <c r="F53" s="306"/>
      <c r="G53" s="306"/>
      <c r="H53" s="310"/>
      <c r="I53" s="310"/>
      <c r="J53" s="310"/>
      <c r="K53" s="310"/>
      <c r="L53" s="310"/>
      <c r="M53" s="310"/>
      <c r="N53" s="310"/>
      <c r="O53" s="310"/>
      <c r="P53" s="310"/>
      <c r="Q53" s="310"/>
      <c r="R53" s="310"/>
      <c r="S53" s="310"/>
      <c r="T53" s="310"/>
      <c r="U53" s="310"/>
      <c r="V53" s="310"/>
    </row>
    <row r="54" spans="2:22" x14ac:dyDescent="0.3">
      <c r="D54" s="286" t="s">
        <v>443</v>
      </c>
      <c r="E54" s="286"/>
      <c r="F54" s="286"/>
      <c r="G54" s="286"/>
      <c r="H54" s="286" t="s">
        <v>348</v>
      </c>
      <c r="I54" s="286"/>
      <c r="J54" s="286"/>
      <c r="K54" s="286" t="s">
        <v>259</v>
      </c>
      <c r="L54" s="286"/>
      <c r="M54" s="286"/>
      <c r="N54" s="286"/>
      <c r="O54" s="286"/>
      <c r="P54" s="286"/>
      <c r="Q54" s="286">
        <v>1E-4</v>
      </c>
      <c r="R54" s="286"/>
      <c r="S54" s="286"/>
      <c r="T54" s="286"/>
      <c r="U54" s="286"/>
      <c r="V54" s="286"/>
    </row>
    <row r="55" spans="2:22" x14ac:dyDescent="0.3">
      <c r="D55" s="286" t="s">
        <v>444</v>
      </c>
      <c r="E55" s="286"/>
      <c r="F55" s="286"/>
      <c r="G55" s="286"/>
      <c r="H55" s="286" t="s">
        <v>445</v>
      </c>
      <c r="I55" s="286"/>
      <c r="J55" s="286"/>
      <c r="K55" s="286" t="s">
        <v>446</v>
      </c>
      <c r="L55" s="286"/>
      <c r="M55" s="286"/>
      <c r="N55" s="286" t="s">
        <v>436</v>
      </c>
      <c r="O55" s="286"/>
      <c r="P55" s="286"/>
      <c r="Q55" s="286">
        <v>2650</v>
      </c>
      <c r="R55" s="286"/>
      <c r="S55" s="286"/>
      <c r="T55" s="286"/>
      <c r="U55" s="286"/>
      <c r="V55" s="286"/>
    </row>
    <row r="56" spans="2:22" x14ac:dyDescent="0.3">
      <c r="D56" s="286" t="s">
        <v>447</v>
      </c>
      <c r="E56" s="286"/>
      <c r="F56" s="286"/>
      <c r="G56" s="286"/>
      <c r="H56" s="286" t="s">
        <v>448</v>
      </c>
      <c r="I56" s="286"/>
      <c r="J56" s="286"/>
      <c r="K56" s="286" t="s">
        <v>446</v>
      </c>
      <c r="L56" s="286"/>
      <c r="M56" s="286"/>
      <c r="N56" s="286" t="s">
        <v>436</v>
      </c>
      <c r="O56" s="286"/>
      <c r="P56" s="286"/>
      <c r="Q56" s="286">
        <v>997.5</v>
      </c>
      <c r="R56" s="286"/>
      <c r="S56" s="286"/>
      <c r="T56" s="286"/>
      <c r="U56" s="286"/>
      <c r="V56" s="286"/>
    </row>
    <row r="57" spans="2:22" x14ac:dyDescent="0.3">
      <c r="D57" s="286" t="s">
        <v>384</v>
      </c>
      <c r="E57" s="286"/>
      <c r="F57" s="286"/>
      <c r="G57" s="286"/>
      <c r="H57" s="286" t="s">
        <v>449</v>
      </c>
      <c r="I57" s="286"/>
      <c r="J57" s="286"/>
      <c r="K57" s="286"/>
      <c r="L57" s="286"/>
      <c r="M57" s="286"/>
      <c r="N57" s="286" t="s">
        <v>450</v>
      </c>
      <c r="O57" s="286"/>
      <c r="P57" s="286"/>
      <c r="Q57" s="294">
        <f>((Q32)/(Q33*Q54))/(Q50)</f>
        <v>4072.0191519533441</v>
      </c>
      <c r="R57" s="294"/>
      <c r="S57" s="294"/>
      <c r="T57" s="286"/>
      <c r="U57" s="286"/>
      <c r="V57" s="286"/>
    </row>
    <row r="58" spans="2:22" x14ac:dyDescent="0.3">
      <c r="D58" s="286" t="s">
        <v>454</v>
      </c>
      <c r="E58" s="286"/>
      <c r="F58" s="286"/>
      <c r="G58" s="286"/>
      <c r="H58" s="286" t="s">
        <v>454</v>
      </c>
      <c r="I58" s="286"/>
      <c r="J58" s="286"/>
      <c r="K58" s="286"/>
      <c r="L58" s="286"/>
      <c r="M58" s="286"/>
      <c r="N58" s="286" t="s">
        <v>455</v>
      </c>
      <c r="O58" s="286"/>
      <c r="P58" s="286"/>
      <c r="Q58" s="294">
        <v>0.05</v>
      </c>
      <c r="R58" s="294"/>
      <c r="S58" s="294"/>
      <c r="T58" s="286"/>
      <c r="U58" s="286"/>
      <c r="V58" s="286"/>
    </row>
    <row r="59" spans="2:22" x14ac:dyDescent="0.3">
      <c r="D59" s="286" t="s">
        <v>308</v>
      </c>
      <c r="E59" s="286"/>
      <c r="F59" s="286"/>
      <c r="G59" s="286"/>
      <c r="H59" s="286" t="s">
        <v>308</v>
      </c>
      <c r="I59" s="286"/>
      <c r="J59" s="286"/>
      <c r="K59" s="286"/>
      <c r="L59" s="286"/>
      <c r="M59" s="286"/>
      <c r="N59" s="286" t="s">
        <v>455</v>
      </c>
      <c r="O59" s="286"/>
      <c r="P59" s="286"/>
      <c r="Q59" s="286">
        <v>0.02</v>
      </c>
      <c r="R59" s="286"/>
      <c r="S59" s="286"/>
      <c r="T59" s="286"/>
      <c r="U59" s="286"/>
      <c r="V59" s="286"/>
    </row>
    <row r="60" spans="2:22" x14ac:dyDescent="0.3">
      <c r="B60" s="60"/>
      <c r="C60" s="60"/>
      <c r="D60" s="299" t="s">
        <v>452</v>
      </c>
      <c r="E60" s="299"/>
      <c r="F60" s="299"/>
      <c r="G60" s="299"/>
      <c r="H60" s="299" t="s">
        <v>453</v>
      </c>
      <c r="I60" s="299"/>
      <c r="J60" s="299"/>
      <c r="K60" s="299" t="s">
        <v>258</v>
      </c>
      <c r="L60" s="299"/>
      <c r="M60" s="299"/>
      <c r="N60" s="299" t="s">
        <v>456</v>
      </c>
      <c r="O60" s="299"/>
      <c r="P60" s="299"/>
      <c r="Q60" s="318">
        <f>SQRT(((8*Q59)/Q58)*((Q55-Q56)/Q56)*9.81*Q54)</f>
        <v>7.2114695612671559E-2</v>
      </c>
      <c r="R60" s="318"/>
      <c r="S60" s="318"/>
      <c r="T60" s="320" t="s">
        <v>458</v>
      </c>
      <c r="U60" s="320"/>
      <c r="V60" s="320"/>
    </row>
    <row r="61" spans="2:22" x14ac:dyDescent="0.3">
      <c r="B61" s="66"/>
      <c r="C61" s="66"/>
      <c r="D61" s="305" t="s">
        <v>459</v>
      </c>
      <c r="E61" s="305"/>
      <c r="F61" s="305"/>
      <c r="G61" s="305"/>
      <c r="H61" s="267"/>
      <c r="I61" s="267"/>
      <c r="J61" s="267"/>
      <c r="K61" s="267"/>
      <c r="L61" s="267"/>
      <c r="M61" s="267"/>
      <c r="N61" s="267"/>
      <c r="O61" s="267"/>
      <c r="P61" s="267"/>
      <c r="Q61" s="267"/>
      <c r="R61" s="267"/>
      <c r="S61" s="267"/>
      <c r="T61" s="267"/>
      <c r="U61" s="267"/>
      <c r="V61" s="267"/>
    </row>
    <row r="62" spans="2:22" x14ac:dyDescent="0.3">
      <c r="D62" s="286" t="s">
        <v>479</v>
      </c>
      <c r="E62" s="286"/>
      <c r="F62" s="286"/>
      <c r="G62" s="286"/>
      <c r="H62" s="286"/>
      <c r="I62" s="286"/>
      <c r="J62" s="286"/>
      <c r="K62" s="286"/>
      <c r="L62" s="286"/>
      <c r="M62" s="286"/>
      <c r="N62" s="286"/>
      <c r="O62" s="286"/>
      <c r="P62" s="286"/>
      <c r="Q62" s="286"/>
      <c r="R62" s="286"/>
      <c r="S62" s="286"/>
      <c r="T62" s="286"/>
      <c r="U62" s="286"/>
      <c r="V62" s="286"/>
    </row>
    <row r="63" spans="2:22" x14ac:dyDescent="0.3">
      <c r="D63" s="286" t="s">
        <v>400</v>
      </c>
      <c r="E63" s="286"/>
      <c r="F63" s="286"/>
      <c r="G63" s="286"/>
      <c r="H63" s="286" t="s">
        <v>460</v>
      </c>
      <c r="I63" s="286"/>
      <c r="J63" s="286"/>
      <c r="K63" s="286" t="s">
        <v>186</v>
      </c>
      <c r="L63" s="286"/>
      <c r="M63" s="286"/>
      <c r="N63" s="286" t="s">
        <v>461</v>
      </c>
      <c r="O63" s="286"/>
      <c r="P63" s="286"/>
      <c r="Q63" s="294">
        <f>Q26/3</f>
        <v>0.22762621632424249</v>
      </c>
      <c r="R63" s="294"/>
      <c r="S63" s="294"/>
      <c r="T63" s="286"/>
      <c r="U63" s="286"/>
      <c r="V63" s="286"/>
    </row>
    <row r="64" spans="2:22" x14ac:dyDescent="0.3">
      <c r="D64" s="286" t="s">
        <v>462</v>
      </c>
      <c r="E64" s="286"/>
      <c r="F64" s="286"/>
      <c r="G64" s="286"/>
      <c r="H64" s="286" t="s">
        <v>463</v>
      </c>
      <c r="I64" s="286"/>
      <c r="J64" s="286"/>
      <c r="K64" s="286" t="s">
        <v>320</v>
      </c>
      <c r="L64" s="286"/>
      <c r="M64" s="286"/>
      <c r="N64" s="286" t="s">
        <v>464</v>
      </c>
      <c r="O64" s="286"/>
      <c r="P64" s="286"/>
      <c r="Q64" s="294">
        <f>Q39*Q40</f>
        <v>662.95712285460854</v>
      </c>
      <c r="R64" s="294"/>
      <c r="S64" s="294"/>
      <c r="T64" s="286"/>
      <c r="U64" s="286"/>
      <c r="V64" s="286"/>
    </row>
    <row r="65" spans="2:22" x14ac:dyDescent="0.3">
      <c r="D65" s="286" t="s">
        <v>369</v>
      </c>
      <c r="E65" s="286"/>
      <c r="F65" s="286"/>
      <c r="G65" s="286"/>
      <c r="H65" s="286" t="s">
        <v>465</v>
      </c>
      <c r="I65" s="286"/>
      <c r="J65" s="286"/>
      <c r="K65" s="286" t="s">
        <v>406</v>
      </c>
      <c r="L65" s="286"/>
      <c r="M65" s="286"/>
      <c r="N65" s="286" t="s">
        <v>466</v>
      </c>
      <c r="O65" s="286"/>
      <c r="P65" s="286"/>
      <c r="Q65" s="317">
        <f>Q63/Q64</f>
        <v>3.4334983134974573E-4</v>
      </c>
      <c r="R65" s="317"/>
      <c r="S65" s="317"/>
      <c r="T65" s="286"/>
      <c r="U65" s="286"/>
      <c r="V65" s="286"/>
    </row>
    <row r="66" spans="2:22" x14ac:dyDescent="0.3">
      <c r="D66" s="286" t="s">
        <v>391</v>
      </c>
      <c r="E66" s="286"/>
      <c r="F66" s="286"/>
      <c r="G66" s="286"/>
      <c r="H66" s="286" t="s">
        <v>467</v>
      </c>
      <c r="I66" s="286"/>
      <c r="J66" s="286"/>
      <c r="K66" s="286"/>
      <c r="L66" s="286"/>
      <c r="M66" s="286"/>
      <c r="N66" s="286" t="s">
        <v>468</v>
      </c>
      <c r="O66" s="286"/>
      <c r="P66" s="286"/>
      <c r="Q66" s="294">
        <f>1-(1+(Q20*Q30)/(Q65))^(-8)</f>
        <v>0.50185693662335018</v>
      </c>
      <c r="R66" s="294"/>
      <c r="S66" s="294"/>
      <c r="T66" s="319">
        <f>Q66</f>
        <v>0.50185693662335018</v>
      </c>
      <c r="U66" s="319"/>
      <c r="V66" s="319"/>
    </row>
    <row r="67" spans="2:22" x14ac:dyDescent="0.3">
      <c r="D67" s="286" t="s">
        <v>323</v>
      </c>
      <c r="E67" s="286"/>
      <c r="F67" s="286"/>
      <c r="G67" s="286"/>
      <c r="H67" s="286" t="s">
        <v>469</v>
      </c>
      <c r="I67" s="286"/>
      <c r="J67" s="286"/>
      <c r="K67" s="286" t="s">
        <v>422</v>
      </c>
      <c r="L67" s="286"/>
      <c r="M67" s="286"/>
      <c r="N67" s="286" t="s">
        <v>470</v>
      </c>
      <c r="O67" s="286"/>
      <c r="P67" s="286"/>
      <c r="Q67" s="293">
        <f>Q43/Q63</f>
        <v>4368.7221109249886</v>
      </c>
      <c r="R67" s="293"/>
      <c r="S67" s="293"/>
      <c r="T67" s="286"/>
      <c r="U67" s="286"/>
      <c r="V67" s="286"/>
    </row>
    <row r="68" spans="2:22" x14ac:dyDescent="0.3">
      <c r="D68" s="286"/>
      <c r="E68" s="286"/>
      <c r="F68" s="286"/>
      <c r="G68" s="286"/>
      <c r="H68" s="286"/>
      <c r="I68" s="286"/>
      <c r="J68" s="286"/>
      <c r="K68" s="286" t="s">
        <v>275</v>
      </c>
      <c r="L68" s="286"/>
      <c r="M68" s="286"/>
      <c r="N68" s="286" t="s">
        <v>471</v>
      </c>
      <c r="O68" s="286"/>
      <c r="P68" s="286"/>
      <c r="Q68" s="313">
        <f>Q67/60</f>
        <v>72.812035182083136</v>
      </c>
      <c r="R68" s="313"/>
      <c r="S68" s="313"/>
      <c r="T68" s="295" t="s">
        <v>472</v>
      </c>
      <c r="U68" s="295"/>
      <c r="V68" s="295"/>
    </row>
    <row r="69" spans="2:22" x14ac:dyDescent="0.3">
      <c r="D69" s="286" t="s">
        <v>429</v>
      </c>
      <c r="E69" s="286"/>
      <c r="F69" s="286"/>
      <c r="G69" s="286"/>
      <c r="H69" s="286" t="s">
        <v>473</v>
      </c>
      <c r="I69" s="286"/>
      <c r="J69" s="286"/>
      <c r="K69" s="286" t="s">
        <v>258</v>
      </c>
      <c r="L69" s="286"/>
      <c r="M69" s="286"/>
      <c r="N69" s="286" t="s">
        <v>474</v>
      </c>
      <c r="O69" s="286"/>
      <c r="P69" s="286"/>
      <c r="Q69" s="296">
        <f>Q63/Q47</f>
        <v>1.4436566811234071E-2</v>
      </c>
      <c r="R69" s="296"/>
      <c r="S69" s="296"/>
      <c r="T69" s="286"/>
      <c r="U69" s="286"/>
      <c r="V69" s="286"/>
    </row>
    <row r="70" spans="2:22" x14ac:dyDescent="0.3">
      <c r="D70" s="286" t="s">
        <v>384</v>
      </c>
      <c r="E70" s="286"/>
      <c r="F70" s="286"/>
      <c r="G70" s="286"/>
      <c r="H70" s="286" t="s">
        <v>475</v>
      </c>
      <c r="I70" s="286"/>
      <c r="J70" s="286"/>
      <c r="K70" s="286"/>
      <c r="L70" s="286"/>
      <c r="M70" s="286"/>
      <c r="N70" s="286" t="s">
        <v>476</v>
      </c>
      <c r="O70" s="286"/>
      <c r="P70" s="286"/>
      <c r="Q70" s="294">
        <f>(Q69*Q49)/Q50</f>
        <v>17660.947415619099</v>
      </c>
      <c r="R70" s="294"/>
      <c r="S70" s="294"/>
      <c r="T70" s="286"/>
      <c r="U70" s="286"/>
      <c r="V70" s="286"/>
    </row>
    <row r="71" spans="2:22" x14ac:dyDescent="0.3">
      <c r="B71" s="60"/>
      <c r="C71" s="60"/>
      <c r="D71" s="299" t="s">
        <v>439</v>
      </c>
      <c r="E71" s="299"/>
      <c r="F71" s="299"/>
      <c r="G71" s="299"/>
      <c r="H71" s="299" t="s">
        <v>477</v>
      </c>
      <c r="I71" s="299"/>
      <c r="J71" s="299"/>
      <c r="K71" s="299"/>
      <c r="L71" s="299"/>
      <c r="M71" s="299"/>
      <c r="N71" s="299" t="s">
        <v>478</v>
      </c>
      <c r="O71" s="299"/>
      <c r="P71" s="299"/>
      <c r="Q71" s="316">
        <f>(Q69^2)/(9.81*Q49)</f>
        <v>1.8205638780435186E-5</v>
      </c>
      <c r="R71" s="316"/>
      <c r="S71" s="316"/>
      <c r="T71" s="299"/>
      <c r="U71" s="299"/>
      <c r="V71" s="299"/>
    </row>
    <row r="72" spans="2:22" x14ac:dyDescent="0.3">
      <c r="B72" s="66"/>
      <c r="C72" s="66"/>
      <c r="D72" s="305" t="s">
        <v>480</v>
      </c>
      <c r="E72" s="305"/>
      <c r="F72" s="305"/>
      <c r="G72" s="305"/>
      <c r="H72" s="267"/>
      <c r="I72" s="267"/>
      <c r="J72" s="267"/>
      <c r="K72" s="267"/>
      <c r="L72" s="267"/>
      <c r="M72" s="267"/>
      <c r="N72" s="267"/>
      <c r="O72" s="267"/>
      <c r="P72" s="267"/>
      <c r="Q72" s="267"/>
      <c r="R72" s="267"/>
      <c r="S72" s="267"/>
      <c r="T72" s="267"/>
      <c r="U72" s="267"/>
      <c r="V72" s="267"/>
    </row>
    <row r="73" spans="2:22" x14ac:dyDescent="0.3">
      <c r="D73" s="286" t="s">
        <v>481</v>
      </c>
      <c r="E73" s="286"/>
      <c r="F73" s="286"/>
      <c r="G73" s="286"/>
      <c r="H73" s="286" t="s">
        <v>482</v>
      </c>
      <c r="I73" s="286"/>
      <c r="J73" s="286"/>
      <c r="K73" s="286"/>
      <c r="L73" s="286"/>
      <c r="M73" s="286"/>
      <c r="N73" s="286" t="s">
        <v>436</v>
      </c>
      <c r="O73" s="286"/>
      <c r="P73" s="286"/>
      <c r="Q73" s="286">
        <v>1.2999999999999999E-2</v>
      </c>
      <c r="R73" s="286"/>
      <c r="S73" s="286"/>
      <c r="T73" s="286"/>
      <c r="U73" s="286"/>
      <c r="V73" s="286"/>
    </row>
    <row r="74" spans="2:22" x14ac:dyDescent="0.3">
      <c r="D74" s="286" t="s">
        <v>483</v>
      </c>
      <c r="E74" s="286"/>
      <c r="F74" s="286"/>
      <c r="G74" s="286"/>
      <c r="H74" s="286" t="s">
        <v>484</v>
      </c>
      <c r="I74" s="286"/>
      <c r="J74" s="286"/>
      <c r="K74" s="286" t="s">
        <v>372</v>
      </c>
      <c r="L74" s="286"/>
      <c r="M74" s="286"/>
      <c r="N74" s="286" t="s">
        <v>310</v>
      </c>
      <c r="O74" s="286"/>
      <c r="P74" s="286"/>
      <c r="Q74" s="286">
        <v>1</v>
      </c>
      <c r="R74" s="286"/>
      <c r="S74" s="286"/>
      <c r="T74" s="286"/>
      <c r="U74" s="286"/>
      <c r="V74" s="286"/>
    </row>
    <row r="75" spans="2:22" x14ac:dyDescent="0.3">
      <c r="B75" s="63"/>
      <c r="C75" s="63"/>
      <c r="D75" s="309" t="s">
        <v>485</v>
      </c>
      <c r="E75" s="309"/>
      <c r="F75" s="309"/>
      <c r="G75" s="309"/>
      <c r="H75" s="304"/>
      <c r="I75" s="304"/>
      <c r="J75" s="304"/>
      <c r="K75" s="304"/>
      <c r="L75" s="304"/>
      <c r="M75" s="304"/>
      <c r="N75" s="304"/>
      <c r="O75" s="304"/>
      <c r="P75" s="304"/>
      <c r="Q75" s="304"/>
      <c r="R75" s="304"/>
      <c r="S75" s="304"/>
      <c r="T75" s="304"/>
      <c r="U75" s="304"/>
      <c r="V75" s="304"/>
    </row>
    <row r="76" spans="2:22" x14ac:dyDescent="0.3">
      <c r="B76" s="63"/>
      <c r="C76" s="63"/>
      <c r="D76" s="304" t="s">
        <v>411</v>
      </c>
      <c r="E76" s="304"/>
      <c r="F76" s="304"/>
      <c r="G76" s="304"/>
      <c r="H76" s="304" t="s">
        <v>487</v>
      </c>
      <c r="I76" s="304"/>
      <c r="J76" s="304"/>
      <c r="K76" s="304"/>
      <c r="L76" s="304"/>
      <c r="M76" s="304"/>
      <c r="N76" s="304" t="s">
        <v>310</v>
      </c>
      <c r="O76" s="304"/>
      <c r="P76" s="304"/>
      <c r="Q76" s="304">
        <v>5</v>
      </c>
      <c r="R76" s="304"/>
      <c r="S76" s="304"/>
      <c r="T76" s="304"/>
      <c r="U76" s="304"/>
      <c r="V76" s="304"/>
    </row>
    <row r="77" spans="2:22" x14ac:dyDescent="0.3">
      <c r="B77" s="63"/>
      <c r="C77" s="63"/>
      <c r="D77" s="304" t="s">
        <v>305</v>
      </c>
      <c r="E77" s="304"/>
      <c r="F77" s="304"/>
      <c r="G77" s="304"/>
      <c r="H77" s="304" t="s">
        <v>488</v>
      </c>
      <c r="I77" s="304"/>
      <c r="J77" s="304"/>
      <c r="K77" s="304"/>
      <c r="L77" s="304"/>
      <c r="M77" s="304"/>
      <c r="N77" s="304" t="s">
        <v>310</v>
      </c>
      <c r="O77" s="304"/>
      <c r="P77" s="304"/>
      <c r="Q77" s="304">
        <v>0.75</v>
      </c>
      <c r="R77" s="304"/>
      <c r="S77" s="304"/>
      <c r="T77" s="304"/>
      <c r="U77" s="304"/>
      <c r="V77" s="304"/>
    </row>
    <row r="78" spans="2:22" x14ac:dyDescent="0.3">
      <c r="B78" s="63"/>
      <c r="C78" s="63"/>
      <c r="D78" s="304" t="s">
        <v>486</v>
      </c>
      <c r="E78" s="304"/>
      <c r="F78" s="304"/>
      <c r="G78" s="304"/>
      <c r="H78" s="304" t="s">
        <v>489</v>
      </c>
      <c r="I78" s="304"/>
      <c r="J78" s="304"/>
      <c r="K78" s="304"/>
      <c r="L78" s="304"/>
      <c r="M78" s="304"/>
      <c r="N78" s="304" t="s">
        <v>310</v>
      </c>
      <c r="O78" s="304"/>
      <c r="P78" s="304"/>
      <c r="Q78" s="304">
        <v>1</v>
      </c>
      <c r="R78" s="304"/>
      <c r="S78" s="304"/>
      <c r="T78" s="304"/>
      <c r="U78" s="304"/>
      <c r="V78" s="304"/>
    </row>
    <row r="79" spans="2:22" x14ac:dyDescent="0.3">
      <c r="B79" s="64"/>
      <c r="C79" s="64"/>
      <c r="D79" s="308" t="s">
        <v>416</v>
      </c>
      <c r="E79" s="308"/>
      <c r="F79" s="308"/>
      <c r="G79" s="308"/>
      <c r="H79" s="308" t="s">
        <v>490</v>
      </c>
      <c r="I79" s="308"/>
      <c r="J79" s="308"/>
      <c r="K79" s="308"/>
      <c r="L79" s="308"/>
      <c r="M79" s="308"/>
      <c r="N79" s="308" t="s">
        <v>310</v>
      </c>
      <c r="O79" s="308"/>
      <c r="P79" s="308"/>
      <c r="Q79" s="308">
        <v>0.2</v>
      </c>
      <c r="R79" s="308"/>
      <c r="S79" s="308"/>
      <c r="T79" s="308"/>
      <c r="U79" s="308"/>
      <c r="V79" s="308"/>
    </row>
    <row r="80" spans="2:22" x14ac:dyDescent="0.3">
      <c r="D80" s="286" t="s">
        <v>491</v>
      </c>
      <c r="E80" s="286"/>
      <c r="F80" s="286"/>
      <c r="G80" s="286"/>
      <c r="H80" s="286" t="s">
        <v>492</v>
      </c>
      <c r="I80" s="286"/>
      <c r="J80" s="286"/>
      <c r="K80" s="286" t="s">
        <v>258</v>
      </c>
      <c r="L80" s="286"/>
      <c r="M80" s="286"/>
      <c r="N80" s="286" t="s">
        <v>493</v>
      </c>
      <c r="O80" s="286"/>
      <c r="P80" s="286"/>
      <c r="Q80" s="294">
        <f>Q26/(Q77*Q78)</f>
        <v>0.91050486529696995</v>
      </c>
      <c r="R80" s="294"/>
      <c r="S80" s="294"/>
      <c r="T80" s="286"/>
      <c r="U80" s="286"/>
      <c r="V80" s="286"/>
    </row>
    <row r="81" spans="2:22" x14ac:dyDescent="0.3">
      <c r="D81" s="286" t="s">
        <v>431</v>
      </c>
      <c r="E81" s="286"/>
      <c r="F81" s="286"/>
      <c r="G81" s="286"/>
      <c r="H81" s="286" t="s">
        <v>494</v>
      </c>
      <c r="I81" s="286"/>
      <c r="J81" s="286"/>
      <c r="K81" s="286" t="s">
        <v>259</v>
      </c>
      <c r="L81" s="286"/>
      <c r="M81" s="286"/>
      <c r="N81" s="286" t="s">
        <v>495</v>
      </c>
      <c r="O81" s="286"/>
      <c r="P81" s="286"/>
      <c r="Q81" s="296">
        <f>(Q77*Q78)/(Q77+(2*Q78))</f>
        <v>0.27272727272727271</v>
      </c>
      <c r="R81" s="296"/>
      <c r="S81" s="296"/>
      <c r="T81" s="286"/>
      <c r="U81" s="286"/>
      <c r="V81" s="286"/>
    </row>
    <row r="82" spans="2:22" x14ac:dyDescent="0.3">
      <c r="D82" s="286" t="s">
        <v>496</v>
      </c>
      <c r="E82" s="286"/>
      <c r="F82" s="286"/>
      <c r="G82" s="286"/>
      <c r="H82" s="286" t="s">
        <v>497</v>
      </c>
      <c r="I82" s="286"/>
      <c r="J82" s="286"/>
      <c r="K82" s="286"/>
      <c r="L82" s="286"/>
      <c r="M82" s="286"/>
      <c r="N82" s="286" t="s">
        <v>498</v>
      </c>
      <c r="O82" s="286"/>
      <c r="P82" s="286"/>
      <c r="Q82" s="317">
        <f>((Q80*Q73)/(Q81^(2/3)))^2</f>
        <v>7.9216044591846511E-4</v>
      </c>
      <c r="R82" s="317"/>
      <c r="S82" s="317"/>
      <c r="T82" s="286"/>
      <c r="U82" s="286"/>
      <c r="V82" s="286"/>
    </row>
    <row r="83" spans="2:22" x14ac:dyDescent="0.3">
      <c r="B83" s="60"/>
      <c r="C83" s="60"/>
      <c r="D83" s="299" t="s">
        <v>499</v>
      </c>
      <c r="E83" s="299"/>
      <c r="F83" s="299"/>
      <c r="G83" s="299"/>
      <c r="H83" s="299" t="s">
        <v>500</v>
      </c>
      <c r="I83" s="299"/>
      <c r="J83" s="299"/>
      <c r="K83" s="299" t="s">
        <v>259</v>
      </c>
      <c r="L83" s="299"/>
      <c r="M83" s="299"/>
      <c r="N83" s="299" t="s">
        <v>501</v>
      </c>
      <c r="O83" s="299"/>
      <c r="P83" s="299"/>
      <c r="Q83" s="321">
        <f>Q82*Q76</f>
        <v>3.9608022295923254E-3</v>
      </c>
      <c r="R83" s="321"/>
      <c r="S83" s="321"/>
      <c r="T83" s="299"/>
      <c r="U83" s="299"/>
      <c r="V83" s="299"/>
    </row>
    <row r="84" spans="2:22" x14ac:dyDescent="0.3">
      <c r="B84" s="66"/>
      <c r="C84" s="66"/>
      <c r="D84" s="305" t="s">
        <v>502</v>
      </c>
      <c r="E84" s="305"/>
      <c r="F84" s="305"/>
      <c r="G84" s="305"/>
      <c r="H84" s="267"/>
      <c r="I84" s="267"/>
      <c r="J84" s="267"/>
      <c r="K84" s="267"/>
      <c r="L84" s="267"/>
      <c r="M84" s="267"/>
      <c r="N84" s="267"/>
      <c r="O84" s="267"/>
      <c r="P84" s="267"/>
      <c r="Q84" s="267"/>
      <c r="R84" s="267"/>
      <c r="S84" s="267"/>
      <c r="T84" s="267"/>
      <c r="U84" s="267"/>
      <c r="V84" s="267"/>
    </row>
    <row r="85" spans="2:22" x14ac:dyDescent="0.3">
      <c r="D85" s="286" t="s">
        <v>503</v>
      </c>
      <c r="E85" s="286"/>
      <c r="F85" s="286"/>
      <c r="G85" s="286"/>
      <c r="H85" s="286"/>
      <c r="I85" s="286"/>
      <c r="J85" s="286"/>
      <c r="K85" s="286"/>
      <c r="L85" s="286"/>
      <c r="M85" s="286"/>
      <c r="N85" s="286"/>
      <c r="O85" s="286"/>
      <c r="P85" s="286"/>
      <c r="Q85" s="286"/>
      <c r="R85" s="286"/>
      <c r="S85" s="286"/>
      <c r="T85" s="286"/>
      <c r="U85" s="286"/>
      <c r="V85" s="286"/>
    </row>
    <row r="86" spans="2:22" x14ac:dyDescent="0.3">
      <c r="D86" s="286" t="s">
        <v>504</v>
      </c>
      <c r="E86" s="286"/>
      <c r="F86" s="286"/>
      <c r="G86" s="286"/>
      <c r="H86" s="286" t="s">
        <v>412</v>
      </c>
      <c r="I86" s="286"/>
      <c r="J86" s="286"/>
      <c r="K86" s="286" t="s">
        <v>259</v>
      </c>
      <c r="L86" s="286"/>
      <c r="M86" s="286"/>
      <c r="N86" s="286" t="s">
        <v>310</v>
      </c>
      <c r="O86" s="286"/>
      <c r="P86" s="286"/>
      <c r="Q86" s="286">
        <v>7</v>
      </c>
      <c r="R86" s="286"/>
      <c r="S86" s="286"/>
      <c r="T86" s="286"/>
      <c r="U86" s="286"/>
      <c r="V86" s="286"/>
    </row>
    <row r="87" spans="2:22" x14ac:dyDescent="0.3">
      <c r="D87" s="286" t="s">
        <v>305</v>
      </c>
      <c r="E87" s="286"/>
      <c r="F87" s="286"/>
      <c r="G87" s="286"/>
      <c r="H87" s="286" t="s">
        <v>306</v>
      </c>
      <c r="I87" s="286"/>
      <c r="J87" s="286"/>
      <c r="K87" s="286" t="s">
        <v>259</v>
      </c>
      <c r="L87" s="286"/>
      <c r="M87" s="286"/>
      <c r="N87" s="286" t="s">
        <v>310</v>
      </c>
      <c r="O87" s="286"/>
      <c r="P87" s="286"/>
      <c r="Q87" s="286">
        <v>0.75</v>
      </c>
      <c r="R87" s="286"/>
      <c r="S87" s="286"/>
      <c r="T87" s="286"/>
      <c r="U87" s="286"/>
      <c r="V87" s="286"/>
    </row>
    <row r="88" spans="2:22" x14ac:dyDescent="0.3">
      <c r="D88" s="286" t="s">
        <v>486</v>
      </c>
      <c r="E88" s="286"/>
      <c r="F88" s="286"/>
      <c r="G88" s="286"/>
      <c r="H88" s="286" t="s">
        <v>344</v>
      </c>
      <c r="I88" s="286"/>
      <c r="J88" s="286"/>
      <c r="K88" s="286" t="s">
        <v>259</v>
      </c>
      <c r="L88" s="286"/>
      <c r="M88" s="286"/>
      <c r="N88" s="286" t="s">
        <v>310</v>
      </c>
      <c r="O88" s="286"/>
      <c r="P88" s="286"/>
      <c r="Q88" s="286">
        <v>1.5</v>
      </c>
      <c r="R88" s="286"/>
      <c r="S88" s="286"/>
      <c r="T88" s="286"/>
      <c r="U88" s="286"/>
      <c r="V88" s="286"/>
    </row>
    <row r="89" spans="2:22" x14ac:dyDescent="0.3">
      <c r="D89" s="286" t="s">
        <v>416</v>
      </c>
      <c r="E89" s="286"/>
      <c r="F89" s="286"/>
      <c r="G89" s="286"/>
      <c r="H89" s="286" t="s">
        <v>345</v>
      </c>
      <c r="I89" s="286"/>
      <c r="J89" s="286"/>
      <c r="K89" s="286" t="s">
        <v>259</v>
      </c>
      <c r="L89" s="286"/>
      <c r="M89" s="286"/>
      <c r="N89" s="286" t="s">
        <v>310</v>
      </c>
      <c r="O89" s="286"/>
      <c r="P89" s="286"/>
      <c r="Q89" s="286">
        <v>0.3</v>
      </c>
      <c r="R89" s="286"/>
      <c r="S89" s="286"/>
      <c r="T89" s="286"/>
      <c r="U89" s="286"/>
      <c r="V89" s="286"/>
    </row>
    <row r="90" spans="2:22" x14ac:dyDescent="0.3">
      <c r="D90" s="274" t="s">
        <v>505</v>
      </c>
      <c r="E90" s="274"/>
      <c r="F90" s="274"/>
      <c r="G90" s="274"/>
      <c r="H90" s="286"/>
      <c r="I90" s="286"/>
      <c r="J90" s="286"/>
      <c r="K90" s="286"/>
      <c r="L90" s="286"/>
      <c r="M90" s="286"/>
      <c r="N90" s="286"/>
      <c r="O90" s="286"/>
      <c r="P90" s="286"/>
      <c r="Q90" s="286"/>
      <c r="R90" s="286"/>
      <c r="S90" s="286"/>
      <c r="T90" s="286"/>
      <c r="U90" s="286"/>
      <c r="V90" s="286"/>
    </row>
    <row r="91" spans="2:22" x14ac:dyDescent="0.3">
      <c r="D91" s="286" t="s">
        <v>507</v>
      </c>
      <c r="E91" s="286"/>
      <c r="F91" s="286"/>
      <c r="G91" s="286"/>
      <c r="H91" s="286" t="s">
        <v>506</v>
      </c>
      <c r="I91" s="286"/>
      <c r="J91" s="286"/>
      <c r="K91" s="286" t="s">
        <v>259</v>
      </c>
      <c r="L91" s="286"/>
      <c r="M91" s="286"/>
      <c r="N91" s="286" t="s">
        <v>310</v>
      </c>
      <c r="O91" s="286"/>
      <c r="P91" s="286"/>
      <c r="Q91" s="286">
        <v>0.75</v>
      </c>
      <c r="R91" s="286"/>
      <c r="S91" s="286"/>
      <c r="T91" s="286"/>
      <c r="U91" s="286"/>
      <c r="V91" s="286"/>
    </row>
    <row r="92" spans="2:22" x14ac:dyDescent="0.3">
      <c r="D92" s="286" t="s">
        <v>508</v>
      </c>
      <c r="E92" s="286"/>
      <c r="F92" s="286"/>
      <c r="G92" s="286"/>
      <c r="H92" s="286" t="s">
        <v>509</v>
      </c>
      <c r="I92" s="286"/>
      <c r="J92" s="286"/>
      <c r="K92" s="286" t="s">
        <v>259</v>
      </c>
      <c r="L92" s="286"/>
      <c r="M92" s="286"/>
      <c r="N92" s="286" t="s">
        <v>310</v>
      </c>
      <c r="O92" s="286"/>
      <c r="P92" s="286"/>
      <c r="Q92" s="286">
        <v>0.75</v>
      </c>
      <c r="R92" s="286"/>
      <c r="S92" s="286"/>
      <c r="T92" s="286"/>
      <c r="U92" s="286"/>
      <c r="V92" s="286"/>
    </row>
    <row r="93" spans="2:22" x14ac:dyDescent="0.3">
      <c r="D93" s="286" t="s">
        <v>510</v>
      </c>
      <c r="E93" s="286"/>
      <c r="F93" s="286"/>
      <c r="G93" s="286"/>
      <c r="H93" s="286" t="s">
        <v>259</v>
      </c>
      <c r="I93" s="286"/>
      <c r="J93" s="286"/>
      <c r="K93" s="286"/>
      <c r="L93" s="286"/>
      <c r="M93" s="286"/>
      <c r="N93" s="286" t="s">
        <v>436</v>
      </c>
      <c r="O93" s="286"/>
      <c r="P93" s="286"/>
      <c r="Q93" s="286">
        <v>0.98</v>
      </c>
      <c r="R93" s="286"/>
      <c r="S93" s="286"/>
      <c r="T93" s="286"/>
      <c r="U93" s="286"/>
      <c r="V93" s="286"/>
    </row>
    <row r="94" spans="2:22" x14ac:dyDescent="0.3">
      <c r="D94" s="286" t="s">
        <v>511</v>
      </c>
      <c r="E94" s="286"/>
      <c r="F94" s="286"/>
      <c r="G94" s="286"/>
      <c r="H94" s="286" t="s">
        <v>401</v>
      </c>
      <c r="I94" s="286"/>
      <c r="J94" s="286"/>
      <c r="K94" s="286" t="s">
        <v>186</v>
      </c>
      <c r="L94" s="286"/>
      <c r="M94" s="286"/>
      <c r="N94" s="286" t="s">
        <v>512</v>
      </c>
      <c r="O94" s="286"/>
      <c r="P94" s="286"/>
      <c r="Q94" s="294">
        <f>Q28</f>
        <v>0.17071966224318186</v>
      </c>
      <c r="R94" s="286"/>
      <c r="S94" s="286"/>
      <c r="T94" s="286"/>
      <c r="U94" s="286"/>
      <c r="V94" s="286"/>
    </row>
    <row r="95" spans="2:22" x14ac:dyDescent="0.3">
      <c r="D95" s="274" t="s">
        <v>513</v>
      </c>
      <c r="E95" s="274"/>
      <c r="F95" s="274"/>
      <c r="G95" s="274"/>
      <c r="H95" s="286"/>
      <c r="I95" s="286"/>
      <c r="J95" s="286"/>
      <c r="K95" s="286"/>
      <c r="L95" s="286"/>
      <c r="M95" s="286"/>
      <c r="N95" s="286"/>
      <c r="O95" s="286"/>
      <c r="P95" s="286"/>
      <c r="Q95" s="286"/>
      <c r="R95" s="286"/>
      <c r="S95" s="286"/>
      <c r="T95" s="286"/>
      <c r="U95" s="286"/>
      <c r="V95" s="286"/>
    </row>
    <row r="96" spans="2:22" x14ac:dyDescent="0.3">
      <c r="D96" s="286" t="s">
        <v>514</v>
      </c>
      <c r="E96" s="286"/>
      <c r="F96" s="286"/>
      <c r="G96" s="286"/>
      <c r="H96" s="286" t="s">
        <v>515</v>
      </c>
      <c r="I96" s="286"/>
      <c r="J96" s="286"/>
      <c r="K96" s="286" t="s">
        <v>259</v>
      </c>
      <c r="L96" s="286"/>
      <c r="M96" s="286"/>
      <c r="N96" s="286" t="s">
        <v>517</v>
      </c>
      <c r="O96" s="286"/>
      <c r="P96" s="286"/>
      <c r="Q96" s="294">
        <f>Q26/(2.746*((Q92)^(2/3))*Q91)</f>
        <v>0.40167446967831449</v>
      </c>
      <c r="R96" s="294"/>
      <c r="S96" s="294"/>
      <c r="T96" s="286"/>
      <c r="U96" s="286"/>
      <c r="V96" s="286"/>
    </row>
    <row r="97" spans="2:22" x14ac:dyDescent="0.3">
      <c r="D97" s="286"/>
      <c r="E97" s="286"/>
      <c r="F97" s="286"/>
      <c r="G97" s="286"/>
      <c r="H97" s="286"/>
      <c r="I97" s="286"/>
      <c r="J97" s="286"/>
      <c r="K97" s="286" t="s">
        <v>516</v>
      </c>
      <c r="L97" s="286"/>
      <c r="M97" s="286"/>
      <c r="N97" s="286" t="s">
        <v>519</v>
      </c>
      <c r="O97" s="286"/>
      <c r="P97" s="286"/>
      <c r="Q97" s="294">
        <f>Q96*100</f>
        <v>40.167446967831452</v>
      </c>
      <c r="R97" s="294"/>
      <c r="S97" s="294"/>
      <c r="T97" s="286"/>
      <c r="U97" s="286"/>
      <c r="V97" s="286"/>
    </row>
    <row r="98" spans="2:22" x14ac:dyDescent="0.3">
      <c r="D98" s="286" t="s">
        <v>520</v>
      </c>
      <c r="E98" s="286"/>
      <c r="F98" s="286"/>
      <c r="G98" s="286"/>
      <c r="H98" s="286" t="s">
        <v>518</v>
      </c>
      <c r="I98" s="286"/>
      <c r="J98" s="286"/>
      <c r="K98" s="286" t="s">
        <v>259</v>
      </c>
      <c r="L98" s="286"/>
      <c r="M98" s="286"/>
      <c r="N98" s="286" t="s">
        <v>1857</v>
      </c>
      <c r="O98" s="286"/>
      <c r="P98" s="286"/>
      <c r="Q98" s="296">
        <f>(Q96)*((Q93)^2)</f>
        <v>0.38576816067905323</v>
      </c>
      <c r="R98" s="296"/>
      <c r="S98" s="296"/>
      <c r="T98" s="286"/>
      <c r="U98" s="286"/>
      <c r="V98" s="286"/>
    </row>
    <row r="99" spans="2:22" x14ac:dyDescent="0.3">
      <c r="D99" s="286"/>
      <c r="E99" s="286"/>
      <c r="F99" s="286"/>
      <c r="G99" s="286"/>
      <c r="H99" s="286"/>
      <c r="I99" s="286"/>
      <c r="J99" s="286"/>
      <c r="K99" s="286" t="s">
        <v>516</v>
      </c>
      <c r="L99" s="286"/>
      <c r="M99" s="286"/>
      <c r="N99" s="286" t="s">
        <v>519</v>
      </c>
      <c r="O99" s="286"/>
      <c r="P99" s="286"/>
      <c r="Q99" s="294">
        <f>Q98*100</f>
        <v>38.57681606790532</v>
      </c>
      <c r="R99" s="294"/>
      <c r="S99" s="294"/>
      <c r="T99" s="286"/>
      <c r="U99" s="286"/>
      <c r="V99" s="286"/>
    </row>
    <row r="100" spans="2:22" x14ac:dyDescent="0.3">
      <c r="D100" s="286" t="s">
        <v>521</v>
      </c>
      <c r="E100" s="286"/>
      <c r="F100" s="286"/>
      <c r="G100" s="286"/>
      <c r="H100" s="286" t="s">
        <v>522</v>
      </c>
      <c r="I100" s="286"/>
      <c r="J100" s="286"/>
      <c r="K100" s="286" t="s">
        <v>259</v>
      </c>
      <c r="L100" s="286"/>
      <c r="M100" s="286"/>
      <c r="N100" s="286" t="s">
        <v>1858</v>
      </c>
      <c r="O100" s="286"/>
      <c r="P100" s="286"/>
      <c r="Q100" s="296">
        <f>Q98*(Q93^2)</f>
        <v>0.37049174151616271</v>
      </c>
      <c r="R100" s="296"/>
      <c r="S100" s="296"/>
      <c r="T100" s="286"/>
      <c r="U100" s="286"/>
      <c r="V100" s="286"/>
    </row>
    <row r="101" spans="2:22" x14ac:dyDescent="0.3">
      <c r="D101" s="286"/>
      <c r="E101" s="286"/>
      <c r="F101" s="286"/>
      <c r="G101" s="286"/>
      <c r="H101" s="286"/>
      <c r="I101" s="286"/>
      <c r="J101" s="286"/>
      <c r="K101" s="286" t="s">
        <v>516</v>
      </c>
      <c r="L101" s="286"/>
      <c r="M101" s="286"/>
      <c r="N101" s="286" t="s">
        <v>519</v>
      </c>
      <c r="O101" s="286"/>
      <c r="P101" s="286"/>
      <c r="Q101" s="294">
        <f>Q100*100</f>
        <v>37.04917415161627</v>
      </c>
      <c r="R101" s="294"/>
      <c r="S101" s="294"/>
      <c r="T101" s="286"/>
      <c r="U101" s="286"/>
      <c r="V101" s="286"/>
    </row>
    <row r="102" spans="2:22" x14ac:dyDescent="0.3">
      <c r="D102" s="286" t="s">
        <v>523</v>
      </c>
      <c r="E102" s="286"/>
      <c r="F102" s="286"/>
      <c r="G102" s="286"/>
      <c r="H102" s="286" t="s">
        <v>524</v>
      </c>
      <c r="I102" s="286"/>
      <c r="J102" s="286"/>
      <c r="K102" s="286" t="s">
        <v>259</v>
      </c>
      <c r="L102" s="286"/>
      <c r="M102" s="286"/>
      <c r="N102" s="286" t="s">
        <v>1859</v>
      </c>
      <c r="O102" s="286"/>
      <c r="P102" s="286"/>
      <c r="Q102" s="296">
        <f>Q100*(Q93^2)</f>
        <v>0.35582026855212262</v>
      </c>
      <c r="R102" s="296"/>
      <c r="S102" s="296"/>
      <c r="T102" s="286"/>
      <c r="U102" s="286"/>
      <c r="V102" s="286"/>
    </row>
    <row r="103" spans="2:22" x14ac:dyDescent="0.3">
      <c r="B103" s="66"/>
      <c r="C103" s="66"/>
      <c r="D103" s="305" t="s">
        <v>525</v>
      </c>
      <c r="E103" s="305"/>
      <c r="F103" s="305"/>
      <c r="G103" s="305"/>
      <c r="H103" s="267"/>
      <c r="I103" s="267"/>
      <c r="J103" s="267"/>
      <c r="K103" s="267"/>
      <c r="L103" s="267"/>
      <c r="M103" s="267"/>
      <c r="N103" s="267"/>
      <c r="O103" s="267"/>
      <c r="P103" s="267"/>
      <c r="Q103" s="267"/>
      <c r="R103" s="267"/>
      <c r="S103" s="267"/>
      <c r="T103" s="267"/>
      <c r="U103" s="267"/>
      <c r="V103" s="267"/>
    </row>
    <row r="104" spans="2:22" x14ac:dyDescent="0.3">
      <c r="D104" s="274" t="s">
        <v>526</v>
      </c>
      <c r="E104" s="274"/>
      <c r="F104" s="274"/>
      <c r="G104" s="274"/>
      <c r="H104" s="286"/>
      <c r="I104" s="286"/>
      <c r="J104" s="286"/>
      <c r="K104" s="286"/>
      <c r="L104" s="286"/>
      <c r="M104" s="286"/>
      <c r="N104" s="286"/>
      <c r="O104" s="286"/>
      <c r="P104" s="286"/>
      <c r="Q104" s="286"/>
      <c r="R104" s="286"/>
      <c r="S104" s="286"/>
      <c r="T104" s="286"/>
      <c r="U104" s="286"/>
      <c r="V104" s="286"/>
    </row>
    <row r="105" spans="2:22" x14ac:dyDescent="0.3">
      <c r="D105" s="286" t="s">
        <v>527</v>
      </c>
      <c r="E105" s="286"/>
      <c r="F105" s="286"/>
      <c r="G105" s="286"/>
      <c r="H105" s="286"/>
      <c r="I105" s="286"/>
      <c r="J105" s="286"/>
      <c r="K105" s="286"/>
      <c r="L105" s="286"/>
      <c r="M105" s="286"/>
      <c r="N105" s="286"/>
      <c r="O105" s="286"/>
      <c r="P105" s="286"/>
      <c r="Q105" s="286"/>
      <c r="R105" s="286"/>
      <c r="S105" s="286"/>
      <c r="T105" s="286"/>
      <c r="U105" s="286"/>
      <c r="V105" s="286"/>
    </row>
    <row r="106" spans="2:22" x14ac:dyDescent="0.3">
      <c r="D106" s="286" t="s">
        <v>528</v>
      </c>
      <c r="E106" s="286"/>
      <c r="F106" s="286"/>
      <c r="G106" s="286"/>
      <c r="H106" s="286" t="s">
        <v>308</v>
      </c>
      <c r="I106" s="286"/>
      <c r="J106" s="286"/>
      <c r="K106" s="286" t="s">
        <v>259</v>
      </c>
      <c r="L106" s="286"/>
      <c r="M106" s="286"/>
      <c r="N106" s="286" t="s">
        <v>310</v>
      </c>
      <c r="O106" s="286"/>
      <c r="P106" s="286"/>
      <c r="Q106" s="286">
        <v>6.5</v>
      </c>
      <c r="R106" s="286"/>
      <c r="S106" s="286"/>
      <c r="T106" s="286"/>
      <c r="U106" s="286"/>
      <c r="V106" s="286"/>
    </row>
    <row r="107" spans="2:22" x14ac:dyDescent="0.3">
      <c r="D107" s="286" t="s">
        <v>529</v>
      </c>
      <c r="E107" s="286"/>
      <c r="F107" s="286"/>
      <c r="G107" s="286"/>
      <c r="H107" s="286" t="s">
        <v>51</v>
      </c>
      <c r="I107" s="286"/>
      <c r="J107" s="286"/>
      <c r="K107" s="286" t="s">
        <v>372</v>
      </c>
      <c r="L107" s="286"/>
      <c r="M107" s="286"/>
      <c r="N107" s="286" t="s">
        <v>310</v>
      </c>
      <c r="O107" s="286"/>
      <c r="P107" s="286"/>
      <c r="Q107" s="286">
        <v>2</v>
      </c>
      <c r="R107" s="286"/>
      <c r="S107" s="286"/>
      <c r="T107" s="286"/>
      <c r="U107" s="286"/>
      <c r="V107" s="286"/>
    </row>
    <row r="108" spans="2:22" x14ac:dyDescent="0.3">
      <c r="D108" s="286" t="s">
        <v>530</v>
      </c>
      <c r="E108" s="286"/>
      <c r="F108" s="286"/>
      <c r="G108" s="286"/>
      <c r="H108" s="286" t="s">
        <v>531</v>
      </c>
      <c r="I108" s="286"/>
      <c r="J108" s="286"/>
      <c r="K108" s="286" t="s">
        <v>259</v>
      </c>
      <c r="L108" s="286"/>
      <c r="M108" s="286"/>
      <c r="N108" s="286" t="s">
        <v>310</v>
      </c>
      <c r="O108" s="286"/>
      <c r="P108" s="286"/>
      <c r="Q108" s="286">
        <v>13</v>
      </c>
      <c r="R108" s="286"/>
      <c r="S108" s="286"/>
      <c r="T108" s="286"/>
      <c r="U108" s="286"/>
      <c r="V108" s="286"/>
    </row>
    <row r="109" spans="2:22" x14ac:dyDescent="0.3">
      <c r="D109" s="286" t="s">
        <v>532</v>
      </c>
      <c r="E109" s="286"/>
      <c r="F109" s="286"/>
      <c r="G109" s="286"/>
      <c r="H109" s="286" t="s">
        <v>533</v>
      </c>
      <c r="I109" s="286"/>
      <c r="J109" s="286"/>
      <c r="K109" s="286" t="s">
        <v>534</v>
      </c>
      <c r="L109" s="286"/>
      <c r="M109" s="286"/>
      <c r="N109" s="286" t="s">
        <v>535</v>
      </c>
      <c r="O109" s="286"/>
      <c r="P109" s="286"/>
      <c r="Q109" s="296">
        <f>Q28/Q108</f>
        <v>1.313228171101399E-2</v>
      </c>
      <c r="R109" s="296"/>
      <c r="S109" s="296"/>
      <c r="T109" s="286"/>
      <c r="U109" s="286"/>
      <c r="V109" s="286"/>
    </row>
    <row r="110" spans="2:22" x14ac:dyDescent="0.3">
      <c r="D110" s="286" t="s">
        <v>536</v>
      </c>
      <c r="E110" s="286"/>
      <c r="F110" s="286"/>
      <c r="G110" s="286"/>
      <c r="H110" s="286" t="s">
        <v>537</v>
      </c>
      <c r="I110" s="286"/>
      <c r="J110" s="286"/>
      <c r="K110" s="286" t="s">
        <v>259</v>
      </c>
      <c r="L110" s="286"/>
      <c r="M110" s="286"/>
      <c r="N110" s="286" t="s">
        <v>538</v>
      </c>
      <c r="O110" s="286"/>
      <c r="P110" s="286"/>
      <c r="Q110" s="296">
        <f>((Q28/(3.33*Q108))^(2/3))</f>
        <v>2.4961114437481315E-2</v>
      </c>
      <c r="R110" s="296"/>
      <c r="S110" s="296"/>
      <c r="T110" s="286"/>
      <c r="U110" s="286"/>
      <c r="V110" s="286"/>
    </row>
    <row r="111" spans="2:22" x14ac:dyDescent="0.3">
      <c r="D111" s="274" t="s">
        <v>539</v>
      </c>
      <c r="E111" s="274"/>
      <c r="F111" s="274"/>
      <c r="G111" s="274"/>
      <c r="H111" s="286"/>
      <c r="I111" s="286"/>
      <c r="J111" s="286"/>
      <c r="K111" s="286"/>
      <c r="L111" s="286"/>
      <c r="M111" s="286"/>
      <c r="N111" s="286"/>
      <c r="O111" s="286"/>
      <c r="P111" s="286"/>
      <c r="Q111" s="286"/>
      <c r="R111" s="286"/>
      <c r="S111" s="286"/>
      <c r="T111" s="286"/>
      <c r="U111" s="286"/>
      <c r="V111" s="286"/>
    </row>
    <row r="112" spans="2:22" x14ac:dyDescent="0.3">
      <c r="D112" s="286" t="s">
        <v>540</v>
      </c>
      <c r="E112" s="286"/>
      <c r="F112" s="286"/>
      <c r="G112" s="286"/>
      <c r="H112" s="286"/>
      <c r="I112" s="286"/>
      <c r="J112" s="286"/>
      <c r="K112" s="286"/>
      <c r="L112" s="286"/>
      <c r="M112" s="286"/>
      <c r="N112" s="286"/>
      <c r="O112" s="286"/>
      <c r="P112" s="286"/>
      <c r="Q112" s="286"/>
      <c r="R112" s="286"/>
      <c r="S112" s="286"/>
      <c r="T112" s="286"/>
      <c r="U112" s="286"/>
      <c r="V112" s="286"/>
    </row>
    <row r="113" spans="4:22" x14ac:dyDescent="0.3">
      <c r="D113" s="286" t="s">
        <v>541</v>
      </c>
      <c r="E113" s="286"/>
      <c r="F113" s="286"/>
      <c r="G113" s="286"/>
      <c r="H113" s="286" t="s">
        <v>51</v>
      </c>
      <c r="I113" s="286"/>
      <c r="J113" s="286"/>
      <c r="K113" s="286"/>
      <c r="L113" s="286"/>
      <c r="M113" s="286"/>
      <c r="N113" s="286" t="s">
        <v>436</v>
      </c>
      <c r="O113" s="286"/>
      <c r="P113" s="286"/>
      <c r="Q113" s="286">
        <v>1.2999999999999999E-2</v>
      </c>
      <c r="R113" s="286"/>
      <c r="S113" s="286"/>
      <c r="T113" s="286"/>
      <c r="U113" s="286"/>
      <c r="V113" s="286"/>
    </row>
    <row r="114" spans="4:22" x14ac:dyDescent="0.3">
      <c r="D114" s="286" t="s">
        <v>542</v>
      </c>
      <c r="E114" s="286"/>
      <c r="F114" s="286"/>
      <c r="G114" s="286"/>
      <c r="H114" s="286" t="s">
        <v>543</v>
      </c>
      <c r="I114" s="286"/>
      <c r="J114" s="286"/>
      <c r="K114" s="286" t="s">
        <v>259</v>
      </c>
      <c r="L114" s="286"/>
      <c r="M114" s="286"/>
      <c r="N114" s="286" t="s">
        <v>310</v>
      </c>
      <c r="O114" s="286"/>
      <c r="P114" s="286"/>
      <c r="Q114" s="286">
        <f>30/100</f>
        <v>0.3</v>
      </c>
      <c r="R114" s="286"/>
      <c r="S114" s="286"/>
      <c r="T114" s="286"/>
      <c r="U114" s="286"/>
      <c r="V114" s="286"/>
    </row>
    <row r="115" spans="4:22" x14ac:dyDescent="0.3">
      <c r="D115" s="274" t="s">
        <v>544</v>
      </c>
      <c r="E115" s="286"/>
      <c r="F115" s="286"/>
      <c r="G115" s="286"/>
      <c r="H115" s="286"/>
      <c r="I115" s="286"/>
      <c r="J115" s="286"/>
      <c r="K115" s="286"/>
      <c r="L115" s="286"/>
      <c r="M115" s="286"/>
      <c r="N115" s="286"/>
      <c r="O115" s="286"/>
      <c r="P115" s="286"/>
      <c r="Q115" s="286"/>
      <c r="R115" s="286"/>
      <c r="S115" s="286"/>
      <c r="T115" s="286"/>
      <c r="U115" s="286"/>
      <c r="V115" s="286"/>
    </row>
    <row r="116" spans="4:22" x14ac:dyDescent="0.3">
      <c r="D116" s="286" t="s">
        <v>545</v>
      </c>
      <c r="E116" s="286"/>
      <c r="F116" s="286"/>
      <c r="G116" s="286"/>
      <c r="H116" s="286" t="s">
        <v>51</v>
      </c>
      <c r="I116" s="286"/>
      <c r="J116" s="286"/>
      <c r="K116" s="286" t="s">
        <v>372</v>
      </c>
      <c r="L116" s="286"/>
      <c r="M116" s="286"/>
      <c r="N116" s="286" t="s">
        <v>310</v>
      </c>
      <c r="O116" s="286"/>
      <c r="P116" s="286"/>
      <c r="Q116" s="286">
        <v>1</v>
      </c>
      <c r="R116" s="286"/>
      <c r="S116" s="286"/>
      <c r="T116" s="286"/>
      <c r="U116" s="286"/>
      <c r="V116" s="286"/>
    </row>
    <row r="117" spans="4:22" x14ac:dyDescent="0.3">
      <c r="D117" s="286" t="s">
        <v>546</v>
      </c>
      <c r="E117" s="286"/>
      <c r="F117" s="286"/>
      <c r="G117" s="286"/>
      <c r="H117" s="286" t="s">
        <v>547</v>
      </c>
      <c r="I117" s="286"/>
      <c r="J117" s="286"/>
      <c r="K117" s="286" t="s">
        <v>259</v>
      </c>
      <c r="L117" s="286"/>
      <c r="M117" s="286"/>
      <c r="N117" s="286" t="s">
        <v>310</v>
      </c>
      <c r="O117" s="286"/>
      <c r="P117" s="286"/>
      <c r="Q117" s="286">
        <v>6</v>
      </c>
      <c r="R117" s="286"/>
      <c r="S117" s="286"/>
      <c r="T117" s="286"/>
      <c r="U117" s="286"/>
      <c r="V117" s="286"/>
    </row>
    <row r="118" spans="4:22" x14ac:dyDescent="0.3">
      <c r="D118" s="286" t="s">
        <v>548</v>
      </c>
      <c r="E118" s="286"/>
      <c r="F118" s="286"/>
      <c r="G118" s="286"/>
      <c r="H118" s="286" t="s">
        <v>549</v>
      </c>
      <c r="I118" s="286"/>
      <c r="J118" s="286"/>
      <c r="K118" s="286" t="s">
        <v>259</v>
      </c>
      <c r="L118" s="286"/>
      <c r="M118" s="286"/>
      <c r="N118" s="286" t="s">
        <v>310</v>
      </c>
      <c r="O118" s="286"/>
      <c r="P118" s="286"/>
      <c r="Q118" s="286">
        <v>0.5</v>
      </c>
      <c r="R118" s="286"/>
      <c r="S118" s="286"/>
      <c r="T118" s="286"/>
      <c r="U118" s="286"/>
      <c r="V118" s="286"/>
    </row>
    <row r="119" spans="4:22" x14ac:dyDescent="0.3">
      <c r="D119" s="286" t="s">
        <v>550</v>
      </c>
      <c r="E119" s="286"/>
      <c r="F119" s="286"/>
      <c r="G119" s="286"/>
      <c r="H119" s="286" t="s">
        <v>551</v>
      </c>
      <c r="I119" s="286"/>
      <c r="J119" s="286"/>
      <c r="K119" s="286" t="s">
        <v>258</v>
      </c>
      <c r="L119" s="286"/>
      <c r="M119" s="286"/>
      <c r="N119" s="286" t="s">
        <v>552</v>
      </c>
      <c r="O119" s="286"/>
      <c r="P119" s="286"/>
      <c r="Q119" s="286">
        <v>0.5</v>
      </c>
      <c r="R119" s="286"/>
      <c r="S119" s="286"/>
      <c r="T119" s="286"/>
      <c r="U119" s="286"/>
      <c r="V119" s="286"/>
    </row>
    <row r="120" spans="4:22" x14ac:dyDescent="0.3">
      <c r="D120" s="286" t="s">
        <v>553</v>
      </c>
      <c r="E120" s="286"/>
      <c r="F120" s="286"/>
      <c r="G120" s="286"/>
      <c r="H120" s="286" t="s">
        <v>554</v>
      </c>
      <c r="I120" s="286"/>
      <c r="J120" s="286"/>
      <c r="K120" s="286" t="s">
        <v>320</v>
      </c>
      <c r="L120" s="286"/>
      <c r="M120" s="286"/>
      <c r="N120" s="286" t="s">
        <v>1860</v>
      </c>
      <c r="O120" s="286"/>
      <c r="P120" s="286"/>
      <c r="Q120" s="294">
        <f>Q28/Q119</f>
        <v>0.34143932448636372</v>
      </c>
      <c r="R120" s="294"/>
      <c r="S120" s="294"/>
      <c r="T120" s="286"/>
      <c r="U120" s="286"/>
      <c r="V120" s="286"/>
    </row>
    <row r="121" spans="4:22" x14ac:dyDescent="0.3">
      <c r="D121" s="286" t="s">
        <v>555</v>
      </c>
      <c r="E121" s="286"/>
      <c r="F121" s="286"/>
      <c r="G121" s="286"/>
      <c r="H121" s="286" t="s">
        <v>556</v>
      </c>
      <c r="I121" s="286"/>
      <c r="J121" s="286"/>
      <c r="K121" s="286" t="s">
        <v>259</v>
      </c>
      <c r="L121" s="286"/>
      <c r="M121" s="286"/>
      <c r="N121" s="286" t="s">
        <v>557</v>
      </c>
      <c r="O121" s="286"/>
      <c r="P121" s="286"/>
      <c r="Q121" s="294">
        <f>Q120/Q118</f>
        <v>0.68287864897272743</v>
      </c>
      <c r="R121" s="294"/>
      <c r="S121" s="294"/>
      <c r="T121" s="286"/>
      <c r="U121" s="286"/>
      <c r="V121" s="286"/>
    </row>
    <row r="122" spans="4:22" x14ac:dyDescent="0.3">
      <c r="D122" s="286" t="s">
        <v>416</v>
      </c>
      <c r="E122" s="286"/>
      <c r="F122" s="286"/>
      <c r="G122" s="286"/>
      <c r="H122" s="286" t="s">
        <v>558</v>
      </c>
      <c r="I122" s="286"/>
      <c r="J122" s="286"/>
      <c r="K122" s="286" t="s">
        <v>259</v>
      </c>
      <c r="L122" s="286"/>
      <c r="M122" s="286"/>
      <c r="N122" s="286" t="s">
        <v>310</v>
      </c>
      <c r="O122" s="286"/>
      <c r="P122" s="286"/>
      <c r="Q122" s="286">
        <f>5/100</f>
        <v>0.05</v>
      </c>
      <c r="R122" s="286"/>
      <c r="S122" s="286"/>
      <c r="T122" s="286"/>
      <c r="U122" s="286"/>
      <c r="V122" s="286"/>
    </row>
    <row r="123" spans="4:22" x14ac:dyDescent="0.3">
      <c r="D123" s="286" t="s">
        <v>559</v>
      </c>
      <c r="E123" s="286"/>
      <c r="F123" s="286"/>
      <c r="G123" s="286"/>
      <c r="H123" s="286" t="s">
        <v>560</v>
      </c>
      <c r="I123" s="286"/>
      <c r="J123" s="286"/>
      <c r="K123" s="286"/>
      <c r="L123" s="286"/>
      <c r="M123" s="286"/>
      <c r="N123" s="286" t="s">
        <v>561</v>
      </c>
      <c r="O123" s="286"/>
      <c r="P123" s="286"/>
      <c r="Q123" s="314">
        <f>((Q28/Q106)^2)/(9.81*(Q121^3))</f>
        <v>2.2082119840871817E-4</v>
      </c>
      <c r="R123" s="314"/>
      <c r="S123" s="314"/>
      <c r="T123" s="286"/>
      <c r="U123" s="286"/>
      <c r="V123" s="286"/>
    </row>
    <row r="124" spans="4:22" x14ac:dyDescent="0.3">
      <c r="D124" s="286" t="s">
        <v>562</v>
      </c>
      <c r="E124" s="286"/>
      <c r="F124" s="286"/>
      <c r="G124" s="286"/>
      <c r="H124" s="286" t="s">
        <v>563</v>
      </c>
      <c r="I124" s="286"/>
      <c r="J124" s="286"/>
      <c r="K124" s="286" t="s">
        <v>259</v>
      </c>
      <c r="L124" s="286"/>
      <c r="M124" s="286"/>
      <c r="N124" s="286" t="s">
        <v>564</v>
      </c>
      <c r="O124" s="286"/>
      <c r="P124" s="286"/>
      <c r="Q124" s="294">
        <f>(4.3*Q121*(Q123^0.27))</f>
        <v>0.30248440968357748</v>
      </c>
      <c r="R124" s="294"/>
      <c r="S124" s="294"/>
      <c r="T124" s="286"/>
      <c r="U124" s="286"/>
      <c r="V124" s="286"/>
    </row>
    <row r="125" spans="4:22" x14ac:dyDescent="0.3">
      <c r="D125" s="286" t="s">
        <v>565</v>
      </c>
      <c r="E125" s="286"/>
      <c r="F125" s="286"/>
      <c r="G125" s="286"/>
      <c r="H125" s="286"/>
      <c r="I125" s="286"/>
      <c r="J125" s="286"/>
      <c r="K125" s="286"/>
      <c r="L125" s="286"/>
      <c r="M125" s="286"/>
      <c r="N125" s="286"/>
      <c r="O125" s="286"/>
      <c r="P125" s="286"/>
      <c r="Q125" s="286"/>
      <c r="R125" s="286"/>
      <c r="S125" s="286"/>
      <c r="T125" s="286"/>
      <c r="U125" s="286"/>
      <c r="V125" s="286"/>
    </row>
    <row r="126" spans="4:22" x14ac:dyDescent="0.3">
      <c r="D126" s="286" t="s">
        <v>411</v>
      </c>
      <c r="E126" s="286"/>
      <c r="F126" s="286"/>
      <c r="G126" s="286"/>
      <c r="H126" s="286" t="s">
        <v>566</v>
      </c>
      <c r="I126" s="286"/>
      <c r="J126" s="286"/>
      <c r="K126" s="286" t="s">
        <v>259</v>
      </c>
      <c r="L126" s="286"/>
      <c r="M126" s="286"/>
      <c r="N126" s="286" t="s">
        <v>310</v>
      </c>
      <c r="O126" s="286"/>
      <c r="P126" s="286"/>
      <c r="Q126" s="286">
        <v>42</v>
      </c>
      <c r="R126" s="286"/>
      <c r="S126" s="286"/>
      <c r="T126" s="286"/>
      <c r="U126" s="286"/>
      <c r="V126" s="286"/>
    </row>
    <row r="127" spans="4:22" x14ac:dyDescent="0.3">
      <c r="D127" s="286" t="s">
        <v>305</v>
      </c>
      <c r="E127" s="286"/>
      <c r="F127" s="286"/>
      <c r="G127" s="286"/>
      <c r="H127" s="286" t="s">
        <v>506</v>
      </c>
      <c r="I127" s="286"/>
      <c r="J127" s="286"/>
      <c r="K127" s="286" t="s">
        <v>259</v>
      </c>
      <c r="L127" s="286"/>
      <c r="M127" s="286"/>
      <c r="N127" s="286" t="s">
        <v>310</v>
      </c>
      <c r="O127" s="286"/>
      <c r="P127" s="286"/>
      <c r="Q127" s="286">
        <v>7</v>
      </c>
      <c r="R127" s="286"/>
      <c r="S127" s="286"/>
      <c r="T127" s="286"/>
      <c r="U127" s="286"/>
      <c r="V127" s="286"/>
    </row>
    <row r="128" spans="4:22" x14ac:dyDescent="0.3">
      <c r="D128" s="286" t="s">
        <v>579</v>
      </c>
      <c r="E128" s="286"/>
      <c r="F128" s="286"/>
      <c r="G128" s="286"/>
      <c r="H128" s="286" t="s">
        <v>581</v>
      </c>
      <c r="I128" s="286"/>
      <c r="J128" s="286"/>
      <c r="K128" s="286" t="s">
        <v>259</v>
      </c>
      <c r="L128" s="286"/>
      <c r="M128" s="286"/>
      <c r="N128" s="286" t="s">
        <v>310</v>
      </c>
      <c r="O128" s="286"/>
      <c r="P128" s="286"/>
      <c r="Q128" s="286">
        <v>1</v>
      </c>
      <c r="R128" s="286"/>
      <c r="S128" s="286"/>
      <c r="T128" s="65"/>
      <c r="U128" s="65"/>
      <c r="V128" s="65"/>
    </row>
    <row r="129" spans="2:22" x14ac:dyDescent="0.3">
      <c r="D129" s="286" t="s">
        <v>580</v>
      </c>
      <c r="E129" s="286"/>
      <c r="F129" s="286"/>
      <c r="G129" s="286"/>
      <c r="H129" s="286" t="s">
        <v>582</v>
      </c>
      <c r="I129" s="286"/>
      <c r="J129" s="286"/>
      <c r="K129" s="286" t="s">
        <v>259</v>
      </c>
      <c r="L129" s="286"/>
      <c r="M129" s="286"/>
      <c r="N129" s="286" t="s">
        <v>310</v>
      </c>
      <c r="O129" s="286"/>
      <c r="P129" s="286"/>
      <c r="Q129" s="286">
        <v>0.5</v>
      </c>
      <c r="R129" s="286"/>
      <c r="S129" s="286"/>
      <c r="T129" s="65"/>
      <c r="U129" s="65"/>
      <c r="V129" s="65"/>
    </row>
    <row r="130" spans="2:22" x14ac:dyDescent="0.3">
      <c r="D130" s="286" t="s">
        <v>567</v>
      </c>
      <c r="E130" s="286"/>
      <c r="F130" s="286"/>
      <c r="G130" s="286"/>
      <c r="H130" s="286" t="s">
        <v>568</v>
      </c>
      <c r="I130" s="286"/>
      <c r="J130" s="286"/>
      <c r="K130" s="286" t="s">
        <v>259</v>
      </c>
      <c r="L130" s="286"/>
      <c r="M130" s="286"/>
      <c r="N130" s="286" t="s">
        <v>310</v>
      </c>
      <c r="O130" s="286"/>
      <c r="P130" s="286"/>
      <c r="Q130" s="286">
        <v>0.5</v>
      </c>
      <c r="R130" s="286"/>
      <c r="S130" s="286"/>
      <c r="T130" s="286"/>
      <c r="U130" s="286"/>
      <c r="V130" s="286"/>
    </row>
    <row r="131" spans="2:22" x14ac:dyDescent="0.3">
      <c r="D131" s="286" t="s">
        <v>569</v>
      </c>
      <c r="E131" s="286"/>
      <c r="F131" s="286"/>
      <c r="G131" s="286"/>
      <c r="H131" s="286" t="s">
        <v>570</v>
      </c>
      <c r="I131" s="286"/>
      <c r="J131" s="286"/>
      <c r="K131" s="286" t="s">
        <v>571</v>
      </c>
      <c r="L131" s="286"/>
      <c r="M131" s="286"/>
      <c r="N131" s="286" t="s">
        <v>310</v>
      </c>
      <c r="O131" s="286"/>
      <c r="P131" s="286"/>
      <c r="Q131" s="286">
        <v>6</v>
      </c>
      <c r="R131" s="286"/>
      <c r="S131" s="286"/>
      <c r="T131" s="286"/>
      <c r="U131" s="286"/>
      <c r="V131" s="286"/>
    </row>
    <row r="132" spans="2:22" x14ac:dyDescent="0.3">
      <c r="D132" s="286" t="s">
        <v>572</v>
      </c>
      <c r="E132" s="286"/>
      <c r="F132" s="286"/>
      <c r="G132" s="286"/>
      <c r="H132" s="286" t="s">
        <v>401</v>
      </c>
      <c r="I132" s="286"/>
      <c r="J132" s="286"/>
      <c r="K132" s="286" t="s">
        <v>186</v>
      </c>
      <c r="L132" s="286"/>
      <c r="M132" s="286"/>
      <c r="N132" s="286" t="s">
        <v>401</v>
      </c>
      <c r="O132" s="286"/>
      <c r="P132" s="286"/>
      <c r="Q132" s="294">
        <f>Q28</f>
        <v>0.17071966224318186</v>
      </c>
      <c r="R132" s="286"/>
      <c r="S132" s="286"/>
      <c r="T132" s="286"/>
      <c r="U132" s="286"/>
      <c r="V132" s="286"/>
    </row>
    <row r="133" spans="2:22" x14ac:dyDescent="0.3">
      <c r="D133" s="286" t="s">
        <v>573</v>
      </c>
      <c r="E133" s="286"/>
      <c r="F133" s="286"/>
      <c r="G133" s="286"/>
      <c r="H133" s="286" t="s">
        <v>574</v>
      </c>
      <c r="I133" s="286"/>
      <c r="J133" s="286"/>
      <c r="K133" s="286" t="s">
        <v>577</v>
      </c>
      <c r="L133" s="286"/>
      <c r="M133" s="286"/>
      <c r="N133" s="286" t="s">
        <v>576</v>
      </c>
      <c r="O133" s="286"/>
      <c r="P133" s="286"/>
      <c r="Q133" s="286">
        <f>(Q131*Q132)*1000*86400</f>
        <v>88501072.906865463</v>
      </c>
      <c r="R133" s="286"/>
      <c r="S133" s="286"/>
      <c r="T133" s="286"/>
      <c r="U133" s="286"/>
      <c r="V133" s="286"/>
    </row>
    <row r="134" spans="2:22" x14ac:dyDescent="0.3">
      <c r="D134" s="286"/>
      <c r="E134" s="286"/>
      <c r="F134" s="286"/>
      <c r="G134" s="286"/>
      <c r="H134" s="286"/>
      <c r="I134" s="286"/>
      <c r="J134" s="286"/>
      <c r="K134" s="286" t="s">
        <v>150</v>
      </c>
      <c r="L134" s="286"/>
      <c r="M134" s="286"/>
      <c r="N134" s="286" t="s">
        <v>519</v>
      </c>
      <c r="O134" s="286"/>
      <c r="P134" s="286"/>
      <c r="Q134" s="294">
        <f>Q133/1000000</f>
        <v>88.50107290686546</v>
      </c>
      <c r="R134" s="294"/>
      <c r="S134" s="294"/>
      <c r="T134" s="286"/>
      <c r="U134" s="286"/>
      <c r="V134" s="286"/>
    </row>
    <row r="135" spans="2:22" x14ac:dyDescent="0.3">
      <c r="D135" s="286" t="s">
        <v>578</v>
      </c>
      <c r="E135" s="286"/>
      <c r="F135" s="286"/>
      <c r="G135" s="286"/>
      <c r="H135" s="286" t="s">
        <v>575</v>
      </c>
      <c r="I135" s="286"/>
      <c r="J135" s="286"/>
      <c r="K135" s="286" t="s">
        <v>350</v>
      </c>
      <c r="L135" s="286"/>
      <c r="M135" s="286"/>
      <c r="N135" s="286" t="s">
        <v>583</v>
      </c>
      <c r="O135" s="286"/>
      <c r="P135" s="286"/>
      <c r="Q135" s="286">
        <f>(1/3)*(Q126)*(Q127)*(Q128+Q129)</f>
        <v>147</v>
      </c>
      <c r="R135" s="286"/>
      <c r="S135" s="286"/>
      <c r="T135" s="286"/>
      <c r="U135" s="286"/>
      <c r="V135" s="286"/>
    </row>
    <row r="136" spans="2:22" x14ac:dyDescent="0.3">
      <c r="D136" s="286" t="s">
        <v>584</v>
      </c>
      <c r="E136" s="286"/>
      <c r="F136" s="286"/>
      <c r="G136" s="286"/>
      <c r="H136" s="286" t="s">
        <v>585</v>
      </c>
      <c r="I136" s="286"/>
      <c r="J136" s="286"/>
      <c r="K136" s="286" t="s">
        <v>350</v>
      </c>
      <c r="L136" s="286"/>
      <c r="M136" s="286"/>
      <c r="N136" s="286" t="s">
        <v>586</v>
      </c>
      <c r="O136" s="286"/>
      <c r="P136" s="286"/>
      <c r="Q136" s="294">
        <f>(1/3)*(1/3)*Q126*(1/3)*Q127*Q129</f>
        <v>5.4444444444444438</v>
      </c>
      <c r="R136" s="294"/>
      <c r="S136" s="294"/>
      <c r="T136" s="286"/>
      <c r="U136" s="286"/>
      <c r="V136" s="286"/>
    </row>
    <row r="137" spans="2:22" x14ac:dyDescent="0.3">
      <c r="D137" s="286" t="s">
        <v>587</v>
      </c>
      <c r="E137" s="286"/>
      <c r="F137" s="286"/>
      <c r="G137" s="286"/>
      <c r="H137" s="286" t="s">
        <v>588</v>
      </c>
      <c r="I137" s="286"/>
      <c r="J137" s="286"/>
      <c r="K137" s="286" t="s">
        <v>350</v>
      </c>
      <c r="L137" s="286"/>
      <c r="M137" s="286"/>
      <c r="N137" s="286" t="s">
        <v>589</v>
      </c>
      <c r="O137" s="286"/>
      <c r="P137" s="286"/>
      <c r="Q137" s="294">
        <f>Q135-Q136</f>
        <v>141.55555555555554</v>
      </c>
      <c r="R137" s="286"/>
      <c r="S137" s="286"/>
      <c r="T137" s="286"/>
      <c r="U137" s="286"/>
      <c r="V137" s="286"/>
    </row>
    <row r="138" spans="2:22" x14ac:dyDescent="0.3">
      <c r="D138" s="286" t="s">
        <v>590</v>
      </c>
      <c r="E138" s="286"/>
      <c r="F138" s="286"/>
      <c r="G138" s="286"/>
      <c r="H138" s="286" t="s">
        <v>591</v>
      </c>
      <c r="I138" s="286"/>
      <c r="J138" s="286"/>
      <c r="K138" s="286" t="s">
        <v>592</v>
      </c>
      <c r="L138" s="286"/>
      <c r="M138" s="286"/>
      <c r="N138" s="286" t="s">
        <v>593</v>
      </c>
      <c r="O138" s="286"/>
      <c r="P138" s="286"/>
      <c r="Q138" s="293">
        <f>Q137/Q134</f>
        <v>1.5994784120247021</v>
      </c>
      <c r="R138" s="293"/>
      <c r="S138" s="293"/>
      <c r="T138" s="286"/>
      <c r="U138" s="286"/>
      <c r="V138" s="286"/>
    </row>
    <row r="139" spans="2:22" x14ac:dyDescent="0.3">
      <c r="B139" s="66"/>
      <c r="C139" s="66"/>
      <c r="D139" s="305" t="s">
        <v>594</v>
      </c>
      <c r="E139" s="305"/>
      <c r="F139" s="305"/>
      <c r="G139" s="305"/>
      <c r="H139" s="267"/>
      <c r="I139" s="267"/>
      <c r="J139" s="267"/>
      <c r="K139" s="267"/>
      <c r="L139" s="267"/>
      <c r="M139" s="267"/>
      <c r="N139" s="267"/>
      <c r="O139" s="267"/>
      <c r="P139" s="267"/>
      <c r="Q139" s="267"/>
      <c r="R139" s="267"/>
      <c r="S139" s="267"/>
      <c r="T139" s="267"/>
      <c r="U139" s="267"/>
      <c r="V139" s="267"/>
    </row>
    <row r="140" spans="2:22" x14ac:dyDescent="0.3">
      <c r="D140" s="310" t="s">
        <v>595</v>
      </c>
      <c r="E140" s="310"/>
      <c r="F140" s="310"/>
      <c r="G140" s="310"/>
      <c r="H140" s="310"/>
      <c r="I140" s="310"/>
      <c r="J140" s="310"/>
      <c r="K140" s="286"/>
      <c r="L140" s="286"/>
      <c r="M140" s="286"/>
      <c r="N140" s="286"/>
      <c r="O140" s="286"/>
      <c r="P140" s="286"/>
      <c r="Q140" s="286"/>
      <c r="R140" s="286"/>
      <c r="S140" s="286"/>
      <c r="T140" s="286"/>
      <c r="U140" s="286"/>
      <c r="V140" s="286"/>
    </row>
    <row r="141" spans="2:22" x14ac:dyDescent="0.3">
      <c r="D141" s="286" t="s">
        <v>596</v>
      </c>
      <c r="E141" s="286"/>
      <c r="F141" s="286"/>
      <c r="G141" s="286"/>
      <c r="H141" s="286" t="s">
        <v>597</v>
      </c>
      <c r="I141" s="286"/>
      <c r="J141" s="286"/>
      <c r="K141" s="286" t="s">
        <v>259</v>
      </c>
      <c r="L141" s="286"/>
      <c r="M141" s="286"/>
      <c r="N141" s="286" t="s">
        <v>310</v>
      </c>
      <c r="O141" s="286"/>
      <c r="P141" s="286"/>
      <c r="Q141" s="286">
        <v>20</v>
      </c>
      <c r="R141" s="286"/>
      <c r="S141" s="286"/>
      <c r="T141" s="286"/>
      <c r="U141" s="286"/>
      <c r="V141" s="286"/>
    </row>
    <row r="142" spans="2:22" x14ac:dyDescent="0.3">
      <c r="D142" s="286" t="s">
        <v>598</v>
      </c>
      <c r="E142" s="286"/>
      <c r="F142" s="286"/>
      <c r="G142" s="286"/>
      <c r="H142" s="286" t="s">
        <v>599</v>
      </c>
      <c r="I142" s="286"/>
      <c r="J142" s="286"/>
      <c r="K142" s="286" t="s">
        <v>258</v>
      </c>
      <c r="L142" s="286"/>
      <c r="M142" s="286"/>
      <c r="N142" s="286" t="s">
        <v>552</v>
      </c>
      <c r="O142" s="286"/>
      <c r="P142" s="286"/>
      <c r="Q142" s="286">
        <v>0.75</v>
      </c>
      <c r="R142" s="286"/>
      <c r="S142" s="286"/>
      <c r="T142" s="286"/>
      <c r="U142" s="286"/>
      <c r="V142" s="286"/>
    </row>
    <row r="143" spans="2:22" x14ac:dyDescent="0.3">
      <c r="D143" s="286" t="s">
        <v>600</v>
      </c>
      <c r="E143" s="286"/>
      <c r="F143" s="286"/>
      <c r="G143" s="286"/>
      <c r="H143" s="286" t="s">
        <v>601</v>
      </c>
      <c r="I143" s="286"/>
      <c r="J143" s="286"/>
      <c r="K143" s="286" t="s">
        <v>275</v>
      </c>
      <c r="L143" s="286"/>
      <c r="M143" s="286"/>
      <c r="N143" s="286" t="s">
        <v>552</v>
      </c>
      <c r="O143" s="286"/>
      <c r="P143" s="286"/>
      <c r="Q143" s="286">
        <v>6</v>
      </c>
      <c r="R143" s="286"/>
      <c r="S143" s="286"/>
      <c r="T143" s="286"/>
      <c r="U143" s="286"/>
      <c r="V143" s="286"/>
    </row>
    <row r="144" spans="2:22" x14ac:dyDescent="0.3">
      <c r="D144" s="286"/>
      <c r="E144" s="286"/>
      <c r="F144" s="286"/>
      <c r="G144" s="286"/>
      <c r="H144" s="286"/>
      <c r="I144" s="286"/>
      <c r="J144" s="286"/>
      <c r="K144" s="286" t="s">
        <v>422</v>
      </c>
      <c r="L144" s="286"/>
      <c r="M144" s="286"/>
      <c r="N144" s="286" t="s">
        <v>519</v>
      </c>
      <c r="O144" s="286"/>
      <c r="P144" s="286"/>
      <c r="Q144" s="286">
        <f>Q143*60</f>
        <v>360</v>
      </c>
      <c r="R144" s="286"/>
      <c r="S144" s="286"/>
      <c r="T144" s="286"/>
      <c r="U144" s="286"/>
      <c r="V144" s="286"/>
    </row>
    <row r="145" spans="4:22" x14ac:dyDescent="0.3">
      <c r="D145" s="286" t="s">
        <v>602</v>
      </c>
      <c r="E145" s="286"/>
      <c r="F145" s="286"/>
      <c r="G145" s="286"/>
      <c r="H145" s="286" t="s">
        <v>603</v>
      </c>
      <c r="I145" s="286"/>
      <c r="J145" s="286"/>
      <c r="K145" s="286" t="s">
        <v>350</v>
      </c>
      <c r="L145" s="286"/>
      <c r="M145" s="286"/>
      <c r="N145" s="286" t="s">
        <v>604</v>
      </c>
      <c r="O145" s="286"/>
      <c r="P145" s="286"/>
      <c r="Q145" s="286">
        <f>Q134*Q138</f>
        <v>141.55555555555554</v>
      </c>
      <c r="R145" s="286"/>
      <c r="S145" s="286"/>
      <c r="T145" s="286"/>
      <c r="U145" s="286"/>
      <c r="V145" s="286"/>
    </row>
    <row r="146" spans="4:22" x14ac:dyDescent="0.3">
      <c r="D146" s="286" t="s">
        <v>605</v>
      </c>
      <c r="E146" s="286"/>
      <c r="F146" s="286"/>
      <c r="G146" s="286"/>
      <c r="H146" s="286" t="s">
        <v>606</v>
      </c>
      <c r="I146" s="286"/>
      <c r="J146" s="286"/>
      <c r="K146" s="286" t="s">
        <v>186</v>
      </c>
      <c r="L146" s="286"/>
      <c r="M146" s="286"/>
      <c r="N146" s="286" t="s">
        <v>607</v>
      </c>
      <c r="O146" s="286"/>
      <c r="P146" s="286"/>
      <c r="Q146" s="294">
        <f>Q145/Q144</f>
        <v>0.39320987654320982</v>
      </c>
      <c r="R146" s="294"/>
      <c r="S146" s="294"/>
      <c r="T146" s="286"/>
      <c r="U146" s="286"/>
      <c r="V146" s="286"/>
    </row>
    <row r="147" spans="4:22" x14ac:dyDescent="0.3">
      <c r="D147" s="286" t="s">
        <v>608</v>
      </c>
      <c r="E147" s="286"/>
      <c r="F147" s="286"/>
      <c r="G147" s="286"/>
      <c r="H147" s="286" t="s">
        <v>609</v>
      </c>
      <c r="I147" s="286"/>
      <c r="J147" s="286"/>
      <c r="K147" s="286" t="s">
        <v>259</v>
      </c>
      <c r="L147" s="286"/>
      <c r="M147" s="286"/>
      <c r="N147" s="286" t="s">
        <v>436</v>
      </c>
      <c r="O147" s="286"/>
      <c r="P147" s="286"/>
      <c r="Q147" s="286">
        <v>0.254</v>
      </c>
      <c r="R147" s="286"/>
      <c r="S147" s="286"/>
      <c r="T147" s="286"/>
      <c r="U147" s="286"/>
      <c r="V147" s="286"/>
    </row>
    <row r="148" spans="4:22" x14ac:dyDescent="0.3">
      <c r="D148" s="286" t="s">
        <v>610</v>
      </c>
      <c r="E148" s="286"/>
      <c r="F148" s="286"/>
      <c r="G148" s="286"/>
      <c r="H148" s="286" t="s">
        <v>611</v>
      </c>
      <c r="I148" s="286"/>
      <c r="J148" s="286"/>
      <c r="K148" s="286" t="s">
        <v>320</v>
      </c>
      <c r="L148" s="286"/>
      <c r="M148" s="286"/>
      <c r="N148" s="286" t="s">
        <v>612</v>
      </c>
      <c r="O148" s="286"/>
      <c r="P148" s="286"/>
      <c r="Q148" s="294">
        <f>0.25*3.14*(0.254)</f>
        <v>0.19939000000000001</v>
      </c>
      <c r="R148" s="294"/>
      <c r="S148" s="294"/>
      <c r="T148" s="286"/>
      <c r="U148" s="286"/>
      <c r="V148" s="286"/>
    </row>
    <row r="149" spans="4:22" x14ac:dyDescent="0.3">
      <c r="D149" s="286" t="s">
        <v>613</v>
      </c>
      <c r="E149" s="286"/>
      <c r="F149" s="286"/>
      <c r="G149" s="286"/>
      <c r="H149" s="286" t="s">
        <v>614</v>
      </c>
      <c r="I149" s="286"/>
      <c r="J149" s="286"/>
      <c r="K149" s="286" t="s">
        <v>258</v>
      </c>
      <c r="L149" s="286"/>
      <c r="M149" s="286"/>
      <c r="N149" s="286" t="s">
        <v>615</v>
      </c>
      <c r="O149" s="286"/>
      <c r="P149" s="286"/>
      <c r="Q149" s="294">
        <f>Q146/Q148</f>
        <v>1.972064178460353</v>
      </c>
      <c r="R149" s="294"/>
      <c r="S149" s="294"/>
      <c r="T149" s="286"/>
      <c r="U149" s="286"/>
      <c r="V149" s="286"/>
    </row>
    <row r="150" spans="4:22" x14ac:dyDescent="0.3">
      <c r="D150" s="286" t="s">
        <v>616</v>
      </c>
      <c r="E150" s="286"/>
      <c r="F150" s="286"/>
      <c r="G150" s="286"/>
      <c r="H150" s="286" t="s">
        <v>617</v>
      </c>
      <c r="I150" s="286"/>
      <c r="J150" s="286"/>
      <c r="K150" s="286"/>
      <c r="L150" s="286"/>
      <c r="M150" s="286"/>
      <c r="N150" s="286" t="s">
        <v>618</v>
      </c>
      <c r="O150" s="286"/>
      <c r="P150" s="286"/>
      <c r="Q150" s="294">
        <f>(Q146/(0.278*110*(0.254^(2.63))))^(1/0.54)</f>
        <v>0.24955975998275562</v>
      </c>
      <c r="R150" s="294"/>
      <c r="S150" s="294"/>
      <c r="T150" s="286"/>
      <c r="U150" s="286"/>
      <c r="V150" s="286"/>
    </row>
    <row r="151" spans="4:22" x14ac:dyDescent="0.3">
      <c r="D151" s="286" t="s">
        <v>619</v>
      </c>
      <c r="E151" s="286"/>
      <c r="F151" s="286"/>
      <c r="G151" s="286"/>
      <c r="H151" s="286" t="s">
        <v>500</v>
      </c>
      <c r="I151" s="286"/>
      <c r="J151" s="286"/>
      <c r="K151" s="286" t="s">
        <v>259</v>
      </c>
      <c r="L151" s="286"/>
      <c r="M151" s="286"/>
      <c r="N151" s="286" t="s">
        <v>620</v>
      </c>
      <c r="O151" s="286"/>
      <c r="P151" s="286"/>
      <c r="Q151" s="313">
        <f>Q150*Q141</f>
        <v>4.9911951996551123</v>
      </c>
      <c r="R151" s="313"/>
      <c r="S151" s="313"/>
      <c r="T151" s="286"/>
      <c r="U151" s="286"/>
      <c r="V151" s="286"/>
    </row>
  </sheetData>
  <mergeCells count="863">
    <mergeCell ref="N94:P94"/>
    <mergeCell ref="D105:J105"/>
    <mergeCell ref="D129:G129"/>
    <mergeCell ref="H129:J129"/>
    <mergeCell ref="K129:M129"/>
    <mergeCell ref="N129:P129"/>
    <mergeCell ref="Q129:S129"/>
    <mergeCell ref="D128:G128"/>
    <mergeCell ref="H128:J128"/>
    <mergeCell ref="K128:M128"/>
    <mergeCell ref="N128:P128"/>
    <mergeCell ref="Q128:S128"/>
    <mergeCell ref="Q125:S125"/>
    <mergeCell ref="Q126:S126"/>
    <mergeCell ref="Q127:S127"/>
    <mergeCell ref="N119:P119"/>
    <mergeCell ref="N120:P120"/>
    <mergeCell ref="N121:P121"/>
    <mergeCell ref="N122:P122"/>
    <mergeCell ref="N123:P123"/>
    <mergeCell ref="N124:P124"/>
    <mergeCell ref="N125:P125"/>
    <mergeCell ref="N126:P126"/>
    <mergeCell ref="N127:P127"/>
    <mergeCell ref="T151:V151"/>
    <mergeCell ref="T142:V142"/>
    <mergeCell ref="T143:V143"/>
    <mergeCell ref="T144:V144"/>
    <mergeCell ref="T145:V145"/>
    <mergeCell ref="T146:V146"/>
    <mergeCell ref="T147:V147"/>
    <mergeCell ref="T148:V148"/>
    <mergeCell ref="T149:V149"/>
    <mergeCell ref="T150:V150"/>
    <mergeCell ref="T133:V133"/>
    <mergeCell ref="T134:V134"/>
    <mergeCell ref="T135:V135"/>
    <mergeCell ref="T136:V136"/>
    <mergeCell ref="T137:V137"/>
    <mergeCell ref="T138:V138"/>
    <mergeCell ref="T139:V139"/>
    <mergeCell ref="T140:V140"/>
    <mergeCell ref="T141:V141"/>
    <mergeCell ref="T122:V122"/>
    <mergeCell ref="T123:V123"/>
    <mergeCell ref="T124:V124"/>
    <mergeCell ref="T125:V125"/>
    <mergeCell ref="T126:V126"/>
    <mergeCell ref="T127:V127"/>
    <mergeCell ref="T130:V130"/>
    <mergeCell ref="T131:V131"/>
    <mergeCell ref="T132:V132"/>
    <mergeCell ref="T113:V113"/>
    <mergeCell ref="T114:V114"/>
    <mergeCell ref="T115:V115"/>
    <mergeCell ref="T116:V116"/>
    <mergeCell ref="T117:V117"/>
    <mergeCell ref="T118:V118"/>
    <mergeCell ref="T119:V119"/>
    <mergeCell ref="T120:V120"/>
    <mergeCell ref="T121:V121"/>
    <mergeCell ref="T94:V94"/>
    <mergeCell ref="T95:V95"/>
    <mergeCell ref="T96:V96"/>
    <mergeCell ref="T97:V97"/>
    <mergeCell ref="T98:V98"/>
    <mergeCell ref="T99:V99"/>
    <mergeCell ref="T100:V100"/>
    <mergeCell ref="T101:V101"/>
    <mergeCell ref="T102:V102"/>
    <mergeCell ref="T103:V103"/>
    <mergeCell ref="T104:V104"/>
    <mergeCell ref="T105:V105"/>
    <mergeCell ref="T106:V106"/>
    <mergeCell ref="T107:V107"/>
    <mergeCell ref="T108:V108"/>
    <mergeCell ref="T109:V109"/>
    <mergeCell ref="T110:V110"/>
    <mergeCell ref="T111:V111"/>
    <mergeCell ref="T112:V112"/>
    <mergeCell ref="Q145:S145"/>
    <mergeCell ref="Q146:S146"/>
    <mergeCell ref="Q147:S147"/>
    <mergeCell ref="Q148:S148"/>
    <mergeCell ref="Q149:S149"/>
    <mergeCell ref="Q150:S150"/>
    <mergeCell ref="Q151:S151"/>
    <mergeCell ref="Q136:S136"/>
    <mergeCell ref="Q137:S137"/>
    <mergeCell ref="Q138:S138"/>
    <mergeCell ref="Q139:S139"/>
    <mergeCell ref="Q140:S140"/>
    <mergeCell ref="Q141:S141"/>
    <mergeCell ref="Q142:S142"/>
    <mergeCell ref="Q143:S143"/>
    <mergeCell ref="Q144:S144"/>
    <mergeCell ref="Q130:S130"/>
    <mergeCell ref="Q131:S131"/>
    <mergeCell ref="Q132:S132"/>
    <mergeCell ref="Q133:S133"/>
    <mergeCell ref="Q134:S134"/>
    <mergeCell ref="Q135:S135"/>
    <mergeCell ref="Q116:S116"/>
    <mergeCell ref="Q117:S117"/>
    <mergeCell ref="Q118:S118"/>
    <mergeCell ref="Q119:S119"/>
    <mergeCell ref="Q120:S120"/>
    <mergeCell ref="Q121:S121"/>
    <mergeCell ref="Q122:S122"/>
    <mergeCell ref="Q123:S123"/>
    <mergeCell ref="Q124:S124"/>
    <mergeCell ref="Q95:S95"/>
    <mergeCell ref="Q96:S96"/>
    <mergeCell ref="Q97:S97"/>
    <mergeCell ref="Q98:S98"/>
    <mergeCell ref="Q99:S99"/>
    <mergeCell ref="Q100:S100"/>
    <mergeCell ref="Q101:S101"/>
    <mergeCell ref="Q102:S102"/>
    <mergeCell ref="Q103:S103"/>
    <mergeCell ref="Q104:S104"/>
    <mergeCell ref="Q105:S105"/>
    <mergeCell ref="Q106:S106"/>
    <mergeCell ref="Q107:S107"/>
    <mergeCell ref="Q108:S108"/>
    <mergeCell ref="Q109:S109"/>
    <mergeCell ref="Q110:S110"/>
    <mergeCell ref="Q111:S111"/>
    <mergeCell ref="Q112:S112"/>
    <mergeCell ref="Q113:S113"/>
    <mergeCell ref="Q114:S114"/>
    <mergeCell ref="Q115:S115"/>
    <mergeCell ref="N148:P148"/>
    <mergeCell ref="N149:P149"/>
    <mergeCell ref="N150:P150"/>
    <mergeCell ref="N151:P151"/>
    <mergeCell ref="N139:P139"/>
    <mergeCell ref="N140:P140"/>
    <mergeCell ref="N141:P141"/>
    <mergeCell ref="N142:P142"/>
    <mergeCell ref="N143:P143"/>
    <mergeCell ref="N144:P144"/>
    <mergeCell ref="N145:P145"/>
    <mergeCell ref="N146:P146"/>
    <mergeCell ref="N147:P147"/>
    <mergeCell ref="N130:P130"/>
    <mergeCell ref="N131:P131"/>
    <mergeCell ref="N132:P132"/>
    <mergeCell ref="N133:P133"/>
    <mergeCell ref="N134:P134"/>
    <mergeCell ref="N135:P135"/>
    <mergeCell ref="N136:P136"/>
    <mergeCell ref="N137:P137"/>
    <mergeCell ref="N138:P138"/>
    <mergeCell ref="N110:P110"/>
    <mergeCell ref="N111:P111"/>
    <mergeCell ref="N112:P112"/>
    <mergeCell ref="N113:P113"/>
    <mergeCell ref="N114:P114"/>
    <mergeCell ref="N115:P115"/>
    <mergeCell ref="N116:P116"/>
    <mergeCell ref="N117:P117"/>
    <mergeCell ref="N118:P118"/>
    <mergeCell ref="K151:M151"/>
    <mergeCell ref="Q94:S94"/>
    <mergeCell ref="N95:P95"/>
    <mergeCell ref="N96:P96"/>
    <mergeCell ref="N97:P97"/>
    <mergeCell ref="N98:P98"/>
    <mergeCell ref="N99:P99"/>
    <mergeCell ref="N100:P100"/>
    <mergeCell ref="N101:P101"/>
    <mergeCell ref="N102:P102"/>
    <mergeCell ref="N103:P103"/>
    <mergeCell ref="N104:P104"/>
    <mergeCell ref="N105:P105"/>
    <mergeCell ref="N106:P106"/>
    <mergeCell ref="N107:P107"/>
    <mergeCell ref="N108:P108"/>
    <mergeCell ref="N109:P109"/>
    <mergeCell ref="K142:M142"/>
    <mergeCell ref="K143:M143"/>
    <mergeCell ref="K144:M144"/>
    <mergeCell ref="K145:M145"/>
    <mergeCell ref="K146:M146"/>
    <mergeCell ref="K147:M147"/>
    <mergeCell ref="K148:M148"/>
    <mergeCell ref="K149:M149"/>
    <mergeCell ref="K150:M150"/>
    <mergeCell ref="K133:M133"/>
    <mergeCell ref="K134:M134"/>
    <mergeCell ref="K135:M135"/>
    <mergeCell ref="K136:M136"/>
    <mergeCell ref="K137:M137"/>
    <mergeCell ref="K138:M138"/>
    <mergeCell ref="K139:M139"/>
    <mergeCell ref="K140:M140"/>
    <mergeCell ref="K141:M141"/>
    <mergeCell ref="K122:M122"/>
    <mergeCell ref="K123:M123"/>
    <mergeCell ref="K124:M124"/>
    <mergeCell ref="K125:M125"/>
    <mergeCell ref="K126:M126"/>
    <mergeCell ref="K127:M127"/>
    <mergeCell ref="K130:M130"/>
    <mergeCell ref="K131:M131"/>
    <mergeCell ref="K132:M132"/>
    <mergeCell ref="K113:M113"/>
    <mergeCell ref="K114:M114"/>
    <mergeCell ref="K115:M115"/>
    <mergeCell ref="K116:M116"/>
    <mergeCell ref="K117:M117"/>
    <mergeCell ref="K118:M118"/>
    <mergeCell ref="K119:M119"/>
    <mergeCell ref="K120:M120"/>
    <mergeCell ref="K121:M121"/>
    <mergeCell ref="K94:M94"/>
    <mergeCell ref="K95:M95"/>
    <mergeCell ref="K96:M96"/>
    <mergeCell ref="K97:M97"/>
    <mergeCell ref="K98:M98"/>
    <mergeCell ref="K99:M99"/>
    <mergeCell ref="K100:M100"/>
    <mergeCell ref="K101:M101"/>
    <mergeCell ref="K102:M102"/>
    <mergeCell ref="K103:M103"/>
    <mergeCell ref="K104:M104"/>
    <mergeCell ref="K105:M105"/>
    <mergeCell ref="K106:M106"/>
    <mergeCell ref="K107:M107"/>
    <mergeCell ref="K108:M108"/>
    <mergeCell ref="K109:M109"/>
    <mergeCell ref="K110:M110"/>
    <mergeCell ref="K111:M111"/>
    <mergeCell ref="K112:M112"/>
    <mergeCell ref="H145:J145"/>
    <mergeCell ref="H146:J146"/>
    <mergeCell ref="H147:J147"/>
    <mergeCell ref="H148:J148"/>
    <mergeCell ref="H149:J149"/>
    <mergeCell ref="H150:J150"/>
    <mergeCell ref="H151:J151"/>
    <mergeCell ref="H136:J136"/>
    <mergeCell ref="H137:J137"/>
    <mergeCell ref="H138:J138"/>
    <mergeCell ref="H139:J139"/>
    <mergeCell ref="H141:J141"/>
    <mergeCell ref="H142:J142"/>
    <mergeCell ref="H143:J143"/>
    <mergeCell ref="H144:J144"/>
    <mergeCell ref="D140:J140"/>
    <mergeCell ref="H125:J125"/>
    <mergeCell ref="H126:J126"/>
    <mergeCell ref="H127:J127"/>
    <mergeCell ref="H130:J130"/>
    <mergeCell ref="H131:J131"/>
    <mergeCell ref="H132:J132"/>
    <mergeCell ref="H133:J133"/>
    <mergeCell ref="H134:J134"/>
    <mergeCell ref="H135:J135"/>
    <mergeCell ref="H116:J116"/>
    <mergeCell ref="H117:J117"/>
    <mergeCell ref="H118:J118"/>
    <mergeCell ref="H119:J119"/>
    <mergeCell ref="H120:J120"/>
    <mergeCell ref="H121:J121"/>
    <mergeCell ref="H122:J122"/>
    <mergeCell ref="H123:J123"/>
    <mergeCell ref="H124:J124"/>
    <mergeCell ref="H94:J94"/>
    <mergeCell ref="H95:J95"/>
    <mergeCell ref="H96:J96"/>
    <mergeCell ref="H97:J97"/>
    <mergeCell ref="H98:J98"/>
    <mergeCell ref="H99:J99"/>
    <mergeCell ref="H100:J100"/>
    <mergeCell ref="H101:J101"/>
    <mergeCell ref="H102:J102"/>
    <mergeCell ref="H103:J103"/>
    <mergeCell ref="H104:J104"/>
    <mergeCell ref="H106:J106"/>
    <mergeCell ref="H107:J107"/>
    <mergeCell ref="H108:J108"/>
    <mergeCell ref="H109:J109"/>
    <mergeCell ref="H110:J110"/>
    <mergeCell ref="H111:J111"/>
    <mergeCell ref="H112:J112"/>
    <mergeCell ref="H113:J113"/>
    <mergeCell ref="H114:J114"/>
    <mergeCell ref="H115:J115"/>
    <mergeCell ref="D148:G148"/>
    <mergeCell ref="D149:G149"/>
    <mergeCell ref="D150:G150"/>
    <mergeCell ref="D151:G151"/>
    <mergeCell ref="D139:G139"/>
    <mergeCell ref="D141:G141"/>
    <mergeCell ref="D142:G142"/>
    <mergeCell ref="D143:G143"/>
    <mergeCell ref="D144:G144"/>
    <mergeCell ref="D145:G145"/>
    <mergeCell ref="D146:G146"/>
    <mergeCell ref="D147:G147"/>
    <mergeCell ref="D130:G130"/>
    <mergeCell ref="D131:G131"/>
    <mergeCell ref="D132:G132"/>
    <mergeCell ref="D133:G133"/>
    <mergeCell ref="D134:G134"/>
    <mergeCell ref="D135:G135"/>
    <mergeCell ref="D136:G136"/>
    <mergeCell ref="D137:G137"/>
    <mergeCell ref="D138:G138"/>
    <mergeCell ref="D119:G119"/>
    <mergeCell ref="D120:G120"/>
    <mergeCell ref="D121:G121"/>
    <mergeCell ref="D122:G122"/>
    <mergeCell ref="D123:G123"/>
    <mergeCell ref="D124:G124"/>
    <mergeCell ref="D125:G125"/>
    <mergeCell ref="D126:G126"/>
    <mergeCell ref="D127:G127"/>
    <mergeCell ref="D110:G110"/>
    <mergeCell ref="D111:G111"/>
    <mergeCell ref="D112:G112"/>
    <mergeCell ref="D113:G113"/>
    <mergeCell ref="D114:G114"/>
    <mergeCell ref="D115:G115"/>
    <mergeCell ref="D116:G116"/>
    <mergeCell ref="D117:G117"/>
    <mergeCell ref="D118:G118"/>
    <mergeCell ref="D101:G101"/>
    <mergeCell ref="D102:G102"/>
    <mergeCell ref="D103:G103"/>
    <mergeCell ref="D104:G104"/>
    <mergeCell ref="D106:G106"/>
    <mergeCell ref="D107:G107"/>
    <mergeCell ref="D108:G108"/>
    <mergeCell ref="D109:G109"/>
    <mergeCell ref="D93:G93"/>
    <mergeCell ref="H93:J93"/>
    <mergeCell ref="D94:G94"/>
    <mergeCell ref="D95:G95"/>
    <mergeCell ref="D96:G96"/>
    <mergeCell ref="D97:G97"/>
    <mergeCell ref="D98:G98"/>
    <mergeCell ref="D99:G99"/>
    <mergeCell ref="D100:G100"/>
    <mergeCell ref="T85:V85"/>
    <mergeCell ref="T86:V86"/>
    <mergeCell ref="T87:V87"/>
    <mergeCell ref="T88:V88"/>
    <mergeCell ref="T89:V89"/>
    <mergeCell ref="T90:V90"/>
    <mergeCell ref="T91:V91"/>
    <mergeCell ref="T92:V92"/>
    <mergeCell ref="T93:V93"/>
    <mergeCell ref="Q85:S85"/>
    <mergeCell ref="Q86:S86"/>
    <mergeCell ref="Q87:S87"/>
    <mergeCell ref="Q88:S88"/>
    <mergeCell ref="Q89:S89"/>
    <mergeCell ref="Q90:S90"/>
    <mergeCell ref="Q91:S91"/>
    <mergeCell ref="T76:V76"/>
    <mergeCell ref="T77:V77"/>
    <mergeCell ref="T78:V78"/>
    <mergeCell ref="T79:V79"/>
    <mergeCell ref="T80:V80"/>
    <mergeCell ref="T81:V81"/>
    <mergeCell ref="T82:V82"/>
    <mergeCell ref="T83:V83"/>
    <mergeCell ref="T84:V84"/>
    <mergeCell ref="Q92:S92"/>
    <mergeCell ref="Q93:S93"/>
    <mergeCell ref="Q76:S76"/>
    <mergeCell ref="Q77:S77"/>
    <mergeCell ref="Q78:S78"/>
    <mergeCell ref="Q79:S79"/>
    <mergeCell ref="Q80:S80"/>
    <mergeCell ref="Q81:S81"/>
    <mergeCell ref="Q82:S82"/>
    <mergeCell ref="Q83:S83"/>
    <mergeCell ref="Q84:S84"/>
    <mergeCell ref="K93:M93"/>
    <mergeCell ref="N76:P76"/>
    <mergeCell ref="N77:P77"/>
    <mergeCell ref="N78:P78"/>
    <mergeCell ref="N79:P79"/>
    <mergeCell ref="N80:P80"/>
    <mergeCell ref="N81:P81"/>
    <mergeCell ref="N82:P82"/>
    <mergeCell ref="N83:P83"/>
    <mergeCell ref="N84:P84"/>
    <mergeCell ref="N85:P85"/>
    <mergeCell ref="N86:P86"/>
    <mergeCell ref="N87:P87"/>
    <mergeCell ref="N88:P88"/>
    <mergeCell ref="N89:P89"/>
    <mergeCell ref="N90:P90"/>
    <mergeCell ref="N91:P91"/>
    <mergeCell ref="N92:P92"/>
    <mergeCell ref="N93:P93"/>
    <mergeCell ref="H92:J92"/>
    <mergeCell ref="K76:M76"/>
    <mergeCell ref="K77:M77"/>
    <mergeCell ref="K78:M78"/>
    <mergeCell ref="K79:M79"/>
    <mergeCell ref="K80:M80"/>
    <mergeCell ref="K81:M81"/>
    <mergeCell ref="K82:M82"/>
    <mergeCell ref="K83:M83"/>
    <mergeCell ref="K84:M84"/>
    <mergeCell ref="K85:M85"/>
    <mergeCell ref="K86:M86"/>
    <mergeCell ref="K87:M87"/>
    <mergeCell ref="K88:M88"/>
    <mergeCell ref="K89:M89"/>
    <mergeCell ref="K90:M90"/>
    <mergeCell ref="K91:M91"/>
    <mergeCell ref="K92:M92"/>
    <mergeCell ref="D85:G85"/>
    <mergeCell ref="D86:G86"/>
    <mergeCell ref="D87:G87"/>
    <mergeCell ref="D88:G88"/>
    <mergeCell ref="D89:G89"/>
    <mergeCell ref="D90:G90"/>
    <mergeCell ref="D91:G91"/>
    <mergeCell ref="D92:G92"/>
    <mergeCell ref="H76:J76"/>
    <mergeCell ref="H77:J77"/>
    <mergeCell ref="H78:J78"/>
    <mergeCell ref="H79:J79"/>
    <mergeCell ref="H80:J80"/>
    <mergeCell ref="H81:J81"/>
    <mergeCell ref="H82:J82"/>
    <mergeCell ref="H83:J83"/>
    <mergeCell ref="H84:J84"/>
    <mergeCell ref="H85:J85"/>
    <mergeCell ref="H86:J86"/>
    <mergeCell ref="H87:J87"/>
    <mergeCell ref="H88:J88"/>
    <mergeCell ref="H89:J89"/>
    <mergeCell ref="H90:J90"/>
    <mergeCell ref="H91:J91"/>
    <mergeCell ref="D76:G76"/>
    <mergeCell ref="D77:G77"/>
    <mergeCell ref="D78:G78"/>
    <mergeCell ref="D79:G79"/>
    <mergeCell ref="D80:G80"/>
    <mergeCell ref="D81:G81"/>
    <mergeCell ref="D82:G82"/>
    <mergeCell ref="D83:G83"/>
    <mergeCell ref="D84:G84"/>
    <mergeCell ref="T29:V29"/>
    <mergeCell ref="T71:V71"/>
    <mergeCell ref="T72:V72"/>
    <mergeCell ref="T73:V73"/>
    <mergeCell ref="T74:V74"/>
    <mergeCell ref="T56:V56"/>
    <mergeCell ref="T57:V57"/>
    <mergeCell ref="T58:V58"/>
    <mergeCell ref="T59:V59"/>
    <mergeCell ref="T60:V60"/>
    <mergeCell ref="T51:V51"/>
    <mergeCell ref="T52:V52"/>
    <mergeCell ref="T53:V53"/>
    <mergeCell ref="T54:V54"/>
    <mergeCell ref="T55:V55"/>
    <mergeCell ref="T46:V46"/>
    <mergeCell ref="T47:V47"/>
    <mergeCell ref="T48:V48"/>
    <mergeCell ref="T49:V49"/>
    <mergeCell ref="T50:V50"/>
    <mergeCell ref="D62:V62"/>
    <mergeCell ref="K69:M69"/>
    <mergeCell ref="T41:V41"/>
    <mergeCell ref="T42:V42"/>
    <mergeCell ref="T75:V75"/>
    <mergeCell ref="T66:V66"/>
    <mergeCell ref="T67:V67"/>
    <mergeCell ref="T68:V68"/>
    <mergeCell ref="T69:V69"/>
    <mergeCell ref="T70:V70"/>
    <mergeCell ref="T61:V61"/>
    <mergeCell ref="T63:V63"/>
    <mergeCell ref="T64:V64"/>
    <mergeCell ref="T65:V65"/>
    <mergeCell ref="T43:V43"/>
    <mergeCell ref="T44:V44"/>
    <mergeCell ref="T45:V45"/>
    <mergeCell ref="Q73:S73"/>
    <mergeCell ref="Q74:S74"/>
    <mergeCell ref="Q75:S75"/>
    <mergeCell ref="T28:V28"/>
    <mergeCell ref="T32:V32"/>
    <mergeCell ref="T30:V30"/>
    <mergeCell ref="T31:V31"/>
    <mergeCell ref="T33:V33"/>
    <mergeCell ref="T34:V34"/>
    <mergeCell ref="T35:V35"/>
    <mergeCell ref="T36:V36"/>
    <mergeCell ref="T37:V37"/>
    <mergeCell ref="T38:V38"/>
    <mergeCell ref="T39:V39"/>
    <mergeCell ref="T40:V40"/>
    <mergeCell ref="Q68:S68"/>
    <mergeCell ref="Q69:S69"/>
    <mergeCell ref="Q70:S70"/>
    <mergeCell ref="Q71:S71"/>
    <mergeCell ref="Q72:S72"/>
    <mergeCell ref="Q63:S63"/>
    <mergeCell ref="Q67:S67"/>
    <mergeCell ref="Q58:S58"/>
    <mergeCell ref="Q59:S59"/>
    <mergeCell ref="Q60:S60"/>
    <mergeCell ref="Q61:S61"/>
    <mergeCell ref="Q53:S53"/>
    <mergeCell ref="Q54:S54"/>
    <mergeCell ref="Q55:S55"/>
    <mergeCell ref="Q56:S56"/>
    <mergeCell ref="Q57:S57"/>
    <mergeCell ref="Q52:S52"/>
    <mergeCell ref="Q43:S43"/>
    <mergeCell ref="Q44:S44"/>
    <mergeCell ref="Q45:S45"/>
    <mergeCell ref="Q46:S46"/>
    <mergeCell ref="Q47:S47"/>
    <mergeCell ref="Q64:S64"/>
    <mergeCell ref="Q65:S65"/>
    <mergeCell ref="Q66:S66"/>
    <mergeCell ref="Q33:S33"/>
    <mergeCell ref="Q34:S34"/>
    <mergeCell ref="Q35:S35"/>
    <mergeCell ref="Q36:S36"/>
    <mergeCell ref="Q37:S37"/>
    <mergeCell ref="Q48:S48"/>
    <mergeCell ref="Q49:S49"/>
    <mergeCell ref="Q50:S50"/>
    <mergeCell ref="Q51:S51"/>
    <mergeCell ref="N46:P46"/>
    <mergeCell ref="N47:P47"/>
    <mergeCell ref="N48:P48"/>
    <mergeCell ref="N49:P49"/>
    <mergeCell ref="N50:P50"/>
    <mergeCell ref="Q38:S38"/>
    <mergeCell ref="Q39:S39"/>
    <mergeCell ref="Q40:S40"/>
    <mergeCell ref="Q41:S41"/>
    <mergeCell ref="Q42:S42"/>
    <mergeCell ref="N41:P41"/>
    <mergeCell ref="N42:P42"/>
    <mergeCell ref="N43:P43"/>
    <mergeCell ref="N44:P44"/>
    <mergeCell ref="N45:P45"/>
    <mergeCell ref="N56:P56"/>
    <mergeCell ref="N57:P57"/>
    <mergeCell ref="N58:P58"/>
    <mergeCell ref="N59:P59"/>
    <mergeCell ref="N60:P60"/>
    <mergeCell ref="N51:P51"/>
    <mergeCell ref="N52:P52"/>
    <mergeCell ref="N53:P53"/>
    <mergeCell ref="N54:P54"/>
    <mergeCell ref="N55:P55"/>
    <mergeCell ref="N75:P75"/>
    <mergeCell ref="N66:P66"/>
    <mergeCell ref="N67:P67"/>
    <mergeCell ref="N68:P68"/>
    <mergeCell ref="N70:P70"/>
    <mergeCell ref="N61:P61"/>
    <mergeCell ref="N63:P63"/>
    <mergeCell ref="N64:P64"/>
    <mergeCell ref="N65:P65"/>
    <mergeCell ref="N71:P71"/>
    <mergeCell ref="N72:P72"/>
    <mergeCell ref="N73:P73"/>
    <mergeCell ref="N74:P74"/>
    <mergeCell ref="K73:M73"/>
    <mergeCell ref="K74:M74"/>
    <mergeCell ref="K75:M75"/>
    <mergeCell ref="N28:P28"/>
    <mergeCell ref="N32:P32"/>
    <mergeCell ref="N30:P30"/>
    <mergeCell ref="N31:P31"/>
    <mergeCell ref="N33:P33"/>
    <mergeCell ref="N34:P34"/>
    <mergeCell ref="N35:P35"/>
    <mergeCell ref="N36:P36"/>
    <mergeCell ref="N37:P37"/>
    <mergeCell ref="N38:P38"/>
    <mergeCell ref="N39:P39"/>
    <mergeCell ref="N40:P40"/>
    <mergeCell ref="K68:M68"/>
    <mergeCell ref="N69:P69"/>
    <mergeCell ref="K70:M70"/>
    <mergeCell ref="K71:M71"/>
    <mergeCell ref="K72:M72"/>
    <mergeCell ref="K63:M63"/>
    <mergeCell ref="K64:M64"/>
    <mergeCell ref="K65:M65"/>
    <mergeCell ref="K66:M66"/>
    <mergeCell ref="K67:M67"/>
    <mergeCell ref="K58:M58"/>
    <mergeCell ref="K59:M59"/>
    <mergeCell ref="K60:M60"/>
    <mergeCell ref="K61:M61"/>
    <mergeCell ref="K53:M53"/>
    <mergeCell ref="K54:M54"/>
    <mergeCell ref="K55:M55"/>
    <mergeCell ref="K56:M56"/>
    <mergeCell ref="K57:M57"/>
    <mergeCell ref="K48:M48"/>
    <mergeCell ref="K49:M49"/>
    <mergeCell ref="K50:M50"/>
    <mergeCell ref="K51:M51"/>
    <mergeCell ref="K52:M52"/>
    <mergeCell ref="K43:M43"/>
    <mergeCell ref="K44:M44"/>
    <mergeCell ref="K45:M45"/>
    <mergeCell ref="K46:M46"/>
    <mergeCell ref="K47:M47"/>
    <mergeCell ref="H75:J75"/>
    <mergeCell ref="K28:M28"/>
    <mergeCell ref="K32:M32"/>
    <mergeCell ref="K30:M30"/>
    <mergeCell ref="K31:M31"/>
    <mergeCell ref="K33:M33"/>
    <mergeCell ref="K34:M34"/>
    <mergeCell ref="K35:M35"/>
    <mergeCell ref="K36:M36"/>
    <mergeCell ref="K37:M37"/>
    <mergeCell ref="K38:M38"/>
    <mergeCell ref="K39:M39"/>
    <mergeCell ref="K40:M40"/>
    <mergeCell ref="K41:M41"/>
    <mergeCell ref="K42:M42"/>
    <mergeCell ref="H70:J70"/>
    <mergeCell ref="H71:J71"/>
    <mergeCell ref="H72:J72"/>
    <mergeCell ref="H73:J73"/>
    <mergeCell ref="H74:J74"/>
    <mergeCell ref="H65:J65"/>
    <mergeCell ref="H66:J66"/>
    <mergeCell ref="H67:J67"/>
    <mergeCell ref="H68:J68"/>
    <mergeCell ref="H49:J49"/>
    <mergeCell ref="H69:J69"/>
    <mergeCell ref="H60:J60"/>
    <mergeCell ref="H61:J61"/>
    <mergeCell ref="H63:J63"/>
    <mergeCell ref="H64:J64"/>
    <mergeCell ref="H55:J55"/>
    <mergeCell ref="H56:J56"/>
    <mergeCell ref="H57:J57"/>
    <mergeCell ref="H58:J58"/>
    <mergeCell ref="H59:J59"/>
    <mergeCell ref="H41:J41"/>
    <mergeCell ref="H42:J42"/>
    <mergeCell ref="H43:J43"/>
    <mergeCell ref="H44:J44"/>
    <mergeCell ref="D72:G72"/>
    <mergeCell ref="D73:G73"/>
    <mergeCell ref="D74:G74"/>
    <mergeCell ref="D75:G75"/>
    <mergeCell ref="D50:G50"/>
    <mergeCell ref="D51:G51"/>
    <mergeCell ref="D42:G42"/>
    <mergeCell ref="D43:G43"/>
    <mergeCell ref="D44:G44"/>
    <mergeCell ref="D45:G45"/>
    <mergeCell ref="D46:G46"/>
    <mergeCell ref="H50:J50"/>
    <mergeCell ref="H51:J51"/>
    <mergeCell ref="H52:J52"/>
    <mergeCell ref="H53:J53"/>
    <mergeCell ref="H54:J54"/>
    <mergeCell ref="H45:J45"/>
    <mergeCell ref="H46:J46"/>
    <mergeCell ref="H47:J47"/>
    <mergeCell ref="H48:J48"/>
    <mergeCell ref="H32:J32"/>
    <mergeCell ref="H30:J30"/>
    <mergeCell ref="H31:J31"/>
    <mergeCell ref="H33:J33"/>
    <mergeCell ref="H34:J34"/>
    <mergeCell ref="H35:J35"/>
    <mergeCell ref="H36:J36"/>
    <mergeCell ref="H37:J37"/>
    <mergeCell ref="H40:J40"/>
    <mergeCell ref="H38:J38"/>
    <mergeCell ref="H39:J39"/>
    <mergeCell ref="D67:G67"/>
    <mergeCell ref="D68:G68"/>
    <mergeCell ref="D69:G69"/>
    <mergeCell ref="D70:G70"/>
    <mergeCell ref="D71:G71"/>
    <mergeCell ref="D63:G63"/>
    <mergeCell ref="D64:G64"/>
    <mergeCell ref="D65:G65"/>
    <mergeCell ref="D66:G66"/>
    <mergeCell ref="D57:G57"/>
    <mergeCell ref="D58:G58"/>
    <mergeCell ref="D59:G59"/>
    <mergeCell ref="D60:G60"/>
    <mergeCell ref="D61:G61"/>
    <mergeCell ref="D52:G52"/>
    <mergeCell ref="D53:G53"/>
    <mergeCell ref="D54:G54"/>
    <mergeCell ref="D55:G55"/>
    <mergeCell ref="D56:G56"/>
    <mergeCell ref="D47:G47"/>
    <mergeCell ref="D48:G48"/>
    <mergeCell ref="D49:G49"/>
    <mergeCell ref="D37:G37"/>
    <mergeCell ref="D38:G38"/>
    <mergeCell ref="D39:G39"/>
    <mergeCell ref="D40:G40"/>
    <mergeCell ref="D41:G41"/>
    <mergeCell ref="D33:G33"/>
    <mergeCell ref="D34:G34"/>
    <mergeCell ref="D35:G35"/>
    <mergeCell ref="D36:G36"/>
    <mergeCell ref="B25:C25"/>
    <mergeCell ref="D28:G28"/>
    <mergeCell ref="D32:G32"/>
    <mergeCell ref="D30:G30"/>
    <mergeCell ref="D31:G31"/>
    <mergeCell ref="D29:G29"/>
    <mergeCell ref="Q25:S25"/>
    <mergeCell ref="Q26:S26"/>
    <mergeCell ref="Q27:S27"/>
    <mergeCell ref="K25:M25"/>
    <mergeCell ref="K26:M26"/>
    <mergeCell ref="K27:M27"/>
    <mergeCell ref="D25:G25"/>
    <mergeCell ref="D26:G26"/>
    <mergeCell ref="D27:G27"/>
    <mergeCell ref="H29:J29"/>
    <mergeCell ref="K29:M29"/>
    <mergeCell ref="N29:P29"/>
    <mergeCell ref="Q28:S28"/>
    <mergeCell ref="Q32:S32"/>
    <mergeCell ref="Q30:S30"/>
    <mergeCell ref="Q31:S31"/>
    <mergeCell ref="Q29:S29"/>
    <mergeCell ref="H28:J28"/>
    <mergeCell ref="T19:V19"/>
    <mergeCell ref="T20:V20"/>
    <mergeCell ref="T21:V21"/>
    <mergeCell ref="T22:V22"/>
    <mergeCell ref="T25:V25"/>
    <mergeCell ref="T26:V26"/>
    <mergeCell ref="T27:V27"/>
    <mergeCell ref="Q19:S19"/>
    <mergeCell ref="Q20:S20"/>
    <mergeCell ref="Q21:S21"/>
    <mergeCell ref="Q22:S22"/>
    <mergeCell ref="N19:P19"/>
    <mergeCell ref="N20:P20"/>
    <mergeCell ref="N21:P21"/>
    <mergeCell ref="N22:P22"/>
    <mergeCell ref="N25:P25"/>
    <mergeCell ref="N26:P26"/>
    <mergeCell ref="N27:P27"/>
    <mergeCell ref="K19:M19"/>
    <mergeCell ref="K20:M20"/>
    <mergeCell ref="K21:M21"/>
    <mergeCell ref="K22:M22"/>
    <mergeCell ref="H19:J19"/>
    <mergeCell ref="H20:J20"/>
    <mergeCell ref="H21:J21"/>
    <mergeCell ref="H22:J22"/>
    <mergeCell ref="H25:J25"/>
    <mergeCell ref="H26:J26"/>
    <mergeCell ref="H27:J27"/>
    <mergeCell ref="D19:G19"/>
    <mergeCell ref="D20:G20"/>
    <mergeCell ref="D21:G21"/>
    <mergeCell ref="D22:G22"/>
    <mergeCell ref="Q17:S17"/>
    <mergeCell ref="T17:V17"/>
    <mergeCell ref="D18:G18"/>
    <mergeCell ref="H18:J18"/>
    <mergeCell ref="K18:M18"/>
    <mergeCell ref="N18:P18"/>
    <mergeCell ref="Q18:S18"/>
    <mergeCell ref="T18:V18"/>
    <mergeCell ref="B17:C17"/>
    <mergeCell ref="D17:G17"/>
    <mergeCell ref="H17:J17"/>
    <mergeCell ref="K17:M17"/>
    <mergeCell ref="N17:P17"/>
    <mergeCell ref="S10:U10"/>
    <mergeCell ref="S11:U11"/>
    <mergeCell ref="S12:U12"/>
    <mergeCell ref="S13:U13"/>
    <mergeCell ref="S14:U14"/>
    <mergeCell ref="S5:U5"/>
    <mergeCell ref="S6:U6"/>
    <mergeCell ref="S7:U7"/>
    <mergeCell ref="S8:U8"/>
    <mergeCell ref="S9:U9"/>
    <mergeCell ref="P13:R13"/>
    <mergeCell ref="P14:R14"/>
    <mergeCell ref="P3:R3"/>
    <mergeCell ref="P4:R4"/>
    <mergeCell ref="P5:R5"/>
    <mergeCell ref="P6:R6"/>
    <mergeCell ref="P7:R7"/>
    <mergeCell ref="P8:R8"/>
    <mergeCell ref="P9:R9"/>
    <mergeCell ref="P10:R10"/>
    <mergeCell ref="P11:R11"/>
    <mergeCell ref="P12:R12"/>
    <mergeCell ref="J6:L6"/>
    <mergeCell ref="J7:L7"/>
    <mergeCell ref="J8:L8"/>
    <mergeCell ref="J9:L9"/>
    <mergeCell ref="M6:O6"/>
    <mergeCell ref="M7:O7"/>
    <mergeCell ref="M8:O8"/>
    <mergeCell ref="M14:O14"/>
    <mergeCell ref="J10:L10"/>
    <mergeCell ref="J11:L11"/>
    <mergeCell ref="J12:L12"/>
    <mergeCell ref="J13:L13"/>
    <mergeCell ref="J14:L14"/>
    <mergeCell ref="M9:O9"/>
    <mergeCell ref="M10:O10"/>
    <mergeCell ref="M11:O11"/>
    <mergeCell ref="M12:O12"/>
    <mergeCell ref="M13:O13"/>
    <mergeCell ref="B12:F12"/>
    <mergeCell ref="B13:F13"/>
    <mergeCell ref="B14:F14"/>
    <mergeCell ref="G4:I4"/>
    <mergeCell ref="G5:I5"/>
    <mergeCell ref="G6:I6"/>
    <mergeCell ref="G7:I7"/>
    <mergeCell ref="G8:I8"/>
    <mergeCell ref="G9:I9"/>
    <mergeCell ref="G10:I10"/>
    <mergeCell ref="B6:F6"/>
    <mergeCell ref="B7:F7"/>
    <mergeCell ref="B8:F8"/>
    <mergeCell ref="B9:F9"/>
    <mergeCell ref="B10:F10"/>
    <mergeCell ref="B11:F11"/>
    <mergeCell ref="G11:I11"/>
    <mergeCell ref="G12:I12"/>
    <mergeCell ref="G13:I13"/>
    <mergeCell ref="G14:I14"/>
    <mergeCell ref="B5:F5"/>
    <mergeCell ref="B3:F3"/>
    <mergeCell ref="G3:I3"/>
    <mergeCell ref="J3:L3"/>
    <mergeCell ref="M3:O3"/>
    <mergeCell ref="B4:F4"/>
    <mergeCell ref="M4:O4"/>
    <mergeCell ref="M5:O5"/>
    <mergeCell ref="S3:U3"/>
    <mergeCell ref="S4:U4"/>
    <mergeCell ref="J4:L4"/>
    <mergeCell ref="J5:L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8F4B-1EF3-4A8F-9736-86F407A630BE}">
  <dimension ref="B3:Z182"/>
  <sheetViews>
    <sheetView topLeftCell="B16" zoomScale="53" zoomScaleNormal="60" workbookViewId="0">
      <selection activeCell="Q48" sqref="Q48:S48"/>
    </sheetView>
  </sheetViews>
  <sheetFormatPr defaultRowHeight="14.4" x14ac:dyDescent="0.3"/>
  <cols>
    <col min="7" max="7" width="9.109375" customWidth="1"/>
    <col min="16" max="16" width="47" customWidth="1"/>
  </cols>
  <sheetData>
    <row r="3" spans="2:23" x14ac:dyDescent="0.3">
      <c r="D3" s="285" t="s">
        <v>115</v>
      </c>
      <c r="E3" s="285"/>
      <c r="F3" s="285"/>
      <c r="G3" s="285"/>
      <c r="H3" s="285"/>
      <c r="I3" s="285" t="s">
        <v>129</v>
      </c>
      <c r="J3" s="285"/>
      <c r="K3" s="285"/>
      <c r="L3" s="285" t="s">
        <v>719</v>
      </c>
      <c r="M3" s="285"/>
      <c r="N3" s="285"/>
      <c r="O3" s="285" t="s">
        <v>720</v>
      </c>
      <c r="P3" s="285"/>
      <c r="Q3" s="285"/>
      <c r="R3" s="285" t="s">
        <v>376</v>
      </c>
      <c r="S3" s="285"/>
      <c r="T3" s="285"/>
      <c r="U3" s="285"/>
      <c r="V3" s="285"/>
      <c r="W3" s="285"/>
    </row>
    <row r="4" spans="2:23" x14ac:dyDescent="0.3">
      <c r="D4" s="283" t="s">
        <v>717</v>
      </c>
      <c r="E4" s="283"/>
      <c r="F4" s="283"/>
      <c r="G4" s="283"/>
      <c r="H4" s="283"/>
      <c r="I4" s="320"/>
      <c r="J4" s="320"/>
      <c r="K4" s="320"/>
      <c r="L4" s="320"/>
      <c r="M4" s="320"/>
      <c r="N4" s="320"/>
      <c r="O4" s="320"/>
      <c r="P4" s="320"/>
      <c r="Q4" s="320"/>
      <c r="R4" s="284"/>
      <c r="S4" s="284"/>
      <c r="T4" s="284"/>
      <c r="U4" s="284"/>
      <c r="V4" s="284"/>
      <c r="W4" s="284"/>
    </row>
    <row r="5" spans="2:23" x14ac:dyDescent="0.3">
      <c r="D5" s="286" t="s">
        <v>718</v>
      </c>
      <c r="E5" s="286"/>
      <c r="F5" s="286"/>
      <c r="G5" s="286"/>
      <c r="H5" s="286"/>
      <c r="I5" s="290" t="s">
        <v>724</v>
      </c>
      <c r="J5" s="290"/>
      <c r="K5" s="290"/>
      <c r="L5" s="290" t="s">
        <v>725</v>
      </c>
      <c r="M5" s="290"/>
      <c r="N5" s="290"/>
      <c r="O5" s="290"/>
      <c r="P5" s="290"/>
      <c r="Q5" s="290"/>
      <c r="R5" s="290"/>
      <c r="S5" s="290"/>
      <c r="T5" s="290"/>
    </row>
    <row r="6" spans="2:23" x14ac:dyDescent="0.3">
      <c r="D6" s="286" t="s">
        <v>323</v>
      </c>
      <c r="E6" s="286"/>
      <c r="F6" s="286"/>
      <c r="G6" s="286"/>
      <c r="H6" s="286"/>
      <c r="I6" s="287" t="s">
        <v>422</v>
      </c>
      <c r="J6" s="287"/>
      <c r="K6" s="287"/>
      <c r="L6" s="287" t="s">
        <v>726</v>
      </c>
      <c r="M6" s="287"/>
      <c r="N6" s="287"/>
      <c r="O6" s="287"/>
      <c r="P6" s="287"/>
      <c r="Q6" s="287"/>
      <c r="R6" s="322"/>
      <c r="S6" s="287"/>
      <c r="T6" s="287"/>
    </row>
    <row r="7" spans="2:23" x14ac:dyDescent="0.3">
      <c r="D7" s="286" t="s">
        <v>721</v>
      </c>
      <c r="E7" s="286"/>
      <c r="F7" s="286"/>
      <c r="G7" s="286"/>
      <c r="H7" s="286"/>
      <c r="I7" s="287" t="s">
        <v>259</v>
      </c>
      <c r="J7" s="287"/>
      <c r="K7" s="287"/>
      <c r="L7" s="287"/>
      <c r="M7" s="287"/>
      <c r="N7" s="287"/>
      <c r="O7" s="287"/>
      <c r="P7" s="287"/>
      <c r="Q7" s="287"/>
      <c r="R7" s="287" t="s">
        <v>727</v>
      </c>
      <c r="S7" s="287"/>
      <c r="T7" s="287"/>
    </row>
    <row r="8" spans="2:23" x14ac:dyDescent="0.3">
      <c r="D8" s="286" t="s">
        <v>722</v>
      </c>
      <c r="E8" s="286"/>
      <c r="F8" s="286"/>
      <c r="G8" s="286"/>
      <c r="H8" s="286"/>
      <c r="I8" s="287" t="s">
        <v>259</v>
      </c>
      <c r="J8" s="287"/>
      <c r="K8" s="287"/>
      <c r="L8" s="287"/>
      <c r="M8" s="287"/>
      <c r="N8" s="287"/>
      <c r="O8" s="287" t="s">
        <v>728</v>
      </c>
      <c r="P8" s="287"/>
      <c r="Q8" s="287"/>
      <c r="R8" s="287"/>
      <c r="S8" s="287"/>
      <c r="T8" s="287"/>
    </row>
    <row r="9" spans="2:23" x14ac:dyDescent="0.3">
      <c r="D9" s="286" t="s">
        <v>385</v>
      </c>
      <c r="E9" s="286"/>
      <c r="F9" s="286"/>
      <c r="G9" s="286"/>
      <c r="H9" s="286"/>
      <c r="I9" s="287"/>
      <c r="J9" s="287"/>
      <c r="K9" s="287"/>
      <c r="L9" s="287"/>
      <c r="M9" s="287"/>
      <c r="N9" s="287"/>
      <c r="O9" s="287" t="s">
        <v>729</v>
      </c>
      <c r="P9" s="287"/>
      <c r="Q9" s="287"/>
      <c r="R9" s="287"/>
      <c r="S9" s="287"/>
      <c r="T9" s="287"/>
    </row>
    <row r="10" spans="2:23" x14ac:dyDescent="0.3">
      <c r="D10" s="286" t="s">
        <v>723</v>
      </c>
      <c r="E10" s="286"/>
      <c r="F10" s="286"/>
      <c r="G10" s="286"/>
      <c r="H10" s="286"/>
      <c r="I10" s="287"/>
      <c r="J10" s="287"/>
      <c r="K10" s="287"/>
      <c r="L10" s="287"/>
      <c r="M10" s="287"/>
      <c r="N10" s="287"/>
      <c r="O10" s="287" t="s">
        <v>730</v>
      </c>
      <c r="P10" s="287"/>
      <c r="Q10" s="287"/>
      <c r="R10" s="287"/>
      <c r="S10" s="287"/>
      <c r="T10" s="287"/>
    </row>
    <row r="13" spans="2:23" x14ac:dyDescent="0.3">
      <c r="B13" s="297" t="s">
        <v>389</v>
      </c>
      <c r="C13" s="297"/>
      <c r="D13" s="291" t="s">
        <v>388</v>
      </c>
      <c r="E13" s="291"/>
      <c r="F13" s="291"/>
      <c r="G13" s="291"/>
      <c r="H13" s="291" t="s">
        <v>300</v>
      </c>
      <c r="I13" s="291"/>
      <c r="J13" s="291"/>
      <c r="K13" s="291" t="s">
        <v>129</v>
      </c>
      <c r="L13" s="291"/>
      <c r="M13" s="291"/>
      <c r="N13" s="291" t="s">
        <v>301</v>
      </c>
      <c r="O13" s="291"/>
      <c r="P13" s="291"/>
      <c r="Q13" s="291" t="s">
        <v>302</v>
      </c>
      <c r="R13" s="291"/>
      <c r="S13" s="291"/>
      <c r="T13" s="291" t="s">
        <v>334</v>
      </c>
      <c r="U13" s="291"/>
      <c r="V13" s="291"/>
    </row>
    <row r="14" spans="2:23" x14ac:dyDescent="0.3">
      <c r="D14" s="286" t="s">
        <v>366</v>
      </c>
      <c r="E14" s="286"/>
      <c r="F14" s="286"/>
      <c r="G14" s="286"/>
      <c r="H14" s="286" t="s">
        <v>51</v>
      </c>
      <c r="I14" s="286"/>
      <c r="J14" s="286"/>
      <c r="K14" s="286"/>
      <c r="L14" s="286"/>
      <c r="M14" s="286"/>
      <c r="N14" s="286"/>
      <c r="O14" s="286"/>
      <c r="P14" s="286"/>
      <c r="Q14" s="286">
        <v>1</v>
      </c>
      <c r="R14" s="286"/>
      <c r="S14" s="286"/>
      <c r="T14" s="286"/>
      <c r="U14" s="286"/>
      <c r="V14" s="286"/>
    </row>
    <row r="15" spans="2:23" x14ac:dyDescent="0.3">
      <c r="D15" s="286" t="s">
        <v>731</v>
      </c>
      <c r="E15" s="286"/>
      <c r="F15" s="286"/>
      <c r="G15" s="286"/>
      <c r="H15" s="286" t="s">
        <v>344</v>
      </c>
      <c r="I15" s="286"/>
      <c r="J15" s="286"/>
      <c r="K15" s="286" t="s">
        <v>259</v>
      </c>
      <c r="L15" s="286"/>
      <c r="M15" s="286"/>
      <c r="N15" s="286"/>
      <c r="O15" s="286"/>
      <c r="P15" s="286"/>
      <c r="Q15" s="286">
        <v>2</v>
      </c>
      <c r="R15" s="286"/>
      <c r="S15" s="286"/>
      <c r="T15" s="286"/>
      <c r="U15" s="286"/>
      <c r="V15" s="286"/>
    </row>
    <row r="16" spans="2:23" x14ac:dyDescent="0.3">
      <c r="D16" s="286" t="s">
        <v>732</v>
      </c>
      <c r="E16" s="286"/>
      <c r="F16" s="286"/>
      <c r="G16" s="286"/>
      <c r="H16" s="286" t="s">
        <v>308</v>
      </c>
      <c r="I16" s="286"/>
      <c r="J16" s="286"/>
      <c r="K16" s="286" t="s">
        <v>259</v>
      </c>
      <c r="L16" s="286"/>
      <c r="M16" s="286"/>
      <c r="N16" s="286"/>
      <c r="O16" s="286"/>
      <c r="P16" s="286"/>
      <c r="Q16" s="300">
        <v>1</v>
      </c>
      <c r="R16" s="301"/>
      <c r="S16" s="301"/>
      <c r="T16" s="286"/>
      <c r="U16" s="286"/>
      <c r="V16" s="286"/>
    </row>
    <row r="17" spans="2:22" x14ac:dyDescent="0.3">
      <c r="D17" s="286" t="s">
        <v>702</v>
      </c>
      <c r="E17" s="286"/>
      <c r="F17" s="286"/>
      <c r="G17" s="286"/>
      <c r="H17" s="286" t="s">
        <v>307</v>
      </c>
      <c r="I17" s="286"/>
      <c r="J17" s="286"/>
      <c r="K17" s="286" t="s">
        <v>259</v>
      </c>
      <c r="L17" s="286"/>
      <c r="M17" s="286"/>
      <c r="N17" s="286"/>
      <c r="O17" s="286"/>
      <c r="P17" s="286"/>
      <c r="Q17" s="286">
        <v>1</v>
      </c>
      <c r="R17" s="286"/>
      <c r="S17" s="286"/>
      <c r="T17" s="286"/>
      <c r="U17" s="286"/>
      <c r="V17" s="286"/>
    </row>
    <row r="18" spans="2:22" x14ac:dyDescent="0.3">
      <c r="D18" s="286" t="s">
        <v>733</v>
      </c>
      <c r="E18" s="286"/>
      <c r="F18" s="286"/>
      <c r="G18" s="286"/>
      <c r="H18" s="286" t="s">
        <v>734</v>
      </c>
      <c r="I18" s="286"/>
      <c r="J18" s="286"/>
      <c r="K18" s="286" t="s">
        <v>735</v>
      </c>
      <c r="L18" s="286"/>
      <c r="M18" s="286"/>
      <c r="N18" s="286"/>
      <c r="O18" s="286"/>
      <c r="P18" s="286"/>
      <c r="Q18" s="170">
        <v>1000</v>
      </c>
      <c r="R18" s="286"/>
      <c r="S18" s="286"/>
      <c r="T18" s="286"/>
      <c r="U18" s="286"/>
      <c r="V18" s="286"/>
    </row>
    <row r="19" spans="2:22" x14ac:dyDescent="0.3">
      <c r="D19" s="286" t="s">
        <v>323</v>
      </c>
      <c r="E19" s="286"/>
      <c r="F19" s="286"/>
      <c r="G19" s="286"/>
      <c r="H19" s="286" t="s">
        <v>420</v>
      </c>
      <c r="I19" s="286"/>
      <c r="J19" s="286"/>
      <c r="K19" s="324" t="s">
        <v>422</v>
      </c>
      <c r="L19" s="286"/>
      <c r="M19" s="286"/>
      <c r="N19" s="286"/>
      <c r="O19" s="286"/>
      <c r="P19" s="286"/>
      <c r="Q19" s="170">
        <v>20</v>
      </c>
      <c r="R19" s="170"/>
      <c r="S19" s="170"/>
      <c r="T19" s="286"/>
      <c r="U19" s="286"/>
      <c r="V19" s="286"/>
    </row>
    <row r="21" spans="2:22" x14ac:dyDescent="0.3">
      <c r="B21" s="297" t="s">
        <v>299</v>
      </c>
      <c r="C21" s="297"/>
      <c r="D21" s="291" t="s">
        <v>717</v>
      </c>
      <c r="E21" s="291"/>
      <c r="F21" s="291"/>
      <c r="G21" s="291"/>
      <c r="H21" s="291" t="s">
        <v>300</v>
      </c>
      <c r="I21" s="291"/>
      <c r="J21" s="291"/>
      <c r="K21" s="291" t="s">
        <v>129</v>
      </c>
      <c r="L21" s="291"/>
      <c r="M21" s="291"/>
      <c r="N21" s="291" t="s">
        <v>301</v>
      </c>
      <c r="O21" s="291"/>
      <c r="P21" s="291"/>
      <c r="Q21" s="323" t="s">
        <v>302</v>
      </c>
      <c r="R21" s="323"/>
      <c r="S21" s="323"/>
      <c r="T21" s="291" t="s">
        <v>334</v>
      </c>
      <c r="U21" s="291"/>
      <c r="V21" s="291"/>
    </row>
    <row r="22" spans="2:22" x14ac:dyDescent="0.3">
      <c r="D22" s="286" t="s">
        <v>736</v>
      </c>
      <c r="E22" s="286"/>
      <c r="F22" s="286"/>
      <c r="G22" s="286"/>
      <c r="H22" s="286" t="s">
        <v>325</v>
      </c>
      <c r="I22" s="286"/>
      <c r="J22" s="286"/>
      <c r="K22" s="286" t="s">
        <v>186</v>
      </c>
      <c r="L22" s="286"/>
      <c r="M22" s="286"/>
      <c r="N22" s="286" t="s">
        <v>403</v>
      </c>
      <c r="O22" s="286"/>
      <c r="P22" s="286"/>
      <c r="Q22" s="294">
        <f>'Kebutuhan Air Total'!G26</f>
        <v>0.68287864897272743</v>
      </c>
      <c r="R22" s="294"/>
      <c r="S22" s="294"/>
      <c r="T22" s="286"/>
      <c r="U22" s="286"/>
      <c r="V22" s="286"/>
    </row>
    <row r="23" spans="2:22" x14ac:dyDescent="0.3">
      <c r="D23" s="286" t="s">
        <v>721</v>
      </c>
      <c r="E23" s="286"/>
      <c r="F23" s="286"/>
      <c r="G23" s="286"/>
      <c r="H23" s="286" t="s">
        <v>500</v>
      </c>
      <c r="I23" s="286"/>
      <c r="J23" s="286"/>
      <c r="K23" s="286" t="s">
        <v>259</v>
      </c>
      <c r="L23" s="286"/>
      <c r="M23" s="286"/>
      <c r="N23" s="286" t="s">
        <v>747</v>
      </c>
      <c r="O23" s="286"/>
      <c r="P23" s="286"/>
      <c r="Q23" s="294">
        <f>((Q18^2)*Q19*(8.949*(10^-4)))/(997.7*9.81)</f>
        <v>1.8286707745858284</v>
      </c>
      <c r="R23" s="294"/>
      <c r="S23" s="294"/>
      <c r="T23" s="286"/>
      <c r="U23" s="286"/>
      <c r="V23" s="286"/>
    </row>
    <row r="24" spans="2:22" x14ac:dyDescent="0.3">
      <c r="D24" s="286" t="s">
        <v>737</v>
      </c>
      <c r="E24" s="286"/>
      <c r="F24" s="286"/>
      <c r="G24" s="286"/>
      <c r="H24" s="286" t="s">
        <v>560</v>
      </c>
      <c r="I24" s="286"/>
      <c r="J24" s="286"/>
      <c r="K24" s="287"/>
      <c r="L24" s="287"/>
      <c r="M24" s="287"/>
      <c r="N24" s="286" t="s">
        <v>748</v>
      </c>
      <c r="O24" s="286"/>
      <c r="P24" s="286"/>
      <c r="Q24" s="302">
        <f>((Q22/(Q17*Q16))^2)/(9.81*(Q15^3))</f>
        <v>5.9419374263865628E-3</v>
      </c>
      <c r="R24" s="302"/>
      <c r="S24" s="302"/>
      <c r="T24" s="286"/>
      <c r="U24" s="286"/>
      <c r="V24" s="286"/>
    </row>
    <row r="25" spans="2:22" x14ac:dyDescent="0.3">
      <c r="D25" s="286" t="s">
        <v>562</v>
      </c>
      <c r="E25" s="286"/>
      <c r="F25" s="286"/>
      <c r="G25" s="286"/>
      <c r="H25" s="286" t="s">
        <v>563</v>
      </c>
      <c r="I25" s="286"/>
      <c r="J25" s="286"/>
      <c r="K25" s="286" t="s">
        <v>259</v>
      </c>
      <c r="L25" s="286"/>
      <c r="M25" s="286"/>
      <c r="N25" s="286" t="s">
        <v>749</v>
      </c>
      <c r="O25" s="286"/>
      <c r="P25" s="286"/>
      <c r="Q25" s="314">
        <f>4.3*Q15*(Q24^0.27)</f>
        <v>2.1550583385073678</v>
      </c>
      <c r="R25" s="314"/>
      <c r="S25" s="314"/>
      <c r="T25" s="286"/>
      <c r="U25" s="286"/>
      <c r="V25" s="286"/>
    </row>
    <row r="26" spans="2:22" x14ac:dyDescent="0.3">
      <c r="D26" s="274" t="s">
        <v>738</v>
      </c>
      <c r="E26" s="274"/>
      <c r="F26" s="274"/>
      <c r="G26" s="274"/>
      <c r="H26" s="286"/>
      <c r="I26" s="286"/>
      <c r="J26" s="286"/>
      <c r="K26" s="286"/>
      <c r="L26" s="286"/>
      <c r="M26" s="286"/>
      <c r="N26" s="286"/>
      <c r="O26" s="286"/>
      <c r="P26" s="286"/>
      <c r="Q26" s="294"/>
      <c r="R26" s="294"/>
      <c r="S26" s="294"/>
      <c r="T26" s="286"/>
      <c r="U26" s="286"/>
      <c r="V26" s="286"/>
    </row>
    <row r="27" spans="2:22" x14ac:dyDescent="0.3">
      <c r="D27" s="286" t="s">
        <v>739</v>
      </c>
      <c r="E27" s="286"/>
      <c r="F27" s="286"/>
      <c r="G27" s="286"/>
      <c r="H27" s="286" t="s">
        <v>750</v>
      </c>
      <c r="I27" s="286"/>
      <c r="J27" s="286"/>
      <c r="K27" s="286" t="s">
        <v>259</v>
      </c>
      <c r="L27" s="286"/>
      <c r="M27" s="286"/>
      <c r="N27" s="286" t="s">
        <v>751</v>
      </c>
      <c r="O27" s="286"/>
      <c r="P27" s="286"/>
      <c r="Q27" s="296">
        <f>0.54*Q15*(Q24^0.425)</f>
        <v>0.12227655287578637</v>
      </c>
      <c r="R27" s="296"/>
      <c r="S27" s="296"/>
      <c r="T27" s="286"/>
      <c r="U27" s="286"/>
      <c r="V27" s="286"/>
    </row>
    <row r="28" spans="2:22" x14ac:dyDescent="0.3">
      <c r="D28" s="286" t="s">
        <v>740</v>
      </c>
      <c r="E28" s="286"/>
      <c r="F28" s="286"/>
      <c r="G28" s="286"/>
      <c r="H28" s="286" t="s">
        <v>752</v>
      </c>
      <c r="I28" s="286"/>
      <c r="J28" s="286"/>
      <c r="K28" s="286" t="s">
        <v>259</v>
      </c>
      <c r="L28" s="286"/>
      <c r="M28" s="286"/>
      <c r="N28" s="286" t="s">
        <v>753</v>
      </c>
      <c r="O28" s="286"/>
      <c r="P28" s="286"/>
      <c r="Q28" s="294">
        <f>1.66*Q15*(Q24^0.27)</f>
        <v>0.83195275393540236</v>
      </c>
      <c r="R28" s="294"/>
      <c r="S28" s="294"/>
      <c r="T28" s="286"/>
      <c r="U28" s="286"/>
      <c r="V28" s="286"/>
    </row>
    <row r="29" spans="2:22" x14ac:dyDescent="0.3">
      <c r="D29" s="286" t="s">
        <v>741</v>
      </c>
      <c r="E29" s="286"/>
      <c r="F29" s="286"/>
      <c r="G29" s="286"/>
      <c r="H29" s="286" t="s">
        <v>754</v>
      </c>
      <c r="I29" s="286"/>
      <c r="J29" s="286"/>
      <c r="K29" s="286"/>
      <c r="L29" s="286"/>
      <c r="M29" s="286"/>
      <c r="N29" s="286" t="s">
        <v>755</v>
      </c>
      <c r="O29" s="286"/>
      <c r="P29" s="286"/>
      <c r="Q29" s="294">
        <f>Q28/Q27</f>
        <v>6.8038616919511519</v>
      </c>
      <c r="R29" s="294"/>
      <c r="S29" s="294"/>
      <c r="T29" s="274" t="s">
        <v>756</v>
      </c>
      <c r="U29" s="286"/>
      <c r="V29" s="286"/>
    </row>
    <row r="30" spans="2:22" x14ac:dyDescent="0.3">
      <c r="D30" s="286" t="s">
        <v>385</v>
      </c>
      <c r="E30" s="286"/>
      <c r="F30" s="286"/>
      <c r="G30" s="286"/>
      <c r="H30" s="286" t="s">
        <v>757</v>
      </c>
      <c r="I30" s="286"/>
      <c r="J30" s="286"/>
      <c r="K30" s="286"/>
      <c r="L30" s="286"/>
      <c r="M30" s="286"/>
      <c r="N30" s="286" t="s">
        <v>758</v>
      </c>
      <c r="O30" s="286"/>
      <c r="P30" s="286"/>
      <c r="Q30" s="296">
        <f>((Q29*2)+1)/(SQRT(8))</f>
        <v>5.1646101312273096</v>
      </c>
      <c r="R30" s="296"/>
      <c r="S30" s="296"/>
      <c r="T30" s="274" t="s">
        <v>759</v>
      </c>
      <c r="U30" s="286"/>
      <c r="V30" s="286"/>
    </row>
    <row r="31" spans="2:22" x14ac:dyDescent="0.3">
      <c r="D31" s="286" t="s">
        <v>760</v>
      </c>
      <c r="E31" s="286"/>
      <c r="F31" s="286"/>
      <c r="G31" s="286"/>
      <c r="H31" s="286" t="s">
        <v>760</v>
      </c>
      <c r="I31" s="286"/>
      <c r="J31" s="286"/>
      <c r="K31" s="286"/>
      <c r="L31" s="286"/>
      <c r="M31" s="286"/>
      <c r="N31" s="286" t="s">
        <v>761</v>
      </c>
      <c r="O31" s="286"/>
      <c r="P31" s="286"/>
      <c r="Q31" s="296">
        <v>6</v>
      </c>
      <c r="R31" s="296"/>
      <c r="S31" s="296"/>
      <c r="T31" s="274"/>
      <c r="U31" s="286"/>
      <c r="V31" s="286"/>
    </row>
    <row r="32" spans="2:22" x14ac:dyDescent="0.3">
      <c r="D32" s="286" t="s">
        <v>742</v>
      </c>
      <c r="E32" s="286"/>
      <c r="F32" s="286"/>
      <c r="G32" s="286"/>
      <c r="H32" s="286" t="s">
        <v>306</v>
      </c>
      <c r="I32" s="286"/>
      <c r="J32" s="286"/>
      <c r="K32" s="286" t="s">
        <v>259</v>
      </c>
      <c r="L32" s="286"/>
      <c r="M32" s="286"/>
      <c r="N32" s="286" t="s">
        <v>762</v>
      </c>
      <c r="O32" s="286"/>
      <c r="P32" s="286"/>
      <c r="Q32" s="294">
        <f>Q31*Q28</f>
        <v>4.9917165236124141</v>
      </c>
      <c r="R32" s="294"/>
      <c r="S32" s="294"/>
      <c r="T32" s="286"/>
      <c r="U32" s="286"/>
      <c r="V32" s="286"/>
    </row>
    <row r="33" spans="2:22" x14ac:dyDescent="0.3">
      <c r="D33" s="286" t="s">
        <v>744</v>
      </c>
      <c r="E33" s="286"/>
      <c r="F33" s="286"/>
      <c r="G33" s="286"/>
      <c r="H33" s="286" t="s">
        <v>763</v>
      </c>
      <c r="I33" s="286"/>
      <c r="J33" s="286"/>
      <c r="K33" s="286" t="s">
        <v>422</v>
      </c>
      <c r="L33" s="286"/>
      <c r="M33" s="286"/>
      <c r="N33" s="286" t="s">
        <v>310</v>
      </c>
      <c r="O33" s="286"/>
      <c r="P33" s="286"/>
      <c r="Q33" s="294">
        <v>2</v>
      </c>
      <c r="R33" s="294"/>
      <c r="S33" s="294"/>
      <c r="T33" s="286"/>
      <c r="U33" s="286"/>
      <c r="V33" s="286"/>
    </row>
    <row r="34" spans="2:22" x14ac:dyDescent="0.3">
      <c r="D34" s="286" t="s">
        <v>745</v>
      </c>
      <c r="E34" s="286"/>
      <c r="F34" s="286"/>
      <c r="G34" s="286"/>
      <c r="H34" s="286" t="s">
        <v>764</v>
      </c>
      <c r="I34" s="286"/>
      <c r="J34" s="286"/>
      <c r="K34" s="286" t="s">
        <v>422</v>
      </c>
      <c r="L34" s="286"/>
      <c r="M34" s="286"/>
      <c r="N34" s="286" t="s">
        <v>310</v>
      </c>
      <c r="O34" s="286"/>
      <c r="P34" s="286"/>
      <c r="Q34" s="294">
        <v>2</v>
      </c>
      <c r="R34" s="294"/>
      <c r="S34" s="294"/>
      <c r="T34" s="286"/>
      <c r="U34" s="286"/>
      <c r="V34" s="286"/>
    </row>
    <row r="35" spans="2:22" x14ac:dyDescent="0.3">
      <c r="D35" s="286" t="s">
        <v>743</v>
      </c>
      <c r="E35" s="286"/>
      <c r="F35" s="286"/>
      <c r="G35" s="286"/>
      <c r="H35" s="286" t="s">
        <v>765</v>
      </c>
      <c r="I35" s="286"/>
      <c r="J35" s="286"/>
      <c r="K35" s="286" t="s">
        <v>259</v>
      </c>
      <c r="L35" s="286"/>
      <c r="M35" s="286"/>
      <c r="N35" s="286" t="s">
        <v>766</v>
      </c>
      <c r="O35" s="286"/>
      <c r="P35" s="286"/>
      <c r="Q35" s="313">
        <f>((Q19-Q34-Q33)*Q22)/(Q28*Q16)</f>
        <v>13.133027484890087</v>
      </c>
      <c r="R35" s="313"/>
      <c r="S35" s="313"/>
      <c r="T35" s="274"/>
      <c r="U35" s="274"/>
      <c r="V35" s="274"/>
    </row>
    <row r="36" spans="2:22" x14ac:dyDescent="0.3">
      <c r="D36" s="286" t="s">
        <v>746</v>
      </c>
      <c r="E36" s="286"/>
      <c r="F36" s="286"/>
      <c r="G36" s="286"/>
      <c r="H36" s="286" t="s">
        <v>767</v>
      </c>
      <c r="I36" s="286"/>
      <c r="J36" s="286"/>
      <c r="K36" s="286" t="s">
        <v>259</v>
      </c>
      <c r="L36" s="286"/>
      <c r="M36" s="286"/>
      <c r="N36" s="286" t="s">
        <v>768</v>
      </c>
      <c r="O36" s="286"/>
      <c r="P36" s="286"/>
      <c r="Q36" s="294">
        <f>Q25+Q32+Q35</f>
        <v>20.27980234700987</v>
      </c>
      <c r="R36" s="294"/>
      <c r="S36" s="294"/>
      <c r="T36" s="286"/>
      <c r="U36" s="286"/>
      <c r="V36" s="286"/>
    </row>
    <row r="37" spans="2:22" x14ac:dyDescent="0.3">
      <c r="D37" s="286" t="s">
        <v>416</v>
      </c>
      <c r="E37" s="286"/>
      <c r="F37" s="286"/>
      <c r="G37" s="286"/>
      <c r="H37" s="286" t="s">
        <v>345</v>
      </c>
      <c r="I37" s="286"/>
      <c r="J37" s="286"/>
      <c r="K37" s="286" t="s">
        <v>259</v>
      </c>
      <c r="L37" s="286"/>
      <c r="M37" s="286"/>
      <c r="N37" s="286" t="s">
        <v>310</v>
      </c>
      <c r="O37" s="286"/>
      <c r="P37" s="286"/>
      <c r="Q37" s="313">
        <v>0.2</v>
      </c>
      <c r="R37" s="313"/>
      <c r="S37" s="313"/>
      <c r="T37" s="286"/>
      <c r="U37" s="286"/>
      <c r="V37" s="286"/>
    </row>
    <row r="38" spans="2:22" x14ac:dyDescent="0.3">
      <c r="D38" s="286" t="s">
        <v>371</v>
      </c>
      <c r="E38" s="286"/>
      <c r="F38" s="286"/>
      <c r="G38" s="286"/>
      <c r="H38" s="286" t="s">
        <v>769</v>
      </c>
      <c r="I38" s="286"/>
      <c r="J38" s="286"/>
      <c r="K38" s="286" t="s">
        <v>259</v>
      </c>
      <c r="L38" s="286"/>
      <c r="M38" s="286"/>
      <c r="N38" s="286" t="s">
        <v>310</v>
      </c>
      <c r="O38" s="286"/>
      <c r="P38" s="286"/>
      <c r="Q38" s="313">
        <v>0.6</v>
      </c>
      <c r="R38" s="313"/>
      <c r="S38" s="313"/>
      <c r="T38" s="286"/>
      <c r="U38" s="286"/>
      <c r="V38" s="286"/>
    </row>
    <row r="39" spans="2:22" x14ac:dyDescent="0.3">
      <c r="B39" s="66"/>
      <c r="C39" s="66"/>
      <c r="D39" s="305" t="s">
        <v>770</v>
      </c>
      <c r="E39" s="305"/>
      <c r="F39" s="305"/>
      <c r="G39" s="305"/>
      <c r="H39" s="267"/>
      <c r="I39" s="267"/>
      <c r="J39" s="267"/>
      <c r="K39" s="267"/>
      <c r="L39" s="267"/>
      <c r="M39" s="267"/>
      <c r="N39" s="267"/>
      <c r="O39" s="267"/>
      <c r="P39" s="267"/>
      <c r="Q39" s="267"/>
      <c r="R39" s="267"/>
      <c r="S39" s="267"/>
      <c r="T39" s="267"/>
      <c r="U39" s="267"/>
      <c r="V39" s="267"/>
    </row>
    <row r="40" spans="2:22" x14ac:dyDescent="0.3">
      <c r="D40" s="310" t="s">
        <v>771</v>
      </c>
      <c r="E40" s="310"/>
      <c r="F40" s="310"/>
      <c r="G40" s="310"/>
      <c r="H40" s="310"/>
      <c r="I40" s="310"/>
      <c r="J40" s="310"/>
      <c r="K40" s="286"/>
      <c r="L40" s="286"/>
      <c r="M40" s="286"/>
      <c r="N40" s="286"/>
      <c r="O40" s="286"/>
      <c r="P40" s="286"/>
      <c r="Q40" s="294"/>
      <c r="R40" s="294"/>
      <c r="S40" s="294"/>
      <c r="T40" s="286"/>
      <c r="U40" s="286"/>
      <c r="V40" s="286"/>
    </row>
    <row r="41" spans="2:22" x14ac:dyDescent="0.3">
      <c r="D41" s="286" t="s">
        <v>1862</v>
      </c>
      <c r="E41" s="286"/>
      <c r="F41" s="286"/>
      <c r="G41" s="286"/>
      <c r="H41" s="286"/>
      <c r="I41" s="286"/>
      <c r="J41" s="286"/>
      <c r="K41" s="286"/>
      <c r="L41" s="286"/>
      <c r="M41" s="286"/>
      <c r="N41" s="286"/>
      <c r="O41" s="286"/>
      <c r="P41" s="286"/>
      <c r="Q41" s="294"/>
      <c r="R41" s="294"/>
      <c r="S41" s="294"/>
      <c r="T41" s="286"/>
      <c r="U41" s="286"/>
      <c r="V41" s="286"/>
    </row>
    <row r="42" spans="2:22" x14ac:dyDescent="0.3">
      <c r="D42" s="286" t="s">
        <v>776</v>
      </c>
      <c r="E42" s="286"/>
      <c r="F42" s="286"/>
      <c r="G42" s="286"/>
      <c r="H42" s="286" t="s">
        <v>401</v>
      </c>
      <c r="I42" s="286"/>
      <c r="J42" s="286"/>
      <c r="K42" s="286" t="s">
        <v>780</v>
      </c>
      <c r="L42" s="286"/>
      <c r="M42" s="286"/>
      <c r="N42" s="286" t="s">
        <v>403</v>
      </c>
      <c r="O42" s="286"/>
      <c r="P42" s="286"/>
      <c r="Q42" s="294">
        <f>'Kebutuhan Air Total'!G26</f>
        <v>0.68287864897272743</v>
      </c>
      <c r="R42" s="294"/>
      <c r="S42" s="294"/>
      <c r="T42" s="286"/>
      <c r="U42" s="286"/>
      <c r="V42" s="286"/>
    </row>
    <row r="43" spans="2:22" x14ac:dyDescent="0.3">
      <c r="D43" s="286" t="s">
        <v>772</v>
      </c>
      <c r="E43" s="286"/>
      <c r="F43" s="286"/>
      <c r="G43" s="286"/>
      <c r="H43" s="286" t="s">
        <v>51</v>
      </c>
      <c r="I43" s="286"/>
      <c r="J43" s="286"/>
      <c r="K43" s="286" t="s">
        <v>372</v>
      </c>
      <c r="L43" s="286"/>
      <c r="M43" s="286"/>
      <c r="N43" s="286" t="s">
        <v>310</v>
      </c>
      <c r="O43" s="286"/>
      <c r="P43" s="286"/>
      <c r="Q43" s="294">
        <v>2</v>
      </c>
      <c r="R43" s="294"/>
      <c r="S43" s="294"/>
      <c r="T43" s="286"/>
      <c r="U43" s="286"/>
      <c r="V43" s="286"/>
    </row>
    <row r="44" spans="2:22" x14ac:dyDescent="0.3">
      <c r="D44" s="286" t="s">
        <v>773</v>
      </c>
      <c r="E44" s="286"/>
      <c r="F44" s="286"/>
      <c r="G44" s="286"/>
      <c r="H44" s="286" t="s">
        <v>777</v>
      </c>
      <c r="I44" s="286"/>
      <c r="J44" s="286"/>
      <c r="K44" s="286" t="s">
        <v>781</v>
      </c>
      <c r="L44" s="286"/>
      <c r="M44" s="286"/>
      <c r="N44" s="286" t="s">
        <v>310</v>
      </c>
      <c r="O44" s="286"/>
      <c r="P44" s="286"/>
      <c r="Q44" s="294">
        <v>25</v>
      </c>
      <c r="R44" s="294"/>
      <c r="S44" s="294"/>
      <c r="T44" s="286"/>
      <c r="U44" s="286"/>
      <c r="V44" s="286"/>
    </row>
    <row r="45" spans="2:22" x14ac:dyDescent="0.3">
      <c r="D45" s="286" t="s">
        <v>774</v>
      </c>
      <c r="E45" s="286"/>
      <c r="F45" s="286"/>
      <c r="G45" s="286"/>
      <c r="H45" s="286" t="s">
        <v>778</v>
      </c>
      <c r="I45" s="286"/>
      <c r="J45" s="286"/>
      <c r="K45" s="286" t="s">
        <v>782</v>
      </c>
      <c r="L45" s="286"/>
      <c r="M45" s="286"/>
      <c r="N45" s="286" t="s">
        <v>310</v>
      </c>
      <c r="O45" s="286"/>
      <c r="P45" s="286"/>
      <c r="Q45" s="294">
        <v>2.71</v>
      </c>
      <c r="R45" s="294"/>
      <c r="S45" s="294"/>
      <c r="T45" s="286"/>
      <c r="U45" s="286"/>
      <c r="V45" s="286"/>
    </row>
    <row r="46" spans="2:22" x14ac:dyDescent="0.3">
      <c r="B46" s="60"/>
      <c r="C46" s="60"/>
      <c r="D46" s="299" t="s">
        <v>775</v>
      </c>
      <c r="E46" s="299"/>
      <c r="F46" s="299"/>
      <c r="G46" s="299"/>
      <c r="H46" s="299" t="s">
        <v>779</v>
      </c>
      <c r="I46" s="299"/>
      <c r="J46" s="299"/>
      <c r="K46" s="299" t="s">
        <v>132</v>
      </c>
      <c r="L46" s="299"/>
      <c r="M46" s="299"/>
      <c r="N46" s="299" t="s">
        <v>310</v>
      </c>
      <c r="O46" s="299"/>
      <c r="P46" s="299"/>
      <c r="Q46" s="325">
        <v>0.1</v>
      </c>
      <c r="R46" s="325"/>
      <c r="S46" s="325"/>
      <c r="T46" s="299"/>
      <c r="U46" s="299"/>
      <c r="V46" s="299"/>
    </row>
    <row r="47" spans="2:22" x14ac:dyDescent="0.3">
      <c r="D47" s="286" t="s">
        <v>783</v>
      </c>
      <c r="E47" s="286"/>
      <c r="F47" s="286"/>
      <c r="G47" s="286"/>
      <c r="H47" s="286" t="s">
        <v>784</v>
      </c>
      <c r="I47" s="286"/>
      <c r="J47" s="286"/>
      <c r="K47" s="286" t="s">
        <v>786</v>
      </c>
      <c r="L47" s="286"/>
      <c r="M47" s="286"/>
      <c r="N47" s="286" t="s">
        <v>787</v>
      </c>
      <c r="O47" s="286"/>
      <c r="P47" s="286"/>
      <c r="Q47" s="294">
        <f>Q42*Q44*1000</f>
        <v>17071.966224318185</v>
      </c>
      <c r="R47" s="294"/>
      <c r="S47" s="294"/>
      <c r="T47" s="286"/>
      <c r="U47" s="286"/>
      <c r="V47" s="286"/>
    </row>
    <row r="48" spans="2:22" x14ac:dyDescent="0.3">
      <c r="D48" s="286"/>
      <c r="E48" s="286"/>
      <c r="F48" s="286"/>
      <c r="G48" s="286"/>
      <c r="H48" s="286"/>
      <c r="I48" s="286"/>
      <c r="J48" s="286"/>
      <c r="K48" s="286" t="s">
        <v>785</v>
      </c>
      <c r="L48" s="286"/>
      <c r="M48" s="286"/>
      <c r="N48" s="286" t="s">
        <v>519</v>
      </c>
      <c r="O48" s="286"/>
      <c r="P48" s="286"/>
      <c r="Q48" s="294">
        <f>(Q47/1000000)/(1/86400)</f>
        <v>1475.0178817810911</v>
      </c>
      <c r="R48" s="294"/>
      <c r="S48" s="294"/>
      <c r="T48" s="286"/>
      <c r="U48" s="286"/>
      <c r="V48" s="286"/>
    </row>
    <row r="49" spans="2:22" x14ac:dyDescent="0.3">
      <c r="D49" s="286" t="s">
        <v>788</v>
      </c>
      <c r="E49" s="286"/>
      <c r="F49" s="286"/>
      <c r="G49" s="286"/>
      <c r="H49" s="286" t="s">
        <v>789</v>
      </c>
      <c r="I49" s="286"/>
      <c r="J49" s="286"/>
      <c r="K49" s="286" t="s">
        <v>148</v>
      </c>
      <c r="L49" s="286"/>
      <c r="M49" s="286"/>
      <c r="N49" s="286" t="s">
        <v>790</v>
      </c>
      <c r="O49" s="286"/>
      <c r="P49" s="286"/>
      <c r="Q49" s="294">
        <f>Q48/Q45</f>
        <v>544.2870412476351</v>
      </c>
      <c r="R49" s="294"/>
      <c r="S49" s="294"/>
      <c r="T49" s="286"/>
      <c r="U49" s="286"/>
      <c r="V49" s="286"/>
    </row>
    <row r="50" spans="2:22" x14ac:dyDescent="0.3">
      <c r="D50" s="286" t="s">
        <v>791</v>
      </c>
      <c r="E50" s="286"/>
      <c r="F50" s="286"/>
      <c r="G50" s="286"/>
      <c r="H50" s="286" t="s">
        <v>599</v>
      </c>
      <c r="I50" s="286"/>
      <c r="J50" s="286"/>
      <c r="K50" s="286" t="s">
        <v>306</v>
      </c>
      <c r="L50" s="286"/>
      <c r="M50" s="286"/>
      <c r="N50" s="286" t="s">
        <v>792</v>
      </c>
      <c r="O50" s="286"/>
      <c r="P50" s="286"/>
      <c r="Q50" s="294">
        <f>Q49*1</f>
        <v>544.2870412476351</v>
      </c>
      <c r="R50" s="294"/>
      <c r="S50" s="294"/>
      <c r="T50" s="286"/>
      <c r="U50" s="286"/>
      <c r="V50" s="286"/>
    </row>
    <row r="51" spans="2:22" x14ac:dyDescent="0.3">
      <c r="D51" s="286"/>
      <c r="E51" s="286"/>
      <c r="F51" s="286"/>
      <c r="G51" s="286"/>
      <c r="H51" s="286"/>
      <c r="I51" s="286"/>
      <c r="J51" s="286"/>
      <c r="K51" s="286" t="s">
        <v>350</v>
      </c>
      <c r="L51" s="286"/>
      <c r="M51" s="286"/>
      <c r="N51" s="286" t="s">
        <v>519</v>
      </c>
      <c r="O51" s="286"/>
      <c r="P51" s="286"/>
      <c r="Q51" s="294">
        <f>Q50/1000</f>
        <v>0.54428704124763505</v>
      </c>
      <c r="R51" s="294"/>
      <c r="S51" s="294"/>
      <c r="T51" s="286"/>
      <c r="U51" s="286"/>
      <c r="V51" s="286"/>
    </row>
    <row r="52" spans="2:22" x14ac:dyDescent="0.3">
      <c r="D52" s="286" t="s">
        <v>793</v>
      </c>
      <c r="E52" s="286"/>
      <c r="F52" s="286"/>
      <c r="G52" s="286"/>
      <c r="H52" s="286" t="s">
        <v>794</v>
      </c>
      <c r="I52" s="286"/>
      <c r="J52" s="286"/>
      <c r="K52" s="286" t="s">
        <v>350</v>
      </c>
      <c r="L52" s="286"/>
      <c r="M52" s="286"/>
      <c r="N52" s="286" t="s">
        <v>795</v>
      </c>
      <c r="O52" s="286"/>
      <c r="P52" s="286"/>
      <c r="Q52" s="313">
        <f>((((1-Q46)/Q46)*Q48)/(997))*1</f>
        <v>13.315106254794204</v>
      </c>
      <c r="R52" s="313"/>
      <c r="S52" s="313"/>
      <c r="T52" s="274"/>
      <c r="U52" s="274"/>
      <c r="V52" s="274"/>
    </row>
    <row r="53" spans="2:22" x14ac:dyDescent="0.3">
      <c r="D53" s="286" t="s">
        <v>796</v>
      </c>
      <c r="E53" s="286"/>
      <c r="F53" s="286"/>
      <c r="G53" s="286"/>
      <c r="H53" s="286" t="s">
        <v>343</v>
      </c>
      <c r="I53" s="286"/>
      <c r="J53" s="286"/>
      <c r="K53" s="286" t="s">
        <v>350</v>
      </c>
      <c r="L53" s="286"/>
      <c r="M53" s="286"/>
      <c r="N53" s="286" t="s">
        <v>797</v>
      </c>
      <c r="O53" s="286"/>
      <c r="P53" s="286"/>
      <c r="Q53" s="313">
        <f>Q51+Q52</f>
        <v>13.859393296041839</v>
      </c>
      <c r="R53" s="313"/>
      <c r="S53" s="313"/>
      <c r="T53" s="286"/>
      <c r="U53" s="286"/>
      <c r="V53" s="286"/>
    </row>
    <row r="54" spans="2:22" x14ac:dyDescent="0.3">
      <c r="D54" s="274" t="s">
        <v>798</v>
      </c>
      <c r="E54" s="274"/>
      <c r="F54" s="274"/>
      <c r="G54" s="274"/>
      <c r="H54" s="286"/>
      <c r="I54" s="286"/>
      <c r="J54" s="286"/>
      <c r="K54" s="286"/>
      <c r="L54" s="286"/>
      <c r="M54" s="286"/>
      <c r="N54" s="286"/>
      <c r="O54" s="286"/>
      <c r="P54" s="286"/>
      <c r="Q54" s="293"/>
      <c r="R54" s="293"/>
      <c r="S54" s="293"/>
      <c r="T54" s="286"/>
      <c r="U54" s="286"/>
      <c r="V54" s="286"/>
    </row>
    <row r="55" spans="2:22" x14ac:dyDescent="0.3">
      <c r="D55" s="286" t="s">
        <v>799</v>
      </c>
      <c r="E55" s="286"/>
      <c r="F55" s="286"/>
      <c r="G55" s="286"/>
      <c r="H55" s="286" t="s">
        <v>348</v>
      </c>
      <c r="I55" s="286"/>
      <c r="J55" s="286"/>
      <c r="K55" s="286" t="s">
        <v>259</v>
      </c>
      <c r="L55" s="286"/>
      <c r="M55" s="286"/>
      <c r="N55" s="286" t="s">
        <v>310</v>
      </c>
      <c r="O55" s="286"/>
      <c r="P55" s="286"/>
      <c r="Q55" s="313">
        <v>2</v>
      </c>
      <c r="R55" s="313"/>
      <c r="S55" s="313"/>
      <c r="T55" s="286"/>
      <c r="U55" s="286"/>
      <c r="V55" s="286"/>
    </row>
    <row r="56" spans="2:22" x14ac:dyDescent="0.3">
      <c r="D56" s="286" t="s">
        <v>800</v>
      </c>
      <c r="E56" s="286"/>
      <c r="F56" s="286"/>
      <c r="G56" s="286"/>
      <c r="H56" s="286" t="s">
        <v>347</v>
      </c>
      <c r="I56" s="286"/>
      <c r="J56" s="286"/>
      <c r="K56" s="286" t="s">
        <v>320</v>
      </c>
      <c r="L56" s="286"/>
      <c r="M56" s="286"/>
      <c r="N56" s="286" t="s">
        <v>803</v>
      </c>
      <c r="O56" s="286"/>
      <c r="P56" s="286"/>
      <c r="Q56" s="294">
        <f>(1/4)*3.14*(Q55^2)</f>
        <v>3.14</v>
      </c>
      <c r="R56" s="294"/>
      <c r="S56" s="294"/>
      <c r="T56" s="286"/>
      <c r="U56" s="286"/>
      <c r="V56" s="286"/>
    </row>
    <row r="57" spans="2:22" x14ac:dyDescent="0.3">
      <c r="D57" s="286" t="s">
        <v>801</v>
      </c>
      <c r="E57" s="286"/>
      <c r="F57" s="286"/>
      <c r="G57" s="286"/>
      <c r="H57" s="286" t="s">
        <v>415</v>
      </c>
      <c r="I57" s="286"/>
      <c r="J57" s="286"/>
      <c r="K57" s="286" t="s">
        <v>259</v>
      </c>
      <c r="L57" s="286"/>
      <c r="M57" s="286"/>
      <c r="N57" s="286" t="s">
        <v>804</v>
      </c>
      <c r="O57" s="286"/>
      <c r="P57" s="286"/>
      <c r="Q57" s="294">
        <f>Q53/Q56</f>
        <v>4.4138195210324325</v>
      </c>
      <c r="R57" s="294"/>
      <c r="S57" s="294"/>
      <c r="T57" s="286"/>
      <c r="U57" s="286"/>
      <c r="V57" s="286"/>
    </row>
    <row r="58" spans="2:22" x14ac:dyDescent="0.3">
      <c r="D58" s="286" t="s">
        <v>416</v>
      </c>
      <c r="E58" s="286"/>
      <c r="F58" s="286"/>
      <c r="G58" s="286"/>
      <c r="H58" s="286" t="s">
        <v>802</v>
      </c>
      <c r="I58" s="286"/>
      <c r="J58" s="286"/>
      <c r="K58" s="286" t="s">
        <v>259</v>
      </c>
      <c r="L58" s="286"/>
      <c r="M58" s="286"/>
      <c r="N58" s="286" t="s">
        <v>310</v>
      </c>
      <c r="O58" s="286"/>
      <c r="P58" s="286"/>
      <c r="Q58" s="294">
        <v>0.2</v>
      </c>
      <c r="R58" s="294"/>
      <c r="S58" s="294"/>
      <c r="T58" s="286"/>
      <c r="U58" s="286"/>
      <c r="V58" s="286"/>
    </row>
    <row r="59" spans="2:22" x14ac:dyDescent="0.3">
      <c r="B59" s="66"/>
      <c r="C59" s="66"/>
      <c r="D59" s="305" t="s">
        <v>805</v>
      </c>
      <c r="E59" s="305"/>
      <c r="F59" s="305"/>
      <c r="G59" s="305"/>
      <c r="H59" s="267"/>
      <c r="I59" s="267"/>
      <c r="J59" s="267"/>
      <c r="K59" s="267"/>
      <c r="L59" s="267"/>
      <c r="M59" s="267"/>
      <c r="N59" s="267"/>
      <c r="O59" s="267"/>
      <c r="P59" s="267"/>
      <c r="Q59" s="267"/>
      <c r="R59" s="267"/>
      <c r="S59" s="267"/>
      <c r="T59" s="267"/>
      <c r="U59" s="267"/>
      <c r="V59" s="267"/>
    </row>
    <row r="60" spans="2:22" x14ac:dyDescent="0.3">
      <c r="D60" s="286" t="s">
        <v>806</v>
      </c>
      <c r="E60" s="286"/>
      <c r="F60" s="286"/>
      <c r="G60" s="286"/>
      <c r="H60" s="286" t="s">
        <v>51</v>
      </c>
      <c r="I60" s="286"/>
      <c r="J60" s="286"/>
      <c r="K60" s="286" t="s">
        <v>372</v>
      </c>
      <c r="L60" s="286"/>
      <c r="M60" s="286"/>
      <c r="N60" s="286" t="s">
        <v>310</v>
      </c>
      <c r="O60" s="286"/>
      <c r="P60" s="286"/>
      <c r="Q60" s="314">
        <v>2</v>
      </c>
      <c r="R60" s="314"/>
      <c r="S60" s="314"/>
      <c r="T60" s="286"/>
      <c r="U60" s="286"/>
      <c r="V60" s="286"/>
    </row>
    <row r="61" spans="2:22" x14ac:dyDescent="0.3">
      <c r="D61" s="286" t="s">
        <v>807</v>
      </c>
      <c r="E61" s="286"/>
      <c r="F61" s="286"/>
      <c r="G61" s="286"/>
      <c r="H61" s="286" t="s">
        <v>808</v>
      </c>
      <c r="I61" s="286"/>
      <c r="J61" s="286"/>
      <c r="K61" s="286"/>
      <c r="L61" s="286"/>
      <c r="M61" s="286"/>
      <c r="N61" s="286" t="s">
        <v>310</v>
      </c>
      <c r="O61" s="286"/>
      <c r="P61" s="286"/>
      <c r="Q61" s="294">
        <v>0.85</v>
      </c>
      <c r="R61" s="294"/>
      <c r="S61" s="294"/>
      <c r="T61" s="286"/>
      <c r="U61" s="286"/>
      <c r="V61" s="286"/>
    </row>
    <row r="62" spans="2:22" x14ac:dyDescent="0.3">
      <c r="D62" s="286" t="s">
        <v>809</v>
      </c>
      <c r="E62" s="286"/>
      <c r="F62" s="286"/>
      <c r="G62" s="286"/>
      <c r="H62" s="286" t="s">
        <v>810</v>
      </c>
      <c r="I62" s="286"/>
      <c r="J62" s="286"/>
      <c r="K62" s="286" t="s">
        <v>259</v>
      </c>
      <c r="L62" s="286"/>
      <c r="M62" s="286"/>
      <c r="N62" s="286" t="s">
        <v>310</v>
      </c>
      <c r="O62" s="286"/>
      <c r="P62" s="286"/>
      <c r="Q62" s="313">
        <v>10</v>
      </c>
      <c r="R62" s="313"/>
      <c r="S62" s="313"/>
      <c r="T62" s="286"/>
      <c r="U62" s="286"/>
      <c r="V62" s="286"/>
    </row>
    <row r="63" spans="2:22" x14ac:dyDescent="0.3">
      <c r="D63" s="286" t="s">
        <v>811</v>
      </c>
      <c r="E63" s="286"/>
      <c r="F63" s="286"/>
      <c r="G63" s="286"/>
      <c r="H63" s="286" t="s">
        <v>570</v>
      </c>
      <c r="I63" s="286"/>
      <c r="J63" s="286"/>
      <c r="K63" s="286" t="s">
        <v>150</v>
      </c>
      <c r="L63" s="286"/>
      <c r="M63" s="286"/>
      <c r="N63" s="286" t="s">
        <v>343</v>
      </c>
      <c r="O63" s="286"/>
      <c r="P63" s="286"/>
      <c r="Q63" s="294">
        <f>Q53</f>
        <v>13.859393296041839</v>
      </c>
      <c r="R63" s="294"/>
      <c r="S63" s="294"/>
      <c r="T63" s="286"/>
      <c r="U63" s="286"/>
      <c r="V63" s="286"/>
    </row>
    <row r="64" spans="2:22" x14ac:dyDescent="0.3">
      <c r="D64" s="286"/>
      <c r="E64" s="286"/>
      <c r="F64" s="286"/>
      <c r="G64" s="286"/>
      <c r="H64" s="286"/>
      <c r="I64" s="286"/>
      <c r="J64" s="286"/>
      <c r="K64" s="286" t="s">
        <v>780</v>
      </c>
      <c r="L64" s="286"/>
      <c r="M64" s="286"/>
      <c r="N64" s="286" t="s">
        <v>519</v>
      </c>
      <c r="O64" s="286"/>
      <c r="P64" s="286"/>
      <c r="Q64" s="302">
        <f>Q63/86400</f>
        <v>1.6040964463011388E-4</v>
      </c>
      <c r="R64" s="302"/>
      <c r="S64" s="302"/>
      <c r="T64" s="286"/>
      <c r="U64" s="286"/>
      <c r="V64" s="286"/>
    </row>
    <row r="65" spans="4:26" x14ac:dyDescent="0.3">
      <c r="D65" s="286" t="s">
        <v>812</v>
      </c>
      <c r="E65" s="286"/>
      <c r="F65" s="286"/>
      <c r="G65" s="286"/>
      <c r="H65" s="286" t="s">
        <v>814</v>
      </c>
      <c r="I65" s="286"/>
      <c r="J65" s="286"/>
      <c r="K65" s="286" t="s">
        <v>815</v>
      </c>
      <c r="L65" s="286"/>
      <c r="M65" s="286"/>
      <c r="N65" s="286" t="s">
        <v>816</v>
      </c>
      <c r="O65" s="286"/>
      <c r="P65" s="286"/>
      <c r="Q65" s="294">
        <f>1/((0.1/2710)+((1-0.1)/997))</f>
        <v>1064.2730531374327</v>
      </c>
      <c r="R65" s="294"/>
      <c r="S65" s="294"/>
      <c r="T65" s="286"/>
      <c r="U65" s="286"/>
      <c r="V65" s="286"/>
    </row>
    <row r="66" spans="4:26" x14ac:dyDescent="0.3">
      <c r="D66" s="286" t="s">
        <v>813</v>
      </c>
      <c r="E66" s="286"/>
      <c r="F66" s="286"/>
      <c r="G66" s="286"/>
      <c r="H66" s="286" t="s">
        <v>412</v>
      </c>
      <c r="I66" s="286"/>
      <c r="J66" s="286"/>
      <c r="K66" s="286" t="s">
        <v>817</v>
      </c>
      <c r="L66" s="286"/>
      <c r="M66" s="286"/>
      <c r="N66" s="286" t="s">
        <v>818</v>
      </c>
      <c r="O66" s="286"/>
      <c r="P66" s="286"/>
      <c r="Q66" s="314">
        <f>(Q65*9.81*Q64*Q62)/Q61</f>
        <v>19.703057489477818</v>
      </c>
      <c r="R66" s="314"/>
      <c r="S66" s="314"/>
      <c r="T66" s="286"/>
      <c r="U66" s="286"/>
      <c r="V66" s="286"/>
    </row>
    <row r="67" spans="4:26" x14ac:dyDescent="0.3">
      <c r="D67" s="68" t="s">
        <v>819</v>
      </c>
      <c r="E67" s="68"/>
      <c r="F67" s="68"/>
      <c r="G67" s="68"/>
      <c r="H67" s="68"/>
      <c r="I67" s="65"/>
      <c r="J67" s="65"/>
      <c r="K67" s="287"/>
      <c r="L67" s="287"/>
      <c r="M67" s="287"/>
      <c r="N67" s="287"/>
      <c r="O67" s="287"/>
      <c r="P67" s="287"/>
      <c r="Q67" s="294"/>
      <c r="R67" s="294"/>
      <c r="S67" s="294"/>
      <c r="T67" s="286"/>
      <c r="U67" s="286"/>
      <c r="V67" s="286"/>
    </row>
    <row r="68" spans="4:26" x14ac:dyDescent="0.3">
      <c r="D68" s="286"/>
      <c r="E68" s="286"/>
      <c r="F68" s="286"/>
      <c r="G68" s="286"/>
      <c r="H68" s="286"/>
      <c r="I68" s="286"/>
      <c r="J68" s="286"/>
      <c r="K68" s="286"/>
      <c r="L68" s="286"/>
      <c r="M68" s="286"/>
      <c r="N68" s="286"/>
      <c r="O68" s="286"/>
      <c r="P68" s="286"/>
      <c r="Q68" s="294"/>
      <c r="R68" s="294"/>
      <c r="S68" s="294"/>
      <c r="T68" s="286"/>
      <c r="U68" s="286"/>
      <c r="V68" s="286"/>
    </row>
    <row r="70" spans="4:26" x14ac:dyDescent="0.3">
      <c r="D70" s="285" t="s">
        <v>115</v>
      </c>
      <c r="E70" s="285"/>
      <c r="F70" s="285"/>
      <c r="G70" s="285"/>
      <c r="H70" s="285"/>
      <c r="I70" s="285" t="s">
        <v>129</v>
      </c>
      <c r="J70" s="285"/>
      <c r="K70" s="285"/>
      <c r="L70" s="285" t="s">
        <v>829</v>
      </c>
      <c r="M70" s="285"/>
      <c r="N70" s="285"/>
      <c r="O70" s="285" t="s">
        <v>720</v>
      </c>
      <c r="P70" s="285"/>
      <c r="Q70" s="285"/>
      <c r="R70" s="285" t="s">
        <v>376</v>
      </c>
      <c r="S70" s="285"/>
      <c r="T70" s="285"/>
      <c r="U70" s="285" t="s">
        <v>830</v>
      </c>
      <c r="V70" s="285"/>
      <c r="W70" s="285"/>
      <c r="X70" s="285" t="s">
        <v>831</v>
      </c>
      <c r="Y70" s="285"/>
      <c r="Z70" s="285"/>
    </row>
    <row r="71" spans="4:26" x14ac:dyDescent="0.3">
      <c r="D71" s="283" t="s">
        <v>858</v>
      </c>
      <c r="E71" s="283"/>
      <c r="F71" s="283"/>
      <c r="G71" s="283"/>
      <c r="H71" s="283"/>
      <c r="I71" s="320"/>
      <c r="J71" s="320"/>
      <c r="K71" s="320"/>
      <c r="L71" s="320"/>
      <c r="M71" s="320"/>
      <c r="N71" s="320"/>
      <c r="O71" s="320"/>
      <c r="P71" s="320"/>
      <c r="Q71" s="320"/>
      <c r="R71" s="284"/>
      <c r="S71" s="284"/>
      <c r="T71" s="284"/>
      <c r="U71" s="284"/>
      <c r="V71" s="284"/>
      <c r="W71" s="284"/>
      <c r="X71" s="284"/>
      <c r="Y71" s="284"/>
      <c r="Z71" s="284"/>
    </row>
    <row r="72" spans="4:26" x14ac:dyDescent="0.3">
      <c r="D72" s="286" t="s">
        <v>820</v>
      </c>
      <c r="E72" s="286"/>
      <c r="F72" s="286"/>
      <c r="G72" s="286"/>
      <c r="H72" s="286"/>
      <c r="I72" s="290"/>
      <c r="J72" s="290"/>
      <c r="K72" s="290"/>
      <c r="L72" s="290" t="s">
        <v>725</v>
      </c>
      <c r="M72" s="290"/>
      <c r="N72" s="290"/>
      <c r="O72" s="290"/>
      <c r="P72" s="290"/>
      <c r="Q72" s="290"/>
      <c r="R72" s="290"/>
      <c r="S72" s="290"/>
      <c r="T72" s="290"/>
      <c r="U72" s="290"/>
      <c r="V72" s="290"/>
      <c r="W72" s="290"/>
      <c r="X72" s="290"/>
      <c r="Y72" s="290"/>
      <c r="Z72" s="290"/>
    </row>
    <row r="73" spans="4:26" x14ac:dyDescent="0.3">
      <c r="D73" s="286" t="s">
        <v>821</v>
      </c>
      <c r="E73" s="286"/>
      <c r="F73" s="286"/>
      <c r="G73" s="286"/>
      <c r="H73" s="286"/>
      <c r="I73" s="287" t="s">
        <v>828</v>
      </c>
      <c r="J73" s="287"/>
      <c r="K73" s="287"/>
      <c r="L73" s="289" t="s">
        <v>832</v>
      </c>
      <c r="M73" s="287"/>
      <c r="N73" s="287"/>
      <c r="O73" s="287"/>
      <c r="P73" s="287"/>
      <c r="Q73" s="287"/>
      <c r="R73" s="322"/>
      <c r="S73" s="287"/>
      <c r="T73" s="287"/>
      <c r="U73" s="287"/>
      <c r="V73" s="287"/>
      <c r="W73" s="287"/>
      <c r="X73" s="287"/>
      <c r="Y73" s="287"/>
      <c r="Z73" s="287"/>
    </row>
    <row r="74" spans="4:26" x14ac:dyDescent="0.3">
      <c r="D74" s="286" t="s">
        <v>822</v>
      </c>
      <c r="E74" s="286"/>
      <c r="F74" s="286"/>
      <c r="G74" s="286"/>
      <c r="H74" s="286"/>
      <c r="I74" s="287" t="s">
        <v>275</v>
      </c>
      <c r="J74" s="287"/>
      <c r="K74" s="287"/>
      <c r="L74" s="287" t="s">
        <v>833</v>
      </c>
      <c r="M74" s="287"/>
      <c r="N74" s="287"/>
      <c r="O74" s="287"/>
      <c r="P74" s="287"/>
      <c r="Q74" s="287"/>
      <c r="R74" s="287"/>
      <c r="S74" s="287"/>
      <c r="T74" s="287"/>
      <c r="U74" s="287"/>
      <c r="V74" s="287"/>
      <c r="W74" s="287"/>
      <c r="X74" s="287"/>
      <c r="Y74" s="287"/>
      <c r="Z74" s="287"/>
    </row>
    <row r="75" spans="4:26" x14ac:dyDescent="0.3">
      <c r="D75" s="286" t="s">
        <v>823</v>
      </c>
      <c r="E75" s="286"/>
      <c r="F75" s="286"/>
      <c r="G75" s="286"/>
      <c r="H75" s="286"/>
      <c r="I75" s="287" t="s">
        <v>258</v>
      </c>
      <c r="J75" s="287"/>
      <c r="K75" s="287"/>
      <c r="L75" s="287"/>
      <c r="M75" s="287"/>
      <c r="N75" s="287"/>
      <c r="O75" s="287"/>
      <c r="P75" s="287"/>
      <c r="Q75" s="287"/>
      <c r="R75" s="287"/>
      <c r="S75" s="287"/>
      <c r="T75" s="287"/>
      <c r="U75" s="287" t="s">
        <v>834</v>
      </c>
      <c r="V75" s="287"/>
      <c r="W75" s="287"/>
      <c r="X75" s="287"/>
      <c r="Y75" s="287"/>
      <c r="Z75" s="287"/>
    </row>
    <row r="76" spans="4:26" x14ac:dyDescent="0.3">
      <c r="D76" s="286" t="s">
        <v>824</v>
      </c>
      <c r="E76" s="286"/>
      <c r="F76" s="286"/>
      <c r="G76" s="286"/>
      <c r="H76" s="286"/>
      <c r="I76" s="287" t="s">
        <v>259</v>
      </c>
      <c r="J76" s="287"/>
      <c r="K76" s="287"/>
      <c r="L76" s="287"/>
      <c r="M76" s="287"/>
      <c r="N76" s="287"/>
      <c r="O76" s="287" t="s">
        <v>835</v>
      </c>
      <c r="P76" s="287"/>
      <c r="Q76" s="287"/>
      <c r="R76" s="287"/>
      <c r="S76" s="287"/>
      <c r="T76" s="287"/>
      <c r="U76" s="287"/>
      <c r="V76" s="287"/>
      <c r="W76" s="287"/>
      <c r="X76" s="287"/>
      <c r="Y76" s="287"/>
      <c r="Z76" s="287"/>
    </row>
    <row r="77" spans="4:26" x14ac:dyDescent="0.3">
      <c r="D77" s="286" t="s">
        <v>825</v>
      </c>
      <c r="E77" s="286"/>
      <c r="F77" s="286"/>
      <c r="G77" s="286"/>
      <c r="H77" s="286"/>
      <c r="I77" s="287"/>
      <c r="J77" s="287"/>
      <c r="K77" s="287"/>
      <c r="L77" s="287"/>
      <c r="M77" s="287"/>
      <c r="N77" s="287"/>
      <c r="O77" s="287"/>
      <c r="P77" s="287"/>
      <c r="Q77" s="287"/>
      <c r="R77" s="287"/>
      <c r="S77" s="287"/>
      <c r="T77" s="287"/>
      <c r="U77" s="287"/>
      <c r="V77" s="287"/>
      <c r="W77" s="287"/>
      <c r="X77" s="287" t="s">
        <v>836</v>
      </c>
      <c r="Y77" s="287"/>
      <c r="Z77" s="287"/>
    </row>
    <row r="78" spans="4:26" x14ac:dyDescent="0.3">
      <c r="D78" s="286" t="s">
        <v>826</v>
      </c>
      <c r="E78" s="286"/>
      <c r="F78" s="286"/>
      <c r="G78" s="286"/>
      <c r="H78" s="286"/>
      <c r="I78" s="287"/>
      <c r="J78" s="287"/>
      <c r="K78" s="287"/>
      <c r="L78" s="287"/>
      <c r="M78" s="287"/>
      <c r="N78" s="287"/>
      <c r="O78" s="287"/>
      <c r="P78" s="287"/>
      <c r="Q78" s="287"/>
      <c r="R78" s="287" t="s">
        <v>837</v>
      </c>
      <c r="S78" s="287"/>
      <c r="T78" s="287"/>
      <c r="U78" s="287"/>
      <c r="V78" s="287"/>
      <c r="W78" s="287"/>
      <c r="X78" s="287"/>
      <c r="Y78" s="287"/>
      <c r="Z78" s="287"/>
    </row>
    <row r="79" spans="4:26" x14ac:dyDescent="0.3">
      <c r="D79" s="286" t="s">
        <v>827</v>
      </c>
      <c r="E79" s="286"/>
      <c r="F79" s="286"/>
      <c r="G79" s="286"/>
      <c r="H79" s="286"/>
      <c r="I79" s="287" t="s">
        <v>259</v>
      </c>
      <c r="J79" s="287"/>
      <c r="K79" s="287"/>
      <c r="L79" s="287"/>
      <c r="M79" s="287"/>
      <c r="N79" s="287"/>
      <c r="O79" s="287"/>
      <c r="P79" s="287"/>
      <c r="Q79" s="287"/>
      <c r="R79" s="287" t="s">
        <v>838</v>
      </c>
      <c r="S79" s="287"/>
      <c r="T79" s="287"/>
      <c r="U79" s="287"/>
      <c r="V79" s="287"/>
      <c r="W79" s="287"/>
      <c r="X79" s="287"/>
      <c r="Y79" s="287"/>
      <c r="Z79" s="287"/>
    </row>
    <row r="81" spans="2:22" x14ac:dyDescent="0.3">
      <c r="B81" s="297" t="s">
        <v>389</v>
      </c>
      <c r="C81" s="297"/>
      <c r="D81" s="291" t="s">
        <v>388</v>
      </c>
      <c r="E81" s="291"/>
      <c r="F81" s="291"/>
      <c r="G81" s="291"/>
      <c r="H81" s="291" t="s">
        <v>300</v>
      </c>
      <c r="I81" s="291"/>
      <c r="J81" s="291"/>
      <c r="K81" s="291" t="s">
        <v>129</v>
      </c>
      <c r="L81" s="291"/>
      <c r="M81" s="291"/>
      <c r="N81" s="291" t="s">
        <v>301</v>
      </c>
      <c r="O81" s="291"/>
      <c r="P81" s="291"/>
      <c r="Q81" s="291" t="s">
        <v>302</v>
      </c>
      <c r="R81" s="291"/>
      <c r="S81" s="291"/>
      <c r="T81" s="291" t="s">
        <v>334</v>
      </c>
      <c r="U81" s="291"/>
      <c r="V81" s="291"/>
    </row>
    <row r="82" spans="2:22" x14ac:dyDescent="0.3">
      <c r="D82" s="286" t="s">
        <v>839</v>
      </c>
      <c r="E82" s="286"/>
      <c r="F82" s="286"/>
      <c r="G82" s="286"/>
      <c r="H82" s="286" t="s">
        <v>325</v>
      </c>
      <c r="I82" s="286"/>
      <c r="J82" s="286"/>
      <c r="K82" s="286" t="s">
        <v>186</v>
      </c>
      <c r="L82" s="286"/>
      <c r="M82" s="286"/>
      <c r="N82" s="286" t="s">
        <v>403</v>
      </c>
      <c r="O82" s="286"/>
      <c r="P82" s="286"/>
      <c r="Q82" s="294">
        <f>'Kebutuhan Air Total'!G26</f>
        <v>0.68287864897272743</v>
      </c>
      <c r="R82" s="294"/>
      <c r="S82" s="294"/>
      <c r="T82" s="286"/>
      <c r="U82" s="286"/>
      <c r="V82" s="286"/>
    </row>
    <row r="83" spans="2:22" x14ac:dyDescent="0.3">
      <c r="D83" s="286" t="s">
        <v>366</v>
      </c>
      <c r="E83" s="286"/>
      <c r="F83" s="286"/>
      <c r="G83" s="286"/>
      <c r="H83" s="286" t="s">
        <v>51</v>
      </c>
      <c r="I83" s="286"/>
      <c r="J83" s="286"/>
      <c r="K83" s="286" t="s">
        <v>372</v>
      </c>
      <c r="L83" s="286"/>
      <c r="M83" s="286"/>
      <c r="N83" s="286" t="s">
        <v>310</v>
      </c>
      <c r="O83" s="286"/>
      <c r="P83" s="286"/>
      <c r="Q83" s="286">
        <v>2</v>
      </c>
      <c r="R83" s="286"/>
      <c r="S83" s="286"/>
      <c r="T83" s="286"/>
      <c r="U83" s="286"/>
      <c r="V83" s="286"/>
    </row>
    <row r="84" spans="2:22" x14ac:dyDescent="0.3">
      <c r="D84" s="286" t="s">
        <v>840</v>
      </c>
      <c r="E84" s="286"/>
      <c r="F84" s="286"/>
      <c r="G84" s="286"/>
      <c r="H84" s="286" t="s">
        <v>849</v>
      </c>
      <c r="I84" s="286"/>
      <c r="J84" s="286"/>
      <c r="K84" s="286" t="s">
        <v>372</v>
      </c>
      <c r="L84" s="286"/>
      <c r="M84" s="286"/>
      <c r="N84" s="286" t="s">
        <v>310</v>
      </c>
      <c r="O84" s="286"/>
      <c r="P84" s="286"/>
      <c r="Q84" s="300">
        <v>2</v>
      </c>
      <c r="R84" s="301"/>
      <c r="S84" s="301"/>
      <c r="T84" s="286"/>
      <c r="U84" s="286"/>
      <c r="V84" s="286"/>
    </row>
    <row r="85" spans="2:22" x14ac:dyDescent="0.3">
      <c r="D85" s="286" t="s">
        <v>841</v>
      </c>
      <c r="E85" s="286"/>
      <c r="F85" s="286"/>
      <c r="G85" s="286"/>
      <c r="H85" s="286" t="s">
        <v>591</v>
      </c>
      <c r="I85" s="286"/>
      <c r="J85" s="286"/>
      <c r="K85" s="286" t="s">
        <v>259</v>
      </c>
      <c r="L85" s="286"/>
      <c r="M85" s="286"/>
      <c r="N85" s="286" t="s">
        <v>310</v>
      </c>
      <c r="O85" s="286"/>
      <c r="P85" s="286"/>
      <c r="Q85" s="286">
        <v>0.1</v>
      </c>
      <c r="R85" s="286"/>
      <c r="S85" s="286"/>
      <c r="T85" s="286"/>
      <c r="U85" s="286"/>
      <c r="V85" s="286"/>
    </row>
    <row r="86" spans="2:22" x14ac:dyDescent="0.3">
      <c r="D86" s="286" t="s">
        <v>842</v>
      </c>
      <c r="E86" s="286"/>
      <c r="F86" s="286"/>
      <c r="G86" s="286"/>
      <c r="H86" s="286" t="s">
        <v>850</v>
      </c>
      <c r="I86" s="286"/>
      <c r="J86" s="286"/>
      <c r="K86" s="286" t="s">
        <v>828</v>
      </c>
      <c r="L86" s="286"/>
      <c r="M86" s="286"/>
      <c r="N86" s="286" t="s">
        <v>310</v>
      </c>
      <c r="O86" s="286"/>
      <c r="P86" s="286"/>
      <c r="Q86" s="170">
        <v>55</v>
      </c>
      <c r="R86" s="286"/>
      <c r="S86" s="286"/>
      <c r="T86" s="286"/>
      <c r="U86" s="286"/>
      <c r="V86" s="286"/>
    </row>
    <row r="87" spans="2:22" x14ac:dyDescent="0.3">
      <c r="D87" s="286" t="s">
        <v>843</v>
      </c>
      <c r="E87" s="286"/>
      <c r="F87" s="286"/>
      <c r="G87" s="286"/>
      <c r="H87" s="286" t="s">
        <v>851</v>
      </c>
      <c r="I87" s="286"/>
      <c r="J87" s="286"/>
      <c r="K87" s="286" t="s">
        <v>828</v>
      </c>
      <c r="L87" s="286"/>
      <c r="M87" s="286"/>
      <c r="N87" s="286" t="s">
        <v>310</v>
      </c>
      <c r="O87" s="286"/>
      <c r="P87" s="286"/>
      <c r="Q87" s="170">
        <v>30</v>
      </c>
      <c r="R87" s="170"/>
      <c r="S87" s="170"/>
      <c r="T87" s="286"/>
      <c r="U87" s="286"/>
      <c r="V87" s="286"/>
    </row>
    <row r="88" spans="2:22" x14ac:dyDescent="0.3">
      <c r="D88" s="286" t="s">
        <v>844</v>
      </c>
      <c r="E88" s="286"/>
      <c r="F88" s="286"/>
      <c r="G88" s="286"/>
      <c r="H88" s="286" t="s">
        <v>469</v>
      </c>
      <c r="I88" s="286"/>
      <c r="J88" s="286"/>
      <c r="K88" s="324" t="s">
        <v>422</v>
      </c>
      <c r="L88" s="286"/>
      <c r="M88" s="286"/>
      <c r="N88" s="286" t="s">
        <v>310</v>
      </c>
      <c r="O88" s="286"/>
      <c r="P88" s="286"/>
      <c r="Q88" s="170">
        <v>480</v>
      </c>
      <c r="R88" s="170"/>
      <c r="S88" s="170"/>
      <c r="T88" s="286"/>
      <c r="U88" s="286"/>
      <c r="V88" s="286"/>
    </row>
    <row r="89" spans="2:22" x14ac:dyDescent="0.3">
      <c r="D89" s="286" t="s">
        <v>845</v>
      </c>
      <c r="E89" s="286"/>
      <c r="F89" s="286"/>
      <c r="G89" s="286"/>
      <c r="H89" s="286" t="s">
        <v>852</v>
      </c>
      <c r="I89" s="286"/>
      <c r="J89" s="286"/>
      <c r="K89" s="324" t="s">
        <v>422</v>
      </c>
      <c r="L89" s="286"/>
      <c r="M89" s="286"/>
      <c r="N89" s="286" t="s">
        <v>310</v>
      </c>
      <c r="O89" s="286"/>
      <c r="P89" s="286"/>
      <c r="Q89" s="170">
        <v>720</v>
      </c>
      <c r="R89" s="170"/>
      <c r="S89" s="170"/>
      <c r="T89" s="286"/>
      <c r="U89" s="286"/>
      <c r="V89" s="286"/>
    </row>
    <row r="90" spans="2:22" x14ac:dyDescent="0.3">
      <c r="D90" s="286" t="s">
        <v>846</v>
      </c>
      <c r="E90" s="286"/>
      <c r="F90" s="286"/>
      <c r="G90" s="286"/>
      <c r="H90" s="286" t="s">
        <v>853</v>
      </c>
      <c r="I90" s="286"/>
      <c r="J90" s="286"/>
      <c r="K90" s="324"/>
      <c r="L90" s="286"/>
      <c r="M90" s="286"/>
      <c r="N90" s="286" t="s">
        <v>856</v>
      </c>
      <c r="O90" s="286"/>
      <c r="P90" s="286"/>
      <c r="Q90" s="170">
        <f>Q86*Q88</f>
        <v>26400</v>
      </c>
      <c r="R90" s="170"/>
      <c r="S90" s="170"/>
      <c r="T90" s="286"/>
      <c r="U90" s="286"/>
      <c r="V90" s="286"/>
    </row>
    <row r="91" spans="2:22" x14ac:dyDescent="0.3">
      <c r="D91" s="286" t="s">
        <v>847</v>
      </c>
      <c r="E91" s="286"/>
      <c r="F91" s="286"/>
      <c r="G91" s="286"/>
      <c r="H91" s="286" t="s">
        <v>854</v>
      </c>
      <c r="I91" s="286"/>
      <c r="J91" s="286"/>
      <c r="K91" s="324"/>
      <c r="L91" s="286"/>
      <c r="M91" s="286"/>
      <c r="N91" s="286" t="s">
        <v>857</v>
      </c>
      <c r="O91" s="286"/>
      <c r="P91" s="286"/>
      <c r="Q91" s="170">
        <f>Q87*Q89</f>
        <v>21600</v>
      </c>
      <c r="R91" s="170"/>
      <c r="S91" s="170"/>
      <c r="T91" s="286"/>
      <c r="U91" s="286"/>
      <c r="V91" s="286"/>
    </row>
    <row r="92" spans="2:22" x14ac:dyDescent="0.3">
      <c r="D92" s="286" t="s">
        <v>848</v>
      </c>
      <c r="E92" s="286"/>
      <c r="F92" s="286"/>
      <c r="G92" s="286"/>
      <c r="H92" s="286" t="s">
        <v>855</v>
      </c>
      <c r="I92" s="286"/>
      <c r="J92" s="286"/>
      <c r="K92" s="324"/>
      <c r="L92" s="286"/>
      <c r="M92" s="286"/>
      <c r="N92" s="286" t="s">
        <v>1861</v>
      </c>
      <c r="O92" s="286"/>
      <c r="P92" s="286"/>
      <c r="Q92" s="170">
        <f>Q90+Q91</f>
        <v>48000</v>
      </c>
      <c r="R92" s="170"/>
      <c r="S92" s="170"/>
      <c r="T92" s="286"/>
      <c r="U92" s="286"/>
      <c r="V92" s="286"/>
    </row>
    <row r="94" spans="2:22" x14ac:dyDescent="0.3">
      <c r="B94" s="297" t="s">
        <v>363</v>
      </c>
      <c r="C94" s="297"/>
      <c r="D94" s="291" t="s">
        <v>858</v>
      </c>
      <c r="E94" s="291"/>
      <c r="F94" s="291"/>
      <c r="G94" s="291"/>
      <c r="H94" s="291" t="s">
        <v>300</v>
      </c>
      <c r="I94" s="291"/>
      <c r="J94" s="291"/>
      <c r="K94" s="291" t="s">
        <v>129</v>
      </c>
      <c r="L94" s="291"/>
      <c r="M94" s="291"/>
      <c r="N94" s="291" t="s">
        <v>301</v>
      </c>
      <c r="O94" s="291"/>
      <c r="P94" s="291"/>
      <c r="Q94" s="323" t="s">
        <v>302</v>
      </c>
      <c r="R94" s="323"/>
      <c r="S94" s="323"/>
      <c r="T94" s="291" t="s">
        <v>334</v>
      </c>
      <c r="U94" s="291"/>
      <c r="V94" s="291"/>
    </row>
    <row r="95" spans="2:22" x14ac:dyDescent="0.3">
      <c r="B95" s="60"/>
      <c r="C95" s="60"/>
      <c r="D95" s="299" t="s">
        <v>400</v>
      </c>
      <c r="E95" s="299"/>
      <c r="F95" s="299"/>
      <c r="G95" s="299"/>
      <c r="H95" s="299" t="s">
        <v>401</v>
      </c>
      <c r="I95" s="299"/>
      <c r="J95" s="299"/>
      <c r="K95" s="299" t="s">
        <v>186</v>
      </c>
      <c r="L95" s="299"/>
      <c r="M95" s="299"/>
      <c r="N95" s="299" t="s">
        <v>859</v>
      </c>
      <c r="O95" s="299"/>
      <c r="P95" s="299"/>
      <c r="Q95" s="326">
        <f>Q82/Q83</f>
        <v>0.34143932448636372</v>
      </c>
      <c r="R95" s="326"/>
      <c r="S95" s="326"/>
      <c r="T95" s="299"/>
      <c r="U95" s="299"/>
      <c r="V95" s="299"/>
    </row>
    <row r="96" spans="2:22" x14ac:dyDescent="0.3">
      <c r="D96" s="274" t="s">
        <v>860</v>
      </c>
      <c r="E96" s="286"/>
      <c r="F96" s="286"/>
      <c r="G96" s="286"/>
      <c r="H96" s="286"/>
      <c r="I96" s="286"/>
      <c r="J96" s="286"/>
      <c r="K96" s="286"/>
      <c r="L96" s="286"/>
      <c r="M96" s="286"/>
      <c r="N96" s="286"/>
      <c r="O96" s="286"/>
      <c r="P96" s="286"/>
      <c r="Q96" s="294"/>
      <c r="R96" s="294"/>
      <c r="S96" s="294"/>
      <c r="T96" s="286"/>
      <c r="U96" s="286"/>
      <c r="V96" s="286"/>
    </row>
    <row r="97" spans="2:22" x14ac:dyDescent="0.3">
      <c r="D97" s="286" t="s">
        <v>718</v>
      </c>
      <c r="E97" s="286"/>
      <c r="F97" s="286"/>
      <c r="G97" s="286"/>
      <c r="H97" s="286" t="s">
        <v>850</v>
      </c>
      <c r="I97" s="286"/>
      <c r="J97" s="286"/>
      <c r="K97" s="286" t="s">
        <v>828</v>
      </c>
      <c r="L97" s="286"/>
      <c r="M97" s="286"/>
      <c r="N97" s="286" t="s">
        <v>436</v>
      </c>
      <c r="O97" s="286"/>
      <c r="P97" s="286"/>
      <c r="Q97" s="294">
        <f>Q86</f>
        <v>55</v>
      </c>
      <c r="R97" s="294"/>
      <c r="S97" s="294"/>
      <c r="T97" s="286"/>
      <c r="U97" s="286"/>
      <c r="V97" s="286"/>
    </row>
    <row r="98" spans="2:22" x14ac:dyDescent="0.3">
      <c r="D98" s="286" t="s">
        <v>323</v>
      </c>
      <c r="E98" s="286"/>
      <c r="F98" s="286"/>
      <c r="G98" s="286"/>
      <c r="H98" s="286" t="s">
        <v>469</v>
      </c>
      <c r="I98" s="286"/>
      <c r="J98" s="286"/>
      <c r="K98" s="286" t="s">
        <v>422</v>
      </c>
      <c r="L98" s="286"/>
      <c r="M98" s="286"/>
      <c r="N98" s="286" t="s">
        <v>436</v>
      </c>
      <c r="O98" s="286"/>
      <c r="P98" s="286"/>
      <c r="Q98" s="294">
        <f>Q88</f>
        <v>480</v>
      </c>
      <c r="R98" s="294"/>
      <c r="S98" s="294"/>
      <c r="T98" s="286"/>
      <c r="U98" s="286"/>
      <c r="V98" s="286"/>
    </row>
    <row r="99" spans="2:22" x14ac:dyDescent="0.3">
      <c r="C99" t="s">
        <v>364</v>
      </c>
      <c r="D99" s="286" t="s">
        <v>861</v>
      </c>
      <c r="E99" s="274"/>
      <c r="F99" s="274"/>
      <c r="G99" s="274"/>
      <c r="H99" s="286" t="s">
        <v>871</v>
      </c>
      <c r="I99" s="286"/>
      <c r="J99" s="286"/>
      <c r="K99" s="286" t="s">
        <v>350</v>
      </c>
      <c r="L99" s="286"/>
      <c r="M99" s="286"/>
      <c r="N99" s="286" t="s">
        <v>870</v>
      </c>
      <c r="O99" s="286"/>
      <c r="P99" s="286"/>
      <c r="Q99" s="294">
        <f>Q95*Q98</f>
        <v>163.89087575345459</v>
      </c>
      <c r="R99" s="294"/>
      <c r="S99" s="294"/>
      <c r="T99" s="286"/>
      <c r="U99" s="286"/>
      <c r="V99" s="286"/>
    </row>
    <row r="100" spans="2:22" x14ac:dyDescent="0.3">
      <c r="B100" s="69"/>
      <c r="C100" s="69"/>
      <c r="D100" s="327" t="s">
        <v>862</v>
      </c>
      <c r="E100" s="327"/>
      <c r="F100" s="327"/>
      <c r="G100" s="327"/>
      <c r="H100" s="327"/>
      <c r="I100" s="327"/>
      <c r="J100" s="327"/>
      <c r="K100" s="327"/>
      <c r="L100" s="327"/>
      <c r="M100" s="327"/>
      <c r="N100" s="327"/>
      <c r="O100" s="327"/>
      <c r="P100" s="327"/>
      <c r="Q100" s="328"/>
      <c r="R100" s="328"/>
      <c r="S100" s="328"/>
      <c r="T100" s="327"/>
      <c r="U100" s="327"/>
      <c r="V100" s="327"/>
    </row>
    <row r="101" spans="2:22" x14ac:dyDescent="0.3">
      <c r="B101" s="63"/>
      <c r="C101" s="63"/>
      <c r="D101" s="304" t="s">
        <v>296</v>
      </c>
      <c r="E101" s="304"/>
      <c r="F101" s="304"/>
      <c r="G101" s="304"/>
      <c r="H101" s="304" t="s">
        <v>922</v>
      </c>
      <c r="I101" s="304"/>
      <c r="J101" s="304"/>
      <c r="K101" s="304" t="s">
        <v>259</v>
      </c>
      <c r="L101" s="304"/>
      <c r="M101" s="304"/>
      <c r="N101" s="304" t="s">
        <v>310</v>
      </c>
      <c r="O101" s="304"/>
      <c r="P101" s="304"/>
      <c r="Q101" s="329">
        <v>0.65</v>
      </c>
      <c r="R101" s="329"/>
      <c r="S101" s="329"/>
      <c r="T101" s="304"/>
      <c r="U101" s="304"/>
      <c r="V101" s="304"/>
    </row>
    <row r="102" spans="2:22" x14ac:dyDescent="0.3">
      <c r="B102" s="63"/>
      <c r="C102" s="63"/>
      <c r="D102" s="304" t="s">
        <v>702</v>
      </c>
      <c r="E102" s="304"/>
      <c r="F102" s="304"/>
      <c r="G102" s="304"/>
      <c r="H102" s="304" t="s">
        <v>488</v>
      </c>
      <c r="I102" s="304"/>
      <c r="J102" s="304"/>
      <c r="K102" s="304" t="s">
        <v>259</v>
      </c>
      <c r="L102" s="304"/>
      <c r="M102" s="304"/>
      <c r="N102" s="304" t="s">
        <v>310</v>
      </c>
      <c r="O102" s="304"/>
      <c r="P102" s="304"/>
      <c r="Q102" s="329">
        <v>6.5</v>
      </c>
      <c r="R102" s="329"/>
      <c r="S102" s="329"/>
      <c r="T102" s="330"/>
      <c r="U102" s="304"/>
      <c r="V102" s="304"/>
    </row>
    <row r="103" spans="2:22" x14ac:dyDescent="0.3">
      <c r="D103" s="286" t="s">
        <v>863</v>
      </c>
      <c r="E103" s="286"/>
      <c r="F103" s="286"/>
      <c r="G103" s="286"/>
      <c r="H103" s="286" t="s">
        <v>927</v>
      </c>
      <c r="I103" s="286"/>
      <c r="J103" s="286"/>
      <c r="K103" s="286" t="s">
        <v>372</v>
      </c>
      <c r="L103" s="286"/>
      <c r="M103" s="286"/>
      <c r="N103" s="286" t="s">
        <v>310</v>
      </c>
      <c r="O103" s="286"/>
      <c r="P103" s="286"/>
      <c r="Q103" s="294">
        <v>6</v>
      </c>
      <c r="R103" s="294"/>
      <c r="S103" s="294"/>
      <c r="T103" s="274"/>
      <c r="U103" s="286"/>
      <c r="V103" s="286"/>
    </row>
    <row r="104" spans="2:22" x14ac:dyDescent="0.3">
      <c r="D104" s="286" t="s">
        <v>864</v>
      </c>
      <c r="E104" s="286"/>
      <c r="F104" s="286"/>
      <c r="G104" s="286"/>
      <c r="H104" s="286" t="s">
        <v>923</v>
      </c>
      <c r="I104" s="286"/>
      <c r="J104" s="286"/>
      <c r="K104" s="286" t="s">
        <v>259</v>
      </c>
      <c r="L104" s="286"/>
      <c r="M104" s="286"/>
      <c r="N104" s="286" t="s">
        <v>310</v>
      </c>
      <c r="O104" s="286"/>
      <c r="P104" s="286"/>
      <c r="Q104" s="294">
        <v>0.2</v>
      </c>
      <c r="R104" s="294"/>
      <c r="S104" s="294"/>
      <c r="T104" s="274"/>
      <c r="U104" s="286"/>
      <c r="V104" s="286"/>
    </row>
    <row r="105" spans="2:22" x14ac:dyDescent="0.3">
      <c r="D105" s="286" t="s">
        <v>371</v>
      </c>
      <c r="E105" s="286"/>
      <c r="F105" s="286"/>
      <c r="G105" s="286"/>
      <c r="H105" s="286" t="s">
        <v>581</v>
      </c>
      <c r="I105" s="286"/>
      <c r="J105" s="286"/>
      <c r="K105" s="286" t="s">
        <v>259</v>
      </c>
      <c r="L105" s="286"/>
      <c r="M105" s="286"/>
      <c r="N105" s="286" t="s">
        <v>924</v>
      </c>
      <c r="O105" s="286"/>
      <c r="P105" s="286"/>
      <c r="Q105" s="294">
        <f>Q99/(Q101*Q102*Q103)</f>
        <v>6.4651233038838098</v>
      </c>
      <c r="R105" s="294"/>
      <c r="S105" s="294"/>
      <c r="T105" s="286"/>
      <c r="U105" s="286"/>
      <c r="V105" s="286"/>
    </row>
    <row r="106" spans="2:22" x14ac:dyDescent="0.3">
      <c r="D106" s="286" t="s">
        <v>721</v>
      </c>
      <c r="E106" s="286"/>
      <c r="F106" s="286"/>
      <c r="G106" s="286"/>
      <c r="H106" s="286" t="s">
        <v>868</v>
      </c>
      <c r="I106" s="286"/>
      <c r="J106" s="286"/>
      <c r="K106" s="286" t="s">
        <v>259</v>
      </c>
      <c r="L106" s="286"/>
      <c r="M106" s="286"/>
      <c r="N106" s="286" t="s">
        <v>872</v>
      </c>
      <c r="O106" s="286"/>
      <c r="P106" s="286"/>
      <c r="Q106" s="296">
        <f>((Q97^2)*(8.949*(10^(-4)))*Q98)/(997.7*9.81)</f>
        <v>0.13276149823493114</v>
      </c>
      <c r="R106" s="296"/>
      <c r="S106" s="296"/>
      <c r="T106" s="286"/>
      <c r="U106" s="286"/>
      <c r="V106" s="286"/>
    </row>
    <row r="107" spans="2:22" x14ac:dyDescent="0.3">
      <c r="D107" s="286" t="s">
        <v>865</v>
      </c>
      <c r="E107" s="286"/>
      <c r="F107" s="286"/>
      <c r="G107" s="286"/>
      <c r="H107" s="286" t="s">
        <v>869</v>
      </c>
      <c r="I107" s="286"/>
      <c r="J107" s="286"/>
      <c r="K107" s="286" t="s">
        <v>258</v>
      </c>
      <c r="L107" s="286"/>
      <c r="M107" s="286"/>
      <c r="N107" s="286" t="s">
        <v>925</v>
      </c>
      <c r="O107" s="286"/>
      <c r="P107" s="286"/>
      <c r="Q107" s="294">
        <f>Q95/(Q104*Q105)</f>
        <v>0.26406249999999998</v>
      </c>
      <c r="R107" s="294"/>
      <c r="S107" s="294"/>
      <c r="T107" s="286"/>
      <c r="U107" s="286"/>
      <c r="V107" s="286"/>
    </row>
    <row r="108" spans="2:22" x14ac:dyDescent="0.3">
      <c r="D108" s="286" t="s">
        <v>873</v>
      </c>
      <c r="E108" s="286"/>
      <c r="F108" s="286"/>
      <c r="G108" s="286"/>
      <c r="H108" s="286" t="s">
        <v>769</v>
      </c>
      <c r="I108" s="286"/>
      <c r="J108" s="286"/>
      <c r="K108" s="286" t="s">
        <v>259</v>
      </c>
      <c r="L108" s="286"/>
      <c r="M108" s="286"/>
      <c r="N108" s="286" t="s">
        <v>928</v>
      </c>
      <c r="O108" s="286"/>
      <c r="P108" s="286"/>
      <c r="Q108" s="296">
        <f>3*((Q107^2)/(2*9.81))*2*Q103</f>
        <v>0.12794312643348621</v>
      </c>
      <c r="R108" s="296"/>
      <c r="S108" s="296"/>
      <c r="T108" s="286"/>
      <c r="U108" s="286"/>
      <c r="V108" s="286"/>
    </row>
    <row r="109" spans="2:22" x14ac:dyDescent="0.3">
      <c r="D109" s="286" t="s">
        <v>874</v>
      </c>
      <c r="E109" s="286"/>
      <c r="F109" s="286"/>
      <c r="G109" s="286"/>
      <c r="H109" s="286" t="s">
        <v>876</v>
      </c>
      <c r="I109" s="286"/>
      <c r="J109" s="286"/>
      <c r="K109" s="286" t="s">
        <v>259</v>
      </c>
      <c r="L109" s="286"/>
      <c r="M109" s="286"/>
      <c r="N109" s="286" t="s">
        <v>877</v>
      </c>
      <c r="O109" s="286"/>
      <c r="P109" s="286"/>
      <c r="Q109" s="302">
        <f>Q106-Q108</f>
        <v>4.8183718014449262E-3</v>
      </c>
      <c r="R109" s="302"/>
      <c r="S109" s="302"/>
      <c r="T109" s="286"/>
      <c r="U109" s="286"/>
      <c r="V109" s="286"/>
    </row>
    <row r="110" spans="2:22" x14ac:dyDescent="0.3">
      <c r="D110" s="286" t="s">
        <v>875</v>
      </c>
      <c r="E110" s="286"/>
      <c r="F110" s="286"/>
      <c r="G110" s="286"/>
      <c r="H110" s="286" t="s">
        <v>588</v>
      </c>
      <c r="I110" s="286"/>
      <c r="J110" s="286"/>
      <c r="K110" s="286" t="s">
        <v>258</v>
      </c>
      <c r="L110" s="286"/>
      <c r="M110" s="286"/>
      <c r="N110" s="65" t="s">
        <v>929</v>
      </c>
      <c r="O110" s="65"/>
      <c r="P110" s="65"/>
      <c r="Q110" s="314">
        <f>(1/Q106)*((Q105*Q101)/((2*Q105)+Q101))^(2/3)*((Q109/(Q103*Q102))^(1/2))</f>
        <v>3.8303110863745743E-2</v>
      </c>
      <c r="R110" s="314"/>
      <c r="S110" s="314"/>
      <c r="T110" s="274" t="s">
        <v>878</v>
      </c>
      <c r="U110" s="274"/>
      <c r="V110" s="274"/>
    </row>
    <row r="111" spans="2:22" x14ac:dyDescent="0.3">
      <c r="D111" s="274" t="s">
        <v>879</v>
      </c>
      <c r="E111" s="286"/>
      <c r="F111" s="286"/>
      <c r="G111" s="286"/>
      <c r="H111" s="286"/>
      <c r="I111" s="286"/>
      <c r="J111" s="286"/>
      <c r="K111" s="286"/>
      <c r="L111" s="286"/>
      <c r="M111" s="286"/>
      <c r="N111" s="286"/>
      <c r="O111" s="286"/>
      <c r="P111" s="286"/>
      <c r="Q111" s="294"/>
      <c r="R111" s="294"/>
      <c r="S111" s="294"/>
      <c r="T111" s="286"/>
      <c r="U111" s="286"/>
      <c r="V111" s="286"/>
    </row>
    <row r="112" spans="2:22" x14ac:dyDescent="0.3">
      <c r="D112" s="286" t="s">
        <v>718</v>
      </c>
      <c r="E112" s="286"/>
      <c r="F112" s="286"/>
      <c r="G112" s="286"/>
      <c r="H112" s="286" t="s">
        <v>851</v>
      </c>
      <c r="I112" s="286"/>
      <c r="J112" s="286"/>
      <c r="K112" s="286" t="s">
        <v>828</v>
      </c>
      <c r="L112" s="286"/>
      <c r="M112" s="286"/>
      <c r="N112" s="286" t="s">
        <v>436</v>
      </c>
      <c r="O112" s="286"/>
      <c r="P112" s="286"/>
      <c r="Q112" s="294">
        <f>Q87</f>
        <v>30</v>
      </c>
      <c r="R112" s="294"/>
      <c r="S112" s="294"/>
      <c r="T112" s="286"/>
      <c r="U112" s="286"/>
      <c r="V112" s="286"/>
    </row>
    <row r="113" spans="2:22" x14ac:dyDescent="0.3">
      <c r="D113" s="286" t="s">
        <v>323</v>
      </c>
      <c r="E113" s="286"/>
      <c r="F113" s="286"/>
      <c r="G113" s="286"/>
      <c r="H113" s="286" t="s">
        <v>852</v>
      </c>
      <c r="I113" s="286"/>
      <c r="J113" s="286"/>
      <c r="K113" s="286" t="s">
        <v>422</v>
      </c>
      <c r="L113" s="286"/>
      <c r="M113" s="286"/>
      <c r="N113" s="286" t="s">
        <v>436</v>
      </c>
      <c r="O113" s="286"/>
      <c r="P113" s="286"/>
      <c r="Q113" s="294">
        <f>Q89</f>
        <v>720</v>
      </c>
      <c r="R113" s="294"/>
      <c r="S113" s="294"/>
      <c r="T113" s="286"/>
      <c r="U113" s="286"/>
      <c r="V113" s="286"/>
    </row>
    <row r="114" spans="2:22" x14ac:dyDescent="0.3">
      <c r="C114" t="s">
        <v>364</v>
      </c>
      <c r="D114" s="286" t="s">
        <v>861</v>
      </c>
      <c r="E114" s="274"/>
      <c r="F114" s="274"/>
      <c r="G114" s="274"/>
      <c r="H114" s="286" t="s">
        <v>881</v>
      </c>
      <c r="I114" s="286"/>
      <c r="J114" s="286"/>
      <c r="K114" s="286" t="s">
        <v>350</v>
      </c>
      <c r="L114" s="286"/>
      <c r="M114" s="286"/>
      <c r="N114" s="286" t="s">
        <v>880</v>
      </c>
      <c r="O114" s="286"/>
      <c r="P114" s="286"/>
      <c r="Q114" s="294">
        <f>Q95*Q113</f>
        <v>245.83631363018188</v>
      </c>
      <c r="R114" s="294"/>
      <c r="S114" s="294"/>
      <c r="T114" s="286"/>
      <c r="U114" s="286"/>
      <c r="V114" s="286"/>
    </row>
    <row r="115" spans="2:22" x14ac:dyDescent="0.3">
      <c r="B115" s="69"/>
      <c r="C115" s="69"/>
      <c r="D115" s="327" t="s">
        <v>862</v>
      </c>
      <c r="E115" s="327"/>
      <c r="F115" s="327"/>
      <c r="G115" s="327"/>
      <c r="H115" s="327"/>
      <c r="I115" s="327"/>
      <c r="J115" s="327"/>
      <c r="K115" s="327"/>
      <c r="L115" s="327"/>
      <c r="M115" s="327"/>
      <c r="N115" s="327"/>
      <c r="O115" s="327"/>
      <c r="P115" s="327"/>
      <c r="Q115" s="328"/>
      <c r="R115" s="328"/>
      <c r="S115" s="328"/>
      <c r="T115" s="327"/>
      <c r="U115" s="327"/>
      <c r="V115" s="327"/>
    </row>
    <row r="116" spans="2:22" x14ac:dyDescent="0.3">
      <c r="B116" s="63"/>
      <c r="C116" s="63"/>
      <c r="D116" s="304" t="s">
        <v>296</v>
      </c>
      <c r="E116" s="304"/>
      <c r="F116" s="304"/>
      <c r="G116" s="304"/>
      <c r="H116" s="304" t="s">
        <v>884</v>
      </c>
      <c r="I116" s="304"/>
      <c r="J116" s="304"/>
      <c r="K116" s="304" t="s">
        <v>259</v>
      </c>
      <c r="L116" s="304"/>
      <c r="M116" s="304"/>
      <c r="N116" s="304" t="s">
        <v>886</v>
      </c>
      <c r="O116" s="304"/>
      <c r="P116" s="304"/>
      <c r="Q116" s="329">
        <f>Q114/(Q120*Q117*Q118)</f>
        <v>0.83508437464606511</v>
      </c>
      <c r="R116" s="329"/>
      <c r="S116" s="329"/>
      <c r="T116" s="304"/>
      <c r="U116" s="304"/>
      <c r="V116" s="304"/>
    </row>
    <row r="117" spans="2:22" x14ac:dyDescent="0.3">
      <c r="B117" s="63"/>
      <c r="C117" s="63"/>
      <c r="D117" s="304" t="s">
        <v>702</v>
      </c>
      <c r="E117" s="304"/>
      <c r="F117" s="304"/>
      <c r="G117" s="304"/>
      <c r="H117" s="304" t="s">
        <v>883</v>
      </c>
      <c r="I117" s="304"/>
      <c r="J117" s="304"/>
      <c r="K117" s="304" t="s">
        <v>259</v>
      </c>
      <c r="L117" s="304"/>
      <c r="M117" s="304"/>
      <c r="N117" s="304" t="s">
        <v>310</v>
      </c>
      <c r="O117" s="304"/>
      <c r="P117" s="304"/>
      <c r="Q117" s="329">
        <v>6.5</v>
      </c>
      <c r="R117" s="329"/>
      <c r="S117" s="329"/>
      <c r="T117" s="330"/>
      <c r="U117" s="304"/>
      <c r="V117" s="304"/>
    </row>
    <row r="118" spans="2:22" x14ac:dyDescent="0.3">
      <c r="D118" s="286" t="s">
        <v>863</v>
      </c>
      <c r="E118" s="286"/>
      <c r="F118" s="286"/>
      <c r="G118" s="286"/>
      <c r="H118" s="286" t="s">
        <v>882</v>
      </c>
      <c r="I118" s="286"/>
      <c r="J118" s="286"/>
      <c r="K118" s="286" t="s">
        <v>372</v>
      </c>
      <c r="L118" s="286"/>
      <c r="M118" s="286"/>
      <c r="N118" s="286" t="s">
        <v>310</v>
      </c>
      <c r="O118" s="286"/>
      <c r="P118" s="286"/>
      <c r="Q118" s="294">
        <v>7</v>
      </c>
      <c r="R118" s="294"/>
      <c r="S118" s="294"/>
      <c r="T118" s="274"/>
      <c r="U118" s="286"/>
      <c r="V118" s="286"/>
    </row>
    <row r="119" spans="2:22" x14ac:dyDescent="0.3">
      <c r="D119" s="286" t="s">
        <v>864</v>
      </c>
      <c r="E119" s="286"/>
      <c r="F119" s="286"/>
      <c r="G119" s="286"/>
      <c r="H119" s="286" t="s">
        <v>885</v>
      </c>
      <c r="I119" s="286"/>
      <c r="J119" s="286"/>
      <c r="K119" s="286" t="s">
        <v>259</v>
      </c>
      <c r="L119" s="286"/>
      <c r="M119" s="286"/>
      <c r="N119" s="286" t="s">
        <v>310</v>
      </c>
      <c r="O119" s="286"/>
      <c r="P119" s="286"/>
      <c r="Q119" s="294">
        <v>0.4</v>
      </c>
      <c r="R119" s="294"/>
      <c r="S119" s="294"/>
      <c r="T119" s="274"/>
      <c r="U119" s="286"/>
      <c r="V119" s="286"/>
    </row>
    <row r="120" spans="2:22" x14ac:dyDescent="0.3">
      <c r="D120" s="286" t="s">
        <v>371</v>
      </c>
      <c r="E120" s="286"/>
      <c r="F120" s="286"/>
      <c r="G120" s="286"/>
      <c r="H120" s="286" t="s">
        <v>582</v>
      </c>
      <c r="I120" s="286"/>
      <c r="J120" s="286"/>
      <c r="K120" s="286" t="s">
        <v>259</v>
      </c>
      <c r="L120" s="286"/>
      <c r="M120" s="286"/>
      <c r="N120" s="286" t="s">
        <v>310</v>
      </c>
      <c r="O120" s="286"/>
      <c r="P120" s="286"/>
      <c r="Q120" s="294">
        <v>6.47</v>
      </c>
      <c r="R120" s="294"/>
      <c r="S120" s="294"/>
      <c r="T120" s="286"/>
      <c r="U120" s="286"/>
      <c r="V120" s="286"/>
    </row>
    <row r="121" spans="2:22" x14ac:dyDescent="0.3">
      <c r="D121" s="286" t="s">
        <v>721</v>
      </c>
      <c r="E121" s="286"/>
      <c r="F121" s="286"/>
      <c r="G121" s="286"/>
      <c r="H121" s="286" t="s">
        <v>891</v>
      </c>
      <c r="I121" s="286"/>
      <c r="J121" s="286"/>
      <c r="K121" s="286" t="s">
        <v>259</v>
      </c>
      <c r="L121" s="286"/>
      <c r="M121" s="286"/>
      <c r="N121" s="286" t="s">
        <v>887</v>
      </c>
      <c r="O121" s="286"/>
      <c r="P121" s="286"/>
      <c r="Q121" s="296">
        <f>((Q112^2)*(8.949*(10^(-4)))*Q113)/(997.7*9.81)</f>
        <v>5.9248933096580837E-2</v>
      </c>
      <c r="R121" s="296"/>
      <c r="S121" s="296"/>
      <c r="T121" s="286"/>
      <c r="U121" s="286"/>
      <c r="V121" s="286"/>
    </row>
    <row r="122" spans="2:22" x14ac:dyDescent="0.3">
      <c r="D122" s="286" t="s">
        <v>865</v>
      </c>
      <c r="E122" s="286"/>
      <c r="F122" s="286"/>
      <c r="G122" s="286"/>
      <c r="H122" s="286" t="s">
        <v>889</v>
      </c>
      <c r="I122" s="286"/>
      <c r="J122" s="286"/>
      <c r="K122" s="286" t="s">
        <v>258</v>
      </c>
      <c r="L122" s="286"/>
      <c r="M122" s="286"/>
      <c r="N122" s="286" t="s">
        <v>888</v>
      </c>
      <c r="O122" s="286"/>
      <c r="P122" s="286"/>
      <c r="Q122" s="294">
        <f>Q95/(Q119*Q120)</f>
        <v>0.13193173279998596</v>
      </c>
      <c r="R122" s="294"/>
      <c r="S122" s="294"/>
      <c r="T122" s="286"/>
      <c r="U122" s="286"/>
      <c r="V122" s="286"/>
    </row>
    <row r="123" spans="2:22" x14ac:dyDescent="0.3">
      <c r="D123" s="286" t="s">
        <v>873</v>
      </c>
      <c r="E123" s="286"/>
      <c r="F123" s="286"/>
      <c r="G123" s="286"/>
      <c r="H123" s="286" t="s">
        <v>890</v>
      </c>
      <c r="I123" s="286"/>
      <c r="J123" s="286"/>
      <c r="K123" s="286" t="s">
        <v>259</v>
      </c>
      <c r="L123" s="286"/>
      <c r="M123" s="286"/>
      <c r="N123" s="286" t="s">
        <v>893</v>
      </c>
      <c r="O123" s="286"/>
      <c r="P123" s="286"/>
      <c r="Q123" s="296">
        <f>3*((Q95^2)/(2*9.81))*2*Q118</f>
        <v>0.24956137190823563</v>
      </c>
      <c r="R123" s="296"/>
      <c r="S123" s="296"/>
      <c r="T123" s="286"/>
      <c r="U123" s="286"/>
      <c r="V123" s="286"/>
    </row>
    <row r="124" spans="2:22" x14ac:dyDescent="0.3">
      <c r="D124" s="286" t="s">
        <v>874</v>
      </c>
      <c r="E124" s="286"/>
      <c r="F124" s="286"/>
      <c r="G124" s="286"/>
      <c r="H124" s="286" t="s">
        <v>894</v>
      </c>
      <c r="I124" s="286"/>
      <c r="J124" s="286"/>
      <c r="K124" s="286" t="s">
        <v>259</v>
      </c>
      <c r="L124" s="286"/>
      <c r="M124" s="286"/>
      <c r="N124" s="286" t="s">
        <v>892</v>
      </c>
      <c r="O124" s="286"/>
      <c r="P124" s="286"/>
      <c r="Q124" s="294">
        <f>ABS(Q121-Q123)</f>
        <v>0.1903124388116548</v>
      </c>
      <c r="R124" s="294"/>
      <c r="S124" s="294"/>
      <c r="T124" s="286"/>
      <c r="U124" s="286"/>
      <c r="V124" s="286"/>
    </row>
    <row r="125" spans="2:22" x14ac:dyDescent="0.3">
      <c r="D125" s="286" t="s">
        <v>875</v>
      </c>
      <c r="E125" s="286"/>
      <c r="F125" s="286"/>
      <c r="G125" s="286"/>
      <c r="H125" s="286" t="s">
        <v>895</v>
      </c>
      <c r="I125" s="286"/>
      <c r="J125" s="286"/>
      <c r="K125" s="286" t="s">
        <v>258</v>
      </c>
      <c r="L125" s="286"/>
      <c r="M125" s="286"/>
      <c r="N125" s="65" t="s">
        <v>896</v>
      </c>
      <c r="O125" s="65"/>
      <c r="P125" s="65"/>
      <c r="Q125" s="294">
        <f>(1/Q121)*((Q120*Q116)/((2*Q120)+Q116))^(2/3)*((Q124/(Q118*Q117))^(1/2))</f>
        <v>0.58489009727038388</v>
      </c>
      <c r="R125" s="294"/>
      <c r="S125" s="294"/>
      <c r="T125" s="274"/>
      <c r="U125" s="274"/>
      <c r="V125" s="274"/>
    </row>
    <row r="126" spans="2:22" x14ac:dyDescent="0.3">
      <c r="D126" s="286" t="s">
        <v>897</v>
      </c>
      <c r="E126" s="286"/>
      <c r="F126" s="286"/>
      <c r="G126" s="286"/>
      <c r="H126" s="286" t="s">
        <v>898</v>
      </c>
      <c r="I126" s="286"/>
      <c r="J126" s="286"/>
      <c r="K126" s="286" t="s">
        <v>350</v>
      </c>
      <c r="L126" s="286"/>
      <c r="M126" s="286"/>
      <c r="N126" s="286" t="s">
        <v>899</v>
      </c>
      <c r="O126" s="286"/>
      <c r="P126" s="286"/>
      <c r="Q126" s="294">
        <f>Q118*Q116*Q117*Q120</f>
        <v>245.83631363018185</v>
      </c>
      <c r="R126" s="294"/>
      <c r="S126" s="294"/>
      <c r="T126" s="286"/>
      <c r="U126" s="286"/>
      <c r="V126" s="286"/>
    </row>
    <row r="127" spans="2:22" x14ac:dyDescent="0.3">
      <c r="D127" s="286" t="s">
        <v>900</v>
      </c>
      <c r="E127" s="286"/>
      <c r="F127" s="286"/>
      <c r="G127" s="286"/>
      <c r="H127" s="286" t="s">
        <v>901</v>
      </c>
      <c r="I127" s="286"/>
      <c r="J127" s="286"/>
      <c r="K127" s="286" t="s">
        <v>422</v>
      </c>
      <c r="L127" s="286"/>
      <c r="M127" s="286"/>
      <c r="N127" s="286" t="s">
        <v>902</v>
      </c>
      <c r="O127" s="286"/>
      <c r="P127" s="286"/>
      <c r="Q127" s="293">
        <f>Q126/Q95</f>
        <v>719.99999999999989</v>
      </c>
      <c r="R127" s="293"/>
      <c r="S127" s="293"/>
      <c r="T127" s="286"/>
      <c r="U127" s="286"/>
      <c r="V127" s="286"/>
    </row>
    <row r="128" spans="2:22" x14ac:dyDescent="0.3">
      <c r="B128" s="66"/>
      <c r="C128" s="66"/>
      <c r="D128" s="305" t="s">
        <v>425</v>
      </c>
      <c r="E128" s="305"/>
      <c r="F128" s="305"/>
      <c r="G128" s="305"/>
      <c r="H128" s="267"/>
      <c r="I128" s="267"/>
      <c r="J128" s="267"/>
      <c r="K128" s="267"/>
      <c r="L128" s="267"/>
      <c r="M128" s="267"/>
      <c r="N128" s="267"/>
      <c r="O128" s="267"/>
      <c r="P128" s="267"/>
      <c r="Q128" s="267"/>
      <c r="R128" s="267"/>
      <c r="S128" s="267"/>
      <c r="T128" s="267"/>
      <c r="U128" s="267"/>
      <c r="V128" s="267"/>
    </row>
    <row r="129" spans="2:22" x14ac:dyDescent="0.3">
      <c r="D129" s="286" t="s">
        <v>903</v>
      </c>
      <c r="E129" s="286"/>
      <c r="F129" s="286"/>
      <c r="G129" s="286"/>
      <c r="H129" s="286" t="s">
        <v>908</v>
      </c>
      <c r="I129" s="286"/>
      <c r="J129" s="286"/>
      <c r="K129" s="286" t="s">
        <v>350</v>
      </c>
      <c r="L129" s="286"/>
      <c r="M129" s="286"/>
      <c r="N129" s="286" t="s">
        <v>912</v>
      </c>
      <c r="O129" s="286"/>
      <c r="P129" s="286"/>
      <c r="Q129" s="294">
        <f>Q99+Q114</f>
        <v>409.72718938363647</v>
      </c>
      <c r="R129" s="294"/>
      <c r="S129" s="294"/>
      <c r="T129" s="286"/>
      <c r="U129" s="286"/>
      <c r="V129" s="286"/>
    </row>
    <row r="130" spans="2:22" x14ac:dyDescent="0.3">
      <c r="D130" s="286" t="s">
        <v>904</v>
      </c>
      <c r="E130" s="286"/>
      <c r="F130" s="286"/>
      <c r="G130" s="286"/>
      <c r="H130" s="286" t="s">
        <v>909</v>
      </c>
      <c r="I130" s="286"/>
      <c r="J130" s="286"/>
      <c r="K130" s="286" t="s">
        <v>422</v>
      </c>
      <c r="L130" s="286"/>
      <c r="M130" s="286"/>
      <c r="N130" s="286" t="s">
        <v>913</v>
      </c>
      <c r="O130" s="286"/>
      <c r="P130" s="286"/>
      <c r="Q130" s="294">
        <f>Q98+Q113</f>
        <v>1200</v>
      </c>
      <c r="R130" s="294"/>
      <c r="S130" s="294"/>
      <c r="T130" s="286"/>
      <c r="U130" s="286"/>
      <c r="V130" s="286"/>
    </row>
    <row r="131" spans="2:22" x14ac:dyDescent="0.3">
      <c r="D131" s="286" t="s">
        <v>905</v>
      </c>
      <c r="E131" s="286"/>
      <c r="F131" s="286"/>
      <c r="G131" s="286"/>
      <c r="H131" s="286" t="s">
        <v>698</v>
      </c>
      <c r="I131" s="286"/>
      <c r="J131" s="286"/>
      <c r="K131" s="286" t="s">
        <v>259</v>
      </c>
      <c r="L131" s="286"/>
      <c r="M131" s="286"/>
      <c r="N131" s="286" t="s">
        <v>914</v>
      </c>
      <c r="O131" s="286"/>
      <c r="P131" s="286"/>
      <c r="Q131" s="314">
        <f>Q106+Q121</f>
        <v>0.19201043133151197</v>
      </c>
      <c r="R131" s="314"/>
      <c r="S131" s="314"/>
      <c r="T131" s="286"/>
      <c r="U131" s="286"/>
      <c r="V131" s="286"/>
    </row>
    <row r="132" spans="2:22" x14ac:dyDescent="0.3">
      <c r="D132" s="286" t="s">
        <v>906</v>
      </c>
      <c r="E132" s="286"/>
      <c r="F132" s="286"/>
      <c r="G132" s="286"/>
      <c r="H132" s="286" t="s">
        <v>910</v>
      </c>
      <c r="I132" s="286"/>
      <c r="J132" s="286"/>
      <c r="K132" s="286"/>
      <c r="L132" s="286"/>
      <c r="M132" s="286"/>
      <c r="N132" s="286" t="s">
        <v>915</v>
      </c>
      <c r="O132" s="286"/>
      <c r="P132" s="286"/>
      <c r="Q132" s="313">
        <f>(Q97*Q98)+(Q112*Q113)</f>
        <v>48000</v>
      </c>
      <c r="R132" s="313"/>
      <c r="S132" s="313"/>
      <c r="T132" s="286"/>
      <c r="U132" s="286"/>
      <c r="V132" s="286"/>
    </row>
    <row r="133" spans="2:22" x14ac:dyDescent="0.3">
      <c r="D133" s="286" t="s">
        <v>907</v>
      </c>
      <c r="E133" s="286"/>
      <c r="F133" s="286"/>
      <c r="G133" s="286"/>
      <c r="H133" s="286" t="s">
        <v>911</v>
      </c>
      <c r="I133" s="286"/>
      <c r="J133" s="286"/>
      <c r="K133" s="286" t="s">
        <v>259</v>
      </c>
      <c r="L133" s="286"/>
      <c r="M133" s="286"/>
      <c r="N133" s="286" t="s">
        <v>916</v>
      </c>
      <c r="O133" s="286"/>
      <c r="P133" s="286"/>
      <c r="Q133" s="294">
        <f>Q120-Q131</f>
        <v>6.2779895686684881</v>
      </c>
      <c r="R133" s="294"/>
      <c r="S133" s="294"/>
      <c r="T133" s="286"/>
      <c r="U133" s="286"/>
      <c r="V133" s="286"/>
    </row>
    <row r="134" spans="2:22" x14ac:dyDescent="0.3">
      <c r="B134" s="66"/>
      <c r="C134" s="66"/>
      <c r="D134" s="305" t="s">
        <v>917</v>
      </c>
      <c r="E134" s="305"/>
      <c r="F134" s="305"/>
      <c r="G134" s="305"/>
      <c r="H134" s="267"/>
      <c r="I134" s="267"/>
      <c r="J134" s="267"/>
      <c r="K134" s="267"/>
      <c r="L134" s="267"/>
      <c r="M134" s="267"/>
      <c r="N134" s="267"/>
      <c r="O134" s="267"/>
      <c r="P134" s="267"/>
      <c r="Q134" s="267"/>
      <c r="R134" s="267"/>
      <c r="S134" s="267"/>
      <c r="T134" s="267"/>
      <c r="U134" s="267"/>
      <c r="V134" s="267"/>
    </row>
    <row r="135" spans="2:22" x14ac:dyDescent="0.3">
      <c r="D135" s="286" t="s">
        <v>702</v>
      </c>
      <c r="E135" s="286"/>
      <c r="F135" s="286"/>
      <c r="G135" s="286"/>
      <c r="H135" s="286" t="s">
        <v>306</v>
      </c>
      <c r="I135" s="286"/>
      <c r="J135" s="286"/>
      <c r="K135" s="286" t="s">
        <v>259</v>
      </c>
      <c r="L135" s="286"/>
      <c r="M135" s="286"/>
      <c r="N135" s="286" t="s">
        <v>306</v>
      </c>
      <c r="O135" s="286"/>
      <c r="P135" s="286"/>
      <c r="Q135" s="294">
        <f>Q117</f>
        <v>6.5</v>
      </c>
      <c r="R135" s="294"/>
      <c r="S135" s="294"/>
      <c r="T135" s="286"/>
      <c r="U135" s="286"/>
      <c r="V135" s="286"/>
    </row>
    <row r="136" spans="2:22" x14ac:dyDescent="0.3">
      <c r="D136" s="286" t="s">
        <v>918</v>
      </c>
      <c r="E136" s="286"/>
      <c r="F136" s="286"/>
      <c r="G136" s="286"/>
      <c r="H136" s="286" t="s">
        <v>922</v>
      </c>
      <c r="I136" s="286"/>
      <c r="J136" s="286"/>
      <c r="K136" s="286" t="s">
        <v>259</v>
      </c>
      <c r="L136" s="286"/>
      <c r="M136" s="286"/>
      <c r="N136" s="286" t="s">
        <v>922</v>
      </c>
      <c r="O136" s="286"/>
      <c r="P136" s="286"/>
      <c r="Q136" s="294">
        <f>Q101</f>
        <v>0.65</v>
      </c>
      <c r="R136" s="294"/>
      <c r="S136" s="294"/>
      <c r="T136" s="286"/>
      <c r="U136" s="286"/>
      <c r="V136" s="286"/>
    </row>
    <row r="137" spans="2:22" x14ac:dyDescent="0.3">
      <c r="D137" s="286" t="s">
        <v>919</v>
      </c>
      <c r="E137" s="286"/>
      <c r="F137" s="286"/>
      <c r="G137" s="286"/>
      <c r="H137" s="286" t="s">
        <v>884</v>
      </c>
      <c r="I137" s="286"/>
      <c r="J137" s="286"/>
      <c r="K137" s="286" t="s">
        <v>259</v>
      </c>
      <c r="L137" s="286"/>
      <c r="M137" s="286"/>
      <c r="N137" s="286" t="s">
        <v>884</v>
      </c>
      <c r="O137" s="286"/>
      <c r="P137" s="286"/>
      <c r="Q137" s="294">
        <f>Q116</f>
        <v>0.83508437464606511</v>
      </c>
      <c r="R137" s="294"/>
      <c r="S137" s="294"/>
      <c r="T137" s="286"/>
      <c r="U137" s="286"/>
      <c r="V137" s="286"/>
    </row>
    <row r="138" spans="2:22" x14ac:dyDescent="0.3">
      <c r="D138" s="286" t="s">
        <v>920</v>
      </c>
      <c r="E138" s="286"/>
      <c r="F138" s="286"/>
      <c r="G138" s="286"/>
      <c r="H138" s="286" t="s">
        <v>923</v>
      </c>
      <c r="I138" s="286"/>
      <c r="J138" s="286"/>
      <c r="K138" s="286" t="s">
        <v>259</v>
      </c>
      <c r="L138" s="286"/>
      <c r="M138" s="286"/>
      <c r="N138" s="286" t="s">
        <v>923</v>
      </c>
      <c r="O138" s="286"/>
      <c r="P138" s="286"/>
      <c r="Q138" s="294">
        <f>Q104</f>
        <v>0.2</v>
      </c>
      <c r="R138" s="294"/>
      <c r="S138" s="294"/>
      <c r="T138" s="286"/>
      <c r="U138" s="286"/>
      <c r="V138" s="286"/>
    </row>
    <row r="139" spans="2:22" x14ac:dyDescent="0.3">
      <c r="D139" s="286" t="s">
        <v>921</v>
      </c>
      <c r="E139" s="286"/>
      <c r="F139" s="286"/>
      <c r="G139" s="286"/>
      <c r="H139" s="286" t="s">
        <v>885</v>
      </c>
      <c r="I139" s="286"/>
      <c r="J139" s="286"/>
      <c r="K139" s="286" t="s">
        <v>259</v>
      </c>
      <c r="L139" s="286"/>
      <c r="M139" s="286"/>
      <c r="N139" s="286" t="s">
        <v>885</v>
      </c>
      <c r="O139" s="286"/>
      <c r="P139" s="286"/>
      <c r="Q139" s="294">
        <f>Q119</f>
        <v>0.4</v>
      </c>
      <c r="R139" s="294"/>
      <c r="S139" s="294"/>
      <c r="T139" s="286"/>
      <c r="U139" s="286"/>
      <c r="V139" s="286"/>
    </row>
    <row r="140" spans="2:22" x14ac:dyDescent="0.3">
      <c r="D140" s="286" t="s">
        <v>841</v>
      </c>
      <c r="E140" s="286"/>
      <c r="F140" s="286"/>
      <c r="G140" s="286"/>
      <c r="H140" s="286" t="s">
        <v>591</v>
      </c>
      <c r="I140" s="286"/>
      <c r="J140" s="286"/>
      <c r="K140" s="286" t="s">
        <v>259</v>
      </c>
      <c r="L140" s="286"/>
      <c r="M140" s="286"/>
      <c r="N140" s="286" t="s">
        <v>591</v>
      </c>
      <c r="O140" s="286"/>
      <c r="P140" s="286"/>
      <c r="Q140" s="294">
        <f>Q85</f>
        <v>0.1</v>
      </c>
      <c r="R140" s="294"/>
      <c r="S140" s="294"/>
      <c r="T140" s="286"/>
      <c r="U140" s="286"/>
      <c r="V140" s="286"/>
    </row>
    <row r="141" spans="2:22" x14ac:dyDescent="0.3">
      <c r="D141" s="286" t="s">
        <v>371</v>
      </c>
      <c r="E141" s="286"/>
      <c r="F141" s="286"/>
      <c r="G141" s="286"/>
      <c r="H141" s="286" t="s">
        <v>415</v>
      </c>
      <c r="I141" s="286"/>
      <c r="J141" s="286"/>
      <c r="K141" s="286" t="s">
        <v>259</v>
      </c>
      <c r="L141" s="286"/>
      <c r="M141" s="286"/>
      <c r="N141" s="286" t="s">
        <v>415</v>
      </c>
      <c r="O141" s="286"/>
      <c r="P141" s="286"/>
      <c r="Q141" s="313">
        <f>Q105</f>
        <v>6.4651233038838098</v>
      </c>
      <c r="R141" s="313"/>
      <c r="S141" s="313"/>
      <c r="T141" s="286"/>
      <c r="U141" s="286"/>
      <c r="V141" s="286"/>
    </row>
    <row r="142" spans="2:22" x14ac:dyDescent="0.3">
      <c r="D142" s="286" t="s">
        <v>411</v>
      </c>
      <c r="E142" s="286"/>
      <c r="F142" s="286"/>
      <c r="G142" s="286"/>
      <c r="H142" s="286" t="s">
        <v>412</v>
      </c>
      <c r="I142" s="286"/>
      <c r="J142" s="286"/>
      <c r="K142" s="286" t="s">
        <v>259</v>
      </c>
      <c r="L142" s="286"/>
      <c r="M142" s="286"/>
      <c r="N142" s="286" t="s">
        <v>926</v>
      </c>
      <c r="O142" s="286"/>
      <c r="P142" s="286"/>
      <c r="Q142" s="294">
        <f>(Q103*Q101)+(Q118*Q116)+(Q103+Q118-1)*Q85</f>
        <v>10.945590622522456</v>
      </c>
      <c r="R142" s="294"/>
      <c r="S142" s="294"/>
      <c r="T142" s="286"/>
      <c r="U142" s="286"/>
      <c r="V142" s="286"/>
    </row>
    <row r="143" spans="2:22" x14ac:dyDescent="0.3">
      <c r="D143" s="286" t="s">
        <v>416</v>
      </c>
      <c r="E143" s="286"/>
      <c r="F143" s="286"/>
      <c r="G143" s="286"/>
      <c r="H143" s="286" t="s">
        <v>345</v>
      </c>
      <c r="I143" s="286"/>
      <c r="J143" s="286"/>
      <c r="K143" s="286" t="s">
        <v>259</v>
      </c>
      <c r="L143" s="286"/>
      <c r="M143" s="286"/>
      <c r="N143" s="286" t="s">
        <v>345</v>
      </c>
      <c r="O143" s="286"/>
      <c r="P143" s="286"/>
      <c r="Q143" s="294">
        <v>0.2</v>
      </c>
      <c r="R143" s="294"/>
      <c r="S143" s="294"/>
      <c r="T143" s="286"/>
      <c r="U143" s="286"/>
      <c r="V143" s="286"/>
    </row>
    <row r="144" spans="2:22" x14ac:dyDescent="0.3">
      <c r="B144" s="66"/>
      <c r="C144" s="66"/>
      <c r="D144" s="305" t="s">
        <v>931</v>
      </c>
      <c r="E144" s="305"/>
      <c r="F144" s="305"/>
      <c r="G144" s="305"/>
      <c r="H144" s="267"/>
      <c r="I144" s="267"/>
      <c r="J144" s="267"/>
      <c r="K144" s="267"/>
      <c r="L144" s="267"/>
      <c r="M144" s="267"/>
      <c r="N144" s="267"/>
      <c r="O144" s="267"/>
      <c r="P144" s="267"/>
      <c r="Q144" s="267"/>
      <c r="R144" s="267"/>
      <c r="S144" s="267"/>
      <c r="T144" s="267"/>
      <c r="U144" s="267"/>
      <c r="V144" s="267"/>
    </row>
    <row r="145" spans="2:22" x14ac:dyDescent="0.3">
      <c r="D145" s="286" t="s">
        <v>932</v>
      </c>
      <c r="E145" s="286"/>
      <c r="F145" s="286"/>
      <c r="G145" s="286"/>
      <c r="H145" s="286" t="s">
        <v>506</v>
      </c>
      <c r="I145" s="286"/>
      <c r="J145" s="286"/>
      <c r="K145" s="286" t="s">
        <v>259</v>
      </c>
      <c r="L145" s="286"/>
      <c r="M145" s="286"/>
      <c r="N145" s="286" t="s">
        <v>310</v>
      </c>
      <c r="O145" s="286"/>
      <c r="P145" s="286"/>
      <c r="Q145" s="294">
        <v>0.4</v>
      </c>
      <c r="R145" s="294"/>
      <c r="S145" s="294"/>
      <c r="T145" s="286"/>
      <c r="U145" s="286"/>
      <c r="V145" s="286"/>
    </row>
    <row r="146" spans="2:22" x14ac:dyDescent="0.3">
      <c r="D146" s="286" t="s">
        <v>933</v>
      </c>
      <c r="E146" s="286"/>
      <c r="F146" s="286"/>
      <c r="G146" s="286"/>
      <c r="H146" s="286" t="s">
        <v>509</v>
      </c>
      <c r="I146" s="286"/>
      <c r="J146" s="286"/>
      <c r="K146" s="286" t="s">
        <v>259</v>
      </c>
      <c r="L146" s="286"/>
      <c r="M146" s="286"/>
      <c r="N146" s="286" t="s">
        <v>310</v>
      </c>
      <c r="O146" s="286"/>
      <c r="P146" s="286"/>
      <c r="Q146" s="294">
        <v>0.2</v>
      </c>
      <c r="R146" s="294"/>
      <c r="S146" s="294"/>
      <c r="T146" s="286"/>
      <c r="U146" s="286"/>
      <c r="V146" s="286"/>
    </row>
    <row r="147" spans="2:22" x14ac:dyDescent="0.3">
      <c r="D147" s="286" t="s">
        <v>934</v>
      </c>
      <c r="E147" s="286"/>
      <c r="F147" s="286"/>
      <c r="G147" s="286"/>
      <c r="H147" s="286" t="s">
        <v>696</v>
      </c>
      <c r="I147" s="286"/>
      <c r="J147" s="286"/>
      <c r="K147" s="286" t="s">
        <v>259</v>
      </c>
      <c r="L147" s="286"/>
      <c r="M147" s="286"/>
      <c r="N147" s="286" t="s">
        <v>935</v>
      </c>
      <c r="O147" s="286"/>
      <c r="P147" s="286"/>
      <c r="Q147" s="294">
        <f>Q95/(2.746*(Q146^(2/3))*Q145)</f>
        <v>0.90893539814416047</v>
      </c>
      <c r="R147" s="294"/>
      <c r="S147" s="294"/>
      <c r="T147" s="286"/>
      <c r="U147" s="286"/>
      <c r="V147" s="286"/>
    </row>
    <row r="148" spans="2:22" x14ac:dyDescent="0.3">
      <c r="B148" s="66"/>
      <c r="C148" s="66"/>
      <c r="D148" s="305" t="s">
        <v>539</v>
      </c>
      <c r="E148" s="305"/>
      <c r="F148" s="305"/>
      <c r="G148" s="305"/>
      <c r="H148" s="267"/>
      <c r="I148" s="267"/>
      <c r="J148" s="267"/>
      <c r="K148" s="267"/>
      <c r="L148" s="267"/>
      <c r="M148" s="267"/>
      <c r="N148" s="267"/>
      <c r="O148" s="267"/>
      <c r="P148" s="267"/>
      <c r="Q148" s="267"/>
      <c r="R148" s="267"/>
      <c r="S148" s="267"/>
      <c r="T148" s="267"/>
      <c r="U148" s="267"/>
      <c r="V148" s="267"/>
    </row>
    <row r="149" spans="2:22" x14ac:dyDescent="0.3">
      <c r="D149" s="286" t="s">
        <v>936</v>
      </c>
      <c r="E149" s="286"/>
      <c r="F149" s="286"/>
      <c r="G149" s="286"/>
      <c r="H149" s="286" t="s">
        <v>668</v>
      </c>
      <c r="I149" s="286"/>
      <c r="J149" s="286"/>
      <c r="K149" s="286" t="s">
        <v>259</v>
      </c>
      <c r="L149" s="286"/>
      <c r="M149" s="286"/>
      <c r="N149" s="286" t="s">
        <v>310</v>
      </c>
      <c r="O149" s="286"/>
      <c r="P149" s="286"/>
      <c r="Q149" s="294">
        <v>7.5</v>
      </c>
      <c r="R149" s="294"/>
      <c r="S149" s="294"/>
      <c r="T149" s="286"/>
      <c r="U149" s="286"/>
      <c r="V149" s="286"/>
    </row>
    <row r="150" spans="2:22" x14ac:dyDescent="0.3">
      <c r="D150" s="286" t="s">
        <v>937</v>
      </c>
      <c r="E150" s="286"/>
      <c r="F150" s="286"/>
      <c r="G150" s="286"/>
      <c r="H150" s="286" t="s">
        <v>940</v>
      </c>
      <c r="I150" s="286"/>
      <c r="J150" s="286"/>
      <c r="K150" s="286" t="s">
        <v>258</v>
      </c>
      <c r="L150" s="286"/>
      <c r="M150" s="286"/>
      <c r="N150" s="286" t="s">
        <v>310</v>
      </c>
      <c r="O150" s="286"/>
      <c r="P150" s="286"/>
      <c r="Q150" s="294">
        <v>0.25</v>
      </c>
      <c r="R150" s="294"/>
      <c r="S150" s="294"/>
      <c r="T150" s="286"/>
      <c r="U150" s="286"/>
      <c r="V150" s="286"/>
    </row>
    <row r="151" spans="2:22" x14ac:dyDescent="0.3">
      <c r="D151" s="286" t="s">
        <v>938</v>
      </c>
      <c r="E151" s="286"/>
      <c r="F151" s="286"/>
      <c r="G151" s="286"/>
      <c r="H151" s="286" t="s">
        <v>415</v>
      </c>
      <c r="I151" s="286"/>
      <c r="J151" s="286"/>
      <c r="K151" s="286" t="s">
        <v>259</v>
      </c>
      <c r="L151" s="286"/>
      <c r="M151" s="286"/>
      <c r="N151" s="286" t="s">
        <v>310</v>
      </c>
      <c r="O151" s="286"/>
      <c r="P151" s="286"/>
      <c r="Q151" s="294">
        <f>Q133</f>
        <v>6.2779895686684881</v>
      </c>
      <c r="R151" s="294"/>
      <c r="S151" s="294"/>
      <c r="T151" s="286"/>
      <c r="U151" s="286"/>
      <c r="V151" s="286"/>
    </row>
    <row r="152" spans="2:22" x14ac:dyDescent="0.3">
      <c r="D152" s="286" t="s">
        <v>416</v>
      </c>
      <c r="E152" s="286"/>
      <c r="F152" s="286"/>
      <c r="G152" s="286"/>
      <c r="H152" s="286" t="s">
        <v>345</v>
      </c>
      <c r="I152" s="286"/>
      <c r="J152" s="286"/>
      <c r="K152" s="286" t="s">
        <v>259</v>
      </c>
      <c r="L152" s="286"/>
      <c r="M152" s="286"/>
      <c r="N152" s="286" t="s">
        <v>310</v>
      </c>
      <c r="O152" s="286"/>
      <c r="P152" s="286"/>
      <c r="Q152" s="294">
        <v>0.2</v>
      </c>
      <c r="R152" s="294"/>
      <c r="S152" s="294"/>
      <c r="T152" s="286"/>
      <c r="U152" s="286"/>
      <c r="V152" s="286"/>
    </row>
    <row r="153" spans="2:22" x14ac:dyDescent="0.3">
      <c r="D153" s="286" t="s">
        <v>930</v>
      </c>
      <c r="E153" s="286"/>
      <c r="F153" s="286"/>
      <c r="G153" s="286"/>
      <c r="H153" s="286" t="s">
        <v>306</v>
      </c>
      <c r="I153" s="286"/>
      <c r="J153" s="286"/>
      <c r="K153" s="286" t="s">
        <v>259</v>
      </c>
      <c r="L153" s="286"/>
      <c r="M153" s="286"/>
      <c r="N153" s="286" t="s">
        <v>939</v>
      </c>
      <c r="O153" s="286"/>
      <c r="P153" s="286"/>
      <c r="Q153" s="294">
        <f>Q95/(Q150*Q151)</f>
        <v>0.2175469205558303</v>
      </c>
      <c r="R153" s="294"/>
      <c r="S153" s="294"/>
      <c r="T153" s="286"/>
      <c r="U153" s="286"/>
      <c r="V153" s="286"/>
    </row>
    <row r="154" spans="2:22" x14ac:dyDescent="0.3">
      <c r="D154" s="286" t="s">
        <v>941</v>
      </c>
      <c r="E154" s="286"/>
      <c r="F154" s="286"/>
      <c r="G154" s="286"/>
      <c r="H154" s="286" t="s">
        <v>943</v>
      </c>
      <c r="I154" s="286"/>
      <c r="J154" s="286"/>
      <c r="K154" s="286" t="s">
        <v>258</v>
      </c>
      <c r="L154" s="286"/>
      <c r="M154" s="286"/>
      <c r="N154" s="286" t="s">
        <v>945</v>
      </c>
      <c r="O154" s="286"/>
      <c r="P154" s="286"/>
      <c r="Q154" s="294">
        <f>Q95/(Q153*Q151)</f>
        <v>0.25</v>
      </c>
      <c r="R154" s="294"/>
      <c r="S154" s="294"/>
      <c r="T154" s="286"/>
      <c r="U154" s="286"/>
      <c r="V154" s="286"/>
    </row>
    <row r="155" spans="2:22" x14ac:dyDescent="0.3">
      <c r="D155" s="286" t="s">
        <v>431</v>
      </c>
      <c r="E155" s="286"/>
      <c r="F155" s="286"/>
      <c r="G155" s="286"/>
      <c r="H155" s="286" t="s">
        <v>432</v>
      </c>
      <c r="I155" s="286"/>
      <c r="J155" s="286"/>
      <c r="K155" s="286" t="s">
        <v>259</v>
      </c>
      <c r="L155" s="286"/>
      <c r="M155" s="286"/>
      <c r="N155" s="286" t="s">
        <v>946</v>
      </c>
      <c r="O155" s="286"/>
      <c r="P155" s="286"/>
      <c r="Q155" s="294">
        <f>(Q151*Q153)/((2*Q151)+Q153)</f>
        <v>0.10692093097516707</v>
      </c>
      <c r="R155" s="294"/>
      <c r="S155" s="294"/>
      <c r="T155" s="286"/>
      <c r="U155" s="286"/>
      <c r="V155" s="286"/>
    </row>
    <row r="156" spans="2:22" x14ac:dyDescent="0.3">
      <c r="D156" s="286" t="s">
        <v>496</v>
      </c>
      <c r="E156" s="286"/>
      <c r="F156" s="286"/>
      <c r="G156" s="286"/>
      <c r="H156" s="286" t="s">
        <v>497</v>
      </c>
      <c r="I156" s="286"/>
      <c r="J156" s="286"/>
      <c r="K156" s="286"/>
      <c r="L156" s="286"/>
      <c r="M156" s="286"/>
      <c r="N156" s="286" t="s">
        <v>947</v>
      </c>
      <c r="O156" s="286"/>
      <c r="P156" s="286"/>
      <c r="Q156" s="317">
        <f>((Q154*0.013)/(Q155^(2/3)))^2</f>
        <v>2.0813721854439862E-4</v>
      </c>
      <c r="R156" s="317"/>
      <c r="S156" s="317"/>
      <c r="T156" s="286"/>
      <c r="U156" s="286"/>
      <c r="V156" s="286"/>
    </row>
    <row r="157" spans="2:22" x14ac:dyDescent="0.3">
      <c r="D157" s="286" t="s">
        <v>942</v>
      </c>
      <c r="E157" s="286"/>
      <c r="F157" s="286"/>
      <c r="G157" s="286"/>
      <c r="H157" s="286" t="s">
        <v>944</v>
      </c>
      <c r="I157" s="286"/>
      <c r="J157" s="286"/>
      <c r="K157" s="286" t="s">
        <v>259</v>
      </c>
      <c r="L157" s="286"/>
      <c r="M157" s="286"/>
      <c r="N157" s="286" t="s">
        <v>948</v>
      </c>
      <c r="O157" s="286"/>
      <c r="P157" s="286"/>
      <c r="Q157" s="317">
        <f>Q156*Q149</f>
        <v>1.5610291390829897E-3</v>
      </c>
      <c r="R157" s="317"/>
      <c r="S157" s="317"/>
      <c r="T157" s="286"/>
      <c r="U157" s="286"/>
      <c r="V157" s="286"/>
    </row>
    <row r="158" spans="2:22" x14ac:dyDescent="0.3">
      <c r="D158" s="286"/>
      <c r="E158" s="286"/>
      <c r="F158" s="286"/>
      <c r="G158" s="286"/>
      <c r="H158" s="286"/>
      <c r="I158" s="286"/>
      <c r="J158" s="286"/>
      <c r="K158" s="286"/>
      <c r="L158" s="286"/>
      <c r="M158" s="286"/>
      <c r="N158" s="286"/>
      <c r="O158" s="286"/>
      <c r="P158" s="286"/>
      <c r="Q158" s="294"/>
      <c r="R158" s="294"/>
      <c r="S158" s="294"/>
      <c r="T158" s="286"/>
      <c r="U158" s="286"/>
      <c r="V158" s="286"/>
    </row>
    <row r="159" spans="2:22" x14ac:dyDescent="0.3">
      <c r="D159" s="286"/>
      <c r="E159" s="286"/>
      <c r="F159" s="286"/>
      <c r="G159" s="286"/>
      <c r="H159" s="286"/>
      <c r="I159" s="286"/>
      <c r="J159" s="286"/>
      <c r="K159" s="286"/>
      <c r="L159" s="286"/>
      <c r="M159" s="286"/>
      <c r="N159" s="286"/>
      <c r="O159" s="286"/>
      <c r="P159" s="286"/>
      <c r="Q159" s="294"/>
      <c r="R159" s="294"/>
      <c r="S159" s="294"/>
      <c r="T159" s="286"/>
      <c r="U159" s="286"/>
      <c r="V159" s="286"/>
    </row>
    <row r="160" spans="2:22" x14ac:dyDescent="0.3">
      <c r="D160" s="286"/>
      <c r="E160" s="286"/>
      <c r="F160" s="286"/>
      <c r="G160" s="286"/>
      <c r="H160" s="286"/>
      <c r="I160" s="286"/>
      <c r="J160" s="286"/>
      <c r="K160" s="286"/>
      <c r="L160" s="286"/>
      <c r="M160" s="286"/>
      <c r="N160" s="286"/>
      <c r="O160" s="286"/>
      <c r="P160" s="286"/>
      <c r="Q160" s="294"/>
      <c r="R160" s="294"/>
      <c r="S160" s="294"/>
      <c r="T160" s="286"/>
      <c r="U160" s="286"/>
      <c r="V160" s="286"/>
    </row>
    <row r="161" spans="4:22" x14ac:dyDescent="0.3">
      <c r="D161" s="286"/>
      <c r="E161" s="286"/>
      <c r="F161" s="286"/>
      <c r="G161" s="286"/>
      <c r="H161" s="286"/>
      <c r="I161" s="286"/>
      <c r="J161" s="286"/>
      <c r="K161" s="286"/>
      <c r="L161" s="286"/>
      <c r="M161" s="286"/>
      <c r="N161" s="286"/>
      <c r="O161" s="286"/>
      <c r="P161" s="286"/>
      <c r="Q161" s="294"/>
      <c r="R161" s="294"/>
      <c r="S161" s="294"/>
      <c r="T161" s="286"/>
      <c r="U161" s="286"/>
      <c r="V161" s="286"/>
    </row>
    <row r="162" spans="4:22" x14ac:dyDescent="0.3">
      <c r="D162" s="286"/>
      <c r="E162" s="286"/>
      <c r="F162" s="286"/>
      <c r="G162" s="286"/>
      <c r="H162" s="286"/>
      <c r="I162" s="286"/>
      <c r="J162" s="286"/>
      <c r="K162" s="286"/>
      <c r="L162" s="286"/>
      <c r="M162" s="286"/>
      <c r="N162" s="286"/>
      <c r="O162" s="286"/>
      <c r="P162" s="286"/>
      <c r="Q162" s="294"/>
      <c r="R162" s="294"/>
      <c r="S162" s="294"/>
      <c r="T162" s="286"/>
      <c r="U162" s="286"/>
      <c r="V162" s="286"/>
    </row>
    <row r="163" spans="4:22" x14ac:dyDescent="0.3">
      <c r="D163" s="286"/>
      <c r="E163" s="286"/>
      <c r="F163" s="286"/>
      <c r="G163" s="286"/>
      <c r="H163" s="286"/>
      <c r="I163" s="286"/>
      <c r="J163" s="286"/>
      <c r="K163" s="286"/>
      <c r="L163" s="286"/>
      <c r="M163" s="286"/>
      <c r="N163" s="286"/>
      <c r="O163" s="286"/>
      <c r="P163" s="286"/>
      <c r="Q163" s="294"/>
      <c r="R163" s="294"/>
      <c r="S163" s="294"/>
      <c r="T163" s="286"/>
      <c r="U163" s="286"/>
      <c r="V163" s="286"/>
    </row>
    <row r="164" spans="4:22" x14ac:dyDescent="0.3">
      <c r="D164" s="286"/>
      <c r="E164" s="286"/>
      <c r="F164" s="286"/>
      <c r="G164" s="286"/>
      <c r="H164" s="286"/>
      <c r="I164" s="286"/>
      <c r="J164" s="286"/>
      <c r="K164" s="286"/>
      <c r="L164" s="286"/>
      <c r="M164" s="286"/>
      <c r="N164" s="286"/>
      <c r="O164" s="286"/>
      <c r="P164" s="286"/>
      <c r="Q164" s="294"/>
      <c r="R164" s="294"/>
      <c r="S164" s="294"/>
      <c r="T164" s="286"/>
      <c r="U164" s="286"/>
      <c r="V164" s="286"/>
    </row>
    <row r="165" spans="4:22" x14ac:dyDescent="0.3">
      <c r="D165" s="286"/>
      <c r="E165" s="286"/>
      <c r="F165" s="286"/>
      <c r="G165" s="286"/>
      <c r="H165" s="286"/>
      <c r="I165" s="286"/>
      <c r="J165" s="286"/>
      <c r="K165" s="286"/>
      <c r="L165" s="286"/>
      <c r="M165" s="286"/>
      <c r="N165" s="286"/>
      <c r="O165" s="286"/>
      <c r="P165" s="286"/>
      <c r="Q165" s="294"/>
      <c r="R165" s="294"/>
      <c r="S165" s="294"/>
      <c r="T165" s="286"/>
      <c r="U165" s="286"/>
      <c r="V165" s="286"/>
    </row>
    <row r="166" spans="4:22" x14ac:dyDescent="0.3">
      <c r="D166" s="286"/>
      <c r="E166" s="286"/>
      <c r="F166" s="286"/>
      <c r="G166" s="286"/>
      <c r="H166" s="286"/>
      <c r="I166" s="286"/>
      <c r="J166" s="286"/>
      <c r="K166" s="286"/>
      <c r="L166" s="286"/>
      <c r="M166" s="286"/>
      <c r="N166" s="286"/>
      <c r="O166" s="286"/>
      <c r="P166" s="286"/>
      <c r="Q166" s="294"/>
      <c r="R166" s="294"/>
      <c r="S166" s="294"/>
      <c r="T166" s="286"/>
      <c r="U166" s="286"/>
      <c r="V166" s="286"/>
    </row>
    <row r="167" spans="4:22" x14ac:dyDescent="0.3">
      <c r="D167" s="286"/>
      <c r="E167" s="286"/>
      <c r="F167" s="286"/>
      <c r="G167" s="286"/>
      <c r="H167" s="286"/>
      <c r="I167" s="286"/>
      <c r="J167" s="286"/>
      <c r="K167" s="286"/>
      <c r="L167" s="286"/>
      <c r="M167" s="286"/>
      <c r="N167" s="286"/>
      <c r="O167" s="286"/>
      <c r="P167" s="286"/>
      <c r="Q167" s="294"/>
      <c r="R167" s="294"/>
      <c r="S167" s="294"/>
      <c r="T167" s="286"/>
      <c r="U167" s="286"/>
      <c r="V167" s="286"/>
    </row>
    <row r="168" spans="4:22" x14ac:dyDescent="0.3">
      <c r="D168" s="286"/>
      <c r="E168" s="286"/>
      <c r="F168" s="286"/>
      <c r="G168" s="286"/>
      <c r="H168" s="286"/>
      <c r="I168" s="286"/>
      <c r="J168" s="286"/>
      <c r="K168" s="286"/>
      <c r="L168" s="286"/>
      <c r="M168" s="286"/>
      <c r="N168" s="286"/>
      <c r="O168" s="286"/>
      <c r="P168" s="286"/>
      <c r="Q168" s="294"/>
      <c r="R168" s="294"/>
      <c r="S168" s="294"/>
      <c r="T168" s="286"/>
      <c r="U168" s="286"/>
      <c r="V168" s="286"/>
    </row>
    <row r="169" spans="4:22" x14ac:dyDescent="0.3">
      <c r="D169" s="286"/>
      <c r="E169" s="286"/>
      <c r="F169" s="286"/>
      <c r="G169" s="286"/>
      <c r="H169" s="286"/>
      <c r="I169" s="286"/>
      <c r="J169" s="286"/>
      <c r="K169" s="286"/>
      <c r="L169" s="286"/>
      <c r="M169" s="286"/>
      <c r="N169" s="286"/>
      <c r="O169" s="286"/>
      <c r="P169" s="286"/>
      <c r="Q169" s="294"/>
      <c r="R169" s="294"/>
      <c r="S169" s="294"/>
      <c r="T169" s="286"/>
      <c r="U169" s="286"/>
      <c r="V169" s="286"/>
    </row>
    <row r="170" spans="4:22" x14ac:dyDescent="0.3">
      <c r="D170" s="286"/>
      <c r="E170" s="286"/>
      <c r="F170" s="286"/>
      <c r="G170" s="286"/>
      <c r="H170" s="286"/>
      <c r="I170" s="286"/>
      <c r="J170" s="286"/>
      <c r="K170" s="286"/>
      <c r="L170" s="286"/>
      <c r="M170" s="286"/>
      <c r="N170" s="286"/>
      <c r="O170" s="286"/>
      <c r="P170" s="286"/>
      <c r="Q170" s="294"/>
      <c r="R170" s="294"/>
      <c r="S170" s="294"/>
      <c r="T170" s="286"/>
      <c r="U170" s="286"/>
      <c r="V170" s="286"/>
    </row>
    <row r="171" spans="4:22" x14ac:dyDescent="0.3">
      <c r="D171" s="286"/>
      <c r="E171" s="286"/>
      <c r="F171" s="286"/>
      <c r="G171" s="286"/>
      <c r="H171" s="286"/>
      <c r="I171" s="286"/>
      <c r="J171" s="286"/>
      <c r="K171" s="286"/>
      <c r="L171" s="286"/>
      <c r="M171" s="286"/>
      <c r="N171" s="286"/>
      <c r="O171" s="286"/>
      <c r="P171" s="286"/>
      <c r="Q171" s="294"/>
      <c r="R171" s="294"/>
      <c r="S171" s="294"/>
      <c r="T171" s="286"/>
      <c r="U171" s="286"/>
      <c r="V171" s="286"/>
    </row>
    <row r="172" spans="4:22" x14ac:dyDescent="0.3">
      <c r="D172" s="286"/>
      <c r="E172" s="286"/>
      <c r="F172" s="286"/>
      <c r="G172" s="286"/>
      <c r="H172" s="286"/>
      <c r="I172" s="286"/>
      <c r="J172" s="286"/>
      <c r="K172" s="286"/>
      <c r="L172" s="286"/>
      <c r="M172" s="286"/>
      <c r="N172" s="286"/>
      <c r="O172" s="286"/>
      <c r="P172" s="286"/>
      <c r="Q172" s="294"/>
      <c r="R172" s="294"/>
      <c r="S172" s="294"/>
      <c r="T172" s="286"/>
      <c r="U172" s="286"/>
      <c r="V172" s="286"/>
    </row>
    <row r="173" spans="4:22" x14ac:dyDescent="0.3">
      <c r="D173" s="286"/>
      <c r="E173" s="286"/>
      <c r="F173" s="286"/>
      <c r="G173" s="286"/>
      <c r="H173" s="286"/>
      <c r="I173" s="286"/>
      <c r="J173" s="286"/>
      <c r="K173" s="286"/>
      <c r="L173" s="286"/>
      <c r="M173" s="286"/>
      <c r="N173" s="286"/>
      <c r="O173" s="286"/>
      <c r="P173" s="286"/>
      <c r="Q173" s="294"/>
      <c r="R173" s="294"/>
      <c r="S173" s="294"/>
      <c r="T173" s="286"/>
      <c r="U173" s="286"/>
      <c r="V173" s="286"/>
    </row>
    <row r="174" spans="4:22" x14ac:dyDescent="0.3">
      <c r="D174" s="286"/>
      <c r="E174" s="286"/>
      <c r="F174" s="286"/>
      <c r="G174" s="286"/>
      <c r="H174" s="286"/>
      <c r="I174" s="286"/>
      <c r="J174" s="286"/>
      <c r="K174" s="286"/>
      <c r="L174" s="286"/>
      <c r="M174" s="286"/>
      <c r="N174" s="286"/>
      <c r="O174" s="286"/>
      <c r="P174" s="286"/>
      <c r="Q174" s="294"/>
      <c r="R174" s="294"/>
      <c r="S174" s="294"/>
      <c r="T174" s="286"/>
      <c r="U174" s="286"/>
      <c r="V174" s="286"/>
    </row>
    <row r="175" spans="4:22" x14ac:dyDescent="0.3">
      <c r="D175" s="286"/>
      <c r="E175" s="286"/>
      <c r="F175" s="286"/>
      <c r="G175" s="286"/>
      <c r="H175" s="286"/>
      <c r="I175" s="286"/>
      <c r="J175" s="286"/>
      <c r="K175" s="286"/>
      <c r="L175" s="286"/>
      <c r="M175" s="286"/>
      <c r="N175" s="286"/>
      <c r="O175" s="286"/>
      <c r="P175" s="286"/>
      <c r="Q175" s="294"/>
      <c r="R175" s="294"/>
      <c r="S175" s="294"/>
      <c r="T175" s="286"/>
      <c r="U175" s="286"/>
      <c r="V175" s="286"/>
    </row>
    <row r="176" spans="4:22" x14ac:dyDescent="0.3">
      <c r="D176" s="286"/>
      <c r="E176" s="286"/>
      <c r="F176" s="286"/>
      <c r="G176" s="286"/>
      <c r="H176" s="286"/>
      <c r="I176" s="286"/>
      <c r="J176" s="286"/>
      <c r="K176" s="286"/>
      <c r="L176" s="286"/>
      <c r="M176" s="286"/>
      <c r="N176" s="286"/>
      <c r="O176" s="286"/>
      <c r="P176" s="286"/>
      <c r="Q176" s="294"/>
      <c r="R176" s="294"/>
      <c r="S176" s="294"/>
      <c r="T176" s="286"/>
      <c r="U176" s="286"/>
      <c r="V176" s="286"/>
    </row>
    <row r="177" spans="4:22" x14ac:dyDescent="0.3">
      <c r="D177" s="286"/>
      <c r="E177" s="286"/>
      <c r="F177" s="286"/>
      <c r="G177" s="286"/>
      <c r="H177" s="286"/>
      <c r="I177" s="286"/>
      <c r="J177" s="286"/>
      <c r="K177" s="286"/>
      <c r="L177" s="286"/>
      <c r="M177" s="286"/>
      <c r="N177" s="286"/>
      <c r="O177" s="286"/>
      <c r="P177" s="286"/>
      <c r="Q177" s="294"/>
      <c r="R177" s="294"/>
      <c r="S177" s="294"/>
      <c r="T177" s="286"/>
      <c r="U177" s="286"/>
      <c r="V177" s="286"/>
    </row>
    <row r="178" spans="4:22" x14ac:dyDescent="0.3">
      <c r="D178" s="286"/>
      <c r="E178" s="286"/>
      <c r="F178" s="286"/>
      <c r="G178" s="286"/>
      <c r="H178" s="286"/>
      <c r="I178" s="286"/>
      <c r="J178" s="286"/>
      <c r="K178" s="286"/>
      <c r="L178" s="286"/>
      <c r="M178" s="286"/>
      <c r="N178" s="286"/>
      <c r="O178" s="286"/>
      <c r="P178" s="286"/>
      <c r="Q178" s="294"/>
      <c r="R178" s="294"/>
      <c r="S178" s="294"/>
      <c r="T178" s="286"/>
      <c r="U178" s="286"/>
      <c r="V178" s="286"/>
    </row>
    <row r="179" spans="4:22" x14ac:dyDescent="0.3">
      <c r="D179" s="286"/>
      <c r="E179" s="286"/>
      <c r="F179" s="286"/>
      <c r="G179" s="286"/>
      <c r="H179" s="286"/>
      <c r="I179" s="286"/>
      <c r="J179" s="286"/>
      <c r="K179" s="286"/>
      <c r="L179" s="286"/>
      <c r="M179" s="286"/>
      <c r="N179" s="286"/>
      <c r="O179" s="286"/>
      <c r="P179" s="286"/>
      <c r="Q179" s="294"/>
      <c r="R179" s="294"/>
      <c r="S179" s="294"/>
      <c r="T179" s="286"/>
      <c r="U179" s="286"/>
      <c r="V179" s="286"/>
    </row>
    <row r="180" spans="4:22" x14ac:dyDescent="0.3">
      <c r="D180" s="286"/>
      <c r="E180" s="286"/>
      <c r="F180" s="286"/>
      <c r="G180" s="286"/>
      <c r="H180" s="286"/>
      <c r="I180" s="286"/>
      <c r="J180" s="286"/>
      <c r="K180" s="286"/>
      <c r="L180" s="286"/>
      <c r="M180" s="286"/>
      <c r="N180" s="286"/>
      <c r="O180" s="286"/>
      <c r="P180" s="286"/>
      <c r="Q180" s="294"/>
      <c r="R180" s="294"/>
      <c r="S180" s="294"/>
      <c r="T180" s="286"/>
      <c r="U180" s="286"/>
      <c r="V180" s="286"/>
    </row>
    <row r="181" spans="4:22" x14ac:dyDescent="0.3">
      <c r="D181" s="286"/>
      <c r="E181" s="286"/>
      <c r="F181" s="286"/>
      <c r="G181" s="286"/>
      <c r="H181" s="286"/>
      <c r="I181" s="286"/>
      <c r="J181" s="286"/>
      <c r="K181" s="286"/>
      <c r="L181" s="286"/>
      <c r="M181" s="286"/>
      <c r="N181" s="286"/>
      <c r="O181" s="286"/>
      <c r="P181" s="286"/>
      <c r="Q181" s="294"/>
      <c r="R181" s="294"/>
      <c r="S181" s="294"/>
      <c r="T181" s="286"/>
      <c r="U181" s="286"/>
      <c r="V181" s="286"/>
    </row>
    <row r="182" spans="4:22" x14ac:dyDescent="0.3">
      <c r="D182" s="286"/>
      <c r="E182" s="286"/>
      <c r="F182" s="286"/>
      <c r="G182" s="286"/>
      <c r="H182" s="286"/>
      <c r="I182" s="286"/>
      <c r="J182" s="286"/>
      <c r="K182" s="286"/>
      <c r="L182" s="286"/>
      <c r="M182" s="286"/>
      <c r="N182" s="286"/>
      <c r="O182" s="286"/>
      <c r="P182" s="286"/>
      <c r="Q182" s="294"/>
      <c r="R182" s="294"/>
      <c r="S182" s="294"/>
      <c r="T182" s="286"/>
      <c r="U182" s="286"/>
      <c r="V182" s="286"/>
    </row>
  </sheetData>
  <mergeCells count="1045">
    <mergeCell ref="T137:V137"/>
    <mergeCell ref="T138:V138"/>
    <mergeCell ref="T139:V139"/>
    <mergeCell ref="T128:V128"/>
    <mergeCell ref="T129:V129"/>
    <mergeCell ref="T130:V130"/>
    <mergeCell ref="T131:V131"/>
    <mergeCell ref="T132:V132"/>
    <mergeCell ref="T133:V133"/>
    <mergeCell ref="T134:V134"/>
    <mergeCell ref="T135:V135"/>
    <mergeCell ref="T136:V136"/>
    <mergeCell ref="Q128:S128"/>
    <mergeCell ref="Q129:S129"/>
    <mergeCell ref="Q130:S130"/>
    <mergeCell ref="Q131:S131"/>
    <mergeCell ref="Q132:S132"/>
    <mergeCell ref="Q133:S133"/>
    <mergeCell ref="Q134:S134"/>
    <mergeCell ref="Q135:S135"/>
    <mergeCell ref="Q136:S136"/>
    <mergeCell ref="Q137:S137"/>
    <mergeCell ref="Q138:S138"/>
    <mergeCell ref="Q139:S139"/>
    <mergeCell ref="T107:V107"/>
    <mergeCell ref="T108:V108"/>
    <mergeCell ref="T109:V109"/>
    <mergeCell ref="T110:V110"/>
    <mergeCell ref="T111:V111"/>
    <mergeCell ref="T112:V112"/>
    <mergeCell ref="T113:V113"/>
    <mergeCell ref="T114:V114"/>
    <mergeCell ref="T115:V115"/>
    <mergeCell ref="T116:V116"/>
    <mergeCell ref="T117:V117"/>
    <mergeCell ref="T118:V118"/>
    <mergeCell ref="T119:V119"/>
    <mergeCell ref="T120:V120"/>
    <mergeCell ref="T121:V121"/>
    <mergeCell ref="T122:V122"/>
    <mergeCell ref="T123:V123"/>
    <mergeCell ref="N130:P130"/>
    <mergeCell ref="N118:P118"/>
    <mergeCell ref="N119:P119"/>
    <mergeCell ref="N120:P120"/>
    <mergeCell ref="N121:P121"/>
    <mergeCell ref="N122:P122"/>
    <mergeCell ref="N123:P123"/>
    <mergeCell ref="N124:P124"/>
    <mergeCell ref="N131:P131"/>
    <mergeCell ref="N132:P132"/>
    <mergeCell ref="N133:P133"/>
    <mergeCell ref="K128:M128"/>
    <mergeCell ref="K129:M129"/>
    <mergeCell ref="K130:M130"/>
    <mergeCell ref="K131:M131"/>
    <mergeCell ref="K132:M132"/>
    <mergeCell ref="K133:M133"/>
    <mergeCell ref="N114:P114"/>
    <mergeCell ref="N115:P115"/>
    <mergeCell ref="N116:P116"/>
    <mergeCell ref="H123:J123"/>
    <mergeCell ref="H124:J124"/>
    <mergeCell ref="Q122:S122"/>
    <mergeCell ref="Q123:S123"/>
    <mergeCell ref="Q124:S124"/>
    <mergeCell ref="Q125:S125"/>
    <mergeCell ref="Q126:S126"/>
    <mergeCell ref="T124:V124"/>
    <mergeCell ref="T125:V125"/>
    <mergeCell ref="T126:V126"/>
    <mergeCell ref="N126:P126"/>
    <mergeCell ref="N127:P127"/>
    <mergeCell ref="N128:P128"/>
    <mergeCell ref="N129:P129"/>
    <mergeCell ref="Q127:S127"/>
    <mergeCell ref="T127:V127"/>
    <mergeCell ref="Q118:S118"/>
    <mergeCell ref="Q119:S119"/>
    <mergeCell ref="Q120:S120"/>
    <mergeCell ref="Q121:S121"/>
    <mergeCell ref="H125:J125"/>
    <mergeCell ref="H126:J126"/>
    <mergeCell ref="H127:J127"/>
    <mergeCell ref="H128:J128"/>
    <mergeCell ref="H129:J129"/>
    <mergeCell ref="H130:J130"/>
    <mergeCell ref="H131:J131"/>
    <mergeCell ref="H132:J132"/>
    <mergeCell ref="H133:J133"/>
    <mergeCell ref="K125:M125"/>
    <mergeCell ref="K126:M126"/>
    <mergeCell ref="K127:M127"/>
    <mergeCell ref="K110:M110"/>
    <mergeCell ref="K111:M111"/>
    <mergeCell ref="K112:M112"/>
    <mergeCell ref="K113:M113"/>
    <mergeCell ref="K114:M114"/>
    <mergeCell ref="K115:M115"/>
    <mergeCell ref="K116:M116"/>
    <mergeCell ref="K117:M117"/>
    <mergeCell ref="K118:M118"/>
    <mergeCell ref="K119:M119"/>
    <mergeCell ref="K120:M120"/>
    <mergeCell ref="K121:M121"/>
    <mergeCell ref="K122:M122"/>
    <mergeCell ref="K123:M123"/>
    <mergeCell ref="K124:M124"/>
    <mergeCell ref="D118:G118"/>
    <mergeCell ref="D119:G119"/>
    <mergeCell ref="D120:G120"/>
    <mergeCell ref="D121:G121"/>
    <mergeCell ref="D122:G122"/>
    <mergeCell ref="D123:G123"/>
    <mergeCell ref="D124:G124"/>
    <mergeCell ref="D125:G125"/>
    <mergeCell ref="D126:G126"/>
    <mergeCell ref="D127:G127"/>
    <mergeCell ref="D128:G128"/>
    <mergeCell ref="D129:G129"/>
    <mergeCell ref="D130:G130"/>
    <mergeCell ref="D131:G131"/>
    <mergeCell ref="D132:G132"/>
    <mergeCell ref="D133:G133"/>
    <mergeCell ref="H107:J107"/>
    <mergeCell ref="H108:J108"/>
    <mergeCell ref="H109:J109"/>
    <mergeCell ref="H110:J110"/>
    <mergeCell ref="H111:J111"/>
    <mergeCell ref="H112:J112"/>
    <mergeCell ref="H113:J113"/>
    <mergeCell ref="H114:J114"/>
    <mergeCell ref="H115:J115"/>
    <mergeCell ref="H116:J116"/>
    <mergeCell ref="H117:J117"/>
    <mergeCell ref="H118:J118"/>
    <mergeCell ref="H119:J119"/>
    <mergeCell ref="H120:J120"/>
    <mergeCell ref="H121:J121"/>
    <mergeCell ref="H122:J122"/>
    <mergeCell ref="D107:G107"/>
    <mergeCell ref="D108:G108"/>
    <mergeCell ref="D109:G109"/>
    <mergeCell ref="K107:M107"/>
    <mergeCell ref="K108:M108"/>
    <mergeCell ref="K109:M109"/>
    <mergeCell ref="Q107:S107"/>
    <mergeCell ref="Q108:S108"/>
    <mergeCell ref="Q109:S109"/>
    <mergeCell ref="D110:G110"/>
    <mergeCell ref="D111:G111"/>
    <mergeCell ref="D112:G112"/>
    <mergeCell ref="D113:G113"/>
    <mergeCell ref="D114:G114"/>
    <mergeCell ref="D115:G115"/>
    <mergeCell ref="D116:G116"/>
    <mergeCell ref="D117:G117"/>
    <mergeCell ref="N117:P117"/>
    <mergeCell ref="Q110:S110"/>
    <mergeCell ref="Q111:S111"/>
    <mergeCell ref="Q112:S112"/>
    <mergeCell ref="Q113:S113"/>
    <mergeCell ref="Q114:S114"/>
    <mergeCell ref="Q115:S115"/>
    <mergeCell ref="Q116:S116"/>
    <mergeCell ref="Q117:S117"/>
    <mergeCell ref="N107:P107"/>
    <mergeCell ref="N108:P108"/>
    <mergeCell ref="N109:P109"/>
    <mergeCell ref="N111:P111"/>
    <mergeCell ref="N112:P112"/>
    <mergeCell ref="N113:P113"/>
    <mergeCell ref="D104:G104"/>
    <mergeCell ref="H104:J104"/>
    <mergeCell ref="K104:M104"/>
    <mergeCell ref="N104:P104"/>
    <mergeCell ref="Q104:S104"/>
    <mergeCell ref="T104:V104"/>
    <mergeCell ref="D105:G105"/>
    <mergeCell ref="H105:J105"/>
    <mergeCell ref="K105:M105"/>
    <mergeCell ref="N105:P105"/>
    <mergeCell ref="Q105:S105"/>
    <mergeCell ref="T105:V105"/>
    <mergeCell ref="D106:G106"/>
    <mergeCell ref="H106:J106"/>
    <mergeCell ref="K106:M106"/>
    <mergeCell ref="N106:P106"/>
    <mergeCell ref="Q106:S106"/>
    <mergeCell ref="T106:V106"/>
    <mergeCell ref="D101:G101"/>
    <mergeCell ref="H101:J101"/>
    <mergeCell ref="K101:M101"/>
    <mergeCell ref="N101:P101"/>
    <mergeCell ref="Q101:S101"/>
    <mergeCell ref="T101:V101"/>
    <mergeCell ref="D102:G102"/>
    <mergeCell ref="H102:J102"/>
    <mergeCell ref="K102:M102"/>
    <mergeCell ref="N102:P102"/>
    <mergeCell ref="Q102:S102"/>
    <mergeCell ref="T102:V102"/>
    <mergeCell ref="D103:G103"/>
    <mergeCell ref="H103:J103"/>
    <mergeCell ref="K103:M103"/>
    <mergeCell ref="N103:P103"/>
    <mergeCell ref="Q103:S103"/>
    <mergeCell ref="T103:V103"/>
    <mergeCell ref="D98:G98"/>
    <mergeCell ref="H98:J98"/>
    <mergeCell ref="K98:M98"/>
    <mergeCell ref="N98:P98"/>
    <mergeCell ref="Q98:S98"/>
    <mergeCell ref="T98:V98"/>
    <mergeCell ref="D99:G99"/>
    <mergeCell ref="H99:J99"/>
    <mergeCell ref="K99:M99"/>
    <mergeCell ref="N99:P99"/>
    <mergeCell ref="Q99:S99"/>
    <mergeCell ref="T99:V99"/>
    <mergeCell ref="D100:G100"/>
    <mergeCell ref="H100:J100"/>
    <mergeCell ref="K100:M100"/>
    <mergeCell ref="N100:P100"/>
    <mergeCell ref="Q100:S100"/>
    <mergeCell ref="T100:V100"/>
    <mergeCell ref="D95:G95"/>
    <mergeCell ref="H95:J95"/>
    <mergeCell ref="K95:M95"/>
    <mergeCell ref="N95:P95"/>
    <mergeCell ref="Q95:S95"/>
    <mergeCell ref="T95:V95"/>
    <mergeCell ref="D96:G96"/>
    <mergeCell ref="H96:J96"/>
    <mergeCell ref="K96:M96"/>
    <mergeCell ref="N96:P96"/>
    <mergeCell ref="Q96:S96"/>
    <mergeCell ref="T96:V96"/>
    <mergeCell ref="D97:G97"/>
    <mergeCell ref="H97:J97"/>
    <mergeCell ref="K97:M97"/>
    <mergeCell ref="N97:P97"/>
    <mergeCell ref="Q97:S97"/>
    <mergeCell ref="T97:V97"/>
    <mergeCell ref="N92:P92"/>
    <mergeCell ref="B94:C94"/>
    <mergeCell ref="D94:G94"/>
    <mergeCell ref="H94:J94"/>
    <mergeCell ref="K94:M94"/>
    <mergeCell ref="N94:P94"/>
    <mergeCell ref="Q94:S94"/>
    <mergeCell ref="T94:V94"/>
    <mergeCell ref="D89:G89"/>
    <mergeCell ref="D90:G90"/>
    <mergeCell ref="K88:M88"/>
    <mergeCell ref="K89:M89"/>
    <mergeCell ref="K90:M90"/>
    <mergeCell ref="Q88:S88"/>
    <mergeCell ref="Q89:S89"/>
    <mergeCell ref="Q90:S90"/>
    <mergeCell ref="D91:G91"/>
    <mergeCell ref="D92:G92"/>
    <mergeCell ref="H88:J88"/>
    <mergeCell ref="H89:J89"/>
    <mergeCell ref="H90:J90"/>
    <mergeCell ref="H91:J91"/>
    <mergeCell ref="H92:J92"/>
    <mergeCell ref="D87:G87"/>
    <mergeCell ref="H87:J87"/>
    <mergeCell ref="Q91:S91"/>
    <mergeCell ref="Q92:S92"/>
    <mergeCell ref="D85:G85"/>
    <mergeCell ref="H85:J85"/>
    <mergeCell ref="K85:M85"/>
    <mergeCell ref="N85:P85"/>
    <mergeCell ref="Q85:S85"/>
    <mergeCell ref="T85:V85"/>
    <mergeCell ref="D86:G86"/>
    <mergeCell ref="H86:J86"/>
    <mergeCell ref="K86:M86"/>
    <mergeCell ref="N86:P86"/>
    <mergeCell ref="Q86:S86"/>
    <mergeCell ref="T86:V86"/>
    <mergeCell ref="K87:M87"/>
    <mergeCell ref="N87:P87"/>
    <mergeCell ref="Q87:S87"/>
    <mergeCell ref="T87:V87"/>
    <mergeCell ref="D88:G88"/>
    <mergeCell ref="T88:V88"/>
    <mergeCell ref="T89:V89"/>
    <mergeCell ref="T90:V90"/>
    <mergeCell ref="T91:V91"/>
    <mergeCell ref="T92:V92"/>
    <mergeCell ref="K91:M91"/>
    <mergeCell ref="K92:M92"/>
    <mergeCell ref="N88:P88"/>
    <mergeCell ref="N89:P89"/>
    <mergeCell ref="N90:P90"/>
    <mergeCell ref="N91:P91"/>
    <mergeCell ref="D82:G82"/>
    <mergeCell ref="H82:J82"/>
    <mergeCell ref="K82:M82"/>
    <mergeCell ref="N82:P82"/>
    <mergeCell ref="Q82:S82"/>
    <mergeCell ref="T82:V82"/>
    <mergeCell ref="D83:G83"/>
    <mergeCell ref="H83:J83"/>
    <mergeCell ref="K83:M83"/>
    <mergeCell ref="N83:P83"/>
    <mergeCell ref="Q83:S83"/>
    <mergeCell ref="T83:V83"/>
    <mergeCell ref="D84:G84"/>
    <mergeCell ref="H84:J84"/>
    <mergeCell ref="K84:M84"/>
    <mergeCell ref="N84:P84"/>
    <mergeCell ref="Q84:S84"/>
    <mergeCell ref="T84:V84"/>
    <mergeCell ref="D75:H75"/>
    <mergeCell ref="X70:Z70"/>
    <mergeCell ref="X71:Z71"/>
    <mergeCell ref="X72:Z72"/>
    <mergeCell ref="X73:Z73"/>
    <mergeCell ref="X74:Z74"/>
    <mergeCell ref="X75:Z75"/>
    <mergeCell ref="X76:Z76"/>
    <mergeCell ref="X77:Z77"/>
    <mergeCell ref="X78:Z78"/>
    <mergeCell ref="X79:Z79"/>
    <mergeCell ref="B81:C81"/>
    <mergeCell ref="D81:G81"/>
    <mergeCell ref="H81:J81"/>
    <mergeCell ref="K81:M81"/>
    <mergeCell ref="N81:P81"/>
    <mergeCell ref="Q81:S81"/>
    <mergeCell ref="T81:V81"/>
    <mergeCell ref="I75:K75"/>
    <mergeCell ref="L75:N75"/>
    <mergeCell ref="O75:Q75"/>
    <mergeCell ref="R75:T75"/>
    <mergeCell ref="D76:H76"/>
    <mergeCell ref="I76:K76"/>
    <mergeCell ref="L76:N76"/>
    <mergeCell ref="O76:Q76"/>
    <mergeCell ref="R76:T76"/>
    <mergeCell ref="U72:W72"/>
    <mergeCell ref="U73:W73"/>
    <mergeCell ref="U74:W74"/>
    <mergeCell ref="U75:W75"/>
    <mergeCell ref="U76:W76"/>
    <mergeCell ref="U77:W77"/>
    <mergeCell ref="U78:W78"/>
    <mergeCell ref="U79:W79"/>
    <mergeCell ref="D77:H77"/>
    <mergeCell ref="I77:K77"/>
    <mergeCell ref="L77:N77"/>
    <mergeCell ref="O77:Q77"/>
    <mergeCell ref="R77:T77"/>
    <mergeCell ref="D78:H78"/>
    <mergeCell ref="D79:H79"/>
    <mergeCell ref="I78:K78"/>
    <mergeCell ref="I79:K79"/>
    <mergeCell ref="L78:N78"/>
    <mergeCell ref="L79:N79"/>
    <mergeCell ref="O78:Q78"/>
    <mergeCell ref="O79:Q79"/>
    <mergeCell ref="R78:T78"/>
    <mergeCell ref="R79:T79"/>
    <mergeCell ref="D71:H71"/>
    <mergeCell ref="I71:K71"/>
    <mergeCell ref="L71:N71"/>
    <mergeCell ref="O71:Q71"/>
    <mergeCell ref="R71:T71"/>
    <mergeCell ref="U71:W71"/>
    <mergeCell ref="D72:H72"/>
    <mergeCell ref="I72:K72"/>
    <mergeCell ref="L72:N72"/>
    <mergeCell ref="O72:Q72"/>
    <mergeCell ref="R72:T72"/>
    <mergeCell ref="D73:H73"/>
    <mergeCell ref="I73:K73"/>
    <mergeCell ref="L73:N73"/>
    <mergeCell ref="O73:Q73"/>
    <mergeCell ref="R73:T73"/>
    <mergeCell ref="D74:H74"/>
    <mergeCell ref="I74:K74"/>
    <mergeCell ref="L74:N74"/>
    <mergeCell ref="O74:Q74"/>
    <mergeCell ref="R74:T74"/>
    <mergeCell ref="D60:G60"/>
    <mergeCell ref="H60:J60"/>
    <mergeCell ref="K60:M60"/>
    <mergeCell ref="N60:P60"/>
    <mergeCell ref="Q60:S60"/>
    <mergeCell ref="T60:V60"/>
    <mergeCell ref="D70:H70"/>
    <mergeCell ref="I70:K70"/>
    <mergeCell ref="L70:N70"/>
    <mergeCell ref="O70:Q70"/>
    <mergeCell ref="R70:T70"/>
    <mergeCell ref="U70:W70"/>
    <mergeCell ref="K67:M67"/>
    <mergeCell ref="N67:P67"/>
    <mergeCell ref="D31:G31"/>
    <mergeCell ref="H31:J31"/>
    <mergeCell ref="K31:M31"/>
    <mergeCell ref="N31:P31"/>
    <mergeCell ref="Q31:S31"/>
    <mergeCell ref="T31:V31"/>
    <mergeCell ref="D68:G68"/>
    <mergeCell ref="H68:J68"/>
    <mergeCell ref="K68:M68"/>
    <mergeCell ref="N68:P68"/>
    <mergeCell ref="Q68:S68"/>
    <mergeCell ref="T68:V68"/>
    <mergeCell ref="Q67:S67"/>
    <mergeCell ref="T67:V67"/>
    <mergeCell ref="D66:G66"/>
    <mergeCell ref="H66:J66"/>
    <mergeCell ref="D64:G64"/>
    <mergeCell ref="H64:J64"/>
    <mergeCell ref="D62:G62"/>
    <mergeCell ref="H62:J62"/>
    <mergeCell ref="K62:M62"/>
    <mergeCell ref="N62:P62"/>
    <mergeCell ref="Q62:S62"/>
    <mergeCell ref="T62:V62"/>
    <mergeCell ref="D61:G61"/>
    <mergeCell ref="H61:J61"/>
    <mergeCell ref="K61:M61"/>
    <mergeCell ref="N61:P61"/>
    <mergeCell ref="Q61:S61"/>
    <mergeCell ref="T61:V61"/>
    <mergeCell ref="K63:M63"/>
    <mergeCell ref="N63:P63"/>
    <mergeCell ref="Q63:S63"/>
    <mergeCell ref="T63:V63"/>
    <mergeCell ref="K66:M66"/>
    <mergeCell ref="N66:P66"/>
    <mergeCell ref="Q66:S66"/>
    <mergeCell ref="T66:V66"/>
    <mergeCell ref="D65:G65"/>
    <mergeCell ref="H65:J65"/>
    <mergeCell ref="K65:M65"/>
    <mergeCell ref="N65:P65"/>
    <mergeCell ref="Q65:S65"/>
    <mergeCell ref="T65:V65"/>
    <mergeCell ref="K64:M64"/>
    <mergeCell ref="N64:P64"/>
    <mergeCell ref="Q64:S64"/>
    <mergeCell ref="T64:V64"/>
    <mergeCell ref="D63:G63"/>
    <mergeCell ref="H63:J63"/>
    <mergeCell ref="D58:G58"/>
    <mergeCell ref="H58:J58"/>
    <mergeCell ref="K58:M58"/>
    <mergeCell ref="N58:P58"/>
    <mergeCell ref="Q58:S58"/>
    <mergeCell ref="T58:V58"/>
    <mergeCell ref="D57:G57"/>
    <mergeCell ref="H57:J57"/>
    <mergeCell ref="K57:M57"/>
    <mergeCell ref="N57:P57"/>
    <mergeCell ref="Q57:S57"/>
    <mergeCell ref="T57:V57"/>
    <mergeCell ref="D59:G59"/>
    <mergeCell ref="H59:J59"/>
    <mergeCell ref="K59:M59"/>
    <mergeCell ref="N59:P59"/>
    <mergeCell ref="Q59:S59"/>
    <mergeCell ref="T59:V59"/>
    <mergeCell ref="D54:G54"/>
    <mergeCell ref="H54:J54"/>
    <mergeCell ref="K54:M54"/>
    <mergeCell ref="N54:P54"/>
    <mergeCell ref="Q54:S54"/>
    <mergeCell ref="T54:V54"/>
    <mergeCell ref="D53:G53"/>
    <mergeCell ref="H53:J53"/>
    <mergeCell ref="K53:M53"/>
    <mergeCell ref="N53:P53"/>
    <mergeCell ref="Q53:S53"/>
    <mergeCell ref="T53:V53"/>
    <mergeCell ref="D56:G56"/>
    <mergeCell ref="H56:J56"/>
    <mergeCell ref="K56:M56"/>
    <mergeCell ref="N56:P56"/>
    <mergeCell ref="Q56:S56"/>
    <mergeCell ref="T56:V56"/>
    <mergeCell ref="D55:G55"/>
    <mergeCell ref="H55:J55"/>
    <mergeCell ref="K55:M55"/>
    <mergeCell ref="N55:P55"/>
    <mergeCell ref="Q55:S55"/>
    <mergeCell ref="T55:V55"/>
    <mergeCell ref="D50:G50"/>
    <mergeCell ref="H50:J50"/>
    <mergeCell ref="K50:M50"/>
    <mergeCell ref="N50:P50"/>
    <mergeCell ref="Q50:S50"/>
    <mergeCell ref="T50:V50"/>
    <mergeCell ref="D49:G49"/>
    <mergeCell ref="H49:J49"/>
    <mergeCell ref="K49:M49"/>
    <mergeCell ref="N49:P49"/>
    <mergeCell ref="Q49:S49"/>
    <mergeCell ref="T49:V49"/>
    <mergeCell ref="D52:G52"/>
    <mergeCell ref="H52:J52"/>
    <mergeCell ref="K52:M52"/>
    <mergeCell ref="N52:P52"/>
    <mergeCell ref="Q52:S52"/>
    <mergeCell ref="T52:V52"/>
    <mergeCell ref="D51:G51"/>
    <mergeCell ref="H51:J51"/>
    <mergeCell ref="K51:M51"/>
    <mergeCell ref="N51:P51"/>
    <mergeCell ref="Q51:S51"/>
    <mergeCell ref="T51:V51"/>
    <mergeCell ref="D46:G46"/>
    <mergeCell ref="H46:J46"/>
    <mergeCell ref="K46:M46"/>
    <mergeCell ref="N46:P46"/>
    <mergeCell ref="Q46:S46"/>
    <mergeCell ref="T46:V46"/>
    <mergeCell ref="D45:G45"/>
    <mergeCell ref="H45:J45"/>
    <mergeCell ref="K45:M45"/>
    <mergeCell ref="N45:P45"/>
    <mergeCell ref="Q45:S45"/>
    <mergeCell ref="T45:V45"/>
    <mergeCell ref="D48:G48"/>
    <mergeCell ref="H48:J48"/>
    <mergeCell ref="K48:M48"/>
    <mergeCell ref="N48:P48"/>
    <mergeCell ref="Q48:S48"/>
    <mergeCell ref="T48:V48"/>
    <mergeCell ref="D47:G47"/>
    <mergeCell ref="H47:J47"/>
    <mergeCell ref="K47:M47"/>
    <mergeCell ref="N47:P47"/>
    <mergeCell ref="Q47:S47"/>
    <mergeCell ref="T47:V47"/>
    <mergeCell ref="D42:G42"/>
    <mergeCell ref="H42:J42"/>
    <mergeCell ref="K42:M42"/>
    <mergeCell ref="N42:P42"/>
    <mergeCell ref="Q42:S42"/>
    <mergeCell ref="T42:V42"/>
    <mergeCell ref="N41:P41"/>
    <mergeCell ref="Q41:S41"/>
    <mergeCell ref="T41:V41"/>
    <mergeCell ref="D41:M41"/>
    <mergeCell ref="D38:G38"/>
    <mergeCell ref="H38:J38"/>
    <mergeCell ref="K38:M38"/>
    <mergeCell ref="N38:P38"/>
    <mergeCell ref="Q38:S38"/>
    <mergeCell ref="T38:V38"/>
    <mergeCell ref="D44:G44"/>
    <mergeCell ref="H44:J44"/>
    <mergeCell ref="K44:M44"/>
    <mergeCell ref="N44:P44"/>
    <mergeCell ref="Q44:S44"/>
    <mergeCell ref="T44:V44"/>
    <mergeCell ref="D43:G43"/>
    <mergeCell ref="H43:J43"/>
    <mergeCell ref="K43:M43"/>
    <mergeCell ref="N43:P43"/>
    <mergeCell ref="Q43:S43"/>
    <mergeCell ref="T43:V43"/>
    <mergeCell ref="D37:G37"/>
    <mergeCell ref="H37:J37"/>
    <mergeCell ref="K37:M37"/>
    <mergeCell ref="N37:P37"/>
    <mergeCell ref="Q37:S37"/>
    <mergeCell ref="T37:V37"/>
    <mergeCell ref="K40:M40"/>
    <mergeCell ref="N40:P40"/>
    <mergeCell ref="Q40:S40"/>
    <mergeCell ref="T40:V40"/>
    <mergeCell ref="D40:J40"/>
    <mergeCell ref="D34:G34"/>
    <mergeCell ref="H34:J34"/>
    <mergeCell ref="K34:M34"/>
    <mergeCell ref="N34:P34"/>
    <mergeCell ref="Q34:S34"/>
    <mergeCell ref="T34:V34"/>
    <mergeCell ref="D39:G39"/>
    <mergeCell ref="H39:J39"/>
    <mergeCell ref="K39:M39"/>
    <mergeCell ref="N39:P39"/>
    <mergeCell ref="Q39:S39"/>
    <mergeCell ref="T39:V39"/>
    <mergeCell ref="D33:G33"/>
    <mergeCell ref="H33:J33"/>
    <mergeCell ref="K33:M33"/>
    <mergeCell ref="N33:P33"/>
    <mergeCell ref="Q33:S33"/>
    <mergeCell ref="T33:V33"/>
    <mergeCell ref="D36:G36"/>
    <mergeCell ref="H36:J36"/>
    <mergeCell ref="K36:M36"/>
    <mergeCell ref="N36:P36"/>
    <mergeCell ref="Q36:S36"/>
    <mergeCell ref="T36:V36"/>
    <mergeCell ref="D35:G35"/>
    <mergeCell ref="H35:J35"/>
    <mergeCell ref="K35:M35"/>
    <mergeCell ref="N35:P35"/>
    <mergeCell ref="Q35:S35"/>
    <mergeCell ref="T35:V35"/>
    <mergeCell ref="D29:G29"/>
    <mergeCell ref="H29:J29"/>
    <mergeCell ref="K29:M29"/>
    <mergeCell ref="N29:P29"/>
    <mergeCell ref="Q29:S29"/>
    <mergeCell ref="T29:V29"/>
    <mergeCell ref="D28:G28"/>
    <mergeCell ref="H28:J28"/>
    <mergeCell ref="K28:M28"/>
    <mergeCell ref="N28:P28"/>
    <mergeCell ref="Q28:S28"/>
    <mergeCell ref="T28:V28"/>
    <mergeCell ref="D32:G32"/>
    <mergeCell ref="H32:J32"/>
    <mergeCell ref="K32:M32"/>
    <mergeCell ref="N32:P32"/>
    <mergeCell ref="Q32:S32"/>
    <mergeCell ref="T32:V32"/>
    <mergeCell ref="D30:G30"/>
    <mergeCell ref="H30:J30"/>
    <mergeCell ref="K30:M30"/>
    <mergeCell ref="N30:P30"/>
    <mergeCell ref="Q30:S30"/>
    <mergeCell ref="T30:V30"/>
    <mergeCell ref="D25:G25"/>
    <mergeCell ref="H25:J25"/>
    <mergeCell ref="K25:M25"/>
    <mergeCell ref="N25:P25"/>
    <mergeCell ref="Q25:S25"/>
    <mergeCell ref="T25:V25"/>
    <mergeCell ref="D24:G24"/>
    <mergeCell ref="H24:J24"/>
    <mergeCell ref="K24:M24"/>
    <mergeCell ref="N24:P24"/>
    <mergeCell ref="Q24:S24"/>
    <mergeCell ref="T24:V24"/>
    <mergeCell ref="D27:G27"/>
    <mergeCell ref="H27:J27"/>
    <mergeCell ref="K27:M27"/>
    <mergeCell ref="N27:P27"/>
    <mergeCell ref="Q27:S27"/>
    <mergeCell ref="T27:V27"/>
    <mergeCell ref="D26:G26"/>
    <mergeCell ref="H26:J26"/>
    <mergeCell ref="K26:M26"/>
    <mergeCell ref="N26:P26"/>
    <mergeCell ref="Q26:S26"/>
    <mergeCell ref="T26:V26"/>
    <mergeCell ref="B21:C21"/>
    <mergeCell ref="D21:G21"/>
    <mergeCell ref="H21:J21"/>
    <mergeCell ref="K21:M21"/>
    <mergeCell ref="N21:P21"/>
    <mergeCell ref="Q21:S21"/>
    <mergeCell ref="D19:G19"/>
    <mergeCell ref="H19:J19"/>
    <mergeCell ref="K19:M19"/>
    <mergeCell ref="N19:P19"/>
    <mergeCell ref="Q19:S19"/>
    <mergeCell ref="D23:G23"/>
    <mergeCell ref="H23:J23"/>
    <mergeCell ref="K23:M23"/>
    <mergeCell ref="N23:P23"/>
    <mergeCell ref="Q23:S23"/>
    <mergeCell ref="T23:V23"/>
    <mergeCell ref="T21:V21"/>
    <mergeCell ref="D22:G22"/>
    <mergeCell ref="H22:J22"/>
    <mergeCell ref="K22:M22"/>
    <mergeCell ref="N22:P22"/>
    <mergeCell ref="Q22:S22"/>
    <mergeCell ref="T22:V22"/>
    <mergeCell ref="D16:G16"/>
    <mergeCell ref="H16:J16"/>
    <mergeCell ref="K16:M16"/>
    <mergeCell ref="N16:P16"/>
    <mergeCell ref="Q16:S16"/>
    <mergeCell ref="T16:V16"/>
    <mergeCell ref="D15:G15"/>
    <mergeCell ref="H15:J15"/>
    <mergeCell ref="K15:M15"/>
    <mergeCell ref="N15:P15"/>
    <mergeCell ref="Q15:S15"/>
    <mergeCell ref="T15:V15"/>
    <mergeCell ref="T19:V19"/>
    <mergeCell ref="D18:G18"/>
    <mergeCell ref="H18:J18"/>
    <mergeCell ref="K18:M18"/>
    <mergeCell ref="N18:P18"/>
    <mergeCell ref="Q18:S18"/>
    <mergeCell ref="T18:V18"/>
    <mergeCell ref="D17:G17"/>
    <mergeCell ref="H17:J17"/>
    <mergeCell ref="K17:M17"/>
    <mergeCell ref="N17:P17"/>
    <mergeCell ref="Q17:S17"/>
    <mergeCell ref="T17:V17"/>
    <mergeCell ref="D10:H10"/>
    <mergeCell ref="I10:K10"/>
    <mergeCell ref="L10:N10"/>
    <mergeCell ref="O10:Q10"/>
    <mergeCell ref="R10:T10"/>
    <mergeCell ref="T13:V13"/>
    <mergeCell ref="D14:G14"/>
    <mergeCell ref="H14:J14"/>
    <mergeCell ref="K14:M14"/>
    <mergeCell ref="N14:P14"/>
    <mergeCell ref="Q14:S14"/>
    <mergeCell ref="T14:V14"/>
    <mergeCell ref="B13:C13"/>
    <mergeCell ref="D13:G13"/>
    <mergeCell ref="H13:J13"/>
    <mergeCell ref="K13:M13"/>
    <mergeCell ref="N13:P13"/>
    <mergeCell ref="Q13:S13"/>
    <mergeCell ref="D6:H6"/>
    <mergeCell ref="I6:K6"/>
    <mergeCell ref="L6:N6"/>
    <mergeCell ref="O6:Q6"/>
    <mergeCell ref="R6:T6"/>
    <mergeCell ref="D7:H7"/>
    <mergeCell ref="I7:K7"/>
    <mergeCell ref="L7:N7"/>
    <mergeCell ref="O7:Q7"/>
    <mergeCell ref="R7:T7"/>
    <mergeCell ref="D8:H8"/>
    <mergeCell ref="I8:K8"/>
    <mergeCell ref="L8:N8"/>
    <mergeCell ref="O8:Q8"/>
    <mergeCell ref="R8:T8"/>
    <mergeCell ref="D9:H9"/>
    <mergeCell ref="I9:K9"/>
    <mergeCell ref="L9:N9"/>
    <mergeCell ref="O9:Q9"/>
    <mergeCell ref="R9:T9"/>
    <mergeCell ref="D4:H4"/>
    <mergeCell ref="I4:K4"/>
    <mergeCell ref="L4:N4"/>
    <mergeCell ref="O4:Q4"/>
    <mergeCell ref="R4:T4"/>
    <mergeCell ref="U4:W4"/>
    <mergeCell ref="D3:H3"/>
    <mergeCell ref="I3:K3"/>
    <mergeCell ref="L3:N3"/>
    <mergeCell ref="O3:Q3"/>
    <mergeCell ref="R3:T3"/>
    <mergeCell ref="U3:W3"/>
    <mergeCell ref="D5:H5"/>
    <mergeCell ref="I5:K5"/>
    <mergeCell ref="L5:N5"/>
    <mergeCell ref="O5:Q5"/>
    <mergeCell ref="R5:T5"/>
    <mergeCell ref="D143:G143"/>
    <mergeCell ref="D144:G144"/>
    <mergeCell ref="D145:G145"/>
    <mergeCell ref="D146:G146"/>
    <mergeCell ref="D147:G147"/>
    <mergeCell ref="D148:G148"/>
    <mergeCell ref="D149:G149"/>
    <mergeCell ref="D150:G150"/>
    <mergeCell ref="D151:G151"/>
    <mergeCell ref="D134:G134"/>
    <mergeCell ref="D135:G135"/>
    <mergeCell ref="D136:G136"/>
    <mergeCell ref="D137:G137"/>
    <mergeCell ref="D138:G138"/>
    <mergeCell ref="D139:G139"/>
    <mergeCell ref="D140:G140"/>
    <mergeCell ref="D141:G141"/>
    <mergeCell ref="D142:G142"/>
    <mergeCell ref="D178:G178"/>
    <mergeCell ref="D161:G161"/>
    <mergeCell ref="D162:G162"/>
    <mergeCell ref="D163:G163"/>
    <mergeCell ref="D164:G164"/>
    <mergeCell ref="D165:G165"/>
    <mergeCell ref="D166:G166"/>
    <mergeCell ref="D167:G167"/>
    <mergeCell ref="D168:G168"/>
    <mergeCell ref="D169:G169"/>
    <mergeCell ref="D152:G152"/>
    <mergeCell ref="D153:G153"/>
    <mergeCell ref="D154:G154"/>
    <mergeCell ref="D155:G155"/>
    <mergeCell ref="D156:G156"/>
    <mergeCell ref="D157:G157"/>
    <mergeCell ref="D158:G158"/>
    <mergeCell ref="D159:G159"/>
    <mergeCell ref="D160:G160"/>
    <mergeCell ref="D179:G179"/>
    <mergeCell ref="D180:G180"/>
    <mergeCell ref="D181:G181"/>
    <mergeCell ref="D182:G182"/>
    <mergeCell ref="H134:J134"/>
    <mergeCell ref="H135:J135"/>
    <mergeCell ref="H136:J136"/>
    <mergeCell ref="H137:J137"/>
    <mergeCell ref="H138:J138"/>
    <mergeCell ref="H139:J139"/>
    <mergeCell ref="H140:J140"/>
    <mergeCell ref="H141:J141"/>
    <mergeCell ref="H142:J142"/>
    <mergeCell ref="H143:J143"/>
    <mergeCell ref="H144:J144"/>
    <mergeCell ref="H145:J145"/>
    <mergeCell ref="H146:J146"/>
    <mergeCell ref="H147:J147"/>
    <mergeCell ref="H148:J148"/>
    <mergeCell ref="H149:J149"/>
    <mergeCell ref="H150:J150"/>
    <mergeCell ref="H151:J151"/>
    <mergeCell ref="H152:J152"/>
    <mergeCell ref="H153:J153"/>
    <mergeCell ref="D170:G170"/>
    <mergeCell ref="D171:G171"/>
    <mergeCell ref="D172:G172"/>
    <mergeCell ref="D173:G173"/>
    <mergeCell ref="D174:G174"/>
    <mergeCell ref="D175:G175"/>
    <mergeCell ref="D176:G176"/>
    <mergeCell ref="D177:G177"/>
    <mergeCell ref="H180:J180"/>
    <mergeCell ref="H163:J163"/>
    <mergeCell ref="H164:J164"/>
    <mergeCell ref="H165:J165"/>
    <mergeCell ref="H166:J166"/>
    <mergeCell ref="H167:J167"/>
    <mergeCell ref="H168:J168"/>
    <mergeCell ref="H169:J169"/>
    <mergeCell ref="H170:J170"/>
    <mergeCell ref="H171:J171"/>
    <mergeCell ref="H154:J154"/>
    <mergeCell ref="H155:J155"/>
    <mergeCell ref="H156:J156"/>
    <mergeCell ref="H157:J157"/>
    <mergeCell ref="H158:J158"/>
    <mergeCell ref="H159:J159"/>
    <mergeCell ref="H160:J160"/>
    <mergeCell ref="H161:J161"/>
    <mergeCell ref="H162:J162"/>
    <mergeCell ref="H181:J181"/>
    <mergeCell ref="H182:J182"/>
    <mergeCell ref="K134:M134"/>
    <mergeCell ref="K135:M135"/>
    <mergeCell ref="K136:M136"/>
    <mergeCell ref="K137:M137"/>
    <mergeCell ref="K138:M138"/>
    <mergeCell ref="K139:M139"/>
    <mergeCell ref="K140:M140"/>
    <mergeCell ref="K141:M141"/>
    <mergeCell ref="K142:M142"/>
    <mergeCell ref="K143:M143"/>
    <mergeCell ref="K144:M144"/>
    <mergeCell ref="K145:M145"/>
    <mergeCell ref="K146:M146"/>
    <mergeCell ref="K147:M147"/>
    <mergeCell ref="K148:M148"/>
    <mergeCell ref="K149:M149"/>
    <mergeCell ref="K150:M150"/>
    <mergeCell ref="K151:M151"/>
    <mergeCell ref="K152:M152"/>
    <mergeCell ref="K153:M153"/>
    <mergeCell ref="K154:M154"/>
    <mergeCell ref="K155:M155"/>
    <mergeCell ref="H172:J172"/>
    <mergeCell ref="H173:J173"/>
    <mergeCell ref="H174:J174"/>
    <mergeCell ref="H175:J175"/>
    <mergeCell ref="H176:J176"/>
    <mergeCell ref="H177:J177"/>
    <mergeCell ref="H178:J178"/>
    <mergeCell ref="H179:J179"/>
    <mergeCell ref="K182:M182"/>
    <mergeCell ref="K165:M165"/>
    <mergeCell ref="K166:M166"/>
    <mergeCell ref="K167:M167"/>
    <mergeCell ref="K168:M168"/>
    <mergeCell ref="K169:M169"/>
    <mergeCell ref="K170:M170"/>
    <mergeCell ref="K171:M171"/>
    <mergeCell ref="K172:M172"/>
    <mergeCell ref="K173:M173"/>
    <mergeCell ref="K156:M156"/>
    <mergeCell ref="K157:M157"/>
    <mergeCell ref="K158:M158"/>
    <mergeCell ref="K159:M159"/>
    <mergeCell ref="K160:M160"/>
    <mergeCell ref="K161:M161"/>
    <mergeCell ref="K162:M162"/>
    <mergeCell ref="K163:M163"/>
    <mergeCell ref="K164:M164"/>
    <mergeCell ref="N134:P134"/>
    <mergeCell ref="N135:P135"/>
    <mergeCell ref="N136:P136"/>
    <mergeCell ref="N137:P137"/>
    <mergeCell ref="N138:P138"/>
    <mergeCell ref="N139:P139"/>
    <mergeCell ref="N140:P140"/>
    <mergeCell ref="N141:P141"/>
    <mergeCell ref="N142:P142"/>
    <mergeCell ref="K174:M174"/>
    <mergeCell ref="K175:M175"/>
    <mergeCell ref="K176:M176"/>
    <mergeCell ref="K177:M177"/>
    <mergeCell ref="K178:M178"/>
    <mergeCell ref="K179:M179"/>
    <mergeCell ref="K180:M180"/>
    <mergeCell ref="K181:M181"/>
    <mergeCell ref="N152:P152"/>
    <mergeCell ref="N153:P153"/>
    <mergeCell ref="N154:P154"/>
    <mergeCell ref="N155:P155"/>
    <mergeCell ref="N156:P156"/>
    <mergeCell ref="N157:P157"/>
    <mergeCell ref="N158:P158"/>
    <mergeCell ref="N159:P159"/>
    <mergeCell ref="N160:P160"/>
    <mergeCell ref="N143:P143"/>
    <mergeCell ref="N144:P144"/>
    <mergeCell ref="N145:P145"/>
    <mergeCell ref="N146:P146"/>
    <mergeCell ref="N147:P147"/>
    <mergeCell ref="N148:P148"/>
    <mergeCell ref="N170:P170"/>
    <mergeCell ref="N171:P171"/>
    <mergeCell ref="N172:P172"/>
    <mergeCell ref="N173:P173"/>
    <mergeCell ref="N174:P174"/>
    <mergeCell ref="N175:P175"/>
    <mergeCell ref="N176:P176"/>
    <mergeCell ref="N177:P177"/>
    <mergeCell ref="N178:P178"/>
    <mergeCell ref="N161:P161"/>
    <mergeCell ref="N162:P162"/>
    <mergeCell ref="N163:P163"/>
    <mergeCell ref="N164:P164"/>
    <mergeCell ref="N165:P165"/>
    <mergeCell ref="N166:P166"/>
    <mergeCell ref="N167:P167"/>
    <mergeCell ref="N168:P168"/>
    <mergeCell ref="N169:P169"/>
    <mergeCell ref="N179:P179"/>
    <mergeCell ref="N180:P180"/>
    <mergeCell ref="N181:P181"/>
    <mergeCell ref="N182:P182"/>
    <mergeCell ref="Q140:S140"/>
    <mergeCell ref="Q141:S141"/>
    <mergeCell ref="Q142:S142"/>
    <mergeCell ref="Q143:S143"/>
    <mergeCell ref="Q144:S144"/>
    <mergeCell ref="Q145:S145"/>
    <mergeCell ref="Q146:S146"/>
    <mergeCell ref="Q147:S147"/>
    <mergeCell ref="Q148:S148"/>
    <mergeCell ref="Q149:S149"/>
    <mergeCell ref="Q150:S150"/>
    <mergeCell ref="Q151:S151"/>
    <mergeCell ref="Q152:S152"/>
    <mergeCell ref="Q153:S153"/>
    <mergeCell ref="Q154:S154"/>
    <mergeCell ref="Q155:S155"/>
    <mergeCell ref="Q156:S156"/>
    <mergeCell ref="Q157:S157"/>
    <mergeCell ref="Q178:S178"/>
    <mergeCell ref="Q179:S179"/>
    <mergeCell ref="Q180:S180"/>
    <mergeCell ref="Q181:S181"/>
    <mergeCell ref="Q182:S182"/>
    <mergeCell ref="N149:P149"/>
    <mergeCell ref="N150:P150"/>
    <mergeCell ref="N151:P151"/>
    <mergeCell ref="Q158:S158"/>
    <mergeCell ref="Q159:S159"/>
    <mergeCell ref="T140:V140"/>
    <mergeCell ref="T141:V141"/>
    <mergeCell ref="T142:V142"/>
    <mergeCell ref="T143:V143"/>
    <mergeCell ref="T144:V144"/>
    <mergeCell ref="T145:V145"/>
    <mergeCell ref="T146:V146"/>
    <mergeCell ref="T147:V147"/>
    <mergeCell ref="T148:V148"/>
    <mergeCell ref="T149:V149"/>
    <mergeCell ref="T150:V150"/>
    <mergeCell ref="T151:V151"/>
    <mergeCell ref="T152:V152"/>
    <mergeCell ref="T153:V153"/>
    <mergeCell ref="T154:V154"/>
    <mergeCell ref="T155:V155"/>
    <mergeCell ref="T156:V156"/>
    <mergeCell ref="T182:V182"/>
    <mergeCell ref="T168:V168"/>
    <mergeCell ref="T169:V169"/>
    <mergeCell ref="T170:V170"/>
    <mergeCell ref="T171:V171"/>
    <mergeCell ref="T172:V172"/>
    <mergeCell ref="T173:V173"/>
    <mergeCell ref="T174:V174"/>
    <mergeCell ref="T175:V175"/>
    <mergeCell ref="T176:V176"/>
    <mergeCell ref="T159:V159"/>
    <mergeCell ref="T160:V160"/>
    <mergeCell ref="T161:V161"/>
    <mergeCell ref="T162:V162"/>
    <mergeCell ref="T163:V163"/>
    <mergeCell ref="T164:V164"/>
    <mergeCell ref="T165:V165"/>
    <mergeCell ref="T166:V166"/>
    <mergeCell ref="T167:V167"/>
    <mergeCell ref="T157:V157"/>
    <mergeCell ref="T158:V158"/>
    <mergeCell ref="Q169:S169"/>
    <mergeCell ref="Q170:S170"/>
    <mergeCell ref="Q171:S171"/>
    <mergeCell ref="Q172:S172"/>
    <mergeCell ref="Q173:S173"/>
    <mergeCell ref="Q174:S174"/>
    <mergeCell ref="Q175:S175"/>
    <mergeCell ref="Q176:S176"/>
    <mergeCell ref="T177:V177"/>
    <mergeCell ref="T178:V178"/>
    <mergeCell ref="T179:V179"/>
    <mergeCell ref="T180:V180"/>
    <mergeCell ref="T181:V181"/>
    <mergeCell ref="Q168:S168"/>
    <mergeCell ref="Q177:S177"/>
    <mergeCell ref="Q160:S160"/>
    <mergeCell ref="Q161:S161"/>
    <mergeCell ref="Q162:S162"/>
    <mergeCell ref="Q163:S163"/>
    <mergeCell ref="Q164:S164"/>
    <mergeCell ref="Q165:S165"/>
    <mergeCell ref="Q166:S166"/>
    <mergeCell ref="Q167:S167"/>
  </mergeCells>
  <phoneticPr fontId="13" type="noConversion"/>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9E87B-87D0-48E6-8265-EA43C2191418}">
  <dimension ref="B3:W242"/>
  <sheetViews>
    <sheetView topLeftCell="A13" zoomScale="70" zoomScaleNormal="70" workbookViewId="0">
      <selection activeCell="N155" sqref="N155:P155"/>
    </sheetView>
  </sheetViews>
  <sheetFormatPr defaultRowHeight="14.4" x14ac:dyDescent="0.3"/>
  <cols>
    <col min="4" max="5" width="8.88671875" style="65"/>
    <col min="6" max="6" width="15.33203125" style="65" customWidth="1"/>
    <col min="7" max="7" width="28.5546875" style="65" customWidth="1"/>
    <col min="8" max="8" width="8.88671875" style="65"/>
    <col min="9" max="9" width="9.77734375" customWidth="1"/>
    <col min="15" max="15" width="13.21875" customWidth="1"/>
    <col min="16" max="16" width="20.77734375" customWidth="1"/>
  </cols>
  <sheetData>
    <row r="3" spans="2:23" x14ac:dyDescent="0.3">
      <c r="B3" s="71"/>
      <c r="C3" s="71"/>
      <c r="D3" s="285" t="s">
        <v>115</v>
      </c>
      <c r="E3" s="285"/>
      <c r="F3" s="285"/>
      <c r="G3" s="285"/>
      <c r="H3" s="285"/>
      <c r="I3" s="285" t="s">
        <v>129</v>
      </c>
      <c r="J3" s="285"/>
      <c r="K3" s="285"/>
      <c r="L3" s="285" t="s">
        <v>286</v>
      </c>
      <c r="M3" s="285"/>
      <c r="N3" s="285"/>
      <c r="O3" s="285" t="s">
        <v>287</v>
      </c>
      <c r="P3" s="285"/>
      <c r="Q3" s="285"/>
      <c r="R3" s="285" t="s">
        <v>376</v>
      </c>
      <c r="S3" s="285"/>
      <c r="T3" s="285"/>
      <c r="U3" s="285"/>
      <c r="V3" s="285"/>
      <c r="W3" s="285"/>
    </row>
    <row r="4" spans="2:23" x14ac:dyDescent="0.3">
      <c r="D4" s="283" t="s">
        <v>658</v>
      </c>
      <c r="E4" s="283"/>
      <c r="F4" s="283"/>
      <c r="G4" s="283"/>
      <c r="H4" s="283"/>
      <c r="I4" s="320"/>
      <c r="J4" s="320"/>
      <c r="K4" s="320"/>
      <c r="L4" s="320"/>
      <c r="M4" s="320"/>
      <c r="N4" s="320"/>
      <c r="O4" s="320"/>
      <c r="P4" s="320"/>
      <c r="Q4" s="320"/>
      <c r="R4" s="284"/>
      <c r="S4" s="284"/>
      <c r="T4" s="284"/>
      <c r="U4" s="284"/>
      <c r="V4" s="284"/>
      <c r="W4" s="284"/>
    </row>
    <row r="5" spans="2:23" x14ac:dyDescent="0.3">
      <c r="D5" s="286" t="s">
        <v>621</v>
      </c>
      <c r="E5" s="286"/>
      <c r="F5" s="286"/>
      <c r="G5" s="286"/>
      <c r="H5" s="286"/>
      <c r="I5" s="290" t="s">
        <v>372</v>
      </c>
      <c r="J5" s="290"/>
      <c r="K5" s="290"/>
      <c r="L5" s="290"/>
      <c r="M5" s="290"/>
      <c r="N5" s="290"/>
      <c r="O5" s="290"/>
      <c r="P5" s="290"/>
      <c r="Q5" s="290"/>
      <c r="R5" s="290">
        <v>2</v>
      </c>
      <c r="S5" s="290"/>
      <c r="T5" s="290"/>
    </row>
    <row r="6" spans="2:23" x14ac:dyDescent="0.3">
      <c r="D6" s="286" t="s">
        <v>622</v>
      </c>
      <c r="E6" s="286"/>
      <c r="F6" s="286"/>
      <c r="G6" s="286"/>
      <c r="H6" s="286"/>
      <c r="I6" s="287" t="s">
        <v>259</v>
      </c>
      <c r="J6" s="287"/>
      <c r="K6" s="287"/>
      <c r="L6" s="287"/>
      <c r="M6" s="287"/>
      <c r="N6" s="287"/>
      <c r="O6" s="287"/>
      <c r="P6" s="287"/>
      <c r="Q6" s="287"/>
      <c r="R6" s="322" t="s">
        <v>627</v>
      </c>
      <c r="S6" s="287"/>
      <c r="T6" s="287"/>
    </row>
    <row r="7" spans="2:23" x14ac:dyDescent="0.3">
      <c r="D7" s="286" t="s">
        <v>640</v>
      </c>
      <c r="E7" s="286"/>
      <c r="F7" s="286"/>
      <c r="G7" s="286"/>
      <c r="H7" s="286"/>
      <c r="I7" s="287"/>
      <c r="J7" s="287"/>
      <c r="K7" s="287"/>
      <c r="L7" s="287"/>
      <c r="M7" s="287"/>
      <c r="N7" s="287"/>
      <c r="O7" s="287"/>
      <c r="P7" s="287"/>
      <c r="Q7" s="287"/>
      <c r="R7" s="287" t="s">
        <v>628</v>
      </c>
      <c r="S7" s="287"/>
      <c r="T7" s="287"/>
    </row>
    <row r="8" spans="2:23" x14ac:dyDescent="0.3">
      <c r="D8" s="286" t="s">
        <v>623</v>
      </c>
      <c r="E8" s="286"/>
      <c r="F8" s="286"/>
      <c r="G8" s="286"/>
      <c r="H8" s="286"/>
      <c r="I8" s="287"/>
      <c r="J8" s="287"/>
      <c r="K8" s="287"/>
      <c r="L8" s="287"/>
      <c r="M8" s="287"/>
      <c r="N8" s="287"/>
      <c r="O8" s="287"/>
      <c r="P8" s="287"/>
      <c r="Q8" s="287"/>
      <c r="R8" s="287" t="s">
        <v>629</v>
      </c>
      <c r="S8" s="287"/>
      <c r="T8" s="287"/>
    </row>
    <row r="9" spans="2:23" x14ac:dyDescent="0.3">
      <c r="D9" s="286" t="s">
        <v>416</v>
      </c>
      <c r="E9" s="286"/>
      <c r="F9" s="286"/>
      <c r="G9" s="286"/>
      <c r="H9" s="286"/>
      <c r="I9" s="287" t="s">
        <v>259</v>
      </c>
      <c r="J9" s="287"/>
      <c r="K9" s="287"/>
      <c r="L9" s="287"/>
      <c r="M9" s="287"/>
      <c r="N9" s="287"/>
      <c r="O9" s="287"/>
      <c r="P9" s="287"/>
      <c r="Q9" s="287"/>
      <c r="R9" s="287">
        <v>0.6</v>
      </c>
      <c r="S9" s="287"/>
      <c r="T9" s="287"/>
    </row>
    <row r="10" spans="2:23" x14ac:dyDescent="0.3">
      <c r="D10" s="286" t="s">
        <v>368</v>
      </c>
      <c r="E10" s="286"/>
      <c r="F10" s="286"/>
      <c r="G10" s="286"/>
      <c r="H10" s="286"/>
      <c r="I10" s="287" t="s">
        <v>641</v>
      </c>
      <c r="J10" s="287"/>
      <c r="K10" s="287"/>
      <c r="L10" s="287"/>
      <c r="M10" s="287"/>
      <c r="N10" s="287"/>
      <c r="O10" s="287"/>
      <c r="P10" s="287"/>
      <c r="Q10" s="287"/>
      <c r="R10" s="287" t="s">
        <v>630</v>
      </c>
      <c r="S10" s="287"/>
      <c r="T10" s="287"/>
    </row>
    <row r="11" spans="2:23" x14ac:dyDescent="0.3">
      <c r="D11" s="286" t="s">
        <v>323</v>
      </c>
      <c r="E11" s="286"/>
      <c r="F11" s="286"/>
      <c r="G11" s="286"/>
      <c r="H11" s="286"/>
      <c r="I11" s="287" t="s">
        <v>275</v>
      </c>
      <c r="J11" s="287"/>
      <c r="K11" s="287"/>
      <c r="L11" s="287"/>
      <c r="M11" s="287"/>
      <c r="N11" s="287"/>
      <c r="O11" s="287"/>
      <c r="P11" s="287"/>
      <c r="Q11" s="287"/>
      <c r="R11" s="289" t="s">
        <v>631</v>
      </c>
      <c r="S11" s="287"/>
      <c r="T11" s="287"/>
    </row>
    <row r="12" spans="2:23" x14ac:dyDescent="0.3">
      <c r="D12" s="286" t="s">
        <v>369</v>
      </c>
      <c r="E12" s="286"/>
      <c r="F12" s="286"/>
      <c r="G12" s="286"/>
      <c r="H12" s="286"/>
      <c r="I12" s="287" t="s">
        <v>642</v>
      </c>
      <c r="J12" s="287"/>
      <c r="K12" s="287"/>
      <c r="L12" s="287"/>
      <c r="M12" s="287"/>
      <c r="N12" s="287"/>
      <c r="O12" s="287"/>
      <c r="P12" s="287"/>
      <c r="Q12" s="287"/>
      <c r="R12" s="287" t="s">
        <v>632</v>
      </c>
      <c r="S12" s="287"/>
      <c r="T12" s="287"/>
    </row>
    <row r="13" spans="2:23" x14ac:dyDescent="0.3">
      <c r="D13" s="286" t="s">
        <v>624</v>
      </c>
      <c r="E13" s="286"/>
      <c r="F13" s="286"/>
      <c r="G13" s="286"/>
      <c r="H13" s="286"/>
      <c r="I13" s="287" t="s">
        <v>643</v>
      </c>
      <c r="J13" s="287"/>
      <c r="K13" s="287"/>
      <c r="L13" s="287"/>
      <c r="M13" s="287"/>
      <c r="N13" s="287"/>
      <c r="O13" s="287"/>
      <c r="P13" s="287"/>
      <c r="Q13" s="287"/>
      <c r="R13" s="287" t="s">
        <v>633</v>
      </c>
      <c r="S13" s="287"/>
      <c r="T13" s="287"/>
    </row>
    <row r="14" spans="2:23" x14ac:dyDescent="0.3">
      <c r="D14" s="286" t="s">
        <v>625</v>
      </c>
      <c r="E14" s="286"/>
      <c r="F14" s="286"/>
      <c r="G14" s="286"/>
      <c r="H14" s="286"/>
      <c r="I14" s="287" t="s">
        <v>295</v>
      </c>
      <c r="J14" s="287"/>
      <c r="K14" s="287"/>
      <c r="L14" s="287"/>
      <c r="M14" s="287"/>
      <c r="N14" s="287"/>
      <c r="O14" s="287"/>
      <c r="P14" s="287"/>
      <c r="Q14" s="287"/>
      <c r="R14" s="287" t="s">
        <v>634</v>
      </c>
      <c r="S14" s="287"/>
      <c r="T14" s="287"/>
    </row>
    <row r="15" spans="2:23" x14ac:dyDescent="0.3">
      <c r="D15" s="286" t="s">
        <v>639</v>
      </c>
      <c r="E15" s="286"/>
      <c r="F15" s="286"/>
      <c r="G15" s="286"/>
      <c r="H15" s="286"/>
      <c r="I15" s="287" t="s">
        <v>644</v>
      </c>
      <c r="J15" s="287"/>
      <c r="K15" s="287"/>
      <c r="L15" s="287"/>
      <c r="M15" s="287"/>
      <c r="N15" s="287"/>
      <c r="O15" s="287"/>
      <c r="P15" s="287"/>
      <c r="Q15" s="287"/>
      <c r="R15" s="287" t="s">
        <v>635</v>
      </c>
      <c r="S15" s="287"/>
      <c r="T15" s="287"/>
    </row>
    <row r="16" spans="2:23" x14ac:dyDescent="0.3">
      <c r="D16" s="286" t="s">
        <v>626</v>
      </c>
      <c r="E16" s="286"/>
      <c r="F16" s="286"/>
      <c r="G16" s="286"/>
      <c r="H16" s="286"/>
      <c r="I16" s="287"/>
      <c r="J16" s="287"/>
      <c r="K16" s="287"/>
      <c r="L16" s="287"/>
      <c r="M16" s="287"/>
      <c r="N16" s="287"/>
      <c r="O16" s="287"/>
      <c r="P16" s="287"/>
      <c r="Q16" s="287"/>
      <c r="R16" s="287" t="s">
        <v>636</v>
      </c>
      <c r="S16" s="287"/>
      <c r="T16" s="287"/>
    </row>
    <row r="17" spans="2:22" x14ac:dyDescent="0.3">
      <c r="D17" s="286" t="s">
        <v>439</v>
      </c>
      <c r="E17" s="286"/>
      <c r="F17" s="286"/>
      <c r="G17" s="286"/>
      <c r="H17" s="286"/>
      <c r="I17" s="287"/>
      <c r="J17" s="287"/>
      <c r="K17" s="287"/>
      <c r="L17" s="287"/>
      <c r="M17" s="287"/>
      <c r="N17" s="287"/>
      <c r="O17" s="287"/>
      <c r="P17" s="287"/>
      <c r="Q17" s="287"/>
      <c r="R17" s="287" t="s">
        <v>637</v>
      </c>
      <c r="S17" s="287"/>
      <c r="T17" s="287"/>
    </row>
    <row r="18" spans="2:22" x14ac:dyDescent="0.3">
      <c r="D18" s="286" t="s">
        <v>393</v>
      </c>
      <c r="E18" s="286"/>
      <c r="F18" s="286"/>
      <c r="G18" s="286"/>
      <c r="H18" s="286"/>
      <c r="I18" s="287"/>
      <c r="J18" s="287"/>
      <c r="K18" s="287"/>
      <c r="L18" s="287"/>
      <c r="M18" s="287"/>
      <c r="N18" s="287"/>
      <c r="O18" s="287"/>
      <c r="P18" s="287"/>
      <c r="Q18" s="287"/>
      <c r="R18" s="322" t="s">
        <v>638</v>
      </c>
      <c r="S18" s="287"/>
      <c r="T18" s="287"/>
    </row>
    <row r="19" spans="2:22" x14ac:dyDescent="0.3">
      <c r="I19" s="50"/>
      <c r="J19" s="50"/>
      <c r="K19" s="50"/>
      <c r="L19" s="50"/>
      <c r="M19" s="50"/>
      <c r="N19" s="50"/>
      <c r="O19" s="50"/>
      <c r="P19" s="50"/>
      <c r="Q19" s="50"/>
      <c r="R19" s="70"/>
      <c r="S19" s="50"/>
      <c r="T19" s="50"/>
    </row>
    <row r="20" spans="2:22" x14ac:dyDescent="0.3">
      <c r="B20" s="297" t="s">
        <v>389</v>
      </c>
      <c r="C20" s="297"/>
      <c r="D20" s="291" t="s">
        <v>388</v>
      </c>
      <c r="E20" s="291"/>
      <c r="F20" s="291"/>
      <c r="G20" s="291"/>
      <c r="H20" s="291" t="s">
        <v>300</v>
      </c>
      <c r="I20" s="291"/>
      <c r="J20" s="291"/>
      <c r="K20" s="291" t="s">
        <v>129</v>
      </c>
      <c r="L20" s="291"/>
      <c r="M20" s="291"/>
      <c r="N20" s="291" t="s">
        <v>301</v>
      </c>
      <c r="O20" s="291"/>
      <c r="P20" s="291"/>
      <c r="Q20" s="291" t="s">
        <v>302</v>
      </c>
      <c r="R20" s="291"/>
      <c r="S20" s="291"/>
      <c r="T20" s="291" t="s">
        <v>334</v>
      </c>
      <c r="U20" s="291"/>
      <c r="V20" s="291"/>
    </row>
    <row r="21" spans="2:22" x14ac:dyDescent="0.3">
      <c r="D21" s="286" t="s">
        <v>645</v>
      </c>
      <c r="E21" s="286"/>
      <c r="F21" s="286"/>
      <c r="G21" s="286"/>
      <c r="H21" s="286" t="s">
        <v>325</v>
      </c>
      <c r="I21" s="286"/>
      <c r="J21" s="286"/>
      <c r="K21" s="286" t="s">
        <v>186</v>
      </c>
      <c r="L21" s="286"/>
      <c r="M21" s="286"/>
      <c r="N21" s="286"/>
      <c r="O21" s="286"/>
      <c r="P21" s="286"/>
      <c r="Q21" s="286">
        <v>0.3</v>
      </c>
      <c r="R21" s="286"/>
      <c r="S21" s="286"/>
      <c r="T21" s="286"/>
      <c r="U21" s="286"/>
      <c r="V21" s="286"/>
    </row>
    <row r="22" spans="2:22" x14ac:dyDescent="0.3">
      <c r="D22" s="286" t="s">
        <v>646</v>
      </c>
      <c r="E22" s="286"/>
      <c r="F22" s="286"/>
      <c r="G22" s="286"/>
      <c r="H22" s="286" t="s">
        <v>51</v>
      </c>
      <c r="I22" s="286"/>
      <c r="J22" s="286"/>
      <c r="K22" s="286"/>
      <c r="L22" s="286"/>
      <c r="M22" s="286"/>
      <c r="N22" s="286"/>
      <c r="O22" s="286"/>
      <c r="P22" s="286"/>
      <c r="Q22" s="286">
        <v>4</v>
      </c>
      <c r="R22" s="286"/>
      <c r="S22" s="286"/>
      <c r="T22" s="286"/>
      <c r="U22" s="286"/>
      <c r="V22" s="286"/>
    </row>
    <row r="23" spans="2:22" x14ac:dyDescent="0.3">
      <c r="D23" s="286" t="s">
        <v>647</v>
      </c>
      <c r="E23" s="286"/>
      <c r="F23" s="286"/>
      <c r="G23" s="286"/>
      <c r="H23" s="286" t="s">
        <v>306</v>
      </c>
      <c r="I23" s="286"/>
      <c r="J23" s="286"/>
      <c r="K23" s="286" t="s">
        <v>259</v>
      </c>
      <c r="L23" s="286"/>
      <c r="M23" s="286"/>
      <c r="N23" s="286"/>
      <c r="O23" s="286"/>
      <c r="P23" s="286"/>
      <c r="Q23" s="300">
        <v>3</v>
      </c>
      <c r="R23" s="301"/>
      <c r="S23" s="301"/>
      <c r="T23" s="286"/>
      <c r="U23" s="286"/>
      <c r="V23" s="286"/>
    </row>
    <row r="24" spans="2:22" x14ac:dyDescent="0.3">
      <c r="D24" s="286" t="s">
        <v>648</v>
      </c>
      <c r="E24" s="286"/>
      <c r="F24" s="286"/>
      <c r="G24" s="286"/>
      <c r="H24" s="286" t="s">
        <v>344</v>
      </c>
      <c r="I24" s="286"/>
      <c r="J24" s="286"/>
      <c r="K24" s="286" t="s">
        <v>259</v>
      </c>
      <c r="L24" s="286"/>
      <c r="M24" s="286"/>
      <c r="N24" s="286"/>
      <c r="O24" s="286"/>
      <c r="P24" s="286"/>
      <c r="Q24" s="286">
        <v>1.5</v>
      </c>
      <c r="R24" s="286"/>
      <c r="S24" s="286"/>
      <c r="T24" s="286"/>
      <c r="U24" s="286"/>
      <c r="V24" s="286"/>
    </row>
    <row r="25" spans="2:22" x14ac:dyDescent="0.3">
      <c r="D25" s="286" t="s">
        <v>639</v>
      </c>
      <c r="E25" s="286"/>
      <c r="F25" s="286"/>
      <c r="G25" s="286"/>
      <c r="H25" s="286" t="s">
        <v>307</v>
      </c>
      <c r="I25" s="286"/>
      <c r="J25" s="286"/>
      <c r="K25" s="286" t="s">
        <v>259</v>
      </c>
      <c r="L25" s="286"/>
      <c r="M25" s="286"/>
      <c r="N25" s="286"/>
      <c r="O25" s="286"/>
      <c r="P25" s="286"/>
      <c r="Q25" s="170">
        <v>0.05</v>
      </c>
      <c r="R25" s="286"/>
      <c r="S25" s="286"/>
      <c r="T25" s="286"/>
      <c r="U25" s="286"/>
      <c r="V25" s="286"/>
    </row>
    <row r="26" spans="2:22" x14ac:dyDescent="0.3">
      <c r="D26" s="286" t="s">
        <v>649</v>
      </c>
      <c r="E26" s="286"/>
      <c r="F26" s="286"/>
      <c r="G26" s="286"/>
      <c r="H26" s="286" t="s">
        <v>454</v>
      </c>
      <c r="I26" s="286"/>
      <c r="J26" s="286"/>
      <c r="K26" s="324" t="s">
        <v>655</v>
      </c>
      <c r="L26" s="286"/>
      <c r="M26" s="286"/>
      <c r="N26" s="286"/>
      <c r="O26" s="286"/>
      <c r="P26" s="286"/>
      <c r="Q26" s="170">
        <v>60</v>
      </c>
      <c r="R26" s="170"/>
      <c r="S26" s="170"/>
      <c r="T26" s="286"/>
      <c r="U26" s="286"/>
      <c r="V26" s="286"/>
    </row>
    <row r="27" spans="2:22" x14ac:dyDescent="0.3">
      <c r="D27" s="286" t="s">
        <v>650</v>
      </c>
      <c r="E27" s="286"/>
      <c r="F27" s="286"/>
      <c r="G27" s="286"/>
      <c r="H27" s="286" t="s">
        <v>392</v>
      </c>
      <c r="I27" s="286"/>
      <c r="J27" s="286"/>
      <c r="K27" s="286"/>
      <c r="L27" s="286"/>
      <c r="M27" s="286"/>
      <c r="N27" s="286"/>
      <c r="O27" s="286"/>
      <c r="P27" s="286"/>
      <c r="Q27" s="336">
        <v>0.95</v>
      </c>
      <c r="R27" s="170"/>
      <c r="S27" s="170"/>
      <c r="T27" s="286"/>
      <c r="U27" s="286"/>
      <c r="V27" s="286"/>
    </row>
    <row r="28" spans="2:22" x14ac:dyDescent="0.3">
      <c r="D28" s="286" t="s">
        <v>651</v>
      </c>
      <c r="E28" s="286"/>
      <c r="F28" s="286"/>
      <c r="G28" s="286"/>
      <c r="H28" s="286" t="s">
        <v>653</v>
      </c>
      <c r="I28" s="286"/>
      <c r="J28" s="286"/>
      <c r="K28" s="337"/>
      <c r="L28" s="286"/>
      <c r="M28" s="286"/>
      <c r="N28" s="286"/>
      <c r="O28" s="286"/>
      <c r="P28" s="286"/>
      <c r="Q28" s="170" t="s">
        <v>656</v>
      </c>
      <c r="R28" s="170"/>
      <c r="S28" s="170"/>
      <c r="T28" s="286"/>
      <c r="U28" s="286"/>
      <c r="V28" s="286"/>
    </row>
    <row r="29" spans="2:22" x14ac:dyDescent="0.3">
      <c r="D29" s="286" t="s">
        <v>652</v>
      </c>
      <c r="E29" s="286"/>
      <c r="F29" s="286"/>
      <c r="G29" s="286"/>
      <c r="H29" s="286" t="s">
        <v>654</v>
      </c>
      <c r="I29" s="286"/>
      <c r="J29" s="286"/>
      <c r="K29" s="286" t="s">
        <v>657</v>
      </c>
      <c r="L29" s="286"/>
      <c r="M29" s="286"/>
      <c r="N29" s="286"/>
      <c r="O29" s="286"/>
      <c r="P29" s="286"/>
      <c r="Q29" s="170">
        <v>0.06</v>
      </c>
      <c r="R29" s="170"/>
      <c r="S29" s="170"/>
      <c r="T29" s="286"/>
      <c r="U29" s="286"/>
      <c r="V29" s="286"/>
    </row>
    <row r="30" spans="2:22" x14ac:dyDescent="0.3">
      <c r="D30"/>
      <c r="E30"/>
      <c r="F30"/>
      <c r="G30"/>
      <c r="H30"/>
    </row>
    <row r="31" spans="2:22" x14ac:dyDescent="0.3">
      <c r="B31" s="297" t="s">
        <v>299</v>
      </c>
      <c r="C31" s="297"/>
      <c r="D31" s="291" t="s">
        <v>658</v>
      </c>
      <c r="E31" s="291"/>
      <c r="F31" s="291"/>
      <c r="G31" s="291"/>
      <c r="H31" s="291" t="s">
        <v>300</v>
      </c>
      <c r="I31" s="291"/>
      <c r="J31" s="291"/>
      <c r="K31" s="291" t="s">
        <v>129</v>
      </c>
      <c r="L31" s="291"/>
      <c r="M31" s="291"/>
      <c r="N31" s="291" t="s">
        <v>301</v>
      </c>
      <c r="O31" s="291"/>
      <c r="P31" s="291"/>
      <c r="Q31" s="323" t="s">
        <v>302</v>
      </c>
      <c r="R31" s="323"/>
      <c r="S31" s="323"/>
      <c r="T31" s="291" t="s">
        <v>334</v>
      </c>
      <c r="U31" s="291"/>
      <c r="V31" s="291"/>
    </row>
    <row r="32" spans="2:22" x14ac:dyDescent="0.3">
      <c r="D32" s="286" t="s">
        <v>660</v>
      </c>
      <c r="E32" s="286"/>
      <c r="F32" s="286"/>
      <c r="G32" s="286"/>
      <c r="H32" s="286" t="s">
        <v>325</v>
      </c>
      <c r="I32" s="286"/>
      <c r="J32" s="286"/>
      <c r="K32" s="286" t="s">
        <v>186</v>
      </c>
      <c r="L32" s="286"/>
      <c r="M32" s="286"/>
      <c r="N32" s="286" t="s">
        <v>403</v>
      </c>
      <c r="O32" s="286"/>
      <c r="P32" s="286"/>
      <c r="Q32" s="294">
        <f>'Kebutuhan Air Total'!G26</f>
        <v>0.68287864897272743</v>
      </c>
      <c r="R32" s="294"/>
      <c r="S32" s="294"/>
      <c r="T32" s="286"/>
      <c r="U32" s="286"/>
      <c r="V32" s="286"/>
    </row>
    <row r="33" spans="4:22" x14ac:dyDescent="0.3">
      <c r="D33" s="286" t="s">
        <v>400</v>
      </c>
      <c r="E33" s="286"/>
      <c r="F33" s="286"/>
      <c r="G33" s="286"/>
      <c r="H33" s="286" t="s">
        <v>401</v>
      </c>
      <c r="I33" s="286"/>
      <c r="J33" s="286"/>
      <c r="K33" s="286" t="s">
        <v>186</v>
      </c>
      <c r="L33" s="286"/>
      <c r="M33" s="286"/>
      <c r="N33" s="286" t="s">
        <v>659</v>
      </c>
      <c r="O33" s="286"/>
      <c r="P33" s="286"/>
      <c r="Q33" s="294">
        <f>Q32/4</f>
        <v>0.17071966224318186</v>
      </c>
      <c r="R33" s="294"/>
      <c r="S33" s="294"/>
      <c r="T33" s="286"/>
      <c r="U33" s="286"/>
      <c r="V33" s="286"/>
    </row>
    <row r="34" spans="4:22" x14ac:dyDescent="0.3">
      <c r="D34" s="286" t="s">
        <v>391</v>
      </c>
      <c r="E34" s="286"/>
      <c r="F34" s="286"/>
      <c r="G34" s="286"/>
      <c r="H34" s="286" t="s">
        <v>392</v>
      </c>
      <c r="I34" s="286"/>
      <c r="J34" s="286"/>
      <c r="K34" s="287"/>
      <c r="L34" s="287"/>
      <c r="M34" s="287"/>
      <c r="N34" s="286" t="s">
        <v>552</v>
      </c>
      <c r="O34" s="286"/>
      <c r="P34" s="286"/>
      <c r="Q34" s="294">
        <f>Q27</f>
        <v>0.95</v>
      </c>
      <c r="R34" s="294"/>
      <c r="S34" s="294"/>
      <c r="T34" s="286"/>
      <c r="U34" s="286"/>
      <c r="V34" s="286"/>
    </row>
    <row r="35" spans="4:22" x14ac:dyDescent="0.3">
      <c r="D35" s="286" t="s">
        <v>395</v>
      </c>
      <c r="E35" s="286"/>
      <c r="F35" s="286"/>
      <c r="G35" s="286"/>
      <c r="H35" s="286" t="s">
        <v>396</v>
      </c>
      <c r="I35" s="286"/>
      <c r="J35" s="286"/>
      <c r="K35" s="286" t="s">
        <v>258</v>
      </c>
      <c r="L35" s="286"/>
      <c r="M35" s="286"/>
      <c r="N35" s="286" t="s">
        <v>552</v>
      </c>
      <c r="O35" s="286"/>
      <c r="P35" s="286"/>
      <c r="Q35" s="314">
        <f>6*(10^-4)</f>
        <v>6.0000000000000006E-4</v>
      </c>
      <c r="R35" s="314"/>
      <c r="S35" s="314"/>
      <c r="T35" s="286"/>
      <c r="U35" s="286"/>
      <c r="V35" s="286"/>
    </row>
    <row r="36" spans="4:22" x14ac:dyDescent="0.3">
      <c r="D36" s="286" t="s">
        <v>393</v>
      </c>
      <c r="E36" s="286"/>
      <c r="F36" s="286"/>
      <c r="G36" s="286"/>
      <c r="H36" s="286" t="s">
        <v>653</v>
      </c>
      <c r="I36" s="286"/>
      <c r="J36" s="286"/>
      <c r="K36" s="286"/>
      <c r="L36" s="286"/>
      <c r="M36" s="286"/>
      <c r="N36" s="286" t="s">
        <v>552</v>
      </c>
      <c r="O36" s="286"/>
      <c r="P36" s="286"/>
      <c r="Q36" s="294">
        <f>1/8</f>
        <v>0.125</v>
      </c>
      <c r="R36" s="294"/>
      <c r="S36" s="294"/>
      <c r="T36" s="286"/>
      <c r="U36" s="286"/>
      <c r="V36" s="286"/>
    </row>
    <row r="37" spans="4:22" x14ac:dyDescent="0.3">
      <c r="D37" s="286" t="s">
        <v>661</v>
      </c>
      <c r="E37" s="286"/>
      <c r="F37" s="286"/>
      <c r="G37" s="286"/>
      <c r="H37" s="286" t="s">
        <v>662</v>
      </c>
      <c r="I37" s="286"/>
      <c r="J37" s="286"/>
      <c r="K37" s="286" t="s">
        <v>258</v>
      </c>
      <c r="L37" s="286"/>
      <c r="M37" s="286"/>
      <c r="N37" s="286" t="s">
        <v>663</v>
      </c>
      <c r="O37" s="286"/>
      <c r="P37" s="286"/>
      <c r="Q37" s="302">
        <f>((Q36)*(Q35))/((1-Q34)^-(Q36)-1)</f>
        <v>1.6511988469988616E-4</v>
      </c>
      <c r="R37" s="302"/>
      <c r="S37" s="302"/>
      <c r="T37" s="286"/>
      <c r="U37" s="286"/>
      <c r="V37" s="286"/>
    </row>
    <row r="38" spans="4:22" x14ac:dyDescent="0.3">
      <c r="D38" s="286" t="s">
        <v>664</v>
      </c>
      <c r="E38" s="286"/>
      <c r="F38" s="286"/>
      <c r="G38" s="286"/>
      <c r="H38" s="286" t="s">
        <v>665</v>
      </c>
      <c r="I38" s="286"/>
      <c r="J38" s="286"/>
      <c r="K38" s="286" t="s">
        <v>259</v>
      </c>
      <c r="L38" s="286"/>
      <c r="M38" s="286"/>
      <c r="N38" s="286" t="s">
        <v>666</v>
      </c>
      <c r="O38" s="286"/>
      <c r="P38" s="286"/>
      <c r="Q38" s="294">
        <f>Q25/(1/2)</f>
        <v>0.1</v>
      </c>
      <c r="R38" s="294"/>
      <c r="S38" s="294"/>
      <c r="T38" s="286"/>
      <c r="U38" s="286"/>
      <c r="V38" s="286"/>
    </row>
    <row r="39" spans="4:22" x14ac:dyDescent="0.3">
      <c r="D39" s="286" t="s">
        <v>667</v>
      </c>
      <c r="E39" s="286"/>
      <c r="F39" s="286"/>
      <c r="G39" s="286"/>
      <c r="H39" s="286" t="s">
        <v>668</v>
      </c>
      <c r="I39" s="286"/>
      <c r="J39" s="286"/>
      <c r="K39" s="286" t="s">
        <v>259</v>
      </c>
      <c r="L39" s="286"/>
      <c r="M39" s="286"/>
      <c r="N39" s="286" t="s">
        <v>669</v>
      </c>
      <c r="O39" s="286"/>
      <c r="P39" s="286"/>
      <c r="Q39" s="294">
        <f>Q24/((SQRT(3))/2)</f>
        <v>1.7320508075688774</v>
      </c>
      <c r="R39" s="294"/>
      <c r="S39" s="294"/>
      <c r="T39" s="286"/>
      <c r="U39" s="286"/>
      <c r="V39" s="286"/>
    </row>
    <row r="40" spans="4:22" x14ac:dyDescent="0.3">
      <c r="D40" s="286" t="s">
        <v>670</v>
      </c>
      <c r="E40" s="286"/>
      <c r="F40" s="286"/>
      <c r="G40" s="286"/>
      <c r="H40" s="286" t="s">
        <v>671</v>
      </c>
      <c r="I40" s="286"/>
      <c r="J40" s="286"/>
      <c r="K40" s="286" t="s">
        <v>259</v>
      </c>
      <c r="L40" s="286"/>
      <c r="M40" s="286"/>
      <c r="N40" s="286" t="s">
        <v>672</v>
      </c>
      <c r="O40" s="286"/>
      <c r="P40" s="286"/>
      <c r="Q40" s="294">
        <f>(Q24/((SQRT(3))/2))+(Q25/(SQRT(3)))</f>
        <v>1.7609183210283588</v>
      </c>
      <c r="R40" s="294"/>
      <c r="S40" s="294"/>
      <c r="T40" s="286"/>
      <c r="U40" s="286"/>
      <c r="V40" s="286"/>
    </row>
    <row r="41" spans="4:22" x14ac:dyDescent="0.3">
      <c r="D41" s="286" t="s">
        <v>673</v>
      </c>
      <c r="E41" s="286"/>
      <c r="F41" s="286"/>
      <c r="G41" s="286"/>
      <c r="H41" s="286" t="s">
        <v>674</v>
      </c>
      <c r="I41" s="286"/>
      <c r="J41" s="286"/>
      <c r="K41" s="286" t="s">
        <v>258</v>
      </c>
      <c r="L41" s="286"/>
      <c r="M41" s="286"/>
      <c r="N41" s="286" t="s">
        <v>675</v>
      </c>
      <c r="O41" s="286"/>
      <c r="P41" s="286"/>
      <c r="Q41" s="314">
        <f>(((Q24*(1/2))+(Q25*(1/4)))/(Q25*((SQRT(3))/2)))*Q37</f>
        <v>2.9076263013411967E-3</v>
      </c>
      <c r="R41" s="314"/>
      <c r="S41" s="314"/>
      <c r="T41" s="286"/>
      <c r="U41" s="286"/>
      <c r="V41" s="286"/>
    </row>
    <row r="42" spans="4:22" x14ac:dyDescent="0.3">
      <c r="D42" s="286"/>
      <c r="E42" s="286"/>
      <c r="F42" s="286"/>
      <c r="G42" s="286"/>
      <c r="H42" s="286"/>
      <c r="I42" s="286"/>
      <c r="J42" s="286"/>
      <c r="K42" s="286" t="s">
        <v>641</v>
      </c>
      <c r="L42" s="286"/>
      <c r="M42" s="286"/>
      <c r="N42" s="286" t="s">
        <v>519</v>
      </c>
      <c r="O42" s="286"/>
      <c r="P42" s="286"/>
      <c r="Q42" s="294">
        <f>Q41*60</f>
        <v>0.1744575780804718</v>
      </c>
      <c r="R42" s="294"/>
      <c r="S42" s="294"/>
      <c r="T42" s="286"/>
      <c r="U42" s="286"/>
      <c r="V42" s="286"/>
    </row>
    <row r="43" spans="4:22" x14ac:dyDescent="0.3">
      <c r="D43" s="286" t="s">
        <v>323</v>
      </c>
      <c r="E43" s="286"/>
      <c r="F43" s="286"/>
      <c r="G43" s="286"/>
      <c r="H43" s="286" t="s">
        <v>420</v>
      </c>
      <c r="I43" s="286"/>
      <c r="J43" s="286"/>
      <c r="K43" s="286" t="s">
        <v>422</v>
      </c>
      <c r="L43" s="286"/>
      <c r="M43" s="286"/>
      <c r="N43" s="286" t="s">
        <v>676</v>
      </c>
      <c r="O43" s="286"/>
      <c r="P43" s="286"/>
      <c r="Q43" s="294">
        <f>Q38/Q37</f>
        <v>605.62057793193787</v>
      </c>
      <c r="R43" s="294"/>
      <c r="S43" s="294"/>
      <c r="T43" s="286"/>
      <c r="U43" s="286"/>
      <c r="V43" s="286"/>
    </row>
    <row r="44" spans="4:22" x14ac:dyDescent="0.3">
      <c r="D44" s="286"/>
      <c r="E44" s="286"/>
      <c r="F44" s="286"/>
      <c r="G44" s="286"/>
      <c r="H44" s="286"/>
      <c r="I44" s="286"/>
      <c r="J44" s="286"/>
      <c r="K44" s="286" t="s">
        <v>275</v>
      </c>
      <c r="L44" s="286"/>
      <c r="M44" s="286"/>
      <c r="N44" s="286" t="s">
        <v>519</v>
      </c>
      <c r="O44" s="286"/>
      <c r="P44" s="286"/>
      <c r="Q44" s="313">
        <f>Q43/60</f>
        <v>10.093676298865631</v>
      </c>
      <c r="R44" s="313"/>
      <c r="S44" s="313"/>
      <c r="T44" s="274" t="s">
        <v>677</v>
      </c>
      <c r="U44" s="274"/>
      <c r="V44" s="274"/>
    </row>
    <row r="45" spans="4:22" x14ac:dyDescent="0.3">
      <c r="D45" s="286" t="s">
        <v>678</v>
      </c>
      <c r="E45" s="286"/>
      <c r="F45" s="286"/>
      <c r="G45" s="286"/>
      <c r="H45" s="286" t="s">
        <v>680</v>
      </c>
      <c r="I45" s="286"/>
      <c r="J45" s="286"/>
      <c r="K45" s="286" t="s">
        <v>186</v>
      </c>
      <c r="L45" s="286"/>
      <c r="M45" s="286"/>
      <c r="N45" s="286" t="s">
        <v>679</v>
      </c>
      <c r="O45" s="286"/>
      <c r="P45" s="286"/>
      <c r="Q45" s="302">
        <f>Q41*Q25*Q23</f>
        <v>4.3614394520117953E-4</v>
      </c>
      <c r="R45" s="302"/>
      <c r="S45" s="302"/>
      <c r="T45" s="286"/>
      <c r="U45" s="286"/>
      <c r="V45" s="286"/>
    </row>
    <row r="46" spans="4:22" x14ac:dyDescent="0.3">
      <c r="D46" s="286" t="s">
        <v>681</v>
      </c>
      <c r="E46" s="286"/>
      <c r="F46" s="286"/>
      <c r="G46" s="286"/>
      <c r="H46" s="286" t="s">
        <v>682</v>
      </c>
      <c r="I46" s="286"/>
      <c r="J46" s="286"/>
      <c r="K46" s="286" t="s">
        <v>372</v>
      </c>
      <c r="L46" s="286"/>
      <c r="M46" s="286"/>
      <c r="N46" s="286" t="s">
        <v>683</v>
      </c>
      <c r="O46" s="286"/>
      <c r="P46" s="286"/>
      <c r="Q46" s="293">
        <f>(Q33/Q45)+1</f>
        <v>392.42962804271929</v>
      </c>
      <c r="R46" s="293"/>
      <c r="S46" s="293"/>
      <c r="T46" s="286"/>
      <c r="U46" s="286"/>
      <c r="V46" s="286"/>
    </row>
    <row r="47" spans="4:22" x14ac:dyDescent="0.3">
      <c r="D47" s="286" t="s">
        <v>684</v>
      </c>
      <c r="E47" s="286"/>
      <c r="F47" s="286"/>
      <c r="G47" s="286"/>
      <c r="H47" s="286" t="s">
        <v>685</v>
      </c>
      <c r="I47" s="286"/>
      <c r="J47" s="286"/>
      <c r="K47" s="286" t="s">
        <v>259</v>
      </c>
      <c r="L47" s="286"/>
      <c r="M47" s="286"/>
      <c r="N47" s="286" t="s">
        <v>686</v>
      </c>
      <c r="O47" s="286"/>
      <c r="P47" s="286"/>
      <c r="Q47" s="313">
        <f>(Q46-1)*(Q25/0.86)+(Q39*1/2)</f>
        <v>23.623561917896026</v>
      </c>
      <c r="R47" s="313"/>
      <c r="S47" s="313"/>
      <c r="T47" s="286"/>
      <c r="U47" s="286"/>
      <c r="V47" s="286"/>
    </row>
    <row r="48" spans="4:22" x14ac:dyDescent="0.3">
      <c r="D48" s="286" t="s">
        <v>687</v>
      </c>
      <c r="E48" s="286"/>
      <c r="F48" s="286"/>
      <c r="G48" s="286"/>
      <c r="H48" s="286" t="s">
        <v>688</v>
      </c>
      <c r="I48" s="286"/>
      <c r="J48" s="286"/>
      <c r="K48" s="286" t="s">
        <v>259</v>
      </c>
      <c r="L48" s="286"/>
      <c r="M48" s="286"/>
      <c r="N48" s="286" t="s">
        <v>689</v>
      </c>
      <c r="O48" s="286"/>
      <c r="P48" s="286"/>
      <c r="Q48" s="294">
        <f>(1/3)*Q47</f>
        <v>7.8745206392986749</v>
      </c>
      <c r="R48" s="294"/>
      <c r="S48" s="294"/>
      <c r="T48" s="286"/>
      <c r="U48" s="286"/>
      <c r="V48" s="286"/>
    </row>
    <row r="49" spans="2:23" x14ac:dyDescent="0.3">
      <c r="D49" s="286" t="s">
        <v>690</v>
      </c>
      <c r="E49" s="286"/>
      <c r="F49" s="286"/>
      <c r="G49" s="286"/>
      <c r="H49" s="286" t="s">
        <v>691</v>
      </c>
      <c r="I49" s="286"/>
      <c r="J49" s="286"/>
      <c r="K49" s="286" t="s">
        <v>259</v>
      </c>
      <c r="L49" s="286"/>
      <c r="M49" s="286"/>
      <c r="N49" s="286" t="s">
        <v>692</v>
      </c>
      <c r="O49" s="286"/>
      <c r="P49" s="286"/>
      <c r="Q49" s="294">
        <f>Q47+Q48</f>
        <v>31.498082557194699</v>
      </c>
      <c r="R49" s="294"/>
      <c r="S49" s="294"/>
      <c r="T49" s="286"/>
      <c r="U49" s="286"/>
      <c r="V49" s="286"/>
    </row>
    <row r="50" spans="2:23" x14ac:dyDescent="0.3">
      <c r="D50" s="286" t="s">
        <v>693</v>
      </c>
      <c r="E50" s="286"/>
      <c r="F50" s="286"/>
      <c r="G50" s="286"/>
      <c r="H50" s="286" t="s">
        <v>694</v>
      </c>
      <c r="I50" s="286"/>
      <c r="J50" s="286"/>
      <c r="K50" s="286" t="s">
        <v>259</v>
      </c>
      <c r="L50" s="286"/>
      <c r="M50" s="286"/>
      <c r="N50" s="286" t="s">
        <v>310</v>
      </c>
      <c r="O50" s="286"/>
      <c r="P50" s="286"/>
      <c r="Q50" s="294">
        <v>0.5</v>
      </c>
      <c r="R50" s="294"/>
      <c r="S50" s="294"/>
      <c r="T50" s="286"/>
      <c r="U50" s="286"/>
      <c r="V50" s="286"/>
    </row>
    <row r="51" spans="2:23" x14ac:dyDescent="0.3">
      <c r="D51" s="286" t="s">
        <v>695</v>
      </c>
      <c r="E51" s="286"/>
      <c r="F51" s="286"/>
      <c r="G51" s="286"/>
      <c r="H51" s="286" t="s">
        <v>696</v>
      </c>
      <c r="I51" s="286"/>
      <c r="J51" s="286"/>
      <c r="K51" s="286" t="s">
        <v>259</v>
      </c>
      <c r="L51" s="286"/>
      <c r="M51" s="286"/>
      <c r="N51" s="286" t="s">
        <v>310</v>
      </c>
      <c r="O51" s="286"/>
      <c r="P51" s="286"/>
      <c r="Q51" s="294">
        <v>1</v>
      </c>
      <c r="R51" s="294"/>
      <c r="S51" s="294"/>
      <c r="T51" s="286"/>
      <c r="U51" s="286"/>
      <c r="V51" s="286"/>
    </row>
    <row r="52" spans="2:23" x14ac:dyDescent="0.3">
      <c r="D52" s="286" t="s">
        <v>697</v>
      </c>
      <c r="E52" s="286"/>
      <c r="F52" s="286"/>
      <c r="G52" s="286"/>
      <c r="H52" s="286" t="s">
        <v>698</v>
      </c>
      <c r="I52" s="286"/>
      <c r="J52" s="286"/>
      <c r="K52" s="286" t="s">
        <v>259</v>
      </c>
      <c r="L52" s="286"/>
      <c r="M52" s="286"/>
      <c r="N52" s="286" t="s">
        <v>699</v>
      </c>
      <c r="O52" s="286"/>
      <c r="P52" s="286"/>
      <c r="Q52" s="294">
        <f>Q51+Q24+Q50</f>
        <v>3</v>
      </c>
      <c r="R52" s="294"/>
      <c r="S52" s="294"/>
      <c r="T52" s="286"/>
      <c r="U52" s="286"/>
      <c r="V52" s="286"/>
    </row>
    <row r="53" spans="2:23" x14ac:dyDescent="0.3">
      <c r="B53" s="67"/>
      <c r="C53" s="67"/>
      <c r="D53" s="338" t="s">
        <v>700</v>
      </c>
      <c r="E53" s="338"/>
      <c r="F53" s="338"/>
      <c r="G53" s="338"/>
      <c r="H53" s="331"/>
      <c r="I53" s="331"/>
      <c r="J53" s="331"/>
      <c r="K53" s="331"/>
      <c r="L53" s="331"/>
      <c r="M53" s="331"/>
      <c r="N53" s="331"/>
      <c r="O53" s="331"/>
      <c r="P53" s="331"/>
      <c r="Q53" s="335"/>
      <c r="R53" s="335"/>
      <c r="S53" s="335"/>
      <c r="T53" s="331"/>
      <c r="U53" s="331"/>
      <c r="V53" s="331"/>
    </row>
    <row r="54" spans="2:23" x14ac:dyDescent="0.3">
      <c r="B54" s="63"/>
      <c r="C54" s="63"/>
      <c r="D54" s="304" t="s">
        <v>701</v>
      </c>
      <c r="E54" s="304"/>
      <c r="F54" s="304"/>
      <c r="G54" s="304"/>
      <c r="H54" s="304" t="s">
        <v>412</v>
      </c>
      <c r="I54" s="304"/>
      <c r="J54" s="304"/>
      <c r="K54" s="304" t="s">
        <v>259</v>
      </c>
      <c r="L54" s="304"/>
      <c r="M54" s="304"/>
      <c r="N54" s="304"/>
      <c r="O54" s="304"/>
      <c r="P54" s="304"/>
      <c r="Q54" s="329">
        <f>Q49</f>
        <v>31.498082557194699</v>
      </c>
      <c r="R54" s="329"/>
      <c r="S54" s="329"/>
      <c r="T54" s="304"/>
      <c r="U54" s="304"/>
      <c r="V54" s="304"/>
    </row>
    <row r="55" spans="2:23" x14ac:dyDescent="0.3">
      <c r="B55" s="63"/>
      <c r="C55" s="63"/>
      <c r="D55" s="304" t="s">
        <v>702</v>
      </c>
      <c r="E55" s="304"/>
      <c r="F55" s="304"/>
      <c r="G55" s="304"/>
      <c r="H55" s="304" t="s">
        <v>306</v>
      </c>
      <c r="I55" s="304"/>
      <c r="J55" s="304"/>
      <c r="K55" s="304" t="s">
        <v>259</v>
      </c>
      <c r="L55" s="304"/>
      <c r="M55" s="304"/>
      <c r="N55" s="304"/>
      <c r="O55" s="304"/>
      <c r="P55" s="304"/>
      <c r="Q55" s="329">
        <f>Q23</f>
        <v>3</v>
      </c>
      <c r="R55" s="329"/>
      <c r="S55" s="329"/>
      <c r="T55" s="304"/>
      <c r="U55" s="304"/>
      <c r="V55" s="304"/>
    </row>
    <row r="56" spans="2:23" x14ac:dyDescent="0.3">
      <c r="B56" s="63"/>
      <c r="C56" s="63"/>
      <c r="D56" s="304" t="s">
        <v>371</v>
      </c>
      <c r="E56" s="304"/>
      <c r="F56" s="304"/>
      <c r="G56" s="304"/>
      <c r="H56" s="304" t="s">
        <v>344</v>
      </c>
      <c r="I56" s="304"/>
      <c r="J56" s="304"/>
      <c r="K56" s="304" t="s">
        <v>259</v>
      </c>
      <c r="L56" s="304"/>
      <c r="M56" s="304"/>
      <c r="N56" s="304"/>
      <c r="O56" s="304"/>
      <c r="P56" s="304"/>
      <c r="Q56" s="329">
        <f>Q52</f>
        <v>3</v>
      </c>
      <c r="R56" s="329"/>
      <c r="S56" s="329"/>
      <c r="T56" s="304"/>
      <c r="U56" s="304"/>
      <c r="V56" s="304"/>
    </row>
    <row r="57" spans="2:23" x14ac:dyDescent="0.3">
      <c r="B57" s="63"/>
      <c r="C57" s="63"/>
      <c r="D57" s="304" t="s">
        <v>416</v>
      </c>
      <c r="E57" s="304"/>
      <c r="F57" s="304"/>
      <c r="G57" s="304"/>
      <c r="H57" s="304" t="s">
        <v>345</v>
      </c>
      <c r="I57" s="304"/>
      <c r="J57" s="304"/>
      <c r="K57" s="304" t="s">
        <v>259</v>
      </c>
      <c r="L57" s="304"/>
      <c r="M57" s="304"/>
      <c r="N57" s="304"/>
      <c r="O57" s="304"/>
      <c r="P57" s="304"/>
      <c r="Q57" s="329">
        <v>0.6</v>
      </c>
      <c r="R57" s="329"/>
      <c r="S57" s="329"/>
      <c r="T57" s="304"/>
      <c r="U57" s="304"/>
      <c r="V57" s="304"/>
    </row>
    <row r="58" spans="2:23" x14ac:dyDescent="0.3">
      <c r="D58" s="274" t="s">
        <v>425</v>
      </c>
      <c r="E58" s="274"/>
      <c r="F58" s="274"/>
      <c r="G58" s="274"/>
      <c r="H58" s="286"/>
      <c r="I58" s="286"/>
      <c r="J58" s="286"/>
      <c r="K58" s="286"/>
      <c r="L58" s="286"/>
      <c r="M58" s="286"/>
      <c r="N58" s="286"/>
      <c r="O58" s="286"/>
      <c r="P58" s="286"/>
      <c r="Q58" s="294"/>
      <c r="R58" s="294"/>
      <c r="S58" s="294"/>
      <c r="T58" s="286"/>
      <c r="U58" s="286"/>
      <c r="V58" s="286"/>
    </row>
    <row r="59" spans="2:23" x14ac:dyDescent="0.3">
      <c r="D59" s="286" t="s">
        <v>431</v>
      </c>
      <c r="E59" s="286"/>
      <c r="F59" s="286"/>
      <c r="G59" s="286"/>
      <c r="H59" s="286" t="s">
        <v>432</v>
      </c>
      <c r="I59" s="286"/>
      <c r="J59" s="286"/>
      <c r="K59" s="286" t="s">
        <v>259</v>
      </c>
      <c r="L59" s="286"/>
      <c r="M59" s="286"/>
      <c r="N59" s="286" t="s">
        <v>703</v>
      </c>
      <c r="O59" s="286"/>
      <c r="P59" s="286"/>
      <c r="Q59" s="294">
        <f>Q25/2</f>
        <v>2.5000000000000001E-2</v>
      </c>
      <c r="R59" s="294"/>
      <c r="S59" s="294"/>
      <c r="T59" s="286"/>
      <c r="U59" s="286"/>
      <c r="V59" s="286"/>
    </row>
    <row r="60" spans="2:23" x14ac:dyDescent="0.3">
      <c r="D60" s="286" t="s">
        <v>626</v>
      </c>
      <c r="E60" s="286"/>
      <c r="F60" s="286"/>
      <c r="G60" s="286"/>
      <c r="H60" s="286" t="s">
        <v>437</v>
      </c>
      <c r="I60" s="286"/>
      <c r="J60" s="286"/>
      <c r="K60" s="286"/>
      <c r="L60" s="286"/>
      <c r="M60" s="286"/>
      <c r="N60" s="286" t="s">
        <v>704</v>
      </c>
      <c r="O60" s="286"/>
      <c r="P60" s="286"/>
      <c r="Q60" s="294">
        <f>(Q41*Q59)/(9.539*(10^(-7)))</f>
        <v>76.203645595481646</v>
      </c>
      <c r="R60" s="294"/>
      <c r="S60" s="294"/>
      <c r="T60" s="274" t="s">
        <v>705</v>
      </c>
      <c r="U60" s="274"/>
      <c r="V60" s="274"/>
    </row>
    <row r="61" spans="2:23" x14ac:dyDescent="0.3">
      <c r="D61" s="286" t="s">
        <v>439</v>
      </c>
      <c r="E61" s="286"/>
      <c r="F61" s="286"/>
      <c r="G61" s="286"/>
      <c r="H61" s="286" t="s">
        <v>440</v>
      </c>
      <c r="I61" s="286"/>
      <c r="J61" s="286"/>
      <c r="K61" s="286"/>
      <c r="L61" s="286"/>
      <c r="M61" s="286"/>
      <c r="N61" s="286" t="s">
        <v>706</v>
      </c>
      <c r="O61" s="286"/>
      <c r="P61" s="286"/>
      <c r="Q61" s="332">
        <f>(Q41^2)/(9.81*Q59)</f>
        <v>3.4472133366976904E-5</v>
      </c>
      <c r="R61" s="332"/>
      <c r="S61" s="332"/>
      <c r="T61" s="274" t="s">
        <v>707</v>
      </c>
      <c r="U61" s="274"/>
      <c r="V61" s="274"/>
    </row>
    <row r="62" spans="2:23" x14ac:dyDescent="0.3">
      <c r="D62" s="286"/>
      <c r="E62" s="286"/>
      <c r="F62" s="286"/>
      <c r="G62" s="286"/>
      <c r="H62" s="286"/>
      <c r="I62" s="286"/>
      <c r="J62" s="286"/>
      <c r="K62" s="286"/>
      <c r="L62" s="286"/>
      <c r="M62" s="286"/>
      <c r="N62" s="286"/>
      <c r="O62" s="286"/>
      <c r="P62" s="286"/>
      <c r="Q62" s="294"/>
      <c r="R62" s="294"/>
      <c r="S62" s="294"/>
      <c r="T62" s="286"/>
      <c r="U62" s="286"/>
      <c r="V62" s="286"/>
    </row>
    <row r="63" spans="2:23" x14ac:dyDescent="0.3">
      <c r="D63"/>
      <c r="E63"/>
      <c r="F63"/>
      <c r="G63"/>
      <c r="H63"/>
    </row>
    <row r="64" spans="2:23" x14ac:dyDescent="0.3">
      <c r="B64" s="71"/>
      <c r="C64" s="71"/>
      <c r="D64" s="285" t="s">
        <v>115</v>
      </c>
      <c r="E64" s="285"/>
      <c r="F64" s="285"/>
      <c r="G64" s="285"/>
      <c r="H64" s="285"/>
      <c r="I64" s="285" t="s">
        <v>129</v>
      </c>
      <c r="J64" s="285"/>
      <c r="K64" s="285"/>
      <c r="L64" s="285" t="s">
        <v>286</v>
      </c>
      <c r="M64" s="285"/>
      <c r="N64" s="285"/>
      <c r="O64" s="285" t="s">
        <v>287</v>
      </c>
      <c r="P64" s="285"/>
      <c r="Q64" s="285"/>
      <c r="R64" s="285" t="s">
        <v>376</v>
      </c>
      <c r="S64" s="285"/>
      <c r="T64" s="285"/>
      <c r="U64" s="285"/>
      <c r="V64" s="285"/>
      <c r="W64" s="285"/>
    </row>
    <row r="65" spans="2:23" x14ac:dyDescent="0.3">
      <c r="D65" s="283" t="s">
        <v>949</v>
      </c>
      <c r="E65" s="283"/>
      <c r="F65" s="283"/>
      <c r="G65" s="283"/>
      <c r="H65" s="283"/>
      <c r="I65" s="320"/>
      <c r="J65" s="320"/>
      <c r="K65" s="320"/>
      <c r="L65" s="320"/>
      <c r="M65" s="320"/>
      <c r="N65" s="320"/>
      <c r="O65" s="320"/>
      <c r="P65" s="320"/>
      <c r="Q65" s="320"/>
      <c r="R65" s="284"/>
      <c r="S65" s="284"/>
      <c r="T65" s="284"/>
      <c r="U65" s="284"/>
      <c r="V65" s="284"/>
      <c r="W65" s="284"/>
    </row>
    <row r="66" spans="2:23" x14ac:dyDescent="0.3">
      <c r="D66" s="286" t="s">
        <v>708</v>
      </c>
      <c r="E66" s="286"/>
      <c r="F66" s="286"/>
      <c r="G66" s="286"/>
      <c r="H66" s="286"/>
      <c r="I66" s="290" t="s">
        <v>644</v>
      </c>
      <c r="J66" s="290"/>
      <c r="K66" s="290"/>
      <c r="L66" s="290"/>
      <c r="M66" s="290"/>
      <c r="N66" s="290"/>
      <c r="O66" s="290"/>
      <c r="P66" s="290"/>
      <c r="Q66" s="290"/>
      <c r="R66" s="290" t="s">
        <v>711</v>
      </c>
      <c r="S66" s="290"/>
      <c r="T66" s="290"/>
    </row>
    <row r="67" spans="2:23" x14ac:dyDescent="0.3">
      <c r="D67" s="286" t="s">
        <v>709</v>
      </c>
      <c r="E67" s="286"/>
      <c r="F67" s="286"/>
      <c r="G67" s="286"/>
      <c r="H67" s="286"/>
      <c r="I67" s="287" t="s">
        <v>259</v>
      </c>
      <c r="J67" s="287"/>
      <c r="K67" s="287"/>
      <c r="L67" s="287"/>
      <c r="M67" s="287"/>
      <c r="N67" s="287"/>
      <c r="O67" s="287"/>
      <c r="P67" s="287"/>
      <c r="Q67" s="287"/>
      <c r="R67" s="322" t="s">
        <v>712</v>
      </c>
      <c r="S67" s="287"/>
      <c r="T67" s="287"/>
    </row>
    <row r="68" spans="2:23" x14ac:dyDescent="0.3">
      <c r="D68" s="286" t="s">
        <v>710</v>
      </c>
      <c r="E68" s="286"/>
      <c r="F68" s="286"/>
      <c r="G68" s="286"/>
      <c r="H68" s="286"/>
      <c r="I68" s="287" t="s">
        <v>259</v>
      </c>
      <c r="J68" s="287"/>
      <c r="K68" s="287"/>
      <c r="L68" s="287"/>
      <c r="M68" s="287"/>
      <c r="N68" s="287"/>
      <c r="O68" s="287"/>
      <c r="P68" s="287"/>
      <c r="Q68" s="287"/>
      <c r="R68" s="287" t="s">
        <v>713</v>
      </c>
      <c r="S68" s="287"/>
      <c r="T68" s="287"/>
    </row>
    <row r="69" spans="2:23" x14ac:dyDescent="0.3">
      <c r="D69"/>
      <c r="E69"/>
      <c r="F69"/>
      <c r="G69"/>
      <c r="H69"/>
    </row>
    <row r="70" spans="2:23" x14ac:dyDescent="0.3">
      <c r="B70" s="297" t="s">
        <v>389</v>
      </c>
      <c r="C70" s="297"/>
      <c r="D70" s="291" t="s">
        <v>388</v>
      </c>
      <c r="E70" s="291"/>
      <c r="F70" s="291"/>
      <c r="G70" s="291"/>
      <c r="H70" s="291" t="s">
        <v>300</v>
      </c>
      <c r="I70" s="291"/>
      <c r="J70" s="291"/>
      <c r="K70" s="291" t="s">
        <v>129</v>
      </c>
      <c r="L70" s="291"/>
      <c r="M70" s="291"/>
      <c r="N70" s="291" t="s">
        <v>301</v>
      </c>
      <c r="O70" s="291"/>
      <c r="P70" s="291"/>
      <c r="Q70" s="291" t="s">
        <v>302</v>
      </c>
      <c r="R70" s="291"/>
      <c r="S70" s="291"/>
      <c r="T70" s="291" t="s">
        <v>334</v>
      </c>
      <c r="U70" s="291"/>
      <c r="V70" s="291"/>
    </row>
    <row r="71" spans="2:23" x14ac:dyDescent="0.3">
      <c r="D71" s="286" t="s">
        <v>1863</v>
      </c>
      <c r="E71" s="286"/>
      <c r="F71" s="286"/>
      <c r="G71" s="286"/>
      <c r="H71" s="286" t="s">
        <v>344</v>
      </c>
      <c r="I71" s="286"/>
      <c r="J71" s="286"/>
      <c r="K71" s="286" t="s">
        <v>259</v>
      </c>
      <c r="L71" s="286"/>
      <c r="M71" s="286"/>
      <c r="N71" s="286"/>
      <c r="O71" s="286"/>
      <c r="P71" s="286"/>
      <c r="Q71" s="286">
        <v>1</v>
      </c>
      <c r="R71" s="286"/>
      <c r="S71" s="286"/>
      <c r="T71" s="286"/>
      <c r="U71" s="286"/>
      <c r="V71" s="286"/>
    </row>
    <row r="72" spans="2:23" x14ac:dyDescent="0.3">
      <c r="D72" s="286" t="s">
        <v>342</v>
      </c>
      <c r="E72" s="286"/>
      <c r="F72" s="286"/>
      <c r="G72" s="286"/>
      <c r="H72" s="286" t="s">
        <v>457</v>
      </c>
      <c r="I72" s="286"/>
      <c r="J72" s="286"/>
      <c r="K72" s="286" t="s">
        <v>258</v>
      </c>
      <c r="L72" s="286"/>
      <c r="M72" s="286"/>
      <c r="N72" s="286"/>
      <c r="O72" s="286"/>
      <c r="P72" s="286"/>
      <c r="Q72" s="286">
        <v>0.15</v>
      </c>
      <c r="R72" s="286"/>
      <c r="S72" s="286"/>
      <c r="T72" s="286"/>
      <c r="U72" s="286"/>
      <c r="V72" s="286"/>
    </row>
    <row r="73" spans="2:23" x14ac:dyDescent="0.3">
      <c r="D73" s="286" t="s">
        <v>714</v>
      </c>
      <c r="E73" s="286"/>
      <c r="F73" s="286"/>
      <c r="G73" s="286"/>
      <c r="H73" s="286" t="s">
        <v>51</v>
      </c>
      <c r="I73" s="286"/>
      <c r="J73" s="286"/>
      <c r="K73" s="286"/>
      <c r="L73" s="286"/>
      <c r="M73" s="286"/>
      <c r="N73" s="286"/>
      <c r="O73" s="286"/>
      <c r="P73" s="286"/>
      <c r="Q73" s="339">
        <v>1.2999999999999999E-2</v>
      </c>
      <c r="R73" s="296"/>
      <c r="S73" s="296"/>
      <c r="T73" s="286"/>
      <c r="U73" s="286"/>
      <c r="V73" s="286"/>
    </row>
    <row r="74" spans="2:23" x14ac:dyDescent="0.3">
      <c r="D74" s="286" t="s">
        <v>715</v>
      </c>
      <c r="E74" s="286"/>
      <c r="F74" s="286"/>
      <c r="G74" s="286"/>
      <c r="H74" s="286" t="s">
        <v>306</v>
      </c>
      <c r="I74" s="286"/>
      <c r="J74" s="286"/>
      <c r="K74" s="286" t="s">
        <v>259</v>
      </c>
      <c r="L74" s="286"/>
      <c r="M74" s="286"/>
      <c r="N74" s="286"/>
      <c r="O74" s="286"/>
      <c r="P74" s="286"/>
      <c r="Q74" s="286">
        <v>3</v>
      </c>
      <c r="R74" s="286"/>
      <c r="S74" s="286"/>
      <c r="T74" s="286"/>
      <c r="U74" s="286"/>
      <c r="V74" s="286"/>
    </row>
    <row r="75" spans="2:23" x14ac:dyDescent="0.3">
      <c r="D75" s="286" t="s">
        <v>709</v>
      </c>
      <c r="E75" s="286"/>
      <c r="F75" s="286"/>
      <c r="G75" s="286"/>
      <c r="H75" s="286" t="s">
        <v>1001</v>
      </c>
      <c r="I75" s="286"/>
      <c r="J75" s="286"/>
      <c r="K75" s="286" t="s">
        <v>259</v>
      </c>
      <c r="L75" s="286"/>
      <c r="M75" s="286"/>
      <c r="N75" s="286"/>
      <c r="O75" s="286"/>
      <c r="P75" s="286"/>
      <c r="Q75" s="170">
        <v>0.2</v>
      </c>
      <c r="R75" s="286"/>
      <c r="S75" s="286"/>
      <c r="T75" s="286"/>
      <c r="U75" s="286"/>
      <c r="V75" s="286"/>
    </row>
    <row r="76" spans="2:23" x14ac:dyDescent="0.3">
      <c r="D76" s="286" t="s">
        <v>710</v>
      </c>
      <c r="E76" s="286"/>
      <c r="F76" s="286"/>
      <c r="G76" s="286"/>
      <c r="H76" s="286" t="s">
        <v>716</v>
      </c>
      <c r="I76" s="286"/>
      <c r="J76" s="286"/>
      <c r="K76" s="324" t="s">
        <v>259</v>
      </c>
      <c r="L76" s="286"/>
      <c r="M76" s="286"/>
      <c r="N76" s="286"/>
      <c r="O76" s="286"/>
      <c r="P76" s="286"/>
      <c r="Q76" s="170">
        <v>0.25</v>
      </c>
      <c r="R76" s="170"/>
      <c r="S76" s="170"/>
      <c r="T76" s="286"/>
      <c r="U76" s="286"/>
      <c r="V76" s="286"/>
    </row>
    <row r="77" spans="2:23" x14ac:dyDescent="0.3">
      <c r="D77"/>
      <c r="E77"/>
      <c r="F77"/>
      <c r="G77"/>
      <c r="H77"/>
    </row>
    <row r="78" spans="2:23" x14ac:dyDescent="0.3">
      <c r="B78" s="297" t="s">
        <v>363</v>
      </c>
      <c r="C78" s="297"/>
      <c r="D78" s="291" t="s">
        <v>502</v>
      </c>
      <c r="E78" s="291"/>
      <c r="F78" s="291"/>
      <c r="G78" s="291"/>
      <c r="H78" s="291" t="s">
        <v>300</v>
      </c>
      <c r="I78" s="291"/>
      <c r="J78" s="291"/>
      <c r="K78" s="291" t="s">
        <v>129</v>
      </c>
      <c r="L78" s="291"/>
      <c r="M78" s="291"/>
      <c r="N78" s="291" t="s">
        <v>301</v>
      </c>
      <c r="O78" s="291"/>
      <c r="P78" s="291"/>
      <c r="Q78" s="323" t="s">
        <v>302</v>
      </c>
      <c r="R78" s="323"/>
      <c r="S78" s="323"/>
      <c r="T78" s="291" t="s">
        <v>334</v>
      </c>
      <c r="U78" s="291"/>
      <c r="V78" s="291"/>
    </row>
    <row r="79" spans="2:23" x14ac:dyDescent="0.3">
      <c r="D79" s="286" t="s">
        <v>950</v>
      </c>
      <c r="E79" s="286"/>
      <c r="F79" s="286"/>
      <c r="G79" s="286"/>
      <c r="H79" s="286" t="s">
        <v>959</v>
      </c>
      <c r="I79" s="286"/>
      <c r="J79" s="286"/>
      <c r="K79" s="286" t="s">
        <v>186</v>
      </c>
      <c r="L79" s="286"/>
      <c r="M79" s="286"/>
      <c r="N79" s="286" t="s">
        <v>403</v>
      </c>
      <c r="O79" s="286"/>
      <c r="P79" s="286"/>
      <c r="Q79" s="294">
        <f>'Kebutuhan Air Total'!G26</f>
        <v>0.68287864897272743</v>
      </c>
      <c r="R79" s="294"/>
      <c r="S79" s="294"/>
      <c r="T79" s="286"/>
      <c r="U79" s="286"/>
      <c r="V79" s="286"/>
    </row>
    <row r="80" spans="2:23" x14ac:dyDescent="0.3">
      <c r="D80" s="286"/>
      <c r="E80" s="286"/>
      <c r="F80" s="286"/>
      <c r="G80" s="286"/>
      <c r="H80" s="286" t="s">
        <v>973</v>
      </c>
      <c r="I80" s="286"/>
      <c r="J80" s="286"/>
      <c r="K80" s="286" t="s">
        <v>186</v>
      </c>
      <c r="L80" s="286"/>
      <c r="M80" s="286"/>
      <c r="N80" s="286" t="s">
        <v>974</v>
      </c>
      <c r="O80" s="286"/>
      <c r="P80" s="286"/>
      <c r="Q80" s="294">
        <f>Q79/2</f>
        <v>0.34143932448636372</v>
      </c>
      <c r="R80" s="294"/>
      <c r="S80" s="294"/>
      <c r="T80" s="286"/>
      <c r="U80" s="286"/>
      <c r="V80" s="286"/>
    </row>
    <row r="81" spans="2:22" x14ac:dyDescent="0.3">
      <c r="D81" s="286" t="s">
        <v>553</v>
      </c>
      <c r="E81" s="286"/>
      <c r="F81" s="286"/>
      <c r="G81" s="286"/>
      <c r="H81" s="286" t="s">
        <v>960</v>
      </c>
      <c r="I81" s="286"/>
      <c r="J81" s="286"/>
      <c r="K81" s="286" t="s">
        <v>320</v>
      </c>
      <c r="L81" s="286"/>
      <c r="M81" s="286"/>
      <c r="N81" s="286" t="s">
        <v>975</v>
      </c>
      <c r="O81" s="286"/>
      <c r="P81" s="286"/>
      <c r="Q81" s="294">
        <f>Q80/Q72</f>
        <v>2.2762621632424249</v>
      </c>
      <c r="R81" s="294"/>
      <c r="S81" s="294"/>
      <c r="T81" s="286"/>
      <c r="U81" s="286"/>
      <c r="V81" s="286"/>
    </row>
    <row r="82" spans="2:22" x14ac:dyDescent="0.3">
      <c r="D82" s="286" t="s">
        <v>951</v>
      </c>
      <c r="E82" s="286"/>
      <c r="F82" s="286"/>
      <c r="G82" s="286"/>
      <c r="H82" s="286" t="s">
        <v>978</v>
      </c>
      <c r="I82" s="286"/>
      <c r="J82" s="286"/>
      <c r="K82" s="286" t="s">
        <v>259</v>
      </c>
      <c r="L82" s="286"/>
      <c r="M82" s="286"/>
      <c r="N82" s="286" t="s">
        <v>976</v>
      </c>
      <c r="O82" s="286"/>
      <c r="P82" s="286"/>
      <c r="Q82" s="294">
        <f>Q81/Q71</f>
        <v>2.2762621632424249</v>
      </c>
      <c r="R82" s="294"/>
      <c r="S82" s="294"/>
      <c r="T82" s="286"/>
      <c r="U82" s="286"/>
      <c r="V82" s="286"/>
    </row>
    <row r="83" spans="2:22" x14ac:dyDescent="0.3">
      <c r="D83" s="286" t="s">
        <v>952</v>
      </c>
      <c r="E83" s="286"/>
      <c r="F83" s="286"/>
      <c r="G83" s="286"/>
      <c r="H83" s="286" t="s">
        <v>961</v>
      </c>
      <c r="I83" s="286"/>
      <c r="J83" s="286"/>
      <c r="K83" s="286" t="s">
        <v>258</v>
      </c>
      <c r="L83" s="286"/>
      <c r="M83" s="286"/>
      <c r="N83" s="286" t="s">
        <v>977</v>
      </c>
      <c r="O83" s="286"/>
      <c r="P83" s="286"/>
      <c r="Q83" s="294">
        <f>Q80/(Q82*Q71)</f>
        <v>0.15</v>
      </c>
      <c r="R83" s="294"/>
      <c r="S83" s="294"/>
      <c r="T83" s="286"/>
      <c r="U83" s="286"/>
      <c r="V83" s="286"/>
    </row>
    <row r="84" spans="2:22" x14ac:dyDescent="0.3">
      <c r="D84" s="286" t="s">
        <v>431</v>
      </c>
      <c r="E84" s="286"/>
      <c r="F84" s="286"/>
      <c r="G84" s="286"/>
      <c r="H84" s="286" t="s">
        <v>962</v>
      </c>
      <c r="I84" s="286"/>
      <c r="J84" s="286"/>
      <c r="K84" s="286" t="s">
        <v>259</v>
      </c>
      <c r="L84" s="286"/>
      <c r="M84" s="286"/>
      <c r="N84" s="286" t="s">
        <v>979</v>
      </c>
      <c r="O84" s="286"/>
      <c r="P84" s="286"/>
      <c r="Q84" s="294">
        <f>(Q71*Q82)/((2*Q71)*Q82)</f>
        <v>0.5</v>
      </c>
      <c r="R84" s="294"/>
      <c r="S84" s="294"/>
      <c r="T84" s="286"/>
      <c r="U84" s="286"/>
      <c r="V84" s="286"/>
    </row>
    <row r="85" spans="2:22" x14ac:dyDescent="0.3">
      <c r="D85" s="286" t="s">
        <v>953</v>
      </c>
      <c r="E85" s="286"/>
      <c r="F85" s="286"/>
      <c r="G85" s="286"/>
      <c r="H85" s="286" t="s">
        <v>963</v>
      </c>
      <c r="I85" s="286"/>
      <c r="J85" s="286"/>
      <c r="K85" s="286"/>
      <c r="L85" s="286"/>
      <c r="M85" s="286"/>
      <c r="N85" s="286" t="s">
        <v>980</v>
      </c>
      <c r="O85" s="286"/>
      <c r="P85" s="286"/>
      <c r="Q85" s="332">
        <f>(Q80/((1/0.013)*(Q84^(2/3))))^2</f>
        <v>4.9646325369976478E-5</v>
      </c>
      <c r="R85" s="332"/>
      <c r="S85" s="332"/>
      <c r="T85" s="286"/>
      <c r="U85" s="286"/>
      <c r="V85" s="286"/>
    </row>
    <row r="86" spans="2:22" x14ac:dyDescent="0.3">
      <c r="D86" s="286" t="s">
        <v>626</v>
      </c>
      <c r="E86" s="286"/>
      <c r="F86" s="286"/>
      <c r="G86" s="286"/>
      <c r="H86" s="286" t="s">
        <v>964</v>
      </c>
      <c r="I86" s="286"/>
      <c r="J86" s="286"/>
      <c r="K86" s="286"/>
      <c r="L86" s="286"/>
      <c r="M86" s="286"/>
      <c r="N86" s="286" t="s">
        <v>981</v>
      </c>
      <c r="O86" s="286"/>
      <c r="P86" s="286"/>
      <c r="Q86" s="294">
        <f>(Q83*Q84)/(9.539*(10^(-7)))</f>
        <v>78624.593772932174</v>
      </c>
      <c r="R86" s="294"/>
      <c r="S86" s="294"/>
      <c r="T86" s="286"/>
      <c r="U86" s="286"/>
      <c r="V86" s="286"/>
    </row>
    <row r="87" spans="2:22" x14ac:dyDescent="0.3">
      <c r="D87" s="286" t="s">
        <v>385</v>
      </c>
      <c r="E87" s="286"/>
      <c r="F87" s="286"/>
      <c r="G87" s="286"/>
      <c r="H87" s="286" t="s">
        <v>965</v>
      </c>
      <c r="I87" s="286"/>
      <c r="J87" s="286"/>
      <c r="K87" s="286"/>
      <c r="L87" s="286"/>
      <c r="M87" s="286"/>
      <c r="N87" s="286" t="s">
        <v>982</v>
      </c>
      <c r="O87" s="286"/>
      <c r="P87" s="286"/>
      <c r="Q87" s="314">
        <f>(Q83^2)/(9.81*Q84)</f>
        <v>4.5871559633027517E-3</v>
      </c>
      <c r="R87" s="314"/>
      <c r="S87" s="314"/>
      <c r="T87" s="286"/>
      <c r="U87" s="286"/>
      <c r="V87" s="286"/>
    </row>
    <row r="88" spans="2:22" x14ac:dyDescent="0.3">
      <c r="D88" s="286" t="s">
        <v>954</v>
      </c>
      <c r="E88" s="286"/>
      <c r="F88" s="286"/>
      <c r="G88" s="286"/>
      <c r="H88" s="286" t="s">
        <v>966</v>
      </c>
      <c r="I88" s="286"/>
      <c r="J88" s="286"/>
      <c r="K88" s="286" t="s">
        <v>259</v>
      </c>
      <c r="L88" s="286"/>
      <c r="M88" s="286"/>
      <c r="N88" s="286" t="s">
        <v>983</v>
      </c>
      <c r="O88" s="286"/>
      <c r="P88" s="286"/>
      <c r="Q88" s="302">
        <f>Q85*Q74</f>
        <v>1.4893897610992942E-4</v>
      </c>
      <c r="R88" s="302"/>
      <c r="S88" s="302"/>
      <c r="T88" s="286"/>
      <c r="U88" s="286"/>
      <c r="V88" s="286"/>
    </row>
    <row r="89" spans="2:22" x14ac:dyDescent="0.3">
      <c r="D89" s="286" t="s">
        <v>955</v>
      </c>
      <c r="E89" s="286"/>
      <c r="F89" s="286"/>
      <c r="G89" s="286"/>
      <c r="H89" s="286" t="s">
        <v>967</v>
      </c>
      <c r="I89" s="286"/>
      <c r="J89" s="286"/>
      <c r="K89" s="286" t="s">
        <v>259</v>
      </c>
      <c r="L89" s="286"/>
      <c r="M89" s="286"/>
      <c r="N89" s="286" t="s">
        <v>310</v>
      </c>
      <c r="O89" s="286"/>
      <c r="P89" s="286"/>
      <c r="Q89" s="294">
        <v>0.75</v>
      </c>
      <c r="R89" s="294"/>
      <c r="S89" s="294"/>
      <c r="T89" s="286"/>
      <c r="U89" s="286"/>
      <c r="V89" s="286"/>
    </row>
    <row r="90" spans="2:22" x14ac:dyDescent="0.3">
      <c r="D90" s="286" t="s">
        <v>956</v>
      </c>
      <c r="E90" s="286"/>
      <c r="F90" s="286"/>
      <c r="G90" s="286"/>
      <c r="H90" s="286" t="s">
        <v>968</v>
      </c>
      <c r="I90" s="286"/>
      <c r="J90" s="286"/>
      <c r="K90" s="286" t="s">
        <v>259</v>
      </c>
      <c r="L90" s="286"/>
      <c r="M90" s="286"/>
      <c r="N90" s="286" t="s">
        <v>310</v>
      </c>
      <c r="O90" s="286"/>
      <c r="P90" s="286"/>
      <c r="Q90" s="294">
        <v>0.75</v>
      </c>
      <c r="R90" s="294"/>
      <c r="S90" s="294"/>
      <c r="T90" s="286"/>
      <c r="U90" s="286"/>
      <c r="V90" s="286"/>
    </row>
    <row r="91" spans="2:22" x14ac:dyDescent="0.3">
      <c r="D91" s="286" t="s">
        <v>957</v>
      </c>
      <c r="E91" s="286"/>
      <c r="F91" s="286"/>
      <c r="G91" s="286"/>
      <c r="H91" s="286" t="s">
        <v>969</v>
      </c>
      <c r="I91" s="286"/>
      <c r="J91" s="286"/>
      <c r="K91" s="286"/>
      <c r="L91" s="286"/>
      <c r="M91" s="286"/>
      <c r="N91" s="286" t="s">
        <v>436</v>
      </c>
      <c r="O91" s="286"/>
      <c r="P91" s="286"/>
      <c r="Q91" s="294">
        <v>0.98</v>
      </c>
      <c r="R91" s="294"/>
      <c r="S91" s="294"/>
      <c r="T91" s="286"/>
      <c r="U91" s="286"/>
      <c r="V91" s="286"/>
    </row>
    <row r="92" spans="2:22" x14ac:dyDescent="0.3">
      <c r="D92" s="286" t="s">
        <v>958</v>
      </c>
      <c r="E92" s="286"/>
      <c r="F92" s="286"/>
      <c r="G92" s="286"/>
      <c r="H92" s="286" t="s">
        <v>970</v>
      </c>
      <c r="I92" s="286"/>
      <c r="J92" s="286"/>
      <c r="K92" s="286" t="s">
        <v>186</v>
      </c>
      <c r="L92" s="286"/>
      <c r="M92" s="286"/>
      <c r="N92" s="286" t="s">
        <v>973</v>
      </c>
      <c r="O92" s="286"/>
      <c r="P92" s="286"/>
      <c r="Q92" s="294">
        <f>Q80</f>
        <v>0.34143932448636372</v>
      </c>
      <c r="R92" s="294"/>
      <c r="S92" s="294"/>
      <c r="T92" s="286"/>
      <c r="U92" s="286"/>
      <c r="V92" s="286"/>
    </row>
    <row r="93" spans="2:22" x14ac:dyDescent="0.3">
      <c r="D93" s="286" t="s">
        <v>514</v>
      </c>
      <c r="E93" s="286"/>
      <c r="F93" s="286"/>
      <c r="G93" s="286"/>
      <c r="H93" s="286" t="s">
        <v>971</v>
      </c>
      <c r="I93" s="286"/>
      <c r="J93" s="286"/>
      <c r="K93" s="286" t="s">
        <v>259</v>
      </c>
      <c r="L93" s="286"/>
      <c r="M93" s="286"/>
      <c r="N93" s="286" t="s">
        <v>984</v>
      </c>
      <c r="O93" s="286"/>
      <c r="P93" s="286"/>
      <c r="Q93" s="296">
        <f>Q80/(2.746*(Q90^(2/3))*Q89)</f>
        <v>0.20083723483915725</v>
      </c>
      <c r="R93" s="296"/>
      <c r="S93" s="296"/>
      <c r="T93" s="286"/>
      <c r="U93" s="286"/>
      <c r="V93" s="286"/>
    </row>
    <row r="94" spans="2:22" x14ac:dyDescent="0.3">
      <c r="D94" s="286" t="s">
        <v>520</v>
      </c>
      <c r="E94" s="286"/>
      <c r="F94" s="286"/>
      <c r="G94" s="286"/>
      <c r="H94" s="286" t="s">
        <v>972</v>
      </c>
      <c r="I94" s="286"/>
      <c r="J94" s="286"/>
      <c r="K94" s="286" t="s">
        <v>259</v>
      </c>
      <c r="L94" s="286"/>
      <c r="M94" s="286"/>
      <c r="N94" s="286" t="s">
        <v>985</v>
      </c>
      <c r="O94" s="286"/>
      <c r="P94" s="286"/>
      <c r="Q94" s="296">
        <f>Q93*(Q91^2)</f>
        <v>0.19288408033952661</v>
      </c>
      <c r="R94" s="296"/>
      <c r="S94" s="296"/>
      <c r="T94" s="286"/>
      <c r="U94" s="286"/>
      <c r="V94" s="286"/>
    </row>
    <row r="95" spans="2:22" x14ac:dyDescent="0.3">
      <c r="B95" s="66"/>
      <c r="C95" s="66"/>
      <c r="D95" s="305" t="s">
        <v>986</v>
      </c>
      <c r="E95" s="267"/>
      <c r="F95" s="267"/>
      <c r="G95" s="267"/>
      <c r="H95" s="267"/>
      <c r="I95" s="267"/>
      <c r="J95" s="267"/>
      <c r="K95" s="267"/>
      <c r="L95" s="267"/>
      <c r="M95" s="267"/>
      <c r="N95" s="267"/>
      <c r="O95" s="267"/>
      <c r="P95" s="267"/>
      <c r="Q95" s="334"/>
      <c r="R95" s="334"/>
      <c r="S95" s="334"/>
      <c r="T95" s="267"/>
      <c r="U95" s="267"/>
      <c r="V95" s="267"/>
    </row>
    <row r="96" spans="2:22" x14ac:dyDescent="0.3">
      <c r="D96" s="286" t="s">
        <v>987</v>
      </c>
      <c r="E96" s="286"/>
      <c r="F96" s="286"/>
      <c r="G96" s="286"/>
      <c r="H96" s="286" t="s">
        <v>51</v>
      </c>
      <c r="I96" s="286"/>
      <c r="J96" s="286"/>
      <c r="K96" s="286" t="s">
        <v>372</v>
      </c>
      <c r="L96" s="286"/>
      <c r="M96" s="286"/>
      <c r="N96" s="286" t="s">
        <v>1000</v>
      </c>
      <c r="O96" s="286"/>
      <c r="P96" s="286"/>
      <c r="Q96" s="294">
        <f>(Q74/Q76)-1</f>
        <v>11</v>
      </c>
      <c r="R96" s="294"/>
      <c r="S96" s="294"/>
      <c r="T96" s="286"/>
      <c r="U96" s="286"/>
      <c r="V96" s="286"/>
    </row>
    <row r="97" spans="2:23" x14ac:dyDescent="0.3">
      <c r="D97" s="286" t="s">
        <v>988</v>
      </c>
      <c r="E97" s="286"/>
      <c r="F97" s="286"/>
      <c r="G97" s="286"/>
      <c r="H97" s="286" t="s">
        <v>992</v>
      </c>
      <c r="I97" s="286"/>
      <c r="J97" s="286"/>
      <c r="K97" s="286" t="s">
        <v>186</v>
      </c>
      <c r="L97" s="286"/>
      <c r="M97" s="286"/>
      <c r="N97" s="286" t="s">
        <v>999</v>
      </c>
      <c r="O97" s="286"/>
      <c r="P97" s="286"/>
      <c r="Q97" s="294">
        <f>Q80/Q96</f>
        <v>3.1039938589669427E-2</v>
      </c>
      <c r="R97" s="294"/>
      <c r="S97" s="294"/>
      <c r="T97" s="286"/>
      <c r="U97" s="286"/>
      <c r="V97" s="286"/>
    </row>
    <row r="98" spans="2:23" x14ac:dyDescent="0.3">
      <c r="D98" s="286" t="s">
        <v>989</v>
      </c>
      <c r="E98" s="286"/>
      <c r="F98" s="286"/>
      <c r="G98" s="286"/>
      <c r="H98" s="286" t="s">
        <v>993</v>
      </c>
      <c r="I98" s="286"/>
      <c r="J98" s="286"/>
      <c r="K98" s="286" t="s">
        <v>320</v>
      </c>
      <c r="L98" s="286"/>
      <c r="M98" s="286"/>
      <c r="N98" s="286" t="s">
        <v>1002</v>
      </c>
      <c r="O98" s="286"/>
      <c r="P98" s="286"/>
      <c r="Q98" s="294">
        <f>(1/4)*3.14*(Q75^2)</f>
        <v>3.1400000000000004E-2</v>
      </c>
      <c r="R98" s="294"/>
      <c r="S98" s="294"/>
      <c r="T98" s="286"/>
      <c r="U98" s="286"/>
      <c r="V98" s="286"/>
    </row>
    <row r="99" spans="2:23" x14ac:dyDescent="0.3">
      <c r="D99" s="286" t="s">
        <v>990</v>
      </c>
      <c r="E99" s="286"/>
      <c r="F99" s="286"/>
      <c r="G99" s="286"/>
      <c r="H99" s="286" t="s">
        <v>994</v>
      </c>
      <c r="I99" s="286"/>
      <c r="J99" s="286"/>
      <c r="K99" s="286" t="s">
        <v>258</v>
      </c>
      <c r="L99" s="286"/>
      <c r="M99" s="286"/>
      <c r="N99" s="286" t="s">
        <v>1003</v>
      </c>
      <c r="O99" s="286"/>
      <c r="P99" s="286"/>
      <c r="Q99" s="294">
        <f>Q97/Q98</f>
        <v>0.98853307610412178</v>
      </c>
      <c r="R99" s="294"/>
      <c r="S99" s="294"/>
      <c r="T99" s="286"/>
      <c r="U99" s="286"/>
      <c r="V99" s="286"/>
    </row>
    <row r="100" spans="2:23" x14ac:dyDescent="0.3">
      <c r="D100" s="286" t="s">
        <v>991</v>
      </c>
      <c r="E100" s="286"/>
      <c r="F100" s="286"/>
      <c r="G100" s="286"/>
      <c r="H100" s="286" t="s">
        <v>995</v>
      </c>
      <c r="I100" s="286"/>
      <c r="J100" s="286"/>
      <c r="K100" s="286" t="s">
        <v>259</v>
      </c>
      <c r="L100" s="286"/>
      <c r="M100" s="286"/>
      <c r="N100" s="286" t="s">
        <v>1004</v>
      </c>
      <c r="O100" s="286"/>
      <c r="P100" s="286"/>
      <c r="Q100" s="314">
        <f>0.35*((Q99^2)/(2*9.81))</f>
        <v>1.7432169974167026E-2</v>
      </c>
      <c r="R100" s="314"/>
      <c r="S100" s="314"/>
      <c r="T100" s="286"/>
      <c r="U100" s="286"/>
      <c r="V100" s="286"/>
    </row>
    <row r="101" spans="2:23" x14ac:dyDescent="0.3">
      <c r="D101" s="286" t="s">
        <v>431</v>
      </c>
      <c r="E101" s="286"/>
      <c r="F101" s="286"/>
      <c r="G101" s="286"/>
      <c r="H101" s="286" t="s">
        <v>996</v>
      </c>
      <c r="I101" s="286"/>
      <c r="J101" s="286"/>
      <c r="K101" s="286" t="s">
        <v>259</v>
      </c>
      <c r="L101" s="286"/>
      <c r="M101" s="286"/>
      <c r="N101" s="286" t="s">
        <v>1005</v>
      </c>
      <c r="O101" s="286"/>
      <c r="P101" s="286"/>
      <c r="Q101" s="294">
        <f>Q75/4</f>
        <v>0.05</v>
      </c>
      <c r="R101" s="294"/>
      <c r="S101" s="294"/>
      <c r="T101" s="286"/>
      <c r="U101" s="286"/>
      <c r="V101" s="286"/>
    </row>
    <row r="102" spans="2:23" x14ac:dyDescent="0.3">
      <c r="D102" s="286" t="s">
        <v>626</v>
      </c>
      <c r="E102" s="286"/>
      <c r="F102" s="286"/>
      <c r="G102" s="286"/>
      <c r="H102" s="286" t="s">
        <v>998</v>
      </c>
      <c r="I102" s="286"/>
      <c r="J102" s="286"/>
      <c r="K102" s="286"/>
      <c r="L102" s="286"/>
      <c r="M102" s="286"/>
      <c r="N102" s="286" t="s">
        <v>1006</v>
      </c>
      <c r="O102" s="286"/>
      <c r="P102" s="286"/>
      <c r="Q102" s="294">
        <f>(Q99*Q101)/(9.539*(10^-7))</f>
        <v>51815.341026529088</v>
      </c>
      <c r="R102" s="294"/>
      <c r="S102" s="294"/>
      <c r="T102" s="286"/>
      <c r="U102" s="286"/>
      <c r="V102" s="286"/>
    </row>
    <row r="103" spans="2:23" x14ac:dyDescent="0.3">
      <c r="D103" s="286" t="s">
        <v>385</v>
      </c>
      <c r="E103" s="286"/>
      <c r="F103" s="286"/>
      <c r="G103" s="286"/>
      <c r="H103" s="286" t="s">
        <v>997</v>
      </c>
      <c r="I103" s="286"/>
      <c r="J103" s="286"/>
      <c r="K103" s="286"/>
      <c r="L103" s="286"/>
      <c r="M103" s="286"/>
      <c r="N103" s="286" t="s">
        <v>1007</v>
      </c>
      <c r="O103" s="286"/>
      <c r="P103" s="286"/>
      <c r="Q103" s="294">
        <f>(Q99^2)/(9.81*Q101)</f>
        <v>1.9922479970476603</v>
      </c>
      <c r="R103" s="294"/>
      <c r="S103" s="294"/>
      <c r="T103" s="286"/>
      <c r="U103" s="286"/>
      <c r="V103" s="286"/>
    </row>
    <row r="104" spans="2:23" x14ac:dyDescent="0.3">
      <c r="D104" s="286"/>
      <c r="E104" s="286"/>
      <c r="F104" s="286"/>
      <c r="G104" s="286"/>
      <c r="H104" s="286"/>
      <c r="I104" s="286"/>
      <c r="J104" s="286"/>
      <c r="K104" s="286"/>
      <c r="L104" s="286"/>
      <c r="M104" s="286"/>
      <c r="N104" s="286"/>
      <c r="O104" s="286"/>
      <c r="P104" s="286"/>
      <c r="Q104" s="294"/>
      <c r="R104" s="294"/>
      <c r="S104" s="294"/>
      <c r="T104" s="286"/>
      <c r="U104" s="286"/>
      <c r="V104" s="286"/>
    </row>
    <row r="105" spans="2:23" x14ac:dyDescent="0.3">
      <c r="D105" s="286"/>
      <c r="E105" s="286"/>
      <c r="F105" s="286"/>
      <c r="G105" s="286"/>
      <c r="H105" s="286"/>
      <c r="I105" s="286"/>
      <c r="J105" s="286"/>
      <c r="K105" s="286"/>
      <c r="L105" s="286"/>
      <c r="M105" s="286"/>
      <c r="N105" s="286"/>
      <c r="O105" s="286"/>
      <c r="P105" s="286"/>
      <c r="Q105" s="294"/>
      <c r="R105" s="294"/>
      <c r="S105" s="294"/>
      <c r="T105" s="286"/>
      <c r="U105" s="286"/>
      <c r="V105" s="286"/>
    </row>
    <row r="106" spans="2:23" x14ac:dyDescent="0.3">
      <c r="D106"/>
      <c r="E106"/>
      <c r="F106"/>
      <c r="G106"/>
      <c r="H106"/>
    </row>
    <row r="107" spans="2:23" x14ac:dyDescent="0.3">
      <c r="B107" s="71"/>
      <c r="C107" s="71"/>
      <c r="D107" s="285" t="s">
        <v>115</v>
      </c>
      <c r="E107" s="285"/>
      <c r="F107" s="285"/>
      <c r="G107" s="285"/>
      <c r="H107" s="285"/>
      <c r="I107" s="285" t="s">
        <v>129</v>
      </c>
      <c r="J107" s="285"/>
      <c r="K107" s="285"/>
      <c r="L107" s="285" t="s">
        <v>286</v>
      </c>
      <c r="M107" s="285"/>
      <c r="N107" s="285"/>
      <c r="O107" s="285" t="s">
        <v>287</v>
      </c>
      <c r="P107" s="285"/>
      <c r="Q107" s="285"/>
      <c r="R107" s="285" t="s">
        <v>376</v>
      </c>
      <c r="S107" s="285"/>
      <c r="T107" s="285"/>
      <c r="U107" s="285"/>
      <c r="V107" s="285"/>
      <c r="W107" s="285"/>
    </row>
    <row r="108" spans="2:23" x14ac:dyDescent="0.3">
      <c r="D108" s="283" t="s">
        <v>525</v>
      </c>
      <c r="E108" s="283"/>
      <c r="F108" s="283"/>
      <c r="G108" s="283"/>
      <c r="H108" s="283"/>
      <c r="I108" s="320"/>
      <c r="J108" s="320"/>
      <c r="K108" s="320"/>
      <c r="L108" s="320"/>
      <c r="M108" s="320"/>
      <c r="N108" s="320"/>
      <c r="O108" s="320"/>
      <c r="P108" s="320"/>
      <c r="Q108" s="320"/>
      <c r="R108" s="284"/>
      <c r="S108" s="284"/>
      <c r="T108" s="284"/>
      <c r="U108" s="284"/>
      <c r="V108" s="284"/>
      <c r="W108" s="284"/>
    </row>
    <row r="109" spans="2:23" x14ac:dyDescent="0.3">
      <c r="D109" s="286" t="s">
        <v>532</v>
      </c>
      <c r="E109" s="286"/>
      <c r="F109" s="286"/>
      <c r="G109" s="286"/>
      <c r="H109" s="286"/>
      <c r="I109" s="290" t="s">
        <v>643</v>
      </c>
      <c r="J109" s="290"/>
      <c r="K109" s="290"/>
      <c r="L109" s="290"/>
      <c r="M109" s="290"/>
      <c r="N109" s="290"/>
      <c r="O109" s="290"/>
      <c r="P109" s="290"/>
      <c r="Q109" s="290"/>
      <c r="R109" s="290" t="s">
        <v>1008</v>
      </c>
      <c r="S109" s="290"/>
      <c r="T109" s="290"/>
    </row>
    <row r="110" spans="2:23" x14ac:dyDescent="0.3">
      <c r="D110"/>
      <c r="E110"/>
      <c r="F110"/>
      <c r="G110"/>
      <c r="H110"/>
    </row>
    <row r="111" spans="2:23" x14ac:dyDescent="0.3">
      <c r="B111" s="297" t="s">
        <v>389</v>
      </c>
      <c r="C111" s="297"/>
      <c r="D111" s="291" t="s">
        <v>388</v>
      </c>
      <c r="E111" s="291"/>
      <c r="F111" s="291"/>
      <c r="G111" s="291"/>
      <c r="H111" s="291" t="s">
        <v>300</v>
      </c>
      <c r="I111" s="291"/>
      <c r="J111" s="291"/>
      <c r="K111" s="291" t="s">
        <v>129</v>
      </c>
      <c r="L111" s="291"/>
      <c r="M111" s="291"/>
      <c r="N111" s="291" t="s">
        <v>301</v>
      </c>
      <c r="O111" s="291"/>
      <c r="P111" s="291"/>
      <c r="Q111" s="291" t="s">
        <v>302</v>
      </c>
      <c r="R111" s="291"/>
      <c r="S111" s="291"/>
      <c r="T111" s="291" t="s">
        <v>334</v>
      </c>
      <c r="U111" s="291"/>
      <c r="V111" s="291"/>
    </row>
    <row r="112" spans="2:23" x14ac:dyDescent="0.3">
      <c r="D112" s="286" t="s">
        <v>1009</v>
      </c>
      <c r="E112" s="286"/>
      <c r="F112" s="286"/>
      <c r="G112" s="286"/>
      <c r="H112" s="286"/>
      <c r="I112" s="286"/>
      <c r="J112" s="286"/>
      <c r="K112" s="286"/>
      <c r="L112" s="286"/>
      <c r="M112" s="286"/>
      <c r="N112" s="286"/>
      <c r="O112" s="286"/>
      <c r="P112" s="286"/>
      <c r="Q112" s="286"/>
      <c r="R112" s="286"/>
      <c r="S112" s="286"/>
      <c r="T112" s="286"/>
      <c r="U112" s="286"/>
      <c r="V112" s="286"/>
    </row>
    <row r="113" spans="2:22" x14ac:dyDescent="0.3">
      <c r="D113" s="286" t="s">
        <v>532</v>
      </c>
      <c r="E113" s="286"/>
      <c r="F113" s="286"/>
      <c r="G113" s="286"/>
      <c r="H113" s="286" t="s">
        <v>1010</v>
      </c>
      <c r="I113" s="286"/>
      <c r="J113" s="286"/>
      <c r="K113" s="286" t="s">
        <v>643</v>
      </c>
      <c r="L113" s="286"/>
      <c r="M113" s="286"/>
      <c r="N113" s="286" t="s">
        <v>436</v>
      </c>
      <c r="O113" s="286"/>
      <c r="P113" s="286"/>
      <c r="Q113" s="286">
        <v>9</v>
      </c>
      <c r="R113" s="286"/>
      <c r="S113" s="286"/>
      <c r="T113" s="286"/>
      <c r="U113" s="286"/>
      <c r="V113" s="286"/>
    </row>
    <row r="114" spans="2:22" x14ac:dyDescent="0.3">
      <c r="D114" s="286"/>
      <c r="E114" s="286"/>
      <c r="F114" s="286"/>
      <c r="G114" s="286"/>
      <c r="H114" s="286"/>
      <c r="I114" s="286"/>
      <c r="J114" s="286"/>
      <c r="K114" s="286" t="s">
        <v>1011</v>
      </c>
      <c r="L114" s="286"/>
      <c r="M114" s="286"/>
      <c r="N114" s="286" t="s">
        <v>519</v>
      </c>
      <c r="O114" s="286"/>
      <c r="P114" s="286"/>
      <c r="Q114" s="314">
        <v>2.5000000000000001E-3</v>
      </c>
      <c r="R114" s="314"/>
      <c r="S114" s="314"/>
      <c r="T114" s="286"/>
      <c r="U114" s="286"/>
      <c r="V114" s="286"/>
    </row>
    <row r="115" spans="2:22" x14ac:dyDescent="0.3">
      <c r="D115" s="286"/>
      <c r="E115" s="286"/>
      <c r="F115" s="286"/>
      <c r="G115" s="286"/>
      <c r="H115" s="286"/>
      <c r="I115" s="286"/>
      <c r="J115" s="286"/>
      <c r="K115" s="286"/>
      <c r="L115" s="286"/>
      <c r="M115" s="286"/>
      <c r="N115" s="286"/>
      <c r="O115" s="286"/>
      <c r="P115" s="286"/>
      <c r="Q115" s="294"/>
      <c r="R115" s="294"/>
      <c r="S115" s="294"/>
      <c r="T115" s="286"/>
      <c r="U115" s="286"/>
      <c r="V115" s="286"/>
    </row>
    <row r="116" spans="2:22" x14ac:dyDescent="0.3">
      <c r="B116" s="297" t="s">
        <v>1012</v>
      </c>
      <c r="C116" s="297"/>
      <c r="D116" s="291" t="s">
        <v>525</v>
      </c>
      <c r="E116" s="291"/>
      <c r="F116" s="291"/>
      <c r="G116" s="291"/>
      <c r="H116" s="291" t="s">
        <v>300</v>
      </c>
      <c r="I116" s="291"/>
      <c r="J116" s="291"/>
      <c r="K116" s="291" t="s">
        <v>129</v>
      </c>
      <c r="L116" s="291"/>
      <c r="M116" s="291"/>
      <c r="N116" s="291" t="s">
        <v>301</v>
      </c>
      <c r="O116" s="291"/>
      <c r="P116" s="291"/>
      <c r="Q116" s="323" t="s">
        <v>302</v>
      </c>
      <c r="R116" s="323"/>
      <c r="S116" s="323"/>
      <c r="T116" s="291" t="s">
        <v>334</v>
      </c>
      <c r="U116" s="291"/>
      <c r="V116" s="291"/>
    </row>
    <row r="117" spans="2:22" x14ac:dyDescent="0.3">
      <c r="D117" s="286" t="s">
        <v>402</v>
      </c>
      <c r="E117" s="286"/>
      <c r="F117" s="286"/>
      <c r="G117" s="286"/>
      <c r="H117" s="286" t="s">
        <v>401</v>
      </c>
      <c r="I117" s="286"/>
      <c r="J117" s="286"/>
      <c r="K117" s="286" t="s">
        <v>186</v>
      </c>
      <c r="L117" s="286"/>
      <c r="M117" s="286"/>
      <c r="N117" s="286" t="s">
        <v>974</v>
      </c>
      <c r="O117" s="286"/>
      <c r="P117" s="286"/>
      <c r="Q117" s="294">
        <f>'Kebutuhan Air Total'!G26/2</f>
        <v>0.34143932448636372</v>
      </c>
      <c r="R117" s="294"/>
      <c r="S117" s="294"/>
      <c r="T117" s="286"/>
      <c r="U117" s="286"/>
      <c r="V117" s="286"/>
    </row>
    <row r="118" spans="2:22" x14ac:dyDescent="0.3">
      <c r="D118" s="286" t="s">
        <v>1013</v>
      </c>
      <c r="E118" s="286"/>
      <c r="F118" s="286"/>
      <c r="G118" s="286"/>
      <c r="H118" s="286" t="s">
        <v>1017</v>
      </c>
      <c r="I118" s="286"/>
      <c r="J118" s="286"/>
      <c r="K118" s="286" t="s">
        <v>259</v>
      </c>
      <c r="L118" s="286"/>
      <c r="M118" s="286"/>
      <c r="N118" s="286" t="s">
        <v>1020</v>
      </c>
      <c r="O118" s="286"/>
      <c r="P118" s="286"/>
      <c r="Q118" s="294">
        <f>Q117/Q114</f>
        <v>136.57572979454548</v>
      </c>
      <c r="R118" s="294"/>
      <c r="S118" s="294"/>
      <c r="T118" s="286"/>
      <c r="U118" s="286"/>
      <c r="V118" s="286"/>
    </row>
    <row r="119" spans="2:22" x14ac:dyDescent="0.3">
      <c r="D119" s="286" t="s">
        <v>1014</v>
      </c>
      <c r="E119" s="286"/>
      <c r="F119" s="286"/>
      <c r="G119" s="286"/>
      <c r="H119" s="286" t="s">
        <v>1018</v>
      </c>
      <c r="I119" s="286"/>
      <c r="J119" s="286"/>
      <c r="K119" s="286" t="s">
        <v>259</v>
      </c>
      <c r="L119" s="286"/>
      <c r="M119" s="286"/>
      <c r="N119" s="286" t="s">
        <v>1021</v>
      </c>
      <c r="O119" s="286"/>
      <c r="P119" s="286"/>
      <c r="Q119" s="294">
        <f>(173-1)*(0.05/((SQRT(3))/2))</f>
        <v>9.9304246300615642</v>
      </c>
      <c r="R119" s="294"/>
      <c r="S119" s="294"/>
      <c r="T119" s="286"/>
      <c r="U119" s="286"/>
      <c r="V119" s="286"/>
    </row>
    <row r="120" spans="2:22" x14ac:dyDescent="0.3">
      <c r="D120" s="286" t="s">
        <v>529</v>
      </c>
      <c r="E120" s="286"/>
      <c r="F120" s="286"/>
      <c r="G120" s="286"/>
      <c r="H120" s="286" t="s">
        <v>51</v>
      </c>
      <c r="I120" s="286"/>
      <c r="J120" s="286"/>
      <c r="K120" s="286" t="s">
        <v>372</v>
      </c>
      <c r="L120" s="286"/>
      <c r="M120" s="286"/>
      <c r="N120" s="286" t="s">
        <v>1022</v>
      </c>
      <c r="O120" s="286"/>
      <c r="P120" s="286"/>
      <c r="Q120" s="293">
        <f>Q118/Q119</f>
        <v>13.753261807264607</v>
      </c>
      <c r="R120" s="293"/>
      <c r="S120" s="293"/>
      <c r="T120" s="286"/>
      <c r="U120" s="286"/>
      <c r="V120" s="286"/>
    </row>
    <row r="121" spans="2:22" x14ac:dyDescent="0.3">
      <c r="D121" s="286" t="s">
        <v>1015</v>
      </c>
      <c r="E121" s="286"/>
      <c r="F121" s="286"/>
      <c r="G121" s="286"/>
      <c r="H121" s="286" t="s">
        <v>1019</v>
      </c>
      <c r="I121" s="286"/>
      <c r="J121" s="286"/>
      <c r="K121" s="286" t="s">
        <v>1011</v>
      </c>
      <c r="L121" s="286"/>
      <c r="M121" s="286"/>
      <c r="N121" s="286" t="s">
        <v>1023</v>
      </c>
      <c r="O121" s="286"/>
      <c r="P121" s="286"/>
      <c r="Q121" s="314">
        <f>Q117/(Q120*Q119)</f>
        <v>2.5000000000000001E-3</v>
      </c>
      <c r="R121" s="314"/>
      <c r="S121" s="314"/>
      <c r="T121" s="286"/>
      <c r="U121" s="286"/>
      <c r="V121" s="286"/>
    </row>
    <row r="122" spans="2:22" x14ac:dyDescent="0.3">
      <c r="D122" s="286" t="s">
        <v>1016</v>
      </c>
      <c r="E122" s="286"/>
      <c r="F122" s="286"/>
      <c r="G122" s="286"/>
      <c r="H122" s="286" t="s">
        <v>415</v>
      </c>
      <c r="I122" s="286"/>
      <c r="J122" s="286"/>
      <c r="K122" s="286" t="s">
        <v>259</v>
      </c>
      <c r="L122" s="286"/>
      <c r="M122" s="286"/>
      <c r="N122" s="286" t="s">
        <v>1024</v>
      </c>
      <c r="O122" s="286"/>
      <c r="P122" s="286"/>
      <c r="Q122" s="294">
        <f>(Q117/(3.33*Q118))^(2/3)</f>
        <v>8.2603259244083196E-3</v>
      </c>
      <c r="R122" s="294"/>
      <c r="S122" s="294"/>
      <c r="T122" s="286"/>
      <c r="U122" s="286"/>
      <c r="V122" s="286"/>
    </row>
    <row r="123" spans="2:22" x14ac:dyDescent="0.3">
      <c r="B123" s="66"/>
      <c r="C123" s="66"/>
      <c r="D123" s="305" t="s">
        <v>544</v>
      </c>
      <c r="E123" s="267"/>
      <c r="F123" s="267"/>
      <c r="G123" s="267"/>
      <c r="H123" s="267"/>
      <c r="I123" s="267"/>
      <c r="J123" s="267"/>
      <c r="K123" s="267"/>
      <c r="L123" s="267"/>
      <c r="M123" s="267"/>
      <c r="N123" s="267"/>
      <c r="O123" s="267"/>
      <c r="P123" s="267"/>
      <c r="Q123" s="334"/>
      <c r="R123" s="334"/>
      <c r="S123" s="334"/>
      <c r="T123" s="267"/>
      <c r="U123" s="267"/>
      <c r="V123" s="267"/>
    </row>
    <row r="124" spans="2:22" x14ac:dyDescent="0.3">
      <c r="D124" s="286" t="s">
        <v>1025</v>
      </c>
      <c r="E124" s="286"/>
      <c r="F124" s="286"/>
      <c r="G124" s="286"/>
      <c r="H124" s="286" t="s">
        <v>1030</v>
      </c>
      <c r="I124" s="286"/>
      <c r="J124" s="286"/>
      <c r="K124" s="286" t="s">
        <v>259</v>
      </c>
      <c r="L124" s="286"/>
      <c r="M124" s="286"/>
      <c r="N124" s="286" t="s">
        <v>310</v>
      </c>
      <c r="O124" s="286"/>
      <c r="P124" s="286"/>
      <c r="Q124" s="294">
        <v>9.93</v>
      </c>
      <c r="R124" s="294"/>
      <c r="S124" s="294"/>
      <c r="T124" s="286"/>
      <c r="U124" s="286"/>
      <c r="V124" s="286"/>
    </row>
    <row r="125" spans="2:22" x14ac:dyDescent="0.3">
      <c r="D125" s="286" t="s">
        <v>1026</v>
      </c>
      <c r="E125" s="286"/>
      <c r="F125" s="286"/>
      <c r="G125" s="286"/>
      <c r="H125" s="286" t="s">
        <v>506</v>
      </c>
      <c r="I125" s="286"/>
      <c r="J125" s="286"/>
      <c r="K125" s="286" t="s">
        <v>259</v>
      </c>
      <c r="L125" s="286"/>
      <c r="M125" s="286"/>
      <c r="N125" s="286" t="s">
        <v>310</v>
      </c>
      <c r="O125" s="286"/>
      <c r="P125" s="286"/>
      <c r="Q125" s="294">
        <v>0.2</v>
      </c>
      <c r="R125" s="294"/>
      <c r="S125" s="294"/>
      <c r="T125" s="286"/>
      <c r="U125" s="286"/>
      <c r="V125" s="286"/>
    </row>
    <row r="126" spans="2:22" x14ac:dyDescent="0.3">
      <c r="D126" s="286" t="s">
        <v>1027</v>
      </c>
      <c r="E126" s="286"/>
      <c r="F126" s="286"/>
      <c r="G126" s="286"/>
      <c r="H126" s="286" t="s">
        <v>867</v>
      </c>
      <c r="I126" s="286"/>
      <c r="J126" s="286"/>
      <c r="K126" s="286" t="s">
        <v>372</v>
      </c>
      <c r="L126" s="286"/>
      <c r="M126" s="286"/>
      <c r="N126" s="286" t="s">
        <v>1033</v>
      </c>
      <c r="O126" s="286"/>
      <c r="P126" s="286"/>
      <c r="Q126" s="293">
        <f>Q120/2</f>
        <v>6.8766309036323037</v>
      </c>
      <c r="R126" s="293"/>
      <c r="S126" s="293"/>
      <c r="T126" s="286"/>
      <c r="U126" s="286"/>
      <c r="V126" s="286"/>
    </row>
    <row r="127" spans="2:22" x14ac:dyDescent="0.3">
      <c r="D127" s="286" t="s">
        <v>1032</v>
      </c>
      <c r="E127" s="286"/>
      <c r="F127" s="286"/>
      <c r="G127" s="286"/>
      <c r="H127" s="286" t="s">
        <v>1031</v>
      </c>
      <c r="I127" s="286"/>
      <c r="J127" s="286"/>
      <c r="K127" s="286" t="s">
        <v>186</v>
      </c>
      <c r="L127" s="286"/>
      <c r="M127" s="286"/>
      <c r="N127" s="286" t="s">
        <v>1034</v>
      </c>
      <c r="O127" s="286"/>
      <c r="P127" s="286"/>
      <c r="Q127" s="314">
        <f>Q117/Q126</f>
        <v>4.9652123150307821E-2</v>
      </c>
      <c r="R127" s="314"/>
      <c r="S127" s="314"/>
      <c r="T127" s="286"/>
      <c r="U127" s="286"/>
      <c r="V127" s="286"/>
    </row>
    <row r="128" spans="2:22" x14ac:dyDescent="0.3">
      <c r="D128" s="286" t="s">
        <v>1028</v>
      </c>
      <c r="E128" s="286"/>
      <c r="F128" s="286"/>
      <c r="G128" s="286"/>
      <c r="H128" s="286" t="s">
        <v>415</v>
      </c>
      <c r="I128" s="286"/>
      <c r="J128" s="286"/>
      <c r="K128" s="286" t="s">
        <v>259</v>
      </c>
      <c r="L128" s="286"/>
      <c r="M128" s="286"/>
      <c r="N128" s="286" t="s">
        <v>1035</v>
      </c>
      <c r="O128" s="286"/>
      <c r="P128" s="286"/>
      <c r="Q128" s="294">
        <f>(Q127/(1.38*Q125))^(2/3)</f>
        <v>0.31867830205778064</v>
      </c>
      <c r="R128" s="294"/>
      <c r="S128" s="294"/>
      <c r="T128" s="286"/>
      <c r="U128" s="286"/>
      <c r="V128" s="286"/>
    </row>
    <row r="129" spans="2:22" x14ac:dyDescent="0.3">
      <c r="D129" s="286" t="s">
        <v>416</v>
      </c>
      <c r="E129" s="286"/>
      <c r="F129" s="286"/>
      <c r="G129" s="286"/>
      <c r="H129" s="286" t="s">
        <v>345</v>
      </c>
      <c r="I129" s="286"/>
      <c r="J129" s="286"/>
      <c r="K129" s="286" t="s">
        <v>259</v>
      </c>
      <c r="L129" s="286"/>
      <c r="M129" s="286"/>
      <c r="N129" s="286" t="s">
        <v>310</v>
      </c>
      <c r="O129" s="286"/>
      <c r="P129" s="286"/>
      <c r="Q129" s="294">
        <v>0.19</v>
      </c>
      <c r="R129" s="294"/>
      <c r="S129" s="294"/>
      <c r="T129" s="286"/>
      <c r="U129" s="286"/>
      <c r="V129" s="286"/>
    </row>
    <row r="130" spans="2:22" x14ac:dyDescent="0.3">
      <c r="D130" s="286" t="s">
        <v>1029</v>
      </c>
      <c r="E130" s="286"/>
      <c r="F130" s="286"/>
      <c r="G130" s="286"/>
      <c r="H130" s="286" t="s">
        <v>344</v>
      </c>
      <c r="I130" s="286"/>
      <c r="J130" s="286"/>
      <c r="K130" s="286" t="s">
        <v>259</v>
      </c>
      <c r="L130" s="286"/>
      <c r="M130" s="286"/>
      <c r="N130" s="286" t="s">
        <v>1036</v>
      </c>
      <c r="O130" s="286"/>
      <c r="P130" s="286"/>
      <c r="Q130" s="294">
        <f>Q128+Q129</f>
        <v>0.50867830205778064</v>
      </c>
      <c r="R130" s="294"/>
      <c r="S130" s="294"/>
      <c r="T130" s="286"/>
      <c r="U130" s="286"/>
      <c r="V130" s="286"/>
    </row>
    <row r="131" spans="2:22" x14ac:dyDescent="0.3">
      <c r="D131" s="286" t="s">
        <v>737</v>
      </c>
      <c r="E131" s="286"/>
      <c r="F131" s="286"/>
      <c r="G131" s="286"/>
      <c r="H131" s="286" t="s">
        <v>560</v>
      </c>
      <c r="I131" s="286"/>
      <c r="J131" s="286"/>
      <c r="K131" s="286"/>
      <c r="L131" s="286"/>
      <c r="M131" s="286"/>
      <c r="N131" s="286" t="s">
        <v>1037</v>
      </c>
      <c r="O131" s="286"/>
      <c r="P131" s="286"/>
      <c r="Q131" s="340">
        <f>(Q121^2)/(9.81*(Q130^3))</f>
        <v>4.8404013240832629E-6</v>
      </c>
      <c r="R131" s="340"/>
      <c r="S131" s="340"/>
      <c r="T131" s="286"/>
      <c r="U131" s="286"/>
      <c r="V131" s="286"/>
    </row>
    <row r="132" spans="2:22" x14ac:dyDescent="0.3">
      <c r="D132" s="286" t="s">
        <v>562</v>
      </c>
      <c r="E132" s="286"/>
      <c r="F132" s="286"/>
      <c r="G132" s="286"/>
      <c r="H132" s="286" t="s">
        <v>563</v>
      </c>
      <c r="I132" s="286"/>
      <c r="J132" s="286"/>
      <c r="K132" s="286" t="s">
        <v>259</v>
      </c>
      <c r="L132" s="286"/>
      <c r="M132" s="286"/>
      <c r="N132" s="286" t="s">
        <v>1038</v>
      </c>
      <c r="O132" s="286"/>
      <c r="P132" s="286"/>
      <c r="Q132" s="294">
        <f>4.3*Q130*(Q131^0.27)</f>
        <v>8.0321098375252448E-2</v>
      </c>
      <c r="R132" s="294"/>
      <c r="S132" s="294"/>
      <c r="T132" s="286"/>
      <c r="U132" s="286"/>
      <c r="V132" s="286"/>
    </row>
    <row r="133" spans="2:22" x14ac:dyDescent="0.3">
      <c r="B133" s="66"/>
      <c r="C133" s="66"/>
      <c r="D133" s="305" t="s">
        <v>1039</v>
      </c>
      <c r="E133" s="267"/>
      <c r="F133" s="267"/>
      <c r="G133" s="267"/>
      <c r="H133" s="267"/>
      <c r="I133" s="267"/>
      <c r="J133" s="267"/>
      <c r="K133" s="267"/>
      <c r="L133" s="267"/>
      <c r="M133" s="267"/>
      <c r="N133" s="267"/>
      <c r="O133" s="267"/>
      <c r="P133" s="267"/>
      <c r="Q133" s="334"/>
      <c r="R133" s="334"/>
      <c r="S133" s="334"/>
      <c r="T133" s="267"/>
      <c r="U133" s="267"/>
      <c r="V133" s="267"/>
    </row>
    <row r="134" spans="2:22" x14ac:dyDescent="0.3">
      <c r="D134" s="286" t="s">
        <v>1040</v>
      </c>
      <c r="E134" s="286"/>
      <c r="F134" s="286"/>
      <c r="G134" s="286"/>
      <c r="H134" s="286" t="s">
        <v>412</v>
      </c>
      <c r="I134" s="286"/>
      <c r="J134" s="286"/>
      <c r="K134" s="286" t="s">
        <v>259</v>
      </c>
      <c r="L134" s="286"/>
      <c r="M134" s="286"/>
      <c r="N134" s="286" t="s">
        <v>310</v>
      </c>
      <c r="O134" s="286"/>
      <c r="P134" s="286"/>
      <c r="Q134" s="294">
        <v>3</v>
      </c>
      <c r="R134" s="294"/>
      <c r="S134" s="294"/>
      <c r="T134" s="286"/>
      <c r="U134" s="286"/>
      <c r="V134" s="286"/>
    </row>
    <row r="135" spans="2:22" x14ac:dyDescent="0.3">
      <c r="D135" s="286" t="s">
        <v>296</v>
      </c>
      <c r="E135" s="286"/>
      <c r="F135" s="286"/>
      <c r="G135" s="286"/>
      <c r="H135" s="286" t="s">
        <v>306</v>
      </c>
      <c r="I135" s="286"/>
      <c r="J135" s="286"/>
      <c r="K135" s="286" t="s">
        <v>259</v>
      </c>
      <c r="L135" s="286"/>
      <c r="M135" s="286"/>
      <c r="N135" s="286" t="s">
        <v>310</v>
      </c>
      <c r="O135" s="286"/>
      <c r="P135" s="286"/>
      <c r="Q135" s="294">
        <v>1</v>
      </c>
      <c r="R135" s="294"/>
      <c r="S135" s="294"/>
      <c r="T135" s="286"/>
      <c r="U135" s="286"/>
      <c r="V135" s="286"/>
    </row>
    <row r="136" spans="2:22" x14ac:dyDescent="0.3">
      <c r="D136" s="286" t="s">
        <v>1041</v>
      </c>
      <c r="E136" s="286"/>
      <c r="F136" s="286"/>
      <c r="G136" s="286"/>
      <c r="H136" s="286" t="s">
        <v>415</v>
      </c>
      <c r="I136" s="286"/>
      <c r="J136" s="286"/>
      <c r="K136" s="286" t="s">
        <v>259</v>
      </c>
      <c r="L136" s="286"/>
      <c r="M136" s="286"/>
      <c r="N136" s="286" t="s">
        <v>310</v>
      </c>
      <c r="O136" s="286"/>
      <c r="P136" s="286"/>
      <c r="Q136" s="294">
        <v>0.1</v>
      </c>
      <c r="R136" s="294"/>
      <c r="S136" s="294"/>
      <c r="T136" s="286"/>
      <c r="U136" s="286"/>
      <c r="V136" s="286"/>
    </row>
    <row r="137" spans="2:22" x14ac:dyDescent="0.3">
      <c r="D137" s="286" t="s">
        <v>737</v>
      </c>
      <c r="E137" s="286"/>
      <c r="F137" s="286"/>
      <c r="G137" s="286"/>
      <c r="H137" s="286" t="s">
        <v>560</v>
      </c>
      <c r="I137" s="286"/>
      <c r="J137" s="286"/>
      <c r="K137" s="286" t="s">
        <v>259</v>
      </c>
      <c r="L137" s="286"/>
      <c r="M137" s="286"/>
      <c r="N137" s="286" t="s">
        <v>1046</v>
      </c>
      <c r="O137" s="286"/>
      <c r="P137" s="286"/>
      <c r="Q137" s="294">
        <f>((Q127/Q125)^2)/(9.81*(Q130^3))</f>
        <v>4.7732810923893088E-2</v>
      </c>
      <c r="R137" s="294"/>
      <c r="S137" s="294"/>
      <c r="T137" s="286"/>
      <c r="U137" s="286"/>
      <c r="V137" s="286"/>
    </row>
    <row r="138" spans="2:22" x14ac:dyDescent="0.3">
      <c r="D138" s="286" t="s">
        <v>562</v>
      </c>
      <c r="E138" s="286"/>
      <c r="F138" s="286"/>
      <c r="G138" s="286"/>
      <c r="H138" s="286" t="s">
        <v>563</v>
      </c>
      <c r="I138" s="286"/>
      <c r="J138" s="286"/>
      <c r="K138" s="286" t="s">
        <v>259</v>
      </c>
      <c r="L138" s="286"/>
      <c r="M138" s="286"/>
      <c r="N138" s="286" t="s">
        <v>1038</v>
      </c>
      <c r="O138" s="286"/>
      <c r="P138" s="286"/>
      <c r="Q138" s="294">
        <f>4.3*Q130*(Q137^0.27)</f>
        <v>0.96203807643817729</v>
      </c>
      <c r="R138" s="294"/>
      <c r="S138" s="294"/>
      <c r="T138" s="286"/>
      <c r="U138" s="286"/>
      <c r="V138" s="286"/>
    </row>
    <row r="139" spans="2:22" x14ac:dyDescent="0.3">
      <c r="D139" s="286" t="s">
        <v>296</v>
      </c>
      <c r="E139" s="286"/>
      <c r="F139" s="286"/>
      <c r="G139" s="286"/>
      <c r="H139" s="286" t="s">
        <v>866</v>
      </c>
      <c r="I139" s="286"/>
      <c r="J139" s="286"/>
      <c r="K139" s="286" t="s">
        <v>259</v>
      </c>
      <c r="L139" s="286"/>
      <c r="M139" s="286"/>
      <c r="N139" s="286" t="s">
        <v>310</v>
      </c>
      <c r="O139" s="286"/>
      <c r="P139" s="286"/>
      <c r="Q139" s="294">
        <v>2.5</v>
      </c>
      <c r="R139" s="294"/>
      <c r="S139" s="294"/>
      <c r="T139" s="286"/>
      <c r="U139" s="286"/>
      <c r="V139" s="286"/>
    </row>
    <row r="140" spans="2:22" x14ac:dyDescent="0.3">
      <c r="D140" s="286" t="s">
        <v>936</v>
      </c>
      <c r="E140" s="286"/>
      <c r="F140" s="286"/>
      <c r="G140" s="286"/>
      <c r="H140" s="286" t="s">
        <v>1047</v>
      </c>
      <c r="I140" s="286"/>
      <c r="J140" s="286"/>
      <c r="K140" s="286" t="s">
        <v>259</v>
      </c>
      <c r="L140" s="286"/>
      <c r="M140" s="286"/>
      <c r="N140" s="286" t="s">
        <v>310</v>
      </c>
      <c r="O140" s="286"/>
      <c r="P140" s="286"/>
      <c r="Q140" s="294">
        <v>1</v>
      </c>
      <c r="R140" s="294"/>
      <c r="S140" s="294"/>
      <c r="T140" s="286"/>
      <c r="U140" s="286"/>
      <c r="V140" s="286"/>
    </row>
    <row r="141" spans="2:22" x14ac:dyDescent="0.3">
      <c r="D141" s="286" t="s">
        <v>1042</v>
      </c>
      <c r="E141" s="286"/>
      <c r="F141" s="286"/>
      <c r="G141" s="286"/>
      <c r="H141" s="286" t="s">
        <v>325</v>
      </c>
      <c r="I141" s="286"/>
      <c r="J141" s="286"/>
      <c r="K141" s="286" t="s">
        <v>186</v>
      </c>
      <c r="L141" s="286"/>
      <c r="M141" s="286"/>
      <c r="N141" s="286" t="s">
        <v>403</v>
      </c>
      <c r="O141" s="286"/>
      <c r="P141" s="286"/>
      <c r="Q141" s="294">
        <f>'Kebutuhan Air Total'!G26</f>
        <v>0.68287864897272743</v>
      </c>
      <c r="R141" s="294"/>
      <c r="S141" s="294"/>
      <c r="T141" s="286"/>
      <c r="U141" s="286"/>
      <c r="V141" s="286"/>
    </row>
    <row r="142" spans="2:22" x14ac:dyDescent="0.3">
      <c r="D142" s="286" t="s">
        <v>1043</v>
      </c>
      <c r="E142" s="286"/>
      <c r="F142" s="286"/>
      <c r="G142" s="286"/>
      <c r="H142" s="286" t="s">
        <v>1048</v>
      </c>
      <c r="I142" s="286"/>
      <c r="J142" s="286"/>
      <c r="K142" s="286" t="s">
        <v>259</v>
      </c>
      <c r="L142" s="286"/>
      <c r="M142" s="286"/>
      <c r="N142" s="286" t="s">
        <v>436</v>
      </c>
      <c r="O142" s="286"/>
      <c r="P142" s="286"/>
      <c r="Q142" s="294">
        <v>0.3</v>
      </c>
      <c r="R142" s="294"/>
      <c r="S142" s="294"/>
      <c r="T142" s="286"/>
      <c r="U142" s="286"/>
      <c r="V142" s="286"/>
    </row>
    <row r="143" spans="2:22" x14ac:dyDescent="0.3">
      <c r="D143" s="286" t="s">
        <v>1044</v>
      </c>
      <c r="E143" s="286"/>
      <c r="F143" s="286"/>
      <c r="G143" s="286"/>
      <c r="H143" s="286" t="s">
        <v>940</v>
      </c>
      <c r="I143" s="286"/>
      <c r="J143" s="286"/>
      <c r="K143" s="286" t="s">
        <v>258</v>
      </c>
      <c r="L143" s="286"/>
      <c r="M143" s="286"/>
      <c r="N143" s="286" t="s">
        <v>1049</v>
      </c>
      <c r="O143" s="286"/>
      <c r="P143" s="286"/>
      <c r="Q143" s="294">
        <f>Q141/(Q139*Q142)</f>
        <v>0.91050486529696995</v>
      </c>
      <c r="R143" s="294"/>
      <c r="S143" s="294"/>
      <c r="T143" s="286"/>
      <c r="U143" s="286"/>
      <c r="V143" s="286"/>
    </row>
    <row r="144" spans="2:22" x14ac:dyDescent="0.3">
      <c r="D144" s="286" t="s">
        <v>431</v>
      </c>
      <c r="E144" s="286"/>
      <c r="F144" s="286"/>
      <c r="G144" s="286"/>
      <c r="H144" s="286" t="s">
        <v>432</v>
      </c>
      <c r="I144" s="286"/>
      <c r="J144" s="286"/>
      <c r="K144" s="286" t="s">
        <v>259</v>
      </c>
      <c r="L144" s="286"/>
      <c r="M144" s="286"/>
      <c r="N144" s="286" t="s">
        <v>1050</v>
      </c>
      <c r="O144" s="286"/>
      <c r="P144" s="286"/>
      <c r="Q144" s="294">
        <f>(Q139*Q142)/(Q139+(2*Q142))</f>
        <v>0.24193548387096772</v>
      </c>
      <c r="R144" s="294"/>
      <c r="S144" s="294"/>
      <c r="T144" s="286"/>
      <c r="U144" s="286"/>
      <c r="V144" s="286"/>
    </row>
    <row r="145" spans="2:22" x14ac:dyDescent="0.3">
      <c r="D145" s="286" t="s">
        <v>496</v>
      </c>
      <c r="E145" s="286"/>
      <c r="F145" s="286"/>
      <c r="G145" s="286"/>
      <c r="H145" s="286" t="s">
        <v>497</v>
      </c>
      <c r="I145" s="286"/>
      <c r="J145" s="286"/>
      <c r="K145" s="286"/>
      <c r="L145" s="286"/>
      <c r="M145" s="286"/>
      <c r="N145" s="286" t="s">
        <v>1051</v>
      </c>
      <c r="O145" s="286"/>
      <c r="P145" s="286"/>
      <c r="Q145" s="317">
        <f>((0.013*Q143)/(Q144^(2/3)))^2</f>
        <v>9.2936251894621704E-4</v>
      </c>
      <c r="R145" s="317"/>
      <c r="S145" s="317"/>
      <c r="T145" s="286"/>
      <c r="U145" s="286"/>
      <c r="V145" s="286"/>
    </row>
    <row r="146" spans="2:22" x14ac:dyDescent="0.3">
      <c r="D146" s="286" t="s">
        <v>1045</v>
      </c>
      <c r="E146" s="286"/>
      <c r="F146" s="286"/>
      <c r="G146" s="286"/>
      <c r="H146" s="286" t="s">
        <v>500</v>
      </c>
      <c r="I146" s="286"/>
      <c r="J146" s="286"/>
      <c r="K146" s="286" t="s">
        <v>259</v>
      </c>
      <c r="L146" s="286"/>
      <c r="M146" s="286"/>
      <c r="N146" s="286" t="s">
        <v>1052</v>
      </c>
      <c r="O146" s="286"/>
      <c r="P146" s="286"/>
      <c r="Q146" s="317">
        <f>Q145*Q140</f>
        <v>9.2936251894621704E-4</v>
      </c>
      <c r="R146" s="317"/>
      <c r="S146" s="317"/>
      <c r="T146" s="286"/>
      <c r="U146" s="286"/>
      <c r="V146" s="286"/>
    </row>
    <row r="147" spans="2:22" x14ac:dyDescent="0.3">
      <c r="B147" s="66"/>
      <c r="C147" s="66"/>
      <c r="D147" s="305" t="s">
        <v>1053</v>
      </c>
      <c r="E147" s="267"/>
      <c r="F147" s="267"/>
      <c r="G147" s="267"/>
      <c r="H147" s="267"/>
      <c r="I147" s="267"/>
      <c r="J147" s="267"/>
      <c r="K147" s="267"/>
      <c r="L147" s="267"/>
      <c r="M147" s="267"/>
      <c r="N147" s="267"/>
      <c r="O147" s="267"/>
      <c r="P147" s="267"/>
      <c r="Q147" s="334"/>
      <c r="R147" s="334"/>
      <c r="S147" s="334"/>
      <c r="T147" s="267"/>
      <c r="U147" s="267"/>
      <c r="V147" s="267"/>
    </row>
    <row r="148" spans="2:22" x14ac:dyDescent="0.3">
      <c r="D148" s="286" t="s">
        <v>1054</v>
      </c>
      <c r="E148" s="286"/>
      <c r="F148" s="286"/>
      <c r="G148" s="286"/>
      <c r="H148" s="286" t="s">
        <v>412</v>
      </c>
      <c r="I148" s="286"/>
      <c r="J148" s="286"/>
      <c r="K148" s="286" t="s">
        <v>259</v>
      </c>
      <c r="L148" s="286"/>
      <c r="M148" s="286"/>
      <c r="N148" s="286" t="s">
        <v>310</v>
      </c>
      <c r="O148" s="286"/>
      <c r="P148" s="286"/>
      <c r="Q148" s="294">
        <v>14.4</v>
      </c>
      <c r="R148" s="294"/>
      <c r="S148" s="294"/>
      <c r="T148" s="286"/>
      <c r="U148" s="286"/>
      <c r="V148" s="286"/>
    </row>
    <row r="149" spans="2:22" x14ac:dyDescent="0.3">
      <c r="D149" s="286" t="s">
        <v>1055</v>
      </c>
      <c r="E149" s="286"/>
      <c r="F149" s="286"/>
      <c r="G149" s="286"/>
      <c r="H149" s="286" t="s">
        <v>306</v>
      </c>
      <c r="I149" s="286"/>
      <c r="J149" s="286"/>
      <c r="K149" s="286" t="s">
        <v>259</v>
      </c>
      <c r="L149" s="286"/>
      <c r="M149" s="286"/>
      <c r="N149" s="286" t="s">
        <v>310</v>
      </c>
      <c r="O149" s="286"/>
      <c r="P149" s="286"/>
      <c r="Q149" s="294">
        <v>3</v>
      </c>
      <c r="R149" s="294"/>
      <c r="S149" s="294"/>
      <c r="T149" s="286"/>
      <c r="U149" s="286"/>
      <c r="V149" s="286"/>
    </row>
    <row r="150" spans="2:22" x14ac:dyDescent="0.3">
      <c r="D150" s="286" t="s">
        <v>1056</v>
      </c>
      <c r="E150" s="286"/>
      <c r="F150" s="286"/>
      <c r="G150" s="286"/>
      <c r="H150" s="286" t="s">
        <v>415</v>
      </c>
      <c r="I150" s="286"/>
      <c r="J150" s="286"/>
      <c r="K150" s="286" t="s">
        <v>259</v>
      </c>
      <c r="L150" s="286"/>
      <c r="M150" s="286"/>
      <c r="N150" s="286" t="s">
        <v>310</v>
      </c>
      <c r="O150" s="286"/>
      <c r="P150" s="286"/>
      <c r="Q150" s="294">
        <v>1</v>
      </c>
      <c r="R150" s="294"/>
      <c r="S150" s="294"/>
      <c r="T150" s="286"/>
      <c r="U150" s="286"/>
      <c r="V150" s="286"/>
    </row>
    <row r="151" spans="2:22" x14ac:dyDescent="0.3">
      <c r="D151" s="286" t="s">
        <v>1057</v>
      </c>
      <c r="E151" s="286"/>
      <c r="F151" s="286"/>
      <c r="G151" s="286"/>
      <c r="H151" s="286" t="s">
        <v>696</v>
      </c>
      <c r="I151" s="286"/>
      <c r="J151" s="286"/>
      <c r="K151" s="286" t="s">
        <v>259</v>
      </c>
      <c r="L151" s="286"/>
      <c r="M151" s="286"/>
      <c r="N151" s="286" t="s">
        <v>310</v>
      </c>
      <c r="O151" s="286"/>
      <c r="P151" s="286"/>
      <c r="Q151" s="294">
        <v>0.5</v>
      </c>
      <c r="R151" s="294"/>
      <c r="S151" s="294"/>
      <c r="T151" s="286"/>
      <c r="U151" s="286"/>
      <c r="V151" s="286"/>
    </row>
    <row r="152" spans="2:22" x14ac:dyDescent="0.3">
      <c r="D152" s="286" t="s">
        <v>1058</v>
      </c>
      <c r="E152" s="286"/>
      <c r="F152" s="286"/>
      <c r="G152" s="286"/>
      <c r="H152" s="286" t="s">
        <v>1066</v>
      </c>
      <c r="I152" s="286"/>
      <c r="J152" s="286"/>
      <c r="K152" s="286" t="s">
        <v>1067</v>
      </c>
      <c r="L152" s="286"/>
      <c r="M152" s="286"/>
      <c r="N152" s="286" t="s">
        <v>1068</v>
      </c>
      <c r="O152" s="286"/>
      <c r="P152" s="286"/>
      <c r="Q152" s="294">
        <f>(25*2.2)+(12*0.36*8.34)</f>
        <v>91.028800000000018</v>
      </c>
      <c r="R152" s="294"/>
      <c r="S152" s="294"/>
      <c r="T152" s="286"/>
      <c r="U152" s="286"/>
      <c r="V152" s="286"/>
    </row>
    <row r="153" spans="2:22" x14ac:dyDescent="0.3">
      <c r="D153" s="286"/>
      <c r="E153" s="286"/>
      <c r="F153" s="286"/>
      <c r="G153" s="286"/>
      <c r="H153" s="286"/>
      <c r="I153" s="286"/>
      <c r="J153" s="286"/>
      <c r="K153" s="286" t="s">
        <v>781</v>
      </c>
      <c r="L153" s="286"/>
      <c r="M153" s="286"/>
      <c r="N153" s="286" t="s">
        <v>519</v>
      </c>
      <c r="O153" s="286"/>
      <c r="P153" s="286"/>
      <c r="Q153" s="294">
        <f>Q152*0.1198</f>
        <v>10.905250240000003</v>
      </c>
      <c r="R153" s="294"/>
      <c r="S153" s="294"/>
      <c r="T153" s="286"/>
      <c r="U153" s="286"/>
      <c r="V153" s="286"/>
    </row>
    <row r="154" spans="2:22" x14ac:dyDescent="0.3">
      <c r="D154" s="286" t="s">
        <v>1059</v>
      </c>
      <c r="E154" s="286"/>
      <c r="F154" s="286"/>
      <c r="G154" s="286"/>
      <c r="H154" s="286" t="s">
        <v>1069</v>
      </c>
      <c r="I154" s="286"/>
      <c r="J154" s="286"/>
      <c r="K154" s="286" t="s">
        <v>446</v>
      </c>
      <c r="L154" s="286"/>
      <c r="M154" s="286"/>
      <c r="N154" s="286" t="s">
        <v>436</v>
      </c>
      <c r="O154" s="286"/>
      <c r="P154" s="286"/>
      <c r="Q154" s="294">
        <v>2200</v>
      </c>
      <c r="R154" s="294"/>
      <c r="S154" s="294"/>
      <c r="T154" s="286"/>
      <c r="U154" s="286"/>
      <c r="V154" s="286"/>
    </row>
    <row r="155" spans="2:22" x14ac:dyDescent="0.3">
      <c r="D155" s="286" t="s">
        <v>1060</v>
      </c>
      <c r="E155" s="286"/>
      <c r="F155" s="286"/>
      <c r="G155" s="286"/>
      <c r="H155" s="286" t="s">
        <v>1070</v>
      </c>
      <c r="I155" s="286"/>
      <c r="J155" s="286"/>
      <c r="K155" s="286"/>
      <c r="L155" s="286"/>
      <c r="M155" s="286"/>
      <c r="N155" s="286" t="s">
        <v>436</v>
      </c>
      <c r="O155" s="286"/>
      <c r="P155" s="286"/>
      <c r="Q155" s="294">
        <v>0.98</v>
      </c>
      <c r="R155" s="294"/>
      <c r="S155" s="294"/>
      <c r="T155" s="286"/>
      <c r="U155" s="286"/>
      <c r="V155" s="286"/>
    </row>
    <row r="156" spans="2:22" x14ac:dyDescent="0.3">
      <c r="D156" s="286" t="s">
        <v>1061</v>
      </c>
      <c r="E156" s="286"/>
      <c r="F156" s="286"/>
      <c r="G156" s="286"/>
      <c r="H156" s="286" t="s">
        <v>1073</v>
      </c>
      <c r="I156" s="286"/>
      <c r="J156" s="286"/>
      <c r="K156" s="286" t="s">
        <v>1071</v>
      </c>
      <c r="L156" s="286"/>
      <c r="M156" s="286"/>
      <c r="N156" s="286" t="s">
        <v>1072</v>
      </c>
      <c r="O156" s="286"/>
      <c r="P156" s="286"/>
      <c r="Q156" s="294">
        <f>Q153/0.02</f>
        <v>545.26251200000013</v>
      </c>
      <c r="R156" s="294"/>
      <c r="S156" s="294"/>
      <c r="T156" s="286"/>
      <c r="U156" s="286"/>
      <c r="V156" s="286"/>
    </row>
    <row r="157" spans="2:22" x14ac:dyDescent="0.3">
      <c r="D157" s="286" t="s">
        <v>1062</v>
      </c>
      <c r="E157" s="286"/>
      <c r="F157" s="286"/>
      <c r="G157" s="286"/>
      <c r="H157" s="286" t="s">
        <v>814</v>
      </c>
      <c r="I157" s="286"/>
      <c r="J157" s="286"/>
      <c r="K157" s="286" t="s">
        <v>446</v>
      </c>
      <c r="L157" s="286"/>
      <c r="M157" s="286"/>
      <c r="N157" s="286" t="s">
        <v>1074</v>
      </c>
      <c r="O157" s="286"/>
      <c r="P157" s="286"/>
      <c r="Q157" s="317">
        <f>1/((0.02/Q154)+(Q155/997.5))</f>
        <v>1008.5250120636963</v>
      </c>
      <c r="R157" s="317"/>
      <c r="S157" s="317"/>
      <c r="T157" s="286"/>
      <c r="U157" s="286"/>
      <c r="V157" s="286"/>
    </row>
    <row r="158" spans="2:22" x14ac:dyDescent="0.3">
      <c r="D158" s="286" t="s">
        <v>1063</v>
      </c>
      <c r="E158" s="286"/>
      <c r="F158" s="286"/>
      <c r="G158" s="286"/>
      <c r="H158" s="286" t="s">
        <v>574</v>
      </c>
      <c r="I158" s="286"/>
      <c r="J158" s="286"/>
      <c r="K158" s="286" t="s">
        <v>1075</v>
      </c>
      <c r="L158" s="286"/>
      <c r="M158" s="286"/>
      <c r="N158" s="286" t="s">
        <v>1076</v>
      </c>
      <c r="O158" s="286"/>
      <c r="P158" s="286"/>
      <c r="Q158" s="333">
        <f>(Q156/Q157)*(1/(10^6))</f>
        <v>5.4065343494481679E-7</v>
      </c>
      <c r="R158" s="333"/>
      <c r="S158" s="333"/>
      <c r="T158" s="286"/>
      <c r="U158" s="286"/>
      <c r="V158" s="286"/>
    </row>
    <row r="159" spans="2:22" x14ac:dyDescent="0.3">
      <c r="D159" s="286" t="s">
        <v>1064</v>
      </c>
      <c r="E159" s="286"/>
      <c r="F159" s="286"/>
      <c r="G159" s="286"/>
      <c r="H159" s="286" t="s">
        <v>570</v>
      </c>
      <c r="I159" s="286"/>
      <c r="J159" s="286"/>
      <c r="K159" s="286" t="s">
        <v>186</v>
      </c>
      <c r="L159" s="286"/>
      <c r="M159" s="286"/>
      <c r="N159" s="286" t="s">
        <v>1077</v>
      </c>
      <c r="O159" s="286"/>
      <c r="P159" s="286"/>
      <c r="Q159" s="302">
        <f>(Q117*1000)*Q158</f>
        <v>1.8460034360879044E-4</v>
      </c>
      <c r="R159" s="302"/>
      <c r="S159" s="302"/>
      <c r="T159" s="286"/>
      <c r="U159" s="286"/>
      <c r="V159" s="286"/>
    </row>
    <row r="160" spans="2:22" x14ac:dyDescent="0.3">
      <c r="D160" s="286"/>
      <c r="E160" s="286"/>
      <c r="F160" s="286"/>
      <c r="G160" s="286"/>
      <c r="H160" s="286"/>
      <c r="I160" s="286"/>
      <c r="J160" s="286"/>
      <c r="K160" s="286" t="s">
        <v>150</v>
      </c>
      <c r="L160" s="286"/>
      <c r="M160" s="286"/>
      <c r="N160" s="286" t="s">
        <v>519</v>
      </c>
      <c r="O160" s="286"/>
      <c r="P160" s="286"/>
      <c r="Q160" s="302">
        <f>Q159*86400</f>
        <v>15.949469687799494</v>
      </c>
      <c r="R160" s="302"/>
      <c r="S160" s="302"/>
      <c r="T160" s="286"/>
      <c r="U160" s="286"/>
      <c r="V160" s="286"/>
    </row>
    <row r="161" spans="2:22" x14ac:dyDescent="0.3">
      <c r="D161" s="286" t="s">
        <v>578</v>
      </c>
      <c r="E161" s="286"/>
      <c r="F161" s="286"/>
      <c r="G161" s="286"/>
      <c r="H161" s="286" t="s">
        <v>575</v>
      </c>
      <c r="I161" s="286"/>
      <c r="J161" s="286"/>
      <c r="K161" s="286" t="s">
        <v>350</v>
      </c>
      <c r="L161" s="286"/>
      <c r="M161" s="286"/>
      <c r="N161" s="286" t="s">
        <v>1079</v>
      </c>
      <c r="O161" s="286"/>
      <c r="P161" s="286"/>
      <c r="Q161" s="294">
        <f>(1/3)*Q148*Q149*(Q150+Q151)</f>
        <v>21.599999999999998</v>
      </c>
      <c r="R161" s="294"/>
      <c r="S161" s="294"/>
      <c r="T161" s="286"/>
      <c r="U161" s="286"/>
      <c r="V161" s="286"/>
    </row>
    <row r="162" spans="2:22" x14ac:dyDescent="0.3">
      <c r="D162" s="286" t="s">
        <v>584</v>
      </c>
      <c r="E162" s="286"/>
      <c r="F162" s="286"/>
      <c r="G162" s="286"/>
      <c r="H162" s="286" t="s">
        <v>585</v>
      </c>
      <c r="I162" s="286"/>
      <c r="J162" s="286"/>
      <c r="K162" s="286" t="s">
        <v>350</v>
      </c>
      <c r="L162" s="286"/>
      <c r="M162" s="286"/>
      <c r="N162" s="286" t="s">
        <v>1080</v>
      </c>
      <c r="O162" s="286"/>
      <c r="P162" s="286"/>
      <c r="Q162" s="294">
        <f>(1/3)*(1/3)*(Q148)*(1/3)*Q149*Q151</f>
        <v>0.79999999999999982</v>
      </c>
      <c r="R162" s="294"/>
      <c r="S162" s="294"/>
      <c r="T162" s="286"/>
      <c r="U162" s="286"/>
      <c r="V162" s="286"/>
    </row>
    <row r="163" spans="2:22" x14ac:dyDescent="0.3">
      <c r="D163" s="286" t="s">
        <v>578</v>
      </c>
      <c r="E163" s="286"/>
      <c r="F163" s="286"/>
      <c r="G163" s="286"/>
      <c r="H163" s="286" t="s">
        <v>588</v>
      </c>
      <c r="I163" s="286"/>
      <c r="J163" s="286"/>
      <c r="K163" s="286" t="s">
        <v>350</v>
      </c>
      <c r="L163" s="286"/>
      <c r="M163" s="286"/>
      <c r="N163" s="286" t="s">
        <v>589</v>
      </c>
      <c r="O163" s="286"/>
      <c r="P163" s="286"/>
      <c r="Q163" s="294">
        <f>Q161-Q162</f>
        <v>20.799999999999997</v>
      </c>
      <c r="R163" s="294"/>
      <c r="S163" s="294"/>
      <c r="T163" s="286"/>
      <c r="U163" s="286"/>
      <c r="V163" s="286"/>
    </row>
    <row r="164" spans="2:22" x14ac:dyDescent="0.3">
      <c r="D164" s="286" t="s">
        <v>1065</v>
      </c>
      <c r="E164" s="286"/>
      <c r="F164" s="286"/>
      <c r="G164" s="286"/>
      <c r="H164" s="286" t="s">
        <v>1078</v>
      </c>
      <c r="I164" s="286"/>
      <c r="J164" s="286"/>
      <c r="K164" s="286" t="s">
        <v>592</v>
      </c>
      <c r="L164" s="286"/>
      <c r="M164" s="286"/>
      <c r="N164" s="286" t="s">
        <v>1081</v>
      </c>
      <c r="O164" s="286"/>
      <c r="P164" s="286"/>
      <c r="Q164" s="293">
        <f>Q163/Q160</f>
        <v>1.3041185949844403</v>
      </c>
      <c r="R164" s="293"/>
      <c r="S164" s="293"/>
      <c r="T164" s="286"/>
      <c r="U164" s="286"/>
      <c r="V164" s="286"/>
    </row>
    <row r="165" spans="2:22" x14ac:dyDescent="0.3">
      <c r="B165" s="66"/>
      <c r="C165" s="66"/>
      <c r="D165" s="305" t="s">
        <v>594</v>
      </c>
      <c r="E165" s="267"/>
      <c r="F165" s="267"/>
      <c r="G165" s="267"/>
      <c r="H165" s="267"/>
      <c r="I165" s="267"/>
      <c r="J165" s="267"/>
      <c r="K165" s="267"/>
      <c r="L165" s="267"/>
      <c r="M165" s="267"/>
      <c r="N165" s="267"/>
      <c r="O165" s="267"/>
      <c r="P165" s="267"/>
      <c r="Q165" s="334"/>
      <c r="R165" s="334"/>
      <c r="S165" s="334"/>
      <c r="T165" s="267"/>
      <c r="U165" s="267"/>
      <c r="V165" s="267"/>
    </row>
    <row r="166" spans="2:22" x14ac:dyDescent="0.3">
      <c r="D166" s="286" t="s">
        <v>1082</v>
      </c>
      <c r="E166" s="286"/>
      <c r="F166" s="286"/>
      <c r="G166" s="286"/>
      <c r="H166" s="286" t="s">
        <v>1090</v>
      </c>
      <c r="I166" s="286"/>
      <c r="J166" s="286"/>
      <c r="K166" s="286" t="s">
        <v>259</v>
      </c>
      <c r="L166" s="286"/>
      <c r="M166" s="286"/>
      <c r="N166" s="286" t="s">
        <v>310</v>
      </c>
      <c r="O166" s="286"/>
      <c r="P166" s="286"/>
      <c r="Q166" s="294">
        <v>20</v>
      </c>
      <c r="R166" s="294"/>
      <c r="S166" s="294"/>
      <c r="T166" s="286"/>
      <c r="U166" s="286"/>
      <c r="V166" s="286"/>
    </row>
    <row r="167" spans="2:22" x14ac:dyDescent="0.3">
      <c r="D167" s="286" t="s">
        <v>600</v>
      </c>
      <c r="E167" s="286"/>
      <c r="F167" s="286"/>
      <c r="G167" s="286"/>
      <c r="H167" s="286" t="s">
        <v>591</v>
      </c>
      <c r="I167" s="286"/>
      <c r="J167" s="286"/>
      <c r="K167" s="286" t="s">
        <v>275</v>
      </c>
      <c r="L167" s="286"/>
      <c r="M167" s="286"/>
      <c r="N167" s="286" t="s">
        <v>310</v>
      </c>
      <c r="O167" s="286"/>
      <c r="P167" s="286"/>
      <c r="Q167" s="294">
        <v>8</v>
      </c>
      <c r="R167" s="294"/>
      <c r="S167" s="294"/>
      <c r="T167" s="286"/>
      <c r="U167" s="286"/>
      <c r="V167" s="286"/>
    </row>
    <row r="168" spans="2:22" x14ac:dyDescent="0.3">
      <c r="D168" s="286"/>
      <c r="E168" s="286"/>
      <c r="F168" s="286"/>
      <c r="G168" s="286"/>
      <c r="H168" s="286"/>
      <c r="I168" s="286"/>
      <c r="J168" s="286"/>
      <c r="K168" s="286" t="s">
        <v>422</v>
      </c>
      <c r="L168" s="286"/>
      <c r="M168" s="286"/>
      <c r="N168" s="286" t="s">
        <v>519</v>
      </c>
      <c r="O168" s="286"/>
      <c r="P168" s="286"/>
      <c r="Q168" s="294">
        <v>480</v>
      </c>
      <c r="R168" s="294"/>
      <c r="S168" s="294"/>
      <c r="T168" s="286"/>
      <c r="U168" s="286"/>
      <c r="V168" s="286"/>
    </row>
    <row r="169" spans="2:22" x14ac:dyDescent="0.3">
      <c r="D169" s="286" t="s">
        <v>1083</v>
      </c>
      <c r="E169" s="286"/>
      <c r="F169" s="286"/>
      <c r="G169" s="286"/>
      <c r="H169" s="286" t="s">
        <v>348</v>
      </c>
      <c r="I169" s="286"/>
      <c r="J169" s="286"/>
      <c r="K169" s="286" t="s">
        <v>259</v>
      </c>
      <c r="L169" s="286"/>
      <c r="M169" s="286"/>
      <c r="N169" s="286" t="s">
        <v>436</v>
      </c>
      <c r="O169" s="286"/>
      <c r="P169" s="286"/>
      <c r="Q169" s="314">
        <v>0.15240000000000001</v>
      </c>
      <c r="R169" s="314"/>
      <c r="S169" s="314"/>
      <c r="T169" s="286"/>
      <c r="U169" s="286"/>
      <c r="V169" s="286"/>
    </row>
    <row r="170" spans="2:22" x14ac:dyDescent="0.3">
      <c r="D170" s="286" t="s">
        <v>1084</v>
      </c>
      <c r="E170" s="286"/>
      <c r="F170" s="286"/>
      <c r="G170" s="286"/>
      <c r="H170" s="286" t="s">
        <v>575</v>
      </c>
      <c r="I170" s="286"/>
      <c r="J170" s="286"/>
      <c r="K170" s="286" t="s">
        <v>350</v>
      </c>
      <c r="L170" s="286"/>
      <c r="M170" s="286"/>
      <c r="N170" s="286" t="s">
        <v>1091</v>
      </c>
      <c r="O170" s="286"/>
      <c r="P170" s="286"/>
      <c r="Q170" s="294">
        <f>Q164*Q160</f>
        <v>20.799999999999997</v>
      </c>
      <c r="R170" s="294"/>
      <c r="S170" s="294"/>
      <c r="T170" s="286"/>
      <c r="U170" s="286"/>
      <c r="V170" s="286"/>
    </row>
    <row r="171" spans="2:22" x14ac:dyDescent="0.3">
      <c r="D171" s="286" t="s">
        <v>1085</v>
      </c>
      <c r="E171" s="286"/>
      <c r="F171" s="286"/>
      <c r="G171" s="286"/>
      <c r="H171" s="286" t="s">
        <v>606</v>
      </c>
      <c r="I171" s="286"/>
      <c r="J171" s="286"/>
      <c r="K171" s="286" t="s">
        <v>186</v>
      </c>
      <c r="L171" s="286"/>
      <c r="M171" s="286"/>
      <c r="N171" s="286" t="s">
        <v>1092</v>
      </c>
      <c r="O171" s="286"/>
      <c r="P171" s="286"/>
      <c r="Q171" s="296">
        <f>(Q170/Q167)*(1/60)</f>
        <v>4.3333333333333328E-2</v>
      </c>
      <c r="R171" s="296"/>
      <c r="S171" s="296"/>
      <c r="T171" s="286"/>
      <c r="U171" s="286"/>
      <c r="V171" s="286"/>
    </row>
    <row r="172" spans="2:22" x14ac:dyDescent="0.3">
      <c r="D172" s="286" t="s">
        <v>1086</v>
      </c>
      <c r="E172" s="286"/>
      <c r="F172" s="286"/>
      <c r="G172" s="286"/>
      <c r="H172" s="286" t="s">
        <v>347</v>
      </c>
      <c r="I172" s="286"/>
      <c r="J172" s="286"/>
      <c r="K172" s="286" t="s">
        <v>320</v>
      </c>
      <c r="L172" s="286"/>
      <c r="M172" s="286"/>
      <c r="N172" s="286" t="s">
        <v>1093</v>
      </c>
      <c r="O172" s="286"/>
      <c r="P172" s="286"/>
      <c r="Q172" s="294">
        <f>(1/4)*3.14*(Q169^2)</f>
        <v>1.8232221600000001E-2</v>
      </c>
      <c r="R172" s="294"/>
      <c r="S172" s="294"/>
      <c r="T172" s="286"/>
      <c r="U172" s="286"/>
      <c r="V172" s="286"/>
    </row>
    <row r="173" spans="2:22" x14ac:dyDescent="0.3">
      <c r="D173" s="286" t="s">
        <v>1087</v>
      </c>
      <c r="E173" s="286"/>
      <c r="F173" s="286"/>
      <c r="G173" s="286"/>
      <c r="H173" s="286" t="s">
        <v>588</v>
      </c>
      <c r="I173" s="286"/>
      <c r="J173" s="286"/>
      <c r="K173" s="286" t="s">
        <v>258</v>
      </c>
      <c r="L173" s="286"/>
      <c r="M173" s="286"/>
      <c r="N173" s="286" t="s">
        <v>1094</v>
      </c>
      <c r="O173" s="286"/>
      <c r="P173" s="286"/>
      <c r="Q173" s="294">
        <f>Q171/Q172</f>
        <v>2.3767445506110634</v>
      </c>
      <c r="R173" s="294"/>
      <c r="S173" s="294"/>
      <c r="T173" s="286"/>
      <c r="U173" s="286"/>
      <c r="V173" s="286"/>
    </row>
    <row r="174" spans="2:22" x14ac:dyDescent="0.3">
      <c r="D174" s="286" t="s">
        <v>1088</v>
      </c>
      <c r="E174" s="286"/>
      <c r="F174" s="286"/>
      <c r="G174" s="286"/>
      <c r="H174" s="286" t="s">
        <v>497</v>
      </c>
      <c r="I174" s="286"/>
      <c r="J174" s="286"/>
      <c r="K174" s="286"/>
      <c r="L174" s="286"/>
      <c r="M174" s="286"/>
      <c r="N174" s="286" t="s">
        <v>1095</v>
      </c>
      <c r="O174" s="286"/>
      <c r="P174" s="286"/>
      <c r="Q174" s="294">
        <f>((Q171)/((0.2785)*110*(Q169^2.63)))^(1/0.54)</f>
        <v>5.0408867885874516E-2</v>
      </c>
      <c r="R174" s="294"/>
      <c r="S174" s="294"/>
      <c r="T174" s="286"/>
      <c r="U174" s="286"/>
      <c r="V174" s="286"/>
    </row>
    <row r="175" spans="2:22" x14ac:dyDescent="0.3">
      <c r="D175" s="286" t="s">
        <v>1089</v>
      </c>
      <c r="E175" s="286"/>
      <c r="F175" s="286"/>
      <c r="G175" s="286"/>
      <c r="H175" s="286" t="s">
        <v>500</v>
      </c>
      <c r="I175" s="286"/>
      <c r="J175" s="286"/>
      <c r="K175" s="286" t="s">
        <v>259</v>
      </c>
      <c r="L175" s="286"/>
      <c r="M175" s="286"/>
      <c r="N175" s="286" t="s">
        <v>1096</v>
      </c>
      <c r="O175" s="286"/>
      <c r="P175" s="286"/>
      <c r="Q175" s="294">
        <f>Q174*Q166</f>
        <v>1.0081773577174904</v>
      </c>
      <c r="R175" s="294"/>
      <c r="S175" s="294"/>
      <c r="T175" s="286"/>
      <c r="U175" s="286"/>
      <c r="V175" s="286"/>
    </row>
    <row r="176" spans="2:22" x14ac:dyDescent="0.3">
      <c r="D176" s="286"/>
      <c r="E176" s="286"/>
      <c r="F176" s="286"/>
      <c r="G176" s="286"/>
      <c r="H176" s="286"/>
      <c r="I176" s="286"/>
      <c r="J176" s="286"/>
      <c r="K176" s="286"/>
      <c r="L176" s="286"/>
      <c r="M176" s="286"/>
      <c r="N176" s="286"/>
      <c r="O176" s="286"/>
      <c r="P176" s="286"/>
      <c r="Q176" s="294"/>
      <c r="R176" s="294"/>
      <c r="S176" s="294"/>
      <c r="T176" s="286"/>
      <c r="U176" s="286"/>
      <c r="V176" s="286"/>
    </row>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spans="4:17" x14ac:dyDescent="0.3">
      <c r="D225"/>
      <c r="E225"/>
      <c r="F225"/>
      <c r="G225"/>
      <c r="H225"/>
    </row>
    <row r="226" spans="4:17" x14ac:dyDescent="0.3">
      <c r="D226"/>
      <c r="E226"/>
      <c r="F226"/>
      <c r="G226"/>
      <c r="H226"/>
    </row>
    <row r="227" spans="4:17" x14ac:dyDescent="0.3">
      <c r="D227"/>
      <c r="E227"/>
      <c r="F227"/>
      <c r="G227"/>
      <c r="H227"/>
    </row>
    <row r="228" spans="4:17" x14ac:dyDescent="0.3">
      <c r="D228"/>
      <c r="E228"/>
      <c r="F228"/>
      <c r="G228"/>
      <c r="H228"/>
    </row>
    <row r="229" spans="4:17" x14ac:dyDescent="0.3">
      <c r="D229"/>
      <c r="E229"/>
      <c r="F229"/>
      <c r="G229"/>
      <c r="H229"/>
    </row>
    <row r="230" spans="4:17" x14ac:dyDescent="0.3">
      <c r="D230" s="286"/>
      <c r="E230" s="286"/>
      <c r="F230" s="286"/>
      <c r="G230" s="286"/>
      <c r="H230" s="286"/>
      <c r="I230" s="287"/>
      <c r="J230" s="287"/>
      <c r="K230" s="287"/>
      <c r="L230" s="287"/>
      <c r="M230" s="287"/>
      <c r="N230" s="287"/>
      <c r="O230" s="287"/>
      <c r="P230" s="287"/>
      <c r="Q230" s="287"/>
    </row>
    <row r="231" spans="4:17" x14ac:dyDescent="0.3">
      <c r="D231" s="286"/>
      <c r="E231" s="286"/>
      <c r="F231" s="286"/>
      <c r="G231" s="286"/>
      <c r="H231" s="286"/>
      <c r="I231" s="287"/>
      <c r="J231" s="287"/>
      <c r="K231" s="287"/>
      <c r="L231" s="287"/>
      <c r="M231" s="287"/>
      <c r="N231" s="287"/>
      <c r="O231" s="287"/>
      <c r="P231" s="287"/>
      <c r="Q231" s="287"/>
    </row>
    <row r="232" spans="4:17" x14ac:dyDescent="0.3">
      <c r="D232" s="286"/>
      <c r="E232" s="286"/>
      <c r="F232" s="286"/>
      <c r="G232" s="286"/>
      <c r="H232" s="286"/>
      <c r="I232" s="287"/>
      <c r="J232" s="287"/>
      <c r="K232" s="287"/>
      <c r="L232" s="287"/>
      <c r="M232" s="287"/>
      <c r="N232" s="287"/>
      <c r="O232" s="287"/>
      <c r="P232" s="287"/>
      <c r="Q232" s="287"/>
    </row>
    <row r="233" spans="4:17" x14ac:dyDescent="0.3">
      <c r="D233" s="286"/>
      <c r="E233" s="286"/>
      <c r="F233" s="286"/>
      <c r="G233" s="286"/>
      <c r="H233" s="286"/>
      <c r="I233" s="287"/>
      <c r="J233" s="287"/>
      <c r="K233" s="287"/>
      <c r="L233" s="287"/>
      <c r="M233" s="287"/>
      <c r="N233" s="287"/>
      <c r="O233" s="287"/>
      <c r="P233" s="287"/>
      <c r="Q233" s="287"/>
    </row>
    <row r="234" spans="4:17" x14ac:dyDescent="0.3">
      <c r="D234" s="286"/>
      <c r="E234" s="286"/>
      <c r="F234" s="286"/>
      <c r="G234" s="286"/>
      <c r="H234" s="286"/>
      <c r="I234" s="287"/>
      <c r="J234" s="287"/>
      <c r="K234" s="287"/>
      <c r="L234" s="287"/>
      <c r="M234" s="287"/>
      <c r="N234" s="287"/>
      <c r="O234" s="287"/>
      <c r="P234" s="287"/>
      <c r="Q234" s="287"/>
    </row>
    <row r="235" spans="4:17" x14ac:dyDescent="0.3">
      <c r="D235" s="286"/>
      <c r="E235" s="286"/>
      <c r="F235" s="286"/>
      <c r="G235" s="286"/>
      <c r="H235" s="286"/>
      <c r="I235" s="287"/>
      <c r="J235" s="287"/>
      <c r="K235" s="287"/>
      <c r="L235" s="287"/>
      <c r="M235" s="287"/>
      <c r="N235" s="287"/>
      <c r="O235" s="287"/>
      <c r="P235" s="287"/>
      <c r="Q235" s="287"/>
    </row>
    <row r="236" spans="4:17" x14ac:dyDescent="0.3">
      <c r="D236" s="286"/>
      <c r="E236" s="286"/>
      <c r="F236" s="286"/>
      <c r="G236" s="286"/>
      <c r="H236" s="286"/>
      <c r="I236" s="287"/>
      <c r="J236" s="287"/>
      <c r="K236" s="287"/>
      <c r="L236" s="287"/>
      <c r="M236" s="287"/>
      <c r="N236" s="287"/>
      <c r="O236" s="287"/>
      <c r="P236" s="287"/>
      <c r="Q236" s="287"/>
    </row>
    <row r="237" spans="4:17" x14ac:dyDescent="0.3">
      <c r="D237" s="286"/>
      <c r="E237" s="286"/>
      <c r="F237" s="286"/>
      <c r="G237" s="286"/>
      <c r="H237" s="286"/>
      <c r="I237" s="287"/>
      <c r="J237" s="287"/>
      <c r="K237" s="287"/>
      <c r="L237" s="287"/>
      <c r="M237" s="287"/>
      <c r="N237" s="287"/>
      <c r="O237" s="287"/>
      <c r="P237" s="287"/>
      <c r="Q237" s="287"/>
    </row>
    <row r="238" spans="4:17" x14ac:dyDescent="0.3">
      <c r="D238" s="286"/>
      <c r="E238" s="286"/>
      <c r="F238" s="286"/>
      <c r="G238" s="286"/>
      <c r="H238" s="286"/>
      <c r="I238" s="287"/>
      <c r="J238" s="287"/>
      <c r="K238" s="287"/>
      <c r="L238" s="287"/>
      <c r="M238" s="287"/>
      <c r="N238" s="287"/>
      <c r="O238" s="287"/>
      <c r="P238" s="287"/>
      <c r="Q238" s="287"/>
    </row>
    <row r="239" spans="4:17" x14ac:dyDescent="0.3">
      <c r="D239" s="286"/>
      <c r="E239" s="286"/>
      <c r="F239" s="286"/>
      <c r="G239" s="286"/>
      <c r="H239" s="286"/>
      <c r="I239" s="287"/>
      <c r="J239" s="287"/>
      <c r="K239" s="287"/>
      <c r="L239" s="287"/>
      <c r="M239" s="287"/>
      <c r="N239" s="287"/>
      <c r="O239" s="287"/>
      <c r="P239" s="287"/>
      <c r="Q239" s="287"/>
    </row>
    <row r="240" spans="4:17" x14ac:dyDescent="0.3">
      <c r="D240" s="286"/>
      <c r="E240" s="286"/>
      <c r="F240" s="286"/>
      <c r="G240" s="286"/>
      <c r="H240" s="286"/>
      <c r="I240" s="287"/>
      <c r="J240" s="287"/>
      <c r="K240" s="287"/>
      <c r="L240" s="287"/>
      <c r="M240" s="287"/>
      <c r="N240" s="287"/>
      <c r="O240" s="287"/>
      <c r="P240" s="287"/>
      <c r="Q240" s="287"/>
    </row>
    <row r="241" spans="4:17" x14ac:dyDescent="0.3">
      <c r="D241" s="286"/>
      <c r="E241" s="286"/>
      <c r="F241" s="286"/>
      <c r="G241" s="286"/>
      <c r="H241" s="286"/>
      <c r="I241" s="287"/>
      <c r="J241" s="287"/>
      <c r="K241" s="287"/>
      <c r="L241" s="287"/>
      <c r="M241" s="287"/>
      <c r="N241" s="287"/>
      <c r="O241" s="287"/>
      <c r="P241" s="287"/>
      <c r="Q241" s="287"/>
    </row>
    <row r="242" spans="4:17" x14ac:dyDescent="0.3">
      <c r="D242" s="286"/>
      <c r="E242" s="286"/>
      <c r="F242" s="286"/>
      <c r="G242" s="286"/>
      <c r="H242" s="286"/>
      <c r="I242" s="287"/>
      <c r="J242" s="287"/>
      <c r="K242" s="287"/>
      <c r="L242" s="287"/>
      <c r="M242" s="287"/>
      <c r="N242" s="287"/>
      <c r="O242" s="287"/>
      <c r="P242" s="287"/>
      <c r="Q242" s="287"/>
    </row>
  </sheetData>
  <mergeCells count="1042">
    <mergeCell ref="T170:V170"/>
    <mergeCell ref="T171:V171"/>
    <mergeCell ref="T172:V172"/>
    <mergeCell ref="T173:V173"/>
    <mergeCell ref="T174:V174"/>
    <mergeCell ref="T175:V175"/>
    <mergeCell ref="N163:P163"/>
    <mergeCell ref="Q163:S163"/>
    <mergeCell ref="T163:V163"/>
    <mergeCell ref="D167:G167"/>
    <mergeCell ref="H167:J167"/>
    <mergeCell ref="K167:M167"/>
    <mergeCell ref="N167:P167"/>
    <mergeCell ref="Q167:S167"/>
    <mergeCell ref="T167:V167"/>
    <mergeCell ref="T176:V176"/>
    <mergeCell ref="D152:G152"/>
    <mergeCell ref="H152:J152"/>
    <mergeCell ref="K152:M152"/>
    <mergeCell ref="N152:P152"/>
    <mergeCell ref="Q152:S152"/>
    <mergeCell ref="T152:V152"/>
    <mergeCell ref="D160:G160"/>
    <mergeCell ref="H160:J160"/>
    <mergeCell ref="K160:M160"/>
    <mergeCell ref="N160:P160"/>
    <mergeCell ref="Q160:S160"/>
    <mergeCell ref="T160:V160"/>
    <mergeCell ref="D163:G163"/>
    <mergeCell ref="H163:J163"/>
    <mergeCell ref="K163:M163"/>
    <mergeCell ref="T168:V168"/>
    <mergeCell ref="T169:V169"/>
    <mergeCell ref="T147:V147"/>
    <mergeCell ref="T148:V148"/>
    <mergeCell ref="T149:V149"/>
    <mergeCell ref="T150:V150"/>
    <mergeCell ref="T151:V151"/>
    <mergeCell ref="T153:V153"/>
    <mergeCell ref="T154:V154"/>
    <mergeCell ref="T155:V155"/>
    <mergeCell ref="T156:V156"/>
    <mergeCell ref="T157:V157"/>
    <mergeCell ref="T158:V158"/>
    <mergeCell ref="T159:V159"/>
    <mergeCell ref="T161:V161"/>
    <mergeCell ref="T162:V162"/>
    <mergeCell ref="T164:V164"/>
    <mergeCell ref="T165:V165"/>
    <mergeCell ref="T166:V166"/>
    <mergeCell ref="Q159:S159"/>
    <mergeCell ref="Q161:S161"/>
    <mergeCell ref="Q162:S162"/>
    <mergeCell ref="Q164:S164"/>
    <mergeCell ref="Q165:S165"/>
    <mergeCell ref="Q166:S166"/>
    <mergeCell ref="Q168:S168"/>
    <mergeCell ref="Q169:S169"/>
    <mergeCell ref="Q170:S170"/>
    <mergeCell ref="Q171:S171"/>
    <mergeCell ref="Q172:S172"/>
    <mergeCell ref="Q173:S173"/>
    <mergeCell ref="Q174:S174"/>
    <mergeCell ref="Q175:S175"/>
    <mergeCell ref="Q176:S176"/>
    <mergeCell ref="T130:V130"/>
    <mergeCell ref="T131:V131"/>
    <mergeCell ref="T132:V132"/>
    <mergeCell ref="T133:V133"/>
    <mergeCell ref="T134:V134"/>
    <mergeCell ref="T135:V135"/>
    <mergeCell ref="T136:V136"/>
    <mergeCell ref="T137:V137"/>
    <mergeCell ref="T138:V138"/>
    <mergeCell ref="T139:V139"/>
    <mergeCell ref="T140:V140"/>
    <mergeCell ref="T141:V141"/>
    <mergeCell ref="T142:V142"/>
    <mergeCell ref="T143:V143"/>
    <mergeCell ref="T144:V144"/>
    <mergeCell ref="T145:V145"/>
    <mergeCell ref="T146:V146"/>
    <mergeCell ref="N147:P147"/>
    <mergeCell ref="N148:P148"/>
    <mergeCell ref="N149:P149"/>
    <mergeCell ref="N150:P150"/>
    <mergeCell ref="N151:P151"/>
    <mergeCell ref="N153:P153"/>
    <mergeCell ref="Q130:S130"/>
    <mergeCell ref="Q131:S131"/>
    <mergeCell ref="Q132:S132"/>
    <mergeCell ref="Q133:S133"/>
    <mergeCell ref="Q134:S134"/>
    <mergeCell ref="Q135:S135"/>
    <mergeCell ref="Q136:S136"/>
    <mergeCell ref="Q137:S137"/>
    <mergeCell ref="Q138:S138"/>
    <mergeCell ref="Q139:S139"/>
    <mergeCell ref="Q140:S140"/>
    <mergeCell ref="Q141:S141"/>
    <mergeCell ref="Q142:S142"/>
    <mergeCell ref="Q143:S143"/>
    <mergeCell ref="Q144:S144"/>
    <mergeCell ref="Q145:S145"/>
    <mergeCell ref="Q146:S146"/>
    <mergeCell ref="N130:P130"/>
    <mergeCell ref="N131:P131"/>
    <mergeCell ref="N132:P132"/>
    <mergeCell ref="N133:P133"/>
    <mergeCell ref="N134:P134"/>
    <mergeCell ref="N135:P135"/>
    <mergeCell ref="N136:P136"/>
    <mergeCell ref="N137:P137"/>
    <mergeCell ref="N138:P138"/>
    <mergeCell ref="N139:P139"/>
    <mergeCell ref="N140:P140"/>
    <mergeCell ref="N141:P141"/>
    <mergeCell ref="N142:P142"/>
    <mergeCell ref="N143:P143"/>
    <mergeCell ref="N144:P144"/>
    <mergeCell ref="N145:P145"/>
    <mergeCell ref="N146:P146"/>
    <mergeCell ref="H161:J161"/>
    <mergeCell ref="H162:J162"/>
    <mergeCell ref="H164:J164"/>
    <mergeCell ref="H165:J165"/>
    <mergeCell ref="H166:J166"/>
    <mergeCell ref="K130:M130"/>
    <mergeCell ref="K131:M131"/>
    <mergeCell ref="K132:M132"/>
    <mergeCell ref="K133:M133"/>
    <mergeCell ref="K134:M134"/>
    <mergeCell ref="K135:M135"/>
    <mergeCell ref="K136:M136"/>
    <mergeCell ref="K137:M137"/>
    <mergeCell ref="K138:M138"/>
    <mergeCell ref="K139:M139"/>
    <mergeCell ref="K140:M140"/>
    <mergeCell ref="K141:M141"/>
    <mergeCell ref="K142:M142"/>
    <mergeCell ref="K143:M143"/>
    <mergeCell ref="K144:M144"/>
    <mergeCell ref="K145:M145"/>
    <mergeCell ref="K146:M146"/>
    <mergeCell ref="K147:M147"/>
    <mergeCell ref="K148:M148"/>
    <mergeCell ref="K149:M149"/>
    <mergeCell ref="K150:M150"/>
    <mergeCell ref="K151:M151"/>
    <mergeCell ref="K153:M153"/>
    <mergeCell ref="K154:M154"/>
    <mergeCell ref="K155:M155"/>
    <mergeCell ref="K156:M156"/>
    <mergeCell ref="H142:J142"/>
    <mergeCell ref="H143:J143"/>
    <mergeCell ref="H144:J144"/>
    <mergeCell ref="H145:J145"/>
    <mergeCell ref="H146:J146"/>
    <mergeCell ref="H147:J147"/>
    <mergeCell ref="H148:J148"/>
    <mergeCell ref="H149:J149"/>
    <mergeCell ref="H150:J150"/>
    <mergeCell ref="H151:J151"/>
    <mergeCell ref="H153:J153"/>
    <mergeCell ref="H154:J154"/>
    <mergeCell ref="H155:J155"/>
    <mergeCell ref="H156:J156"/>
    <mergeCell ref="H157:J157"/>
    <mergeCell ref="H158:J158"/>
    <mergeCell ref="H159:J159"/>
    <mergeCell ref="D130:G130"/>
    <mergeCell ref="D131:G131"/>
    <mergeCell ref="D132:G132"/>
    <mergeCell ref="D133:G133"/>
    <mergeCell ref="D134:G134"/>
    <mergeCell ref="D135:G135"/>
    <mergeCell ref="D136:G136"/>
    <mergeCell ref="D137:G137"/>
    <mergeCell ref="D138:G138"/>
    <mergeCell ref="D139:G139"/>
    <mergeCell ref="D140:G140"/>
    <mergeCell ref="D141:G141"/>
    <mergeCell ref="D142:G142"/>
    <mergeCell ref="D143:G143"/>
    <mergeCell ref="D144:G144"/>
    <mergeCell ref="D145:G145"/>
    <mergeCell ref="D146:G146"/>
    <mergeCell ref="D128:G128"/>
    <mergeCell ref="H128:J128"/>
    <mergeCell ref="K128:M128"/>
    <mergeCell ref="N128:P128"/>
    <mergeCell ref="Q128:S128"/>
    <mergeCell ref="T128:V128"/>
    <mergeCell ref="D129:G129"/>
    <mergeCell ref="H129:J129"/>
    <mergeCell ref="K129:M129"/>
    <mergeCell ref="N129:P129"/>
    <mergeCell ref="Q129:S129"/>
    <mergeCell ref="T129:V129"/>
    <mergeCell ref="K119:M119"/>
    <mergeCell ref="N119:P119"/>
    <mergeCell ref="Q119:S119"/>
    <mergeCell ref="T119:V119"/>
    <mergeCell ref="D120:G120"/>
    <mergeCell ref="H120:J120"/>
    <mergeCell ref="K120:M120"/>
    <mergeCell ref="N120:P120"/>
    <mergeCell ref="Q120:S120"/>
    <mergeCell ref="T120:V120"/>
    <mergeCell ref="D121:G121"/>
    <mergeCell ref="H121:J121"/>
    <mergeCell ref="K123:M123"/>
    <mergeCell ref="N123:P123"/>
    <mergeCell ref="Q123:S123"/>
    <mergeCell ref="T123:V123"/>
    <mergeCell ref="D124:G124"/>
    <mergeCell ref="H124:J124"/>
    <mergeCell ref="K124:M124"/>
    <mergeCell ref="N124:P124"/>
    <mergeCell ref="H83:J83"/>
    <mergeCell ref="H84:J84"/>
    <mergeCell ref="H85:J85"/>
    <mergeCell ref="H86:J86"/>
    <mergeCell ref="K83:M83"/>
    <mergeCell ref="K84:M84"/>
    <mergeCell ref="K85:M85"/>
    <mergeCell ref="K86:M86"/>
    <mergeCell ref="B111:C111"/>
    <mergeCell ref="B116:C116"/>
    <mergeCell ref="D127:G127"/>
    <mergeCell ref="H127:J127"/>
    <mergeCell ref="K127:M127"/>
    <mergeCell ref="N127:P127"/>
    <mergeCell ref="Q127:S127"/>
    <mergeCell ref="T127:V127"/>
    <mergeCell ref="D119:G119"/>
    <mergeCell ref="H119:J119"/>
    <mergeCell ref="D117:G117"/>
    <mergeCell ref="H117:J117"/>
    <mergeCell ref="K117:M117"/>
    <mergeCell ref="N117:P117"/>
    <mergeCell ref="Q117:S117"/>
    <mergeCell ref="T117:V117"/>
    <mergeCell ref="K112:M112"/>
    <mergeCell ref="T83:V83"/>
    <mergeCell ref="T84:V84"/>
    <mergeCell ref="T85:V85"/>
    <mergeCell ref="T86:V86"/>
    <mergeCell ref="D123:G123"/>
    <mergeCell ref="H123:J123"/>
    <mergeCell ref="T124:V124"/>
    <mergeCell ref="H80:J80"/>
    <mergeCell ref="K80:M80"/>
    <mergeCell ref="N80:P80"/>
    <mergeCell ref="Q80:S80"/>
    <mergeCell ref="T80:V80"/>
    <mergeCell ref="D107:H107"/>
    <mergeCell ref="I107:K107"/>
    <mergeCell ref="L107:N107"/>
    <mergeCell ref="O107:Q107"/>
    <mergeCell ref="R107:T107"/>
    <mergeCell ref="U107:W107"/>
    <mergeCell ref="D108:H108"/>
    <mergeCell ref="I108:K108"/>
    <mergeCell ref="L108:N108"/>
    <mergeCell ref="O108:Q108"/>
    <mergeCell ref="R108:T108"/>
    <mergeCell ref="U108:W108"/>
    <mergeCell ref="D86:G86"/>
    <mergeCell ref="D104:G104"/>
    <mergeCell ref="H104:J104"/>
    <mergeCell ref="K104:M104"/>
    <mergeCell ref="N104:P104"/>
    <mergeCell ref="Q104:S104"/>
    <mergeCell ref="T104:V104"/>
    <mergeCell ref="D105:G105"/>
    <mergeCell ref="H105:J105"/>
    <mergeCell ref="K105:M105"/>
    <mergeCell ref="N105:P105"/>
    <mergeCell ref="Q105:S105"/>
    <mergeCell ref="T105:V105"/>
    <mergeCell ref="D101:G101"/>
    <mergeCell ref="D87:G87"/>
    <mergeCell ref="D125:G125"/>
    <mergeCell ref="H125:J125"/>
    <mergeCell ref="K125:M125"/>
    <mergeCell ref="N125:P125"/>
    <mergeCell ref="Q125:S125"/>
    <mergeCell ref="T125:V125"/>
    <mergeCell ref="D118:G118"/>
    <mergeCell ref="H118:J118"/>
    <mergeCell ref="Q118:S118"/>
    <mergeCell ref="T116:V116"/>
    <mergeCell ref="D114:G114"/>
    <mergeCell ref="H114:J114"/>
    <mergeCell ref="K114:M114"/>
    <mergeCell ref="N114:P114"/>
    <mergeCell ref="Q114:S114"/>
    <mergeCell ref="T114:V114"/>
    <mergeCell ref="D115:G115"/>
    <mergeCell ref="H115:J115"/>
    <mergeCell ref="K115:M115"/>
    <mergeCell ref="N115:P115"/>
    <mergeCell ref="Q115:S115"/>
    <mergeCell ref="T115:V115"/>
    <mergeCell ref="D116:G116"/>
    <mergeCell ref="H116:J116"/>
    <mergeCell ref="K116:M116"/>
    <mergeCell ref="N116:P116"/>
    <mergeCell ref="Q116:S116"/>
    <mergeCell ref="K118:M118"/>
    <mergeCell ref="N118:P118"/>
    <mergeCell ref="T118:V118"/>
    <mergeCell ref="D122:G122"/>
    <mergeCell ref="D102:G102"/>
    <mergeCell ref="H102:J102"/>
    <mergeCell ref="K102:M102"/>
    <mergeCell ref="N102:P102"/>
    <mergeCell ref="Q102:S102"/>
    <mergeCell ref="T102:V102"/>
    <mergeCell ref="D103:G103"/>
    <mergeCell ref="H103:J103"/>
    <mergeCell ref="K103:M103"/>
    <mergeCell ref="N103:P103"/>
    <mergeCell ref="Q103:S103"/>
    <mergeCell ref="T103:V103"/>
    <mergeCell ref="T112:V112"/>
    <mergeCell ref="D113:G113"/>
    <mergeCell ref="H113:J113"/>
    <mergeCell ref="K113:M113"/>
    <mergeCell ref="N113:P113"/>
    <mergeCell ref="Q113:S113"/>
    <mergeCell ref="T113:V113"/>
    <mergeCell ref="D112:G112"/>
    <mergeCell ref="H112:J112"/>
    <mergeCell ref="Q112:S112"/>
    <mergeCell ref="D111:G111"/>
    <mergeCell ref="H111:J111"/>
    <mergeCell ref="K111:M111"/>
    <mergeCell ref="N111:P111"/>
    <mergeCell ref="Q111:S111"/>
    <mergeCell ref="T111:V111"/>
    <mergeCell ref="D109:H109"/>
    <mergeCell ref="I109:K109"/>
    <mergeCell ref="L109:N109"/>
    <mergeCell ref="O109:Q109"/>
    <mergeCell ref="D97:G97"/>
    <mergeCell ref="H97:J97"/>
    <mergeCell ref="K97:M97"/>
    <mergeCell ref="N97:P97"/>
    <mergeCell ref="Q97:S97"/>
    <mergeCell ref="T97:V97"/>
    <mergeCell ref="D98:G98"/>
    <mergeCell ref="H98:J98"/>
    <mergeCell ref="K98:M98"/>
    <mergeCell ref="N98:P98"/>
    <mergeCell ref="Q98:S98"/>
    <mergeCell ref="T98:V98"/>
    <mergeCell ref="N99:P99"/>
    <mergeCell ref="Q99:S99"/>
    <mergeCell ref="T99:V99"/>
    <mergeCell ref="D100:G100"/>
    <mergeCell ref="H100:J100"/>
    <mergeCell ref="K100:M100"/>
    <mergeCell ref="N100:P100"/>
    <mergeCell ref="Q100:S100"/>
    <mergeCell ref="T100:V100"/>
    <mergeCell ref="D93:G93"/>
    <mergeCell ref="H93:J93"/>
    <mergeCell ref="K93:M93"/>
    <mergeCell ref="N93:P93"/>
    <mergeCell ref="Q93:S93"/>
    <mergeCell ref="T93:V93"/>
    <mergeCell ref="D94:G94"/>
    <mergeCell ref="H94:J94"/>
    <mergeCell ref="K94:M94"/>
    <mergeCell ref="N94:P94"/>
    <mergeCell ref="Q94:S94"/>
    <mergeCell ref="T94:V94"/>
    <mergeCell ref="N95:P95"/>
    <mergeCell ref="Q95:S95"/>
    <mergeCell ref="T95:V95"/>
    <mergeCell ref="D96:G96"/>
    <mergeCell ref="H96:J96"/>
    <mergeCell ref="K96:M96"/>
    <mergeCell ref="N96:P96"/>
    <mergeCell ref="Q96:S96"/>
    <mergeCell ref="T96:V96"/>
    <mergeCell ref="H89:J89"/>
    <mergeCell ref="K89:M89"/>
    <mergeCell ref="N89:P89"/>
    <mergeCell ref="Q89:S89"/>
    <mergeCell ref="T89:V89"/>
    <mergeCell ref="D90:G90"/>
    <mergeCell ref="H90:J90"/>
    <mergeCell ref="K90:M90"/>
    <mergeCell ref="N90:P90"/>
    <mergeCell ref="Q90:S90"/>
    <mergeCell ref="T90:V90"/>
    <mergeCell ref="N91:P91"/>
    <mergeCell ref="Q91:S91"/>
    <mergeCell ref="T91:V91"/>
    <mergeCell ref="D92:G92"/>
    <mergeCell ref="H92:J92"/>
    <mergeCell ref="K92:M92"/>
    <mergeCell ref="N92:P92"/>
    <mergeCell ref="Q92:S92"/>
    <mergeCell ref="T92:V92"/>
    <mergeCell ref="Q82:S82"/>
    <mergeCell ref="T82:V82"/>
    <mergeCell ref="N82:P82"/>
    <mergeCell ref="N73:P73"/>
    <mergeCell ref="Q73:S73"/>
    <mergeCell ref="T73:V73"/>
    <mergeCell ref="D74:G74"/>
    <mergeCell ref="H74:J74"/>
    <mergeCell ref="K74:M74"/>
    <mergeCell ref="N74:P74"/>
    <mergeCell ref="Q74:S74"/>
    <mergeCell ref="T74:V74"/>
    <mergeCell ref="B78:C78"/>
    <mergeCell ref="T78:V78"/>
    <mergeCell ref="K79:M79"/>
    <mergeCell ref="T79:V79"/>
    <mergeCell ref="K81:M81"/>
    <mergeCell ref="Q81:S81"/>
    <mergeCell ref="T81:V81"/>
    <mergeCell ref="H75:J75"/>
    <mergeCell ref="K75:M75"/>
    <mergeCell ref="N75:P75"/>
    <mergeCell ref="Q75:S75"/>
    <mergeCell ref="T75:V75"/>
    <mergeCell ref="D76:G76"/>
    <mergeCell ref="H76:J76"/>
    <mergeCell ref="K76:M76"/>
    <mergeCell ref="N76:P76"/>
    <mergeCell ref="Q76:S76"/>
    <mergeCell ref="T76:V76"/>
    <mergeCell ref="Q79:S79"/>
    <mergeCell ref="D80:G80"/>
    <mergeCell ref="B70:C70"/>
    <mergeCell ref="D70:G70"/>
    <mergeCell ref="H70:J70"/>
    <mergeCell ref="K70:M70"/>
    <mergeCell ref="N70:P70"/>
    <mergeCell ref="Q70:S70"/>
    <mergeCell ref="T70:V70"/>
    <mergeCell ref="D71:G71"/>
    <mergeCell ref="H71:J71"/>
    <mergeCell ref="K71:M71"/>
    <mergeCell ref="N71:P71"/>
    <mergeCell ref="Q71:S71"/>
    <mergeCell ref="T71:V71"/>
    <mergeCell ref="H72:J72"/>
    <mergeCell ref="K72:M72"/>
    <mergeCell ref="N72:P72"/>
    <mergeCell ref="Q72:S72"/>
    <mergeCell ref="T72:V72"/>
    <mergeCell ref="R3:T3"/>
    <mergeCell ref="U3:W3"/>
    <mergeCell ref="D3:H3"/>
    <mergeCell ref="I3:K3"/>
    <mergeCell ref="L3:N3"/>
    <mergeCell ref="O3:Q3"/>
    <mergeCell ref="D34:G34"/>
    <mergeCell ref="H34:J34"/>
    <mergeCell ref="K34:M34"/>
    <mergeCell ref="N34:P34"/>
    <mergeCell ref="Q34:S34"/>
    <mergeCell ref="T34:V34"/>
    <mergeCell ref="L5:N5"/>
    <mergeCell ref="O5:Q5"/>
    <mergeCell ref="R5:T5"/>
    <mergeCell ref="L6:N6"/>
    <mergeCell ref="L7:N7"/>
    <mergeCell ref="L8:N8"/>
    <mergeCell ref="L15:N15"/>
    <mergeCell ref="L16:N16"/>
    <mergeCell ref="L17:N17"/>
    <mergeCell ref="L18:N18"/>
    <mergeCell ref="I17:K17"/>
    <mergeCell ref="R16:T16"/>
    <mergeCell ref="R17:T17"/>
    <mergeCell ref="R18:T18"/>
    <mergeCell ref="O10:Q10"/>
    <mergeCell ref="O11:Q11"/>
    <mergeCell ref="O12:Q12"/>
    <mergeCell ref="D4:H4"/>
    <mergeCell ref="I4:K4"/>
    <mergeCell ref="L4:N4"/>
    <mergeCell ref="O4:Q4"/>
    <mergeCell ref="U4:W4"/>
    <mergeCell ref="R4:T4"/>
    <mergeCell ref="I18:K18"/>
    <mergeCell ref="I15:K15"/>
    <mergeCell ref="I16:K16"/>
    <mergeCell ref="K35:M35"/>
    <mergeCell ref="N35:P35"/>
    <mergeCell ref="K36:M36"/>
    <mergeCell ref="N36:P36"/>
    <mergeCell ref="Q22:S22"/>
    <mergeCell ref="Q24:S24"/>
    <mergeCell ref="R13:T13"/>
    <mergeCell ref="R14:T14"/>
    <mergeCell ref="R15:T15"/>
    <mergeCell ref="B31:C31"/>
    <mergeCell ref="D32:G32"/>
    <mergeCell ref="D17:H17"/>
    <mergeCell ref="D18:H18"/>
    <mergeCell ref="D11:H11"/>
    <mergeCell ref="D12:H12"/>
    <mergeCell ref="D13:H13"/>
    <mergeCell ref="D14:H14"/>
    <mergeCell ref="D15:H15"/>
    <mergeCell ref="D16:H16"/>
    <mergeCell ref="D5:H5"/>
    <mergeCell ref="D6:H6"/>
    <mergeCell ref="D7:H7"/>
    <mergeCell ref="D8:H8"/>
    <mergeCell ref="D9:H9"/>
    <mergeCell ref="D10:H10"/>
    <mergeCell ref="H32:J32"/>
    <mergeCell ref="I5:K5"/>
    <mergeCell ref="I6:K6"/>
    <mergeCell ref="I7:K7"/>
    <mergeCell ref="I8:K8"/>
    <mergeCell ref="I9:K9"/>
    <mergeCell ref="I10:K10"/>
    <mergeCell ref="H122:J122"/>
    <mergeCell ref="D126:G126"/>
    <mergeCell ref="H126:J126"/>
    <mergeCell ref="D39:G39"/>
    <mergeCell ref="D40:G40"/>
    <mergeCell ref="I68:K68"/>
    <mergeCell ref="D73:G73"/>
    <mergeCell ref="H73:J73"/>
    <mergeCell ref="K82:M82"/>
    <mergeCell ref="H87:J87"/>
    <mergeCell ref="K87:M87"/>
    <mergeCell ref="D91:G91"/>
    <mergeCell ref="H91:J91"/>
    <mergeCell ref="K91:M91"/>
    <mergeCell ref="D95:G95"/>
    <mergeCell ref="H95:J95"/>
    <mergeCell ref="K95:M95"/>
    <mergeCell ref="D99:G99"/>
    <mergeCell ref="H99:J99"/>
    <mergeCell ref="K99:M99"/>
    <mergeCell ref="L68:N68"/>
    <mergeCell ref="K73:M73"/>
    <mergeCell ref="D33:G33"/>
    <mergeCell ref="D41:G41"/>
    <mergeCell ref="D81:G81"/>
    <mergeCell ref="D89:G89"/>
    <mergeCell ref="D237:H237"/>
    <mergeCell ref="D238:H238"/>
    <mergeCell ref="D239:H239"/>
    <mergeCell ref="D240:H240"/>
    <mergeCell ref="D241:H241"/>
    <mergeCell ref="I237:K237"/>
    <mergeCell ref="I238:K238"/>
    <mergeCell ref="I239:K239"/>
    <mergeCell ref="D168:G168"/>
    <mergeCell ref="D169:G169"/>
    <mergeCell ref="D170:G170"/>
    <mergeCell ref="D171:G171"/>
    <mergeCell ref="D172:G172"/>
    <mergeCell ref="D173:G173"/>
    <mergeCell ref="D174:G174"/>
    <mergeCell ref="D175:G175"/>
    <mergeCell ref="D176:G176"/>
    <mergeCell ref="I240:K240"/>
    <mergeCell ref="I241:K241"/>
    <mergeCell ref="K176:M176"/>
    <mergeCell ref="L241:N241"/>
    <mergeCell ref="H168:J168"/>
    <mergeCell ref="H169:J169"/>
    <mergeCell ref="H170:J170"/>
    <mergeCell ref="H171:J171"/>
    <mergeCell ref="H172:J172"/>
    <mergeCell ref="H173:J173"/>
    <mergeCell ref="H174:J174"/>
    <mergeCell ref="H175:J175"/>
    <mergeCell ref="H176:J176"/>
    <mergeCell ref="K175:M175"/>
    <mergeCell ref="N169:P169"/>
    <mergeCell ref="D242:H242"/>
    <mergeCell ref="D231:H231"/>
    <mergeCell ref="D232:H232"/>
    <mergeCell ref="D233:H233"/>
    <mergeCell ref="D234:H234"/>
    <mergeCell ref="D235:H235"/>
    <mergeCell ref="D236:H236"/>
    <mergeCell ref="D230:H230"/>
    <mergeCell ref="H53:J53"/>
    <mergeCell ref="H54:J54"/>
    <mergeCell ref="H55:J55"/>
    <mergeCell ref="H56:J56"/>
    <mergeCell ref="H47:J47"/>
    <mergeCell ref="H48:J48"/>
    <mergeCell ref="H49:J49"/>
    <mergeCell ref="H50:J50"/>
    <mergeCell ref="H46:J46"/>
    <mergeCell ref="H88:J88"/>
    <mergeCell ref="H78:J78"/>
    <mergeCell ref="H79:J79"/>
    <mergeCell ref="H81:J81"/>
    <mergeCell ref="D53:G53"/>
    <mergeCell ref="D54:G54"/>
    <mergeCell ref="D55:G55"/>
    <mergeCell ref="D56:G56"/>
    <mergeCell ref="D51:G51"/>
    <mergeCell ref="D52:G52"/>
    <mergeCell ref="H51:J51"/>
    <mergeCell ref="H52:J52"/>
    <mergeCell ref="D88:G88"/>
    <mergeCell ref="D78:G78"/>
    <mergeCell ref="D79:G79"/>
    <mergeCell ref="D37:G37"/>
    <mergeCell ref="D38:G38"/>
    <mergeCell ref="D21:G21"/>
    <mergeCell ref="D45:G45"/>
    <mergeCell ref="D46:G46"/>
    <mergeCell ref="D47:G47"/>
    <mergeCell ref="D48:G48"/>
    <mergeCell ref="D49:G49"/>
    <mergeCell ref="D50:G50"/>
    <mergeCell ref="D26:G26"/>
    <mergeCell ref="D27:G27"/>
    <mergeCell ref="D28:G28"/>
    <mergeCell ref="D35:G35"/>
    <mergeCell ref="H35:J35"/>
    <mergeCell ref="D36:G36"/>
    <mergeCell ref="H36:J36"/>
    <mergeCell ref="H33:J33"/>
    <mergeCell ref="D23:G23"/>
    <mergeCell ref="D24:G24"/>
    <mergeCell ref="D31:G31"/>
    <mergeCell ref="D42:G42"/>
    <mergeCell ref="D43:G43"/>
    <mergeCell ref="D25:G25"/>
    <mergeCell ref="K157:M157"/>
    <mergeCell ref="K158:M158"/>
    <mergeCell ref="K159:M159"/>
    <mergeCell ref="K161:M161"/>
    <mergeCell ref="K162:M162"/>
    <mergeCell ref="K174:M174"/>
    <mergeCell ref="D44:G44"/>
    <mergeCell ref="D147:G147"/>
    <mergeCell ref="D148:G148"/>
    <mergeCell ref="D149:G149"/>
    <mergeCell ref="D150:G150"/>
    <mergeCell ref="D151:G151"/>
    <mergeCell ref="D153:G153"/>
    <mergeCell ref="D154:G154"/>
    <mergeCell ref="D155:G155"/>
    <mergeCell ref="D156:G156"/>
    <mergeCell ref="D157:G157"/>
    <mergeCell ref="D158:G158"/>
    <mergeCell ref="D159:G159"/>
    <mergeCell ref="D161:G161"/>
    <mergeCell ref="D162:G162"/>
    <mergeCell ref="D164:G164"/>
    <mergeCell ref="K59:M59"/>
    <mergeCell ref="K60:M60"/>
    <mergeCell ref="K55:M55"/>
    <mergeCell ref="K56:M56"/>
    <mergeCell ref="K48:M48"/>
    <mergeCell ref="I64:K64"/>
    <mergeCell ref="L64:N64"/>
    <mergeCell ref="K122:M122"/>
    <mergeCell ref="D165:G165"/>
    <mergeCell ref="D166:G166"/>
    <mergeCell ref="I242:K242"/>
    <mergeCell ref="I231:K231"/>
    <mergeCell ref="I232:K232"/>
    <mergeCell ref="I233:K233"/>
    <mergeCell ref="I234:K234"/>
    <mergeCell ref="I235:K235"/>
    <mergeCell ref="I236:K236"/>
    <mergeCell ref="I230:K230"/>
    <mergeCell ref="K42:M42"/>
    <mergeCell ref="K43:M43"/>
    <mergeCell ref="K44:M44"/>
    <mergeCell ref="H28:J28"/>
    <mergeCell ref="H29:J29"/>
    <mergeCell ref="H31:J31"/>
    <mergeCell ref="H24:J24"/>
    <mergeCell ref="H26:J26"/>
    <mergeCell ref="H27:J27"/>
    <mergeCell ref="K26:M26"/>
    <mergeCell ref="K45:M45"/>
    <mergeCell ref="K46:M46"/>
    <mergeCell ref="K47:M47"/>
    <mergeCell ref="K164:M164"/>
    <mergeCell ref="K165:M165"/>
    <mergeCell ref="K166:M166"/>
    <mergeCell ref="K168:M168"/>
    <mergeCell ref="K169:M169"/>
    <mergeCell ref="K170:M170"/>
    <mergeCell ref="K171:M171"/>
    <mergeCell ref="K172:M172"/>
    <mergeCell ref="K173:M173"/>
    <mergeCell ref="K57:M57"/>
    <mergeCell ref="K58:M58"/>
    <mergeCell ref="N170:P170"/>
    <mergeCell ref="N171:P171"/>
    <mergeCell ref="N172:P172"/>
    <mergeCell ref="N173:P173"/>
    <mergeCell ref="N174:P174"/>
    <mergeCell ref="N175:P175"/>
    <mergeCell ref="N112:P112"/>
    <mergeCell ref="K121:M121"/>
    <mergeCell ref="N121:P121"/>
    <mergeCell ref="Q121:S121"/>
    <mergeCell ref="Q86:S86"/>
    <mergeCell ref="N126:P126"/>
    <mergeCell ref="H130:J130"/>
    <mergeCell ref="H131:J131"/>
    <mergeCell ref="I67:K67"/>
    <mergeCell ref="L67:N67"/>
    <mergeCell ref="O67:Q67"/>
    <mergeCell ref="Q78:S78"/>
    <mergeCell ref="K126:M126"/>
    <mergeCell ref="N79:P79"/>
    <mergeCell ref="H132:J132"/>
    <mergeCell ref="H133:J133"/>
    <mergeCell ref="H134:J134"/>
    <mergeCell ref="H135:J135"/>
    <mergeCell ref="H136:J136"/>
    <mergeCell ref="H137:J137"/>
    <mergeCell ref="H138:J138"/>
    <mergeCell ref="H139:J139"/>
    <mergeCell ref="H140:J140"/>
    <mergeCell ref="H141:J141"/>
    <mergeCell ref="N81:P81"/>
    <mergeCell ref="O68:Q68"/>
    <mergeCell ref="R68:T68"/>
    <mergeCell ref="N78:P78"/>
    <mergeCell ref="N87:P87"/>
    <mergeCell ref="Q87:S87"/>
    <mergeCell ref="T87:V87"/>
    <mergeCell ref="K88:M88"/>
    <mergeCell ref="N88:P88"/>
    <mergeCell ref="Q88:S88"/>
    <mergeCell ref="T88:V88"/>
    <mergeCell ref="T61:V61"/>
    <mergeCell ref="T62:V62"/>
    <mergeCell ref="T121:V121"/>
    <mergeCell ref="T126:V126"/>
    <mergeCell ref="T122:V122"/>
    <mergeCell ref="H101:J101"/>
    <mergeCell ref="K101:M101"/>
    <mergeCell ref="N101:P101"/>
    <mergeCell ref="Q101:S101"/>
    <mergeCell ref="T101:V101"/>
    <mergeCell ref="Q124:S124"/>
    <mergeCell ref="O64:Q64"/>
    <mergeCell ref="I65:K65"/>
    <mergeCell ref="L65:N65"/>
    <mergeCell ref="O65:Q65"/>
    <mergeCell ref="I66:K66"/>
    <mergeCell ref="L66:N66"/>
    <mergeCell ref="O66:Q66"/>
    <mergeCell ref="K61:M61"/>
    <mergeCell ref="K62:M62"/>
    <mergeCell ref="Q61:S61"/>
    <mergeCell ref="Q62:S62"/>
    <mergeCell ref="Q122:S122"/>
    <mergeCell ref="O6:Q6"/>
    <mergeCell ref="R6:T6"/>
    <mergeCell ref="R7:T7"/>
    <mergeCell ref="R8:T8"/>
    <mergeCell ref="R9:T9"/>
    <mergeCell ref="R10:T10"/>
    <mergeCell ref="R11:T11"/>
    <mergeCell ref="R12:T12"/>
    <mergeCell ref="L235:N235"/>
    <mergeCell ref="L236:N236"/>
    <mergeCell ref="L237:N237"/>
    <mergeCell ref="L238:N238"/>
    <mergeCell ref="L239:N239"/>
    <mergeCell ref="L240:N240"/>
    <mergeCell ref="L230:N230"/>
    <mergeCell ref="L231:N231"/>
    <mergeCell ref="L232:N232"/>
    <mergeCell ref="L233:N233"/>
    <mergeCell ref="L234:N234"/>
    <mergeCell ref="R64:T64"/>
    <mergeCell ref="O14:Q14"/>
    <mergeCell ref="O15:Q15"/>
    <mergeCell ref="O16:Q16"/>
    <mergeCell ref="O17:Q17"/>
    <mergeCell ref="O18:Q18"/>
    <mergeCell ref="O7:Q7"/>
    <mergeCell ref="O8:Q8"/>
    <mergeCell ref="N156:P156"/>
    <mergeCell ref="N157:P157"/>
    <mergeCell ref="N158:P158"/>
    <mergeCell ref="T24:V24"/>
    <mergeCell ref="N176:P176"/>
    <mergeCell ref="T25:V25"/>
    <mergeCell ref="T22:V22"/>
    <mergeCell ref="T23:V23"/>
    <mergeCell ref="T20:V20"/>
    <mergeCell ref="T21:V21"/>
    <mergeCell ref="T26:V26"/>
    <mergeCell ref="T27:V27"/>
    <mergeCell ref="T28:V28"/>
    <mergeCell ref="T29:V29"/>
    <mergeCell ref="N26:P26"/>
    <mergeCell ref="N27:P27"/>
    <mergeCell ref="N28:P28"/>
    <mergeCell ref="N29:P29"/>
    <mergeCell ref="T31:V31"/>
    <mergeCell ref="N33:P33"/>
    <mergeCell ref="Q20:S20"/>
    <mergeCell ref="Q31:S31"/>
    <mergeCell ref="L9:N9"/>
    <mergeCell ref="L10:N10"/>
    <mergeCell ref="L11:N11"/>
    <mergeCell ref="L12:N12"/>
    <mergeCell ref="L13:N13"/>
    <mergeCell ref="L14:N14"/>
    <mergeCell ref="Q23:S23"/>
    <mergeCell ref="H21:J21"/>
    <mergeCell ref="K21:M21"/>
    <mergeCell ref="N21:P21"/>
    <mergeCell ref="Q21:S21"/>
    <mergeCell ref="Q26:S26"/>
    <mergeCell ref="Q27:S27"/>
    <mergeCell ref="Q28:S28"/>
    <mergeCell ref="Q29:S29"/>
    <mergeCell ref="K27:M27"/>
    <mergeCell ref="K28:M28"/>
    <mergeCell ref="K29:M29"/>
    <mergeCell ref="I11:K11"/>
    <mergeCell ref="I12:K12"/>
    <mergeCell ref="I13:K13"/>
    <mergeCell ref="I14:K14"/>
    <mergeCell ref="H23:J23"/>
    <mergeCell ref="K23:M23"/>
    <mergeCell ref="N23:P23"/>
    <mergeCell ref="O9:Q9"/>
    <mergeCell ref="K22:M22"/>
    <mergeCell ref="N22:P22"/>
    <mergeCell ref="K24:M24"/>
    <mergeCell ref="N24:P24"/>
    <mergeCell ref="O13:Q13"/>
    <mergeCell ref="H25:J25"/>
    <mergeCell ref="K25:M25"/>
    <mergeCell ref="N25:P25"/>
    <mergeCell ref="Q25:S25"/>
    <mergeCell ref="D29:G29"/>
    <mergeCell ref="N44:P44"/>
    <mergeCell ref="N45:P45"/>
    <mergeCell ref="N46:P46"/>
    <mergeCell ref="N47:P47"/>
    <mergeCell ref="N43:P43"/>
    <mergeCell ref="Q42:S42"/>
    <mergeCell ref="D82:G82"/>
    <mergeCell ref="D83:G83"/>
    <mergeCell ref="D84:G84"/>
    <mergeCell ref="D85:G85"/>
    <mergeCell ref="H41:J41"/>
    <mergeCell ref="H42:J42"/>
    <mergeCell ref="H43:J43"/>
    <mergeCell ref="Q36:S36"/>
    <mergeCell ref="R65:T65"/>
    <mergeCell ref="R66:T66"/>
    <mergeCell ref="R67:T67"/>
    <mergeCell ref="K31:M31"/>
    <mergeCell ref="N31:P31"/>
    <mergeCell ref="Q60:S60"/>
    <mergeCell ref="Q48:S48"/>
    <mergeCell ref="Q49:S49"/>
    <mergeCell ref="Q50:S50"/>
    <mergeCell ref="Q51:S51"/>
    <mergeCell ref="Q52:S52"/>
    <mergeCell ref="Q53:S53"/>
    <mergeCell ref="D57:G57"/>
    <mergeCell ref="D58:G58"/>
    <mergeCell ref="B20:C20"/>
    <mergeCell ref="D20:G20"/>
    <mergeCell ref="H20:J20"/>
    <mergeCell ref="K20:M20"/>
    <mergeCell ref="N20:P20"/>
    <mergeCell ref="D22:G22"/>
    <mergeCell ref="H22:J22"/>
    <mergeCell ref="O234:Q234"/>
    <mergeCell ref="O235:Q235"/>
    <mergeCell ref="O236:Q236"/>
    <mergeCell ref="O237:Q237"/>
    <mergeCell ref="O238:Q238"/>
    <mergeCell ref="O239:Q239"/>
    <mergeCell ref="O230:Q230"/>
    <mergeCell ref="O231:Q231"/>
    <mergeCell ref="O232:Q232"/>
    <mergeCell ref="O233:Q233"/>
    <mergeCell ref="K33:M33"/>
    <mergeCell ref="K37:M37"/>
    <mergeCell ref="K38:M38"/>
    <mergeCell ref="K39:M39"/>
    <mergeCell ref="K40:M40"/>
    <mergeCell ref="K41:M41"/>
    <mergeCell ref="H57:J57"/>
    <mergeCell ref="H58:J58"/>
    <mergeCell ref="H59:J59"/>
    <mergeCell ref="H60:J60"/>
    <mergeCell ref="H61:J61"/>
    <mergeCell ref="H62:J62"/>
    <mergeCell ref="H40:J40"/>
    <mergeCell ref="Q147:S147"/>
    <mergeCell ref="Q148:S148"/>
    <mergeCell ref="D59:G59"/>
    <mergeCell ref="D60:G60"/>
    <mergeCell ref="D61:G61"/>
    <mergeCell ref="D62:G62"/>
    <mergeCell ref="D64:H64"/>
    <mergeCell ref="D65:H65"/>
    <mergeCell ref="D66:H66"/>
    <mergeCell ref="D67:H67"/>
    <mergeCell ref="D68:H68"/>
    <mergeCell ref="D72:G72"/>
    <mergeCell ref="D75:G75"/>
    <mergeCell ref="H82:J82"/>
    <mergeCell ref="K78:M78"/>
    <mergeCell ref="O241:Q241"/>
    <mergeCell ref="O242:Q242"/>
    <mergeCell ref="Q149:S149"/>
    <mergeCell ref="Q150:S150"/>
    <mergeCell ref="Q151:S151"/>
    <mergeCell ref="Q153:S153"/>
    <mergeCell ref="Q154:S154"/>
    <mergeCell ref="Q155:S155"/>
    <mergeCell ref="Q156:S156"/>
    <mergeCell ref="Q157:S157"/>
    <mergeCell ref="Q158:S158"/>
    <mergeCell ref="N161:P161"/>
    <mergeCell ref="N162:P162"/>
    <mergeCell ref="N164:P164"/>
    <mergeCell ref="N165:P165"/>
    <mergeCell ref="N166:P166"/>
    <mergeCell ref="N168:P168"/>
    <mergeCell ref="L242:N242"/>
    <mergeCell ref="N122:P122"/>
    <mergeCell ref="T47:V47"/>
    <mergeCell ref="T48:V48"/>
    <mergeCell ref="O240:Q240"/>
    <mergeCell ref="N60:P60"/>
    <mergeCell ref="N61:P61"/>
    <mergeCell ref="N62:P62"/>
    <mergeCell ref="N48:P48"/>
    <mergeCell ref="N49:P49"/>
    <mergeCell ref="N50:P50"/>
    <mergeCell ref="N51:P51"/>
    <mergeCell ref="N52:P52"/>
    <mergeCell ref="N53:P53"/>
    <mergeCell ref="N56:P56"/>
    <mergeCell ref="N57:P57"/>
    <mergeCell ref="N58:P58"/>
    <mergeCell ref="N59:P59"/>
    <mergeCell ref="N54:P54"/>
    <mergeCell ref="N55:P55"/>
    <mergeCell ref="Q126:S126"/>
    <mergeCell ref="U64:W64"/>
    <mergeCell ref="U65:W65"/>
    <mergeCell ref="N159:P159"/>
    <mergeCell ref="R109:T109"/>
    <mergeCell ref="N83:P83"/>
    <mergeCell ref="N84:P84"/>
    <mergeCell ref="N85:P85"/>
    <mergeCell ref="N86:P86"/>
    <mergeCell ref="Q83:S83"/>
    <mergeCell ref="Q84:S84"/>
    <mergeCell ref="Q85:S85"/>
    <mergeCell ref="N154:P154"/>
    <mergeCell ref="N155:P155"/>
    <mergeCell ref="T51:V51"/>
    <mergeCell ref="T52:V52"/>
    <mergeCell ref="T42:V42"/>
    <mergeCell ref="K32:M32"/>
    <mergeCell ref="N32:P32"/>
    <mergeCell ref="Q32:S32"/>
    <mergeCell ref="T32:V32"/>
    <mergeCell ref="T59:V59"/>
    <mergeCell ref="T60:V60"/>
    <mergeCell ref="T35:V35"/>
    <mergeCell ref="T36:V36"/>
    <mergeCell ref="H44:J44"/>
    <mergeCell ref="H45:J45"/>
    <mergeCell ref="N37:P37"/>
    <mergeCell ref="N38:P38"/>
    <mergeCell ref="N39:P39"/>
    <mergeCell ref="N40:P40"/>
    <mergeCell ref="N41:P41"/>
    <mergeCell ref="N42:P42"/>
    <mergeCell ref="K49:M49"/>
    <mergeCell ref="K50:M50"/>
    <mergeCell ref="K51:M51"/>
    <mergeCell ref="K52:M52"/>
    <mergeCell ref="K53:M53"/>
    <mergeCell ref="K54:M54"/>
    <mergeCell ref="H37:J37"/>
    <mergeCell ref="H38:J38"/>
    <mergeCell ref="H39:J39"/>
    <mergeCell ref="T43:V43"/>
    <mergeCell ref="T44:V44"/>
    <mergeCell ref="T45:V45"/>
    <mergeCell ref="T46:V46"/>
    <mergeCell ref="T56:V56"/>
    <mergeCell ref="Q56:S56"/>
    <mergeCell ref="Q57:S57"/>
    <mergeCell ref="Q58:S58"/>
    <mergeCell ref="Q59:S59"/>
    <mergeCell ref="T57:V57"/>
    <mergeCell ref="T58:V58"/>
    <mergeCell ref="T33:V33"/>
    <mergeCell ref="T37:V37"/>
    <mergeCell ref="T38:V38"/>
    <mergeCell ref="T39:V39"/>
    <mergeCell ref="T40:V40"/>
    <mergeCell ref="T41:V41"/>
    <mergeCell ref="T53:V53"/>
    <mergeCell ref="T54:V54"/>
    <mergeCell ref="T55:V55"/>
    <mergeCell ref="Q33:S33"/>
    <mergeCell ref="Q37:S37"/>
    <mergeCell ref="Q38:S38"/>
    <mergeCell ref="Q39:S39"/>
    <mergeCell ref="Q40:S40"/>
    <mergeCell ref="Q41:S41"/>
    <mergeCell ref="Q54:S54"/>
    <mergeCell ref="Q55:S55"/>
    <mergeCell ref="Q43:S43"/>
    <mergeCell ref="Q44:S44"/>
    <mergeCell ref="Q45:S45"/>
    <mergeCell ref="Q46:S46"/>
    <mergeCell ref="Q47:S47"/>
    <mergeCell ref="Q35:S35"/>
    <mergeCell ref="T49:V49"/>
    <mergeCell ref="T50:V50"/>
  </mergeCells>
  <phoneticPr fontId="13"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D7F4E-2606-416E-AEB1-988C785B75EB}">
  <dimension ref="B4:P43"/>
  <sheetViews>
    <sheetView topLeftCell="H1" zoomScale="102" zoomScaleNormal="102" workbookViewId="0">
      <selection activeCell="J12" sqref="J12"/>
    </sheetView>
  </sheetViews>
  <sheetFormatPr defaultRowHeight="14.4" x14ac:dyDescent="0.3"/>
  <cols>
    <col min="3" max="3" width="17.88671875" customWidth="1"/>
    <col min="4" max="4" width="15.88671875" customWidth="1"/>
    <col min="5" max="5" width="15.109375" customWidth="1"/>
    <col min="6" max="6" width="19.109375" customWidth="1"/>
    <col min="7" max="7" width="15.21875" customWidth="1"/>
    <col min="8" max="8" width="19.88671875" customWidth="1"/>
    <col min="9" max="9" width="15.33203125" customWidth="1"/>
    <col min="10" max="10" width="11.33203125" customWidth="1"/>
    <col min="11" max="11" width="15.88671875" customWidth="1"/>
    <col min="12" max="12" width="19.5546875" customWidth="1"/>
    <col min="13" max="13" width="16.33203125" customWidth="1"/>
    <col min="14" max="14" width="20.88671875" customWidth="1"/>
    <col min="15" max="15" width="14.88671875" customWidth="1"/>
    <col min="16" max="16" width="20.88671875" customWidth="1"/>
  </cols>
  <sheetData>
    <row r="4" spans="2:16" x14ac:dyDescent="0.3">
      <c r="B4" s="162" t="s">
        <v>0</v>
      </c>
      <c r="C4" s="162"/>
      <c r="D4" s="162"/>
      <c r="E4" s="162"/>
      <c r="F4" s="162"/>
      <c r="G4" s="162"/>
      <c r="H4" s="162"/>
      <c r="J4" s="162" t="s">
        <v>1</v>
      </c>
      <c r="K4" s="162"/>
      <c r="L4" s="162"/>
      <c r="M4" s="162"/>
      <c r="N4" s="162"/>
      <c r="O4" s="162"/>
      <c r="P4" s="162"/>
    </row>
    <row r="5" spans="2:16" ht="14.4" customHeight="1" x14ac:dyDescent="0.3">
      <c r="B5" s="163" t="s">
        <v>2</v>
      </c>
      <c r="C5" s="163" t="s">
        <v>3</v>
      </c>
      <c r="D5" s="163" t="s">
        <v>4</v>
      </c>
      <c r="E5" s="163" t="s">
        <v>5</v>
      </c>
      <c r="F5" s="163" t="s">
        <v>6</v>
      </c>
      <c r="G5" s="163" t="s">
        <v>5</v>
      </c>
      <c r="H5" s="163" t="s">
        <v>7</v>
      </c>
      <c r="J5" s="163" t="s">
        <v>2</v>
      </c>
      <c r="K5" s="163" t="s">
        <v>3</v>
      </c>
      <c r="L5" s="163" t="s">
        <v>4</v>
      </c>
      <c r="M5" s="163" t="s">
        <v>5</v>
      </c>
      <c r="N5" s="163" t="s">
        <v>6</v>
      </c>
      <c r="O5" s="163" t="s">
        <v>5</v>
      </c>
      <c r="P5" s="163" t="s">
        <v>7</v>
      </c>
    </row>
    <row r="6" spans="2:16" ht="19.2" customHeight="1" x14ac:dyDescent="0.3">
      <c r="B6" s="163"/>
      <c r="C6" s="163"/>
      <c r="D6" s="163"/>
      <c r="E6" s="163"/>
      <c r="F6" s="163"/>
      <c r="G6" s="163"/>
      <c r="H6" s="163"/>
      <c r="J6" s="163"/>
      <c r="K6" s="163"/>
      <c r="L6" s="163"/>
      <c r="M6" s="163"/>
      <c r="N6" s="163"/>
      <c r="O6" s="163"/>
      <c r="P6" s="163"/>
    </row>
    <row r="7" spans="2:16" x14ac:dyDescent="0.3">
      <c r="B7" s="1">
        <v>1</v>
      </c>
      <c r="C7" s="2" t="s">
        <v>8</v>
      </c>
      <c r="D7" s="1">
        <v>192.65</v>
      </c>
      <c r="E7" s="3">
        <v>40879</v>
      </c>
      <c r="F7" s="1">
        <v>212.19</v>
      </c>
      <c r="G7" s="3">
        <v>41323</v>
      </c>
      <c r="H7" s="1">
        <v>214.5</v>
      </c>
      <c r="J7" s="4">
        <v>1</v>
      </c>
      <c r="K7" s="5" t="s">
        <v>9</v>
      </c>
      <c r="L7" s="4">
        <v>26.15</v>
      </c>
      <c r="M7" s="6">
        <v>174587</v>
      </c>
      <c r="N7" s="4">
        <v>6676.37</v>
      </c>
      <c r="O7" s="6">
        <v>176368</v>
      </c>
      <c r="P7" s="4">
        <v>6744.47</v>
      </c>
    </row>
    <row r="8" spans="2:16" x14ac:dyDescent="0.3">
      <c r="B8" s="1">
        <v>2</v>
      </c>
      <c r="C8" s="2" t="s">
        <v>10</v>
      </c>
      <c r="D8" s="1">
        <v>114.32</v>
      </c>
      <c r="E8" s="3">
        <v>31621</v>
      </c>
      <c r="F8" s="1">
        <v>276.60000000000002</v>
      </c>
      <c r="G8" s="3">
        <v>31730</v>
      </c>
      <c r="H8" s="1">
        <v>277.55</v>
      </c>
      <c r="J8" s="4">
        <v>2</v>
      </c>
      <c r="K8" s="5" t="s">
        <v>11</v>
      </c>
      <c r="L8" s="4">
        <v>48.53</v>
      </c>
      <c r="M8" s="6">
        <v>167398</v>
      </c>
      <c r="N8" s="4">
        <v>3449.37</v>
      </c>
      <c r="O8" s="6">
        <v>170927</v>
      </c>
      <c r="P8" s="4">
        <v>3522.09</v>
      </c>
    </row>
    <row r="9" spans="2:16" x14ac:dyDescent="0.3">
      <c r="B9" s="1">
        <v>3</v>
      </c>
      <c r="C9" s="2" t="s">
        <v>12</v>
      </c>
      <c r="D9" s="1">
        <v>159.08000000000001</v>
      </c>
      <c r="E9" s="3">
        <v>59129</v>
      </c>
      <c r="F9" s="1">
        <v>371.69</v>
      </c>
      <c r="G9" s="3">
        <v>59912</v>
      </c>
      <c r="H9" s="1">
        <v>376.62</v>
      </c>
      <c r="J9" s="4">
        <v>3</v>
      </c>
      <c r="K9" s="5" t="s">
        <v>13</v>
      </c>
      <c r="L9" s="4">
        <v>41.66</v>
      </c>
      <c r="M9" s="6">
        <v>112320</v>
      </c>
      <c r="N9" s="4">
        <v>2696.11</v>
      </c>
      <c r="O9" s="6">
        <v>113981</v>
      </c>
      <c r="P9" s="4">
        <v>2735.98</v>
      </c>
    </row>
    <row r="10" spans="2:16" x14ac:dyDescent="0.3">
      <c r="B10" s="1">
        <v>4</v>
      </c>
      <c r="C10" s="2" t="s">
        <v>14</v>
      </c>
      <c r="D10" s="1">
        <v>295.51</v>
      </c>
      <c r="E10" s="3">
        <v>70002</v>
      </c>
      <c r="F10" s="1">
        <v>236.89</v>
      </c>
      <c r="G10" s="3">
        <v>70642</v>
      </c>
      <c r="H10" s="1">
        <v>239.05</v>
      </c>
      <c r="J10" s="4">
        <v>4</v>
      </c>
      <c r="K10" s="5" t="s">
        <v>15</v>
      </c>
      <c r="L10" s="4">
        <v>34.81</v>
      </c>
      <c r="M10" s="6">
        <v>90163</v>
      </c>
      <c r="N10" s="4">
        <v>2590.15</v>
      </c>
      <c r="O10" s="6">
        <v>91833</v>
      </c>
      <c r="P10" s="4">
        <v>2638.12</v>
      </c>
    </row>
    <row r="11" spans="2:16" x14ac:dyDescent="0.3">
      <c r="B11" s="1">
        <v>5</v>
      </c>
      <c r="C11" s="2" t="s">
        <v>16</v>
      </c>
      <c r="D11" s="1">
        <v>281.32</v>
      </c>
      <c r="E11" s="3">
        <v>47690</v>
      </c>
      <c r="F11" s="1">
        <v>169.52</v>
      </c>
      <c r="G11" s="3">
        <v>48036</v>
      </c>
      <c r="H11" s="1">
        <v>170.75</v>
      </c>
      <c r="J11" s="4">
        <v>5</v>
      </c>
      <c r="K11" s="5" t="s">
        <v>17</v>
      </c>
      <c r="L11" s="4">
        <v>52.53</v>
      </c>
      <c r="M11" s="6">
        <v>119746</v>
      </c>
      <c r="N11" s="4">
        <v>2279.5700000000002</v>
      </c>
      <c r="O11" s="6">
        <v>122188</v>
      </c>
      <c r="P11" s="4">
        <v>2326.06</v>
      </c>
    </row>
    <row r="12" spans="2:16" x14ac:dyDescent="0.3">
      <c r="B12" s="1">
        <v>6</v>
      </c>
      <c r="C12" s="2" t="s">
        <v>18</v>
      </c>
      <c r="D12" s="1">
        <v>235.48</v>
      </c>
      <c r="E12" s="3">
        <v>64729</v>
      </c>
      <c r="F12" s="1">
        <v>274.88</v>
      </c>
      <c r="G12" s="3">
        <v>65469</v>
      </c>
      <c r="H12" s="1">
        <v>278.02</v>
      </c>
      <c r="J12" s="4">
        <v>6</v>
      </c>
      <c r="K12" s="5" t="s">
        <v>19</v>
      </c>
      <c r="L12" s="4">
        <v>48.02</v>
      </c>
      <c r="M12" s="6">
        <v>91570</v>
      </c>
      <c r="N12" s="4">
        <v>1906.91</v>
      </c>
      <c r="O12" s="6">
        <v>93892</v>
      </c>
      <c r="P12" s="4">
        <v>1955.27</v>
      </c>
    </row>
    <row r="13" spans="2:16" x14ac:dyDescent="0.3">
      <c r="B13" s="1">
        <v>7</v>
      </c>
      <c r="C13" s="2" t="s">
        <v>20</v>
      </c>
      <c r="D13" s="1">
        <v>188.66</v>
      </c>
      <c r="E13" s="3">
        <v>37219</v>
      </c>
      <c r="F13" s="1">
        <v>197.28</v>
      </c>
      <c r="G13" s="3">
        <v>37508</v>
      </c>
      <c r="H13" s="1">
        <v>198.81</v>
      </c>
      <c r="J13" s="4">
        <v>7</v>
      </c>
      <c r="K13" s="5" t="s">
        <v>21</v>
      </c>
      <c r="L13" s="4">
        <v>45.16</v>
      </c>
      <c r="M13" s="6">
        <v>79022</v>
      </c>
      <c r="N13" s="4">
        <v>1749.82</v>
      </c>
      <c r="O13" s="6">
        <v>80525</v>
      </c>
      <c r="P13" s="4">
        <v>1783.1</v>
      </c>
    </row>
    <row r="14" spans="2:16" x14ac:dyDescent="0.3">
      <c r="B14" s="1">
        <v>8</v>
      </c>
      <c r="C14" s="2" t="s">
        <v>22</v>
      </c>
      <c r="D14" s="1">
        <v>59.8</v>
      </c>
      <c r="E14" s="3">
        <v>50709</v>
      </c>
      <c r="F14" s="1">
        <v>847.98</v>
      </c>
      <c r="G14" s="3">
        <v>51393</v>
      </c>
      <c r="H14" s="1">
        <v>859.41</v>
      </c>
      <c r="J14" s="4">
        <v>8</v>
      </c>
      <c r="K14" s="5" t="s">
        <v>23</v>
      </c>
      <c r="L14" s="4">
        <v>67.28</v>
      </c>
      <c r="M14" s="6">
        <v>114430</v>
      </c>
      <c r="N14" s="4">
        <v>1700.8</v>
      </c>
      <c r="O14" s="6">
        <v>115574</v>
      </c>
      <c r="P14" s="4">
        <v>1717.81</v>
      </c>
    </row>
    <row r="15" spans="2:16" x14ac:dyDescent="0.3">
      <c r="B15" s="1">
        <v>9</v>
      </c>
      <c r="C15" s="2" t="s">
        <v>24</v>
      </c>
      <c r="D15" s="1">
        <v>115.15</v>
      </c>
      <c r="E15" s="3">
        <v>38472</v>
      </c>
      <c r="F15" s="1">
        <v>334.1</v>
      </c>
      <c r="G15" s="3">
        <v>38898</v>
      </c>
      <c r="H15" s="1">
        <v>337.8</v>
      </c>
      <c r="J15" s="4">
        <v>9</v>
      </c>
      <c r="K15" s="5" t="s">
        <v>25</v>
      </c>
      <c r="L15" s="4">
        <v>76.150000000000006</v>
      </c>
      <c r="M15" s="6">
        <v>118917</v>
      </c>
      <c r="N15" s="4">
        <v>1561.62</v>
      </c>
      <c r="O15" s="6">
        <v>120961</v>
      </c>
      <c r="P15" s="4">
        <v>1588.46</v>
      </c>
    </row>
    <row r="16" spans="2:16" x14ac:dyDescent="0.3">
      <c r="B16" s="1">
        <v>10</v>
      </c>
      <c r="C16" s="2" t="s">
        <v>26</v>
      </c>
      <c r="D16" s="1">
        <v>104.41</v>
      </c>
      <c r="E16" s="3">
        <v>53296</v>
      </c>
      <c r="F16" s="1">
        <v>510.45</v>
      </c>
      <c r="G16" s="3">
        <v>53792</v>
      </c>
      <c r="H16" s="1">
        <v>515.20000000000005</v>
      </c>
      <c r="J16" s="4">
        <v>10</v>
      </c>
      <c r="K16" s="5" t="s">
        <v>27</v>
      </c>
      <c r="L16" s="4">
        <v>46.18</v>
      </c>
      <c r="M16" s="6">
        <v>64812</v>
      </c>
      <c r="N16" s="4">
        <v>1403.46</v>
      </c>
      <c r="O16" s="6">
        <v>65998</v>
      </c>
      <c r="P16" s="4">
        <v>1429.15</v>
      </c>
    </row>
    <row r="17" spans="2:16" x14ac:dyDescent="0.3">
      <c r="B17" s="1">
        <v>11</v>
      </c>
      <c r="C17" s="2" t="s">
        <v>28</v>
      </c>
      <c r="D17" s="1">
        <v>49.02</v>
      </c>
      <c r="E17" s="3">
        <v>34579</v>
      </c>
      <c r="F17" s="1">
        <v>705.41</v>
      </c>
      <c r="G17" s="3">
        <v>34796</v>
      </c>
      <c r="H17" s="1">
        <v>709.83</v>
      </c>
      <c r="J17" s="1">
        <v>11</v>
      </c>
      <c r="K17" s="2" t="s">
        <v>29</v>
      </c>
      <c r="L17" s="1">
        <v>50.77</v>
      </c>
      <c r="M17" s="3">
        <v>61894</v>
      </c>
      <c r="N17" s="1">
        <v>1219.1099999999999</v>
      </c>
      <c r="O17" s="3">
        <v>63048</v>
      </c>
      <c r="P17" s="1">
        <v>1241.8399999999999</v>
      </c>
    </row>
    <row r="18" spans="2:16" x14ac:dyDescent="0.3">
      <c r="B18" s="1">
        <v>12</v>
      </c>
      <c r="C18" s="2" t="s">
        <v>30</v>
      </c>
      <c r="D18" s="1">
        <v>142.16</v>
      </c>
      <c r="E18" s="3">
        <v>52122</v>
      </c>
      <c r="F18" s="1">
        <v>366.64</v>
      </c>
      <c r="G18" s="3">
        <v>52308</v>
      </c>
      <c r="H18" s="1">
        <v>367.95</v>
      </c>
      <c r="J18" s="1">
        <v>12</v>
      </c>
      <c r="K18" s="2" t="s">
        <v>31</v>
      </c>
      <c r="L18" s="1">
        <v>124.73</v>
      </c>
      <c r="M18" s="3">
        <v>135484</v>
      </c>
      <c r="N18" s="1">
        <v>1086.22</v>
      </c>
      <c r="O18" s="3">
        <v>137561</v>
      </c>
      <c r="P18" s="1">
        <v>1102.8699999999999</v>
      </c>
    </row>
    <row r="19" spans="2:16" x14ac:dyDescent="0.3">
      <c r="B19" s="1">
        <v>13</v>
      </c>
      <c r="C19" s="2" t="s">
        <v>32</v>
      </c>
      <c r="D19" s="1">
        <v>174.05</v>
      </c>
      <c r="E19" s="3">
        <v>56387</v>
      </c>
      <c r="F19" s="1">
        <v>323.97000000000003</v>
      </c>
      <c r="G19" s="3">
        <v>57201</v>
      </c>
      <c r="H19" s="1">
        <v>328.65</v>
      </c>
      <c r="J19" s="1">
        <v>13</v>
      </c>
      <c r="K19" s="2" t="s">
        <v>33</v>
      </c>
      <c r="L19" s="1">
        <v>92.15</v>
      </c>
      <c r="M19" s="3">
        <v>92403</v>
      </c>
      <c r="N19" s="1">
        <v>1002.75</v>
      </c>
      <c r="O19" s="3">
        <v>93720</v>
      </c>
      <c r="P19" s="1">
        <v>1017.04</v>
      </c>
    </row>
    <row r="20" spans="2:16" x14ac:dyDescent="0.3">
      <c r="B20" s="1">
        <v>14</v>
      </c>
      <c r="C20" s="2" t="s">
        <v>34</v>
      </c>
      <c r="D20" s="1">
        <v>199.44</v>
      </c>
      <c r="E20" s="3">
        <v>76345</v>
      </c>
      <c r="F20" s="1">
        <v>382.8</v>
      </c>
      <c r="G20" s="3">
        <v>77227</v>
      </c>
      <c r="H20" s="1">
        <v>387.22</v>
      </c>
      <c r="J20" s="1">
        <v>14</v>
      </c>
      <c r="K20" s="2" t="s">
        <v>35</v>
      </c>
      <c r="L20" s="1">
        <v>88.34</v>
      </c>
      <c r="M20" s="3">
        <v>84658</v>
      </c>
      <c r="N20" s="1">
        <v>958.32</v>
      </c>
      <c r="O20" s="3">
        <v>86111</v>
      </c>
      <c r="P20" s="1">
        <v>974.77</v>
      </c>
    </row>
    <row r="21" spans="2:16" x14ac:dyDescent="0.3">
      <c r="B21" s="1">
        <v>15</v>
      </c>
      <c r="C21" s="2" t="s">
        <v>36</v>
      </c>
      <c r="D21" s="1">
        <v>143.75</v>
      </c>
      <c r="E21" s="3">
        <v>70235</v>
      </c>
      <c r="F21" s="1">
        <v>488.59</v>
      </c>
      <c r="G21" s="3">
        <v>70930</v>
      </c>
      <c r="H21" s="1">
        <v>493.43</v>
      </c>
      <c r="J21" s="1">
        <v>15</v>
      </c>
      <c r="K21" s="2" t="s">
        <v>22</v>
      </c>
      <c r="L21" s="1">
        <v>59.8</v>
      </c>
      <c r="M21" s="3">
        <v>50709</v>
      </c>
      <c r="N21" s="1">
        <v>847.98</v>
      </c>
      <c r="O21" s="3">
        <v>51393</v>
      </c>
      <c r="P21" s="1">
        <v>859.41</v>
      </c>
    </row>
    <row r="22" spans="2:16" x14ac:dyDescent="0.3">
      <c r="B22" s="1">
        <v>16</v>
      </c>
      <c r="C22" s="2" t="s">
        <v>37</v>
      </c>
      <c r="D22" s="1">
        <v>74.27</v>
      </c>
      <c r="E22" s="3">
        <v>24015</v>
      </c>
      <c r="F22" s="1">
        <v>323.35000000000002</v>
      </c>
      <c r="G22" s="3">
        <v>24073</v>
      </c>
      <c r="H22" s="1">
        <v>324.13</v>
      </c>
      <c r="J22" s="1">
        <v>16</v>
      </c>
      <c r="K22" s="2" t="s">
        <v>38</v>
      </c>
      <c r="L22" s="1">
        <v>98.79</v>
      </c>
      <c r="M22" s="3">
        <v>82776</v>
      </c>
      <c r="N22" s="1">
        <v>837.9</v>
      </c>
      <c r="O22" s="3">
        <v>84222</v>
      </c>
      <c r="P22" s="1">
        <v>852.54</v>
      </c>
    </row>
    <row r="23" spans="2:16" x14ac:dyDescent="0.3">
      <c r="B23" s="1">
        <v>17</v>
      </c>
      <c r="C23" s="2" t="s">
        <v>31</v>
      </c>
      <c r="D23" s="1">
        <v>124.73</v>
      </c>
      <c r="E23" s="3">
        <v>135484</v>
      </c>
      <c r="F23" s="1">
        <v>1086.22</v>
      </c>
      <c r="G23" s="3">
        <v>137561</v>
      </c>
      <c r="H23" s="1">
        <v>1102.8699999999999</v>
      </c>
      <c r="J23" s="1">
        <v>17</v>
      </c>
      <c r="K23" s="2" t="s">
        <v>39</v>
      </c>
      <c r="L23" s="1">
        <v>144.02000000000001</v>
      </c>
      <c r="M23" s="3">
        <v>109073</v>
      </c>
      <c r="N23" s="1">
        <v>757.35</v>
      </c>
      <c r="O23" s="3">
        <v>110646</v>
      </c>
      <c r="P23" s="1">
        <v>768.27</v>
      </c>
    </row>
    <row r="24" spans="2:16" x14ac:dyDescent="0.3">
      <c r="B24" s="1">
        <v>18</v>
      </c>
      <c r="C24" s="2" t="s">
        <v>21</v>
      </c>
      <c r="D24" s="1">
        <v>45.16</v>
      </c>
      <c r="E24" s="3">
        <v>79022</v>
      </c>
      <c r="F24" s="1">
        <v>1749.82</v>
      </c>
      <c r="G24" s="3">
        <v>80525</v>
      </c>
      <c r="H24" s="1">
        <v>1783.1</v>
      </c>
      <c r="J24" s="1">
        <v>18</v>
      </c>
      <c r="K24" s="2" t="s">
        <v>28</v>
      </c>
      <c r="L24" s="1">
        <v>49.02</v>
      </c>
      <c r="M24" s="3">
        <v>34579</v>
      </c>
      <c r="N24" s="1">
        <v>705.41</v>
      </c>
      <c r="O24" s="3">
        <v>34796</v>
      </c>
      <c r="P24" s="1">
        <v>709.83</v>
      </c>
    </row>
    <row r="25" spans="2:16" x14ac:dyDescent="0.3">
      <c r="B25" s="1">
        <v>19</v>
      </c>
      <c r="C25" s="2" t="s">
        <v>29</v>
      </c>
      <c r="D25" s="1">
        <v>50.77</v>
      </c>
      <c r="E25" s="3">
        <v>61894</v>
      </c>
      <c r="F25" s="1">
        <v>1219.1099999999999</v>
      </c>
      <c r="G25" s="3">
        <v>63048</v>
      </c>
      <c r="H25" s="1">
        <v>1241.8399999999999</v>
      </c>
      <c r="J25" s="1">
        <v>19</v>
      </c>
      <c r="K25" s="2" t="s">
        <v>26</v>
      </c>
      <c r="L25" s="1">
        <v>104.41</v>
      </c>
      <c r="M25" s="3">
        <v>53296</v>
      </c>
      <c r="N25" s="1">
        <v>510.45</v>
      </c>
      <c r="O25" s="3">
        <v>53792</v>
      </c>
      <c r="P25" s="1">
        <v>515.20000000000005</v>
      </c>
    </row>
    <row r="26" spans="2:16" x14ac:dyDescent="0.3">
      <c r="B26" s="1">
        <v>20</v>
      </c>
      <c r="C26" s="2" t="s">
        <v>17</v>
      </c>
      <c r="D26" s="1">
        <v>52.53</v>
      </c>
      <c r="E26" s="3">
        <v>119746</v>
      </c>
      <c r="F26" s="1">
        <v>2279.5700000000002</v>
      </c>
      <c r="G26" s="3">
        <v>122188</v>
      </c>
      <c r="H26" s="1">
        <v>2326.06</v>
      </c>
      <c r="J26" s="1">
        <v>20</v>
      </c>
      <c r="K26" s="2" t="s">
        <v>36</v>
      </c>
      <c r="L26" s="1">
        <v>143.75</v>
      </c>
      <c r="M26" s="3">
        <v>70235</v>
      </c>
      <c r="N26" s="1">
        <v>488.59</v>
      </c>
      <c r="O26" s="3">
        <v>70930</v>
      </c>
      <c r="P26" s="1">
        <v>493.43</v>
      </c>
    </row>
    <row r="27" spans="2:16" x14ac:dyDescent="0.3">
      <c r="B27" s="1">
        <v>21</v>
      </c>
      <c r="C27" s="2" t="s">
        <v>19</v>
      </c>
      <c r="D27" s="1">
        <v>48.02</v>
      </c>
      <c r="E27" s="3">
        <v>91570</v>
      </c>
      <c r="F27" s="1">
        <v>1906.91</v>
      </c>
      <c r="G27" s="3">
        <v>93892</v>
      </c>
      <c r="H27" s="1">
        <v>1955.27</v>
      </c>
      <c r="J27" s="1">
        <v>21</v>
      </c>
      <c r="K27" s="2" t="s">
        <v>34</v>
      </c>
      <c r="L27" s="1">
        <v>199.44</v>
      </c>
      <c r="M27" s="3">
        <v>76345</v>
      </c>
      <c r="N27" s="1">
        <v>382.8</v>
      </c>
      <c r="O27" s="3">
        <v>77227</v>
      </c>
      <c r="P27" s="1">
        <v>387.22</v>
      </c>
    </row>
    <row r="28" spans="2:16" x14ac:dyDescent="0.3">
      <c r="B28" s="1">
        <v>22</v>
      </c>
      <c r="C28" s="2" t="s">
        <v>35</v>
      </c>
      <c r="D28" s="1">
        <v>88.34</v>
      </c>
      <c r="E28" s="3">
        <v>84658</v>
      </c>
      <c r="F28" s="1">
        <v>958.32</v>
      </c>
      <c r="G28" s="3">
        <v>86111</v>
      </c>
      <c r="H28" s="1">
        <v>974.77</v>
      </c>
      <c r="J28" s="1">
        <v>22</v>
      </c>
      <c r="K28" s="2" t="s">
        <v>12</v>
      </c>
      <c r="L28" s="1">
        <v>159.08000000000001</v>
      </c>
      <c r="M28" s="3">
        <v>59129</v>
      </c>
      <c r="N28" s="1">
        <v>371.69</v>
      </c>
      <c r="O28" s="3">
        <v>59912</v>
      </c>
      <c r="P28" s="1">
        <v>376.62</v>
      </c>
    </row>
    <row r="29" spans="2:16" x14ac:dyDescent="0.3">
      <c r="B29" s="1">
        <v>23</v>
      </c>
      <c r="C29" s="2" t="s">
        <v>27</v>
      </c>
      <c r="D29" s="1">
        <v>46.18</v>
      </c>
      <c r="E29" s="3">
        <v>64812</v>
      </c>
      <c r="F29" s="1">
        <v>1403.46</v>
      </c>
      <c r="G29" s="3">
        <v>65998</v>
      </c>
      <c r="H29" s="1">
        <v>1429.15</v>
      </c>
      <c r="J29" s="1">
        <v>23</v>
      </c>
      <c r="K29" s="2" t="s">
        <v>30</v>
      </c>
      <c r="L29" s="1">
        <v>142.16</v>
      </c>
      <c r="M29" s="3">
        <v>52122</v>
      </c>
      <c r="N29" s="1">
        <v>366.64</v>
      </c>
      <c r="O29" s="3">
        <v>52308</v>
      </c>
      <c r="P29" s="1">
        <v>367.95</v>
      </c>
    </row>
    <row r="30" spans="2:16" x14ac:dyDescent="0.3">
      <c r="B30" s="1">
        <v>24</v>
      </c>
      <c r="C30" s="2" t="s">
        <v>15</v>
      </c>
      <c r="D30" s="1">
        <v>34.81</v>
      </c>
      <c r="E30" s="3">
        <v>90163</v>
      </c>
      <c r="F30" s="1">
        <v>2590.15</v>
      </c>
      <c r="G30" s="3">
        <v>91833</v>
      </c>
      <c r="H30" s="1">
        <v>2638.12</v>
      </c>
      <c r="J30" s="1">
        <v>24</v>
      </c>
      <c r="K30" s="2" t="s">
        <v>24</v>
      </c>
      <c r="L30" s="1">
        <v>115.15</v>
      </c>
      <c r="M30" s="3">
        <v>38472</v>
      </c>
      <c r="N30" s="1">
        <v>334.1</v>
      </c>
      <c r="O30" s="3">
        <v>38898</v>
      </c>
      <c r="P30" s="1">
        <v>337.8</v>
      </c>
    </row>
    <row r="31" spans="2:16" x14ac:dyDescent="0.3">
      <c r="B31" s="1">
        <v>25</v>
      </c>
      <c r="C31" s="2" t="s">
        <v>38</v>
      </c>
      <c r="D31" s="1">
        <v>98.79</v>
      </c>
      <c r="E31" s="3">
        <v>82776</v>
      </c>
      <c r="F31" s="1">
        <v>837.9</v>
      </c>
      <c r="G31" s="3">
        <v>84222</v>
      </c>
      <c r="H31" s="1">
        <v>852.54</v>
      </c>
      <c r="J31" s="1">
        <v>25</v>
      </c>
      <c r="K31" s="2" t="s">
        <v>32</v>
      </c>
      <c r="L31" s="1">
        <v>174.05</v>
      </c>
      <c r="M31" s="3">
        <v>56387</v>
      </c>
      <c r="N31" s="1">
        <v>323.97000000000003</v>
      </c>
      <c r="O31" s="3">
        <v>57201</v>
      </c>
      <c r="P31" s="1">
        <v>328.65</v>
      </c>
    </row>
    <row r="32" spans="2:16" x14ac:dyDescent="0.3">
      <c r="B32" s="1">
        <v>26</v>
      </c>
      <c r="C32" s="2" t="s">
        <v>11</v>
      </c>
      <c r="D32" s="1">
        <v>48.53</v>
      </c>
      <c r="E32" s="3">
        <v>167398</v>
      </c>
      <c r="F32" s="1">
        <v>3449.37</v>
      </c>
      <c r="G32" s="3">
        <v>170927</v>
      </c>
      <c r="H32" s="1">
        <v>3522.09</v>
      </c>
      <c r="J32" s="1">
        <v>26</v>
      </c>
      <c r="K32" s="2" t="s">
        <v>37</v>
      </c>
      <c r="L32" s="1">
        <v>74.27</v>
      </c>
      <c r="M32" s="3">
        <v>24015</v>
      </c>
      <c r="N32" s="1">
        <v>323.35000000000002</v>
      </c>
      <c r="O32" s="3">
        <v>24073</v>
      </c>
      <c r="P32" s="1">
        <v>324.13</v>
      </c>
    </row>
    <row r="33" spans="2:16" x14ac:dyDescent="0.3">
      <c r="B33" s="1">
        <v>27</v>
      </c>
      <c r="C33" s="2" t="s">
        <v>9</v>
      </c>
      <c r="D33" s="1">
        <v>26.15</v>
      </c>
      <c r="E33" s="3">
        <v>174587</v>
      </c>
      <c r="F33" s="1">
        <v>6676.37</v>
      </c>
      <c r="G33" s="3">
        <v>176368</v>
      </c>
      <c r="H33" s="1">
        <v>6744.47</v>
      </c>
      <c r="J33" s="1">
        <v>27</v>
      </c>
      <c r="K33" s="2" t="s">
        <v>18</v>
      </c>
      <c r="L33" s="1">
        <v>235.48</v>
      </c>
      <c r="M33" s="3">
        <v>64729</v>
      </c>
      <c r="N33" s="1">
        <v>274.88</v>
      </c>
      <c r="O33" s="3">
        <v>65469</v>
      </c>
      <c r="P33" s="1">
        <v>278.02</v>
      </c>
    </row>
    <row r="34" spans="2:16" x14ac:dyDescent="0.3">
      <c r="B34" s="1">
        <v>28</v>
      </c>
      <c r="C34" s="2" t="s">
        <v>25</v>
      </c>
      <c r="D34" s="1">
        <v>76.150000000000006</v>
      </c>
      <c r="E34" s="3">
        <v>118917</v>
      </c>
      <c r="F34" s="1">
        <v>1561.62</v>
      </c>
      <c r="G34" s="3">
        <v>120961</v>
      </c>
      <c r="H34" s="1">
        <v>1588.46</v>
      </c>
      <c r="J34" s="1">
        <v>28</v>
      </c>
      <c r="K34" s="2" t="s">
        <v>10</v>
      </c>
      <c r="L34" s="1">
        <v>114.32</v>
      </c>
      <c r="M34" s="3">
        <v>31621</v>
      </c>
      <c r="N34" s="1">
        <v>276.60000000000002</v>
      </c>
      <c r="O34" s="3">
        <v>31730</v>
      </c>
      <c r="P34" s="1">
        <v>277.55</v>
      </c>
    </row>
    <row r="35" spans="2:16" x14ac:dyDescent="0.3">
      <c r="B35" s="1">
        <v>29</v>
      </c>
      <c r="C35" s="2" t="s">
        <v>13</v>
      </c>
      <c r="D35" s="1">
        <v>41.66</v>
      </c>
      <c r="E35" s="3">
        <v>112320</v>
      </c>
      <c r="F35" s="1">
        <v>2696.11</v>
      </c>
      <c r="G35" s="3">
        <v>113981</v>
      </c>
      <c r="H35" s="1">
        <v>2735.98</v>
      </c>
      <c r="J35" s="1">
        <v>29</v>
      </c>
      <c r="K35" s="2" t="s">
        <v>14</v>
      </c>
      <c r="L35" s="1">
        <v>295.51</v>
      </c>
      <c r="M35" s="3">
        <v>70002</v>
      </c>
      <c r="N35" s="1">
        <v>236.89</v>
      </c>
      <c r="O35" s="3">
        <v>70642</v>
      </c>
      <c r="P35" s="1">
        <v>239.05</v>
      </c>
    </row>
    <row r="36" spans="2:16" x14ac:dyDescent="0.3">
      <c r="B36" s="1">
        <v>30</v>
      </c>
      <c r="C36" s="2" t="s">
        <v>23</v>
      </c>
      <c r="D36" s="1">
        <v>67.28</v>
      </c>
      <c r="E36" s="3">
        <v>114430</v>
      </c>
      <c r="F36" s="1">
        <v>1700.8</v>
      </c>
      <c r="G36" s="3">
        <v>115574</v>
      </c>
      <c r="H36" s="1">
        <v>1717.81</v>
      </c>
      <c r="J36" s="1">
        <v>30</v>
      </c>
      <c r="K36" s="2" t="s">
        <v>8</v>
      </c>
      <c r="L36" s="1">
        <v>192.65</v>
      </c>
      <c r="M36" s="3">
        <v>40879</v>
      </c>
      <c r="N36" s="1">
        <v>212.19</v>
      </c>
      <c r="O36" s="3">
        <v>41323</v>
      </c>
      <c r="P36" s="1">
        <v>214.5</v>
      </c>
    </row>
    <row r="37" spans="2:16" x14ac:dyDescent="0.3">
      <c r="B37" s="1">
        <v>31</v>
      </c>
      <c r="C37" s="2" t="s">
        <v>33</v>
      </c>
      <c r="D37" s="1">
        <v>92.15</v>
      </c>
      <c r="E37" s="3">
        <v>92403</v>
      </c>
      <c r="F37" s="1">
        <v>1002.75</v>
      </c>
      <c r="G37" s="3">
        <v>93720</v>
      </c>
      <c r="H37" s="1">
        <v>1017.04</v>
      </c>
      <c r="J37" s="1">
        <v>31</v>
      </c>
      <c r="K37" s="2" t="s">
        <v>20</v>
      </c>
      <c r="L37" s="1">
        <v>188.66</v>
      </c>
      <c r="M37" s="3">
        <v>37219</v>
      </c>
      <c r="N37" s="1">
        <v>197.28</v>
      </c>
      <c r="O37" s="3">
        <v>37508</v>
      </c>
      <c r="P37" s="1">
        <v>198.81</v>
      </c>
    </row>
    <row r="38" spans="2:16" x14ac:dyDescent="0.3">
      <c r="B38" s="1">
        <v>32</v>
      </c>
      <c r="C38" s="2" t="s">
        <v>39</v>
      </c>
      <c r="D38" s="1">
        <v>144.02000000000001</v>
      </c>
      <c r="E38" s="3">
        <v>109073</v>
      </c>
      <c r="F38" s="1">
        <v>757.35</v>
      </c>
      <c r="G38" s="3">
        <v>110646</v>
      </c>
      <c r="H38" s="1">
        <v>768.27</v>
      </c>
      <c r="J38" s="1">
        <v>32</v>
      </c>
      <c r="K38" s="2" t="s">
        <v>16</v>
      </c>
      <c r="L38" s="1">
        <v>281.32</v>
      </c>
      <c r="M38" s="3">
        <v>47690</v>
      </c>
      <c r="N38" s="1">
        <v>169.52</v>
      </c>
      <c r="O38" s="3">
        <v>48036</v>
      </c>
      <c r="P38" s="1">
        <v>170.75</v>
      </c>
    </row>
    <row r="42" spans="2:16" x14ac:dyDescent="0.3">
      <c r="B42" s="164" t="s">
        <v>81</v>
      </c>
      <c r="C42" s="164"/>
      <c r="D42" s="164" t="s">
        <v>83</v>
      </c>
      <c r="E42" s="164"/>
    </row>
    <row r="43" spans="2:16" x14ac:dyDescent="0.3">
      <c r="B43" s="164" t="s">
        <v>82</v>
      </c>
      <c r="C43" s="164"/>
      <c r="D43" s="164" t="s">
        <v>84</v>
      </c>
      <c r="E43" s="164"/>
    </row>
  </sheetData>
  <mergeCells count="20">
    <mergeCell ref="B42:C42"/>
    <mergeCell ref="B43:C43"/>
    <mergeCell ref="D42:E42"/>
    <mergeCell ref="D43:E43"/>
    <mergeCell ref="P5:P6"/>
    <mergeCell ref="B4:H4"/>
    <mergeCell ref="J4:P4"/>
    <mergeCell ref="B5:B6"/>
    <mergeCell ref="C5:C6"/>
    <mergeCell ref="D5:D6"/>
    <mergeCell ref="E5:E6"/>
    <mergeCell ref="F5:F6"/>
    <mergeCell ref="G5:G6"/>
    <mergeCell ref="H5:H6"/>
    <mergeCell ref="J5:J6"/>
    <mergeCell ref="K5:K6"/>
    <mergeCell ref="L5:L6"/>
    <mergeCell ref="M5:M6"/>
    <mergeCell ref="N5:N6"/>
    <mergeCell ref="O5:O6"/>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B8084-845E-43D3-B392-A55A0FE34AA8}">
  <dimension ref="B3:V378"/>
  <sheetViews>
    <sheetView topLeftCell="A106" zoomScale="65" zoomScaleNormal="65" workbookViewId="0">
      <selection activeCell="K176" sqref="K176:M176"/>
    </sheetView>
  </sheetViews>
  <sheetFormatPr defaultRowHeight="14.4" x14ac:dyDescent="0.3"/>
  <cols>
    <col min="6" max="6" width="19.77734375" customWidth="1"/>
    <col min="7" max="7" width="33.44140625" customWidth="1"/>
    <col min="15" max="15" width="16.109375" customWidth="1"/>
    <col min="16" max="16" width="53.44140625" customWidth="1"/>
    <col min="17" max="17" width="13" customWidth="1"/>
  </cols>
  <sheetData>
    <row r="3" spans="4:20" x14ac:dyDescent="0.3">
      <c r="D3" s="285" t="s">
        <v>115</v>
      </c>
      <c r="E3" s="285"/>
      <c r="F3" s="285"/>
      <c r="G3" s="285"/>
      <c r="H3" s="285"/>
      <c r="I3" s="285" t="s">
        <v>129</v>
      </c>
      <c r="J3" s="285"/>
      <c r="K3" s="285"/>
      <c r="L3" s="285" t="s">
        <v>1098</v>
      </c>
      <c r="M3" s="285"/>
      <c r="N3" s="285"/>
      <c r="O3" s="285" t="s">
        <v>1099</v>
      </c>
      <c r="P3" s="285"/>
      <c r="Q3" s="285"/>
      <c r="R3" s="285" t="s">
        <v>376</v>
      </c>
      <c r="S3" s="285"/>
      <c r="T3" s="285"/>
    </row>
    <row r="4" spans="4:20" x14ac:dyDescent="0.3">
      <c r="D4" s="283" t="s">
        <v>1097</v>
      </c>
      <c r="E4" s="283"/>
      <c r="F4" s="283"/>
      <c r="G4" s="283"/>
      <c r="H4" s="283"/>
      <c r="I4" s="320"/>
      <c r="J4" s="320"/>
      <c r="K4" s="320"/>
      <c r="L4" s="320"/>
      <c r="M4" s="320"/>
      <c r="N4" s="320"/>
      <c r="O4" s="320"/>
      <c r="P4" s="320"/>
      <c r="Q4" s="320"/>
      <c r="R4" s="284"/>
      <c r="S4" s="284"/>
      <c r="T4" s="284"/>
    </row>
    <row r="5" spans="4:20" x14ac:dyDescent="0.3">
      <c r="D5" s="286" t="s">
        <v>1100</v>
      </c>
      <c r="E5" s="286"/>
      <c r="F5" s="286"/>
      <c r="G5" s="286"/>
      <c r="H5" s="286"/>
      <c r="I5" s="290" t="s">
        <v>516</v>
      </c>
      <c r="J5" s="290"/>
      <c r="K5" s="290"/>
      <c r="L5" s="290"/>
      <c r="M5" s="290"/>
      <c r="N5" s="290"/>
      <c r="O5" s="290" t="s">
        <v>1138</v>
      </c>
      <c r="P5" s="290"/>
      <c r="Q5" s="290"/>
      <c r="R5" s="290"/>
      <c r="S5" s="290"/>
      <c r="T5" s="290"/>
    </row>
    <row r="6" spans="4:20" x14ac:dyDescent="0.3">
      <c r="D6" s="286" t="s">
        <v>1101</v>
      </c>
      <c r="E6" s="286"/>
      <c r="F6" s="286"/>
      <c r="G6" s="286"/>
      <c r="H6" s="286"/>
      <c r="I6" s="287" t="s">
        <v>516</v>
      </c>
      <c r="J6" s="287"/>
      <c r="K6" s="287"/>
      <c r="L6" s="289"/>
      <c r="M6" s="287"/>
      <c r="N6" s="287"/>
      <c r="O6" s="287" t="s">
        <v>1139</v>
      </c>
      <c r="P6" s="287"/>
      <c r="Q6" s="287"/>
      <c r="R6" s="322"/>
      <c r="S6" s="287"/>
      <c r="T6" s="287"/>
    </row>
    <row r="7" spans="4:20" x14ac:dyDescent="0.3">
      <c r="D7" s="286" t="s">
        <v>1102</v>
      </c>
      <c r="E7" s="286"/>
      <c r="F7" s="286"/>
      <c r="G7" s="286"/>
      <c r="H7" s="286"/>
      <c r="I7" s="287" t="s">
        <v>516</v>
      </c>
      <c r="J7" s="287"/>
      <c r="K7" s="287"/>
      <c r="L7" s="287"/>
      <c r="M7" s="287"/>
      <c r="N7" s="287"/>
      <c r="O7" s="287" t="s">
        <v>1140</v>
      </c>
      <c r="P7" s="287"/>
      <c r="Q7" s="287"/>
      <c r="R7" s="287"/>
      <c r="S7" s="287"/>
      <c r="T7" s="287"/>
    </row>
    <row r="8" spans="4:20" x14ac:dyDescent="0.3">
      <c r="D8" s="286" t="s">
        <v>1103</v>
      </c>
      <c r="E8" s="286"/>
      <c r="F8" s="286"/>
      <c r="G8" s="286"/>
      <c r="H8" s="286"/>
      <c r="I8" s="287"/>
      <c r="J8" s="287"/>
      <c r="K8" s="287"/>
      <c r="L8" s="287"/>
      <c r="M8" s="287"/>
      <c r="N8" s="287"/>
      <c r="O8" s="287" t="s">
        <v>1141</v>
      </c>
      <c r="P8" s="287"/>
      <c r="Q8" s="287"/>
      <c r="R8" s="287"/>
      <c r="S8" s="287"/>
      <c r="T8" s="287"/>
    </row>
    <row r="9" spans="4:20" x14ac:dyDescent="0.3">
      <c r="D9" s="305" t="s">
        <v>1104</v>
      </c>
      <c r="E9" s="267"/>
      <c r="F9" s="267"/>
      <c r="G9" s="267"/>
      <c r="H9" s="267"/>
      <c r="I9" s="356"/>
      <c r="J9" s="356"/>
      <c r="K9" s="356"/>
      <c r="L9" s="356"/>
      <c r="M9" s="356"/>
      <c r="N9" s="356"/>
      <c r="O9" s="356"/>
      <c r="P9" s="356"/>
      <c r="Q9" s="356"/>
      <c r="R9" s="356"/>
      <c r="S9" s="356"/>
      <c r="T9" s="356"/>
    </row>
    <row r="10" spans="4:20" x14ac:dyDescent="0.3">
      <c r="D10" s="286" t="s">
        <v>1105</v>
      </c>
      <c r="E10" s="286"/>
      <c r="F10" s="286"/>
      <c r="G10" s="286"/>
      <c r="H10" s="286"/>
      <c r="I10" s="287" t="s">
        <v>516</v>
      </c>
      <c r="J10" s="287"/>
      <c r="K10" s="287"/>
      <c r="L10" s="287" t="s">
        <v>1142</v>
      </c>
      <c r="M10" s="287"/>
      <c r="N10" s="287"/>
      <c r="O10" s="287"/>
      <c r="P10" s="287"/>
      <c r="Q10" s="287"/>
      <c r="R10" s="287"/>
      <c r="S10" s="287"/>
      <c r="T10" s="287"/>
    </row>
    <row r="11" spans="4:20" x14ac:dyDescent="0.3">
      <c r="D11" s="286" t="s">
        <v>1106</v>
      </c>
      <c r="E11" s="286"/>
      <c r="F11" s="286"/>
      <c r="G11" s="286"/>
      <c r="H11" s="286"/>
      <c r="I11" s="287" t="s">
        <v>644</v>
      </c>
      <c r="J11" s="287"/>
      <c r="K11" s="287"/>
      <c r="L11" s="287" t="s">
        <v>1143</v>
      </c>
      <c r="M11" s="287"/>
      <c r="N11" s="287"/>
      <c r="O11" s="287"/>
      <c r="P11" s="287"/>
      <c r="Q11" s="287"/>
      <c r="R11" s="287"/>
      <c r="S11" s="287"/>
      <c r="T11" s="287"/>
    </row>
    <row r="12" spans="4:20" x14ac:dyDescent="0.3">
      <c r="D12" s="286" t="s">
        <v>1107</v>
      </c>
      <c r="E12" s="286"/>
      <c r="F12" s="286"/>
      <c r="G12" s="286"/>
      <c r="H12" s="286"/>
      <c r="I12" s="287"/>
      <c r="J12" s="287"/>
      <c r="K12" s="287"/>
      <c r="L12" s="287" t="s">
        <v>1144</v>
      </c>
      <c r="M12" s="287"/>
      <c r="N12" s="287"/>
      <c r="O12" s="287"/>
      <c r="P12" s="287"/>
      <c r="Q12" s="287"/>
      <c r="R12" s="287"/>
      <c r="S12" s="287"/>
      <c r="T12" s="287"/>
    </row>
    <row r="13" spans="4:20" x14ac:dyDescent="0.3">
      <c r="D13" s="305" t="s">
        <v>1108</v>
      </c>
      <c r="E13" s="267"/>
      <c r="F13" s="267"/>
      <c r="G13" s="267"/>
      <c r="H13" s="267"/>
      <c r="I13" s="356"/>
      <c r="J13" s="356"/>
      <c r="K13" s="356"/>
      <c r="L13" s="356"/>
      <c r="M13" s="356"/>
      <c r="N13" s="356"/>
      <c r="O13" s="356"/>
      <c r="P13" s="356"/>
      <c r="Q13" s="356"/>
      <c r="R13" s="356"/>
      <c r="S13" s="356"/>
      <c r="T13" s="356"/>
    </row>
    <row r="14" spans="4:20" x14ac:dyDescent="0.3">
      <c r="D14" s="286" t="s">
        <v>1105</v>
      </c>
      <c r="E14" s="286"/>
      <c r="F14" s="286"/>
      <c r="G14" s="286"/>
      <c r="H14" s="286"/>
      <c r="I14" s="287" t="s">
        <v>516</v>
      </c>
      <c r="J14" s="287"/>
      <c r="K14" s="287"/>
      <c r="L14" s="287" t="s">
        <v>1145</v>
      </c>
      <c r="M14" s="287"/>
      <c r="N14" s="287"/>
      <c r="O14" s="287"/>
      <c r="P14" s="287"/>
      <c r="Q14" s="287"/>
      <c r="R14" s="287"/>
      <c r="S14" s="287"/>
      <c r="T14" s="287"/>
    </row>
    <row r="15" spans="4:20" x14ac:dyDescent="0.3">
      <c r="D15" s="286" t="s">
        <v>1106</v>
      </c>
      <c r="E15" s="286"/>
      <c r="F15" s="286"/>
      <c r="G15" s="286"/>
      <c r="H15" s="286"/>
      <c r="I15" s="287" t="s">
        <v>644</v>
      </c>
      <c r="J15" s="287"/>
      <c r="K15" s="287"/>
      <c r="L15" s="287" t="s">
        <v>1146</v>
      </c>
      <c r="M15" s="287"/>
      <c r="N15" s="287"/>
      <c r="O15" s="287"/>
      <c r="P15" s="287"/>
      <c r="Q15" s="287"/>
      <c r="R15" s="287"/>
      <c r="S15" s="287"/>
      <c r="T15" s="287"/>
    </row>
    <row r="16" spans="4:20" x14ac:dyDescent="0.3">
      <c r="D16" s="286" t="s">
        <v>1107</v>
      </c>
      <c r="E16" s="286"/>
      <c r="F16" s="286"/>
      <c r="G16" s="286"/>
      <c r="H16" s="286"/>
      <c r="I16" s="287"/>
      <c r="J16" s="287"/>
      <c r="K16" s="287"/>
      <c r="L16" s="287" t="s">
        <v>1147</v>
      </c>
      <c r="M16" s="287"/>
      <c r="N16" s="287"/>
      <c r="O16" s="287"/>
      <c r="P16" s="287"/>
      <c r="Q16" s="287"/>
      <c r="R16" s="287"/>
      <c r="S16" s="287"/>
      <c r="T16" s="287"/>
    </row>
    <row r="17" spans="4:20" x14ac:dyDescent="0.3">
      <c r="D17" s="305" t="s">
        <v>1109</v>
      </c>
      <c r="E17" s="267"/>
      <c r="F17" s="267"/>
      <c r="G17" s="267"/>
      <c r="H17" s="267"/>
      <c r="I17" s="356" t="s">
        <v>1133</v>
      </c>
      <c r="J17" s="356"/>
      <c r="K17" s="356"/>
      <c r="L17" s="356" t="s">
        <v>1148</v>
      </c>
      <c r="M17" s="356"/>
      <c r="N17" s="356"/>
      <c r="O17" s="356"/>
      <c r="P17" s="356"/>
      <c r="Q17" s="356"/>
      <c r="R17" s="356"/>
      <c r="S17" s="356"/>
      <c r="T17" s="356"/>
    </row>
    <row r="18" spans="4:20" x14ac:dyDescent="0.3">
      <c r="D18" s="286" t="s">
        <v>1110</v>
      </c>
      <c r="E18" s="286"/>
      <c r="F18" s="286"/>
      <c r="G18" s="286"/>
      <c r="H18" s="286"/>
      <c r="I18" s="287" t="s">
        <v>1134</v>
      </c>
      <c r="J18" s="287"/>
      <c r="K18" s="287"/>
      <c r="L18" s="287" t="s">
        <v>1149</v>
      </c>
      <c r="M18" s="287"/>
      <c r="N18" s="287"/>
      <c r="O18" s="287"/>
      <c r="P18" s="287"/>
      <c r="Q18" s="287"/>
      <c r="R18" s="287"/>
      <c r="S18" s="287"/>
      <c r="T18" s="287"/>
    </row>
    <row r="19" spans="4:20" x14ac:dyDescent="0.3">
      <c r="D19" s="286" t="s">
        <v>1111</v>
      </c>
      <c r="E19" s="286"/>
      <c r="F19" s="286"/>
      <c r="G19" s="286"/>
      <c r="H19" s="286"/>
      <c r="I19" s="287" t="s">
        <v>132</v>
      </c>
      <c r="J19" s="287"/>
      <c r="K19" s="287"/>
      <c r="L19" s="287" t="s">
        <v>1150</v>
      </c>
      <c r="M19" s="287"/>
      <c r="N19" s="287"/>
      <c r="O19" s="287"/>
      <c r="P19" s="287"/>
      <c r="Q19" s="287"/>
      <c r="R19" s="287"/>
      <c r="S19" s="287"/>
      <c r="T19" s="287"/>
    </row>
    <row r="20" spans="4:20" x14ac:dyDescent="0.3">
      <c r="D20" s="286" t="s">
        <v>1112</v>
      </c>
      <c r="E20" s="286"/>
      <c r="F20" s="286"/>
      <c r="G20" s="286"/>
      <c r="H20" s="286"/>
      <c r="I20" s="287" t="s">
        <v>275</v>
      </c>
      <c r="J20" s="287"/>
      <c r="K20" s="287"/>
      <c r="L20" s="288" t="s">
        <v>1151</v>
      </c>
      <c r="M20" s="287"/>
      <c r="N20" s="287"/>
      <c r="O20" s="287"/>
      <c r="P20" s="287"/>
      <c r="Q20" s="287"/>
      <c r="R20" s="287"/>
      <c r="S20" s="287"/>
      <c r="T20" s="287"/>
    </row>
    <row r="21" spans="4:20" x14ac:dyDescent="0.3">
      <c r="D21" s="286" t="s">
        <v>621</v>
      </c>
      <c r="E21" s="286"/>
      <c r="F21" s="286"/>
      <c r="G21" s="286"/>
      <c r="H21" s="286"/>
      <c r="I21" s="287" t="s">
        <v>372</v>
      </c>
      <c r="J21" s="287"/>
      <c r="K21" s="287"/>
      <c r="L21" s="287">
        <v>2</v>
      </c>
      <c r="M21" s="287"/>
      <c r="N21" s="287"/>
      <c r="O21" s="287"/>
      <c r="P21" s="287"/>
      <c r="Q21" s="287"/>
      <c r="R21" s="287"/>
      <c r="S21" s="287"/>
      <c r="T21" s="287"/>
    </row>
    <row r="22" spans="4:20" x14ac:dyDescent="0.3">
      <c r="D22" s="286" t="s">
        <v>1113</v>
      </c>
      <c r="E22" s="286"/>
      <c r="F22" s="286"/>
      <c r="G22" s="286"/>
      <c r="H22" s="286"/>
      <c r="I22" s="287" t="s">
        <v>1135</v>
      </c>
      <c r="J22" s="287"/>
      <c r="K22" s="287"/>
      <c r="L22" s="288" t="s">
        <v>1152</v>
      </c>
      <c r="M22" s="287"/>
      <c r="N22" s="287"/>
      <c r="O22" s="287"/>
      <c r="P22" s="287"/>
      <c r="Q22" s="287"/>
      <c r="R22" s="287"/>
      <c r="S22" s="287"/>
      <c r="T22" s="287"/>
    </row>
    <row r="23" spans="4:20" x14ac:dyDescent="0.3">
      <c r="D23" s="274" t="s">
        <v>1114</v>
      </c>
      <c r="E23" s="286"/>
      <c r="F23" s="286"/>
      <c r="G23" s="286"/>
      <c r="H23" s="286"/>
      <c r="I23" s="287"/>
      <c r="J23" s="287"/>
      <c r="K23" s="287"/>
      <c r="L23" s="287"/>
      <c r="M23" s="287"/>
      <c r="N23" s="287"/>
      <c r="O23" s="287"/>
      <c r="P23" s="287"/>
      <c r="Q23" s="287"/>
      <c r="R23" s="287"/>
      <c r="S23" s="287"/>
      <c r="T23" s="287"/>
    </row>
    <row r="24" spans="4:20" x14ac:dyDescent="0.3">
      <c r="D24" s="286" t="s">
        <v>1115</v>
      </c>
      <c r="E24" s="286"/>
      <c r="F24" s="286"/>
      <c r="G24" s="286"/>
      <c r="H24" s="286"/>
      <c r="I24" s="287" t="s">
        <v>1136</v>
      </c>
      <c r="J24" s="287"/>
      <c r="K24" s="287"/>
      <c r="L24" s="287"/>
      <c r="M24" s="287"/>
      <c r="N24" s="287"/>
      <c r="O24" s="287" t="s">
        <v>1153</v>
      </c>
      <c r="P24" s="287"/>
      <c r="Q24" s="287"/>
      <c r="R24" s="287"/>
      <c r="S24" s="287"/>
      <c r="T24" s="287"/>
    </row>
    <row r="25" spans="4:20" x14ac:dyDescent="0.3">
      <c r="D25" s="286" t="s">
        <v>1116</v>
      </c>
      <c r="E25" s="286"/>
      <c r="F25" s="286"/>
      <c r="G25" s="286"/>
      <c r="H25" s="286"/>
      <c r="I25" s="287" t="s">
        <v>1136</v>
      </c>
      <c r="J25" s="287"/>
      <c r="K25" s="287"/>
      <c r="L25" s="287"/>
      <c r="M25" s="287"/>
      <c r="N25" s="287"/>
      <c r="O25" s="287" t="s">
        <v>1154</v>
      </c>
      <c r="P25" s="287"/>
      <c r="Q25" s="287"/>
      <c r="R25" s="287"/>
      <c r="S25" s="287"/>
      <c r="T25" s="287"/>
    </row>
    <row r="26" spans="4:20" x14ac:dyDescent="0.3">
      <c r="D26" s="286" t="s">
        <v>1117</v>
      </c>
      <c r="E26" s="286"/>
      <c r="F26" s="286"/>
      <c r="G26" s="286"/>
      <c r="H26" s="286"/>
      <c r="I26" s="287" t="s">
        <v>320</v>
      </c>
      <c r="J26" s="287"/>
      <c r="K26" s="287"/>
      <c r="L26" s="287"/>
      <c r="M26" s="287"/>
      <c r="N26" s="287"/>
      <c r="O26" s="287" t="s">
        <v>1155</v>
      </c>
      <c r="P26" s="287"/>
      <c r="Q26" s="287"/>
      <c r="R26" s="287"/>
      <c r="S26" s="287"/>
      <c r="T26" s="287"/>
    </row>
    <row r="27" spans="4:20" x14ac:dyDescent="0.3">
      <c r="D27" s="274" t="s">
        <v>1118</v>
      </c>
      <c r="E27" s="286"/>
      <c r="F27" s="286"/>
      <c r="G27" s="286"/>
      <c r="H27" s="286"/>
      <c r="I27" s="287"/>
      <c r="J27" s="287"/>
      <c r="K27" s="287"/>
      <c r="L27" s="287"/>
      <c r="M27" s="287"/>
      <c r="N27" s="287"/>
      <c r="O27" s="287"/>
      <c r="P27" s="287"/>
      <c r="Q27" s="287"/>
      <c r="R27" s="287"/>
      <c r="S27" s="287"/>
      <c r="T27" s="287"/>
    </row>
    <row r="28" spans="4:20" x14ac:dyDescent="0.3">
      <c r="D28" s="286" t="s">
        <v>1106</v>
      </c>
      <c r="E28" s="286"/>
      <c r="F28" s="286"/>
      <c r="G28" s="286"/>
      <c r="H28" s="286"/>
      <c r="I28" s="287" t="s">
        <v>644</v>
      </c>
      <c r="J28" s="287"/>
      <c r="K28" s="287"/>
      <c r="L28" s="287"/>
      <c r="M28" s="287"/>
      <c r="N28" s="287"/>
      <c r="O28" s="287" t="s">
        <v>1160</v>
      </c>
      <c r="P28" s="287"/>
      <c r="Q28" s="287"/>
      <c r="R28" s="287"/>
      <c r="S28" s="287"/>
      <c r="T28" s="287"/>
    </row>
    <row r="29" spans="4:20" x14ac:dyDescent="0.3">
      <c r="D29" s="286" t="s">
        <v>1107</v>
      </c>
      <c r="E29" s="286"/>
      <c r="F29" s="286"/>
      <c r="G29" s="286"/>
      <c r="H29" s="286"/>
      <c r="I29" s="287"/>
      <c r="J29" s="287"/>
      <c r="K29" s="287"/>
      <c r="L29" s="287"/>
      <c r="M29" s="287"/>
      <c r="N29" s="287"/>
      <c r="O29" s="287">
        <v>1.5</v>
      </c>
      <c r="P29" s="287"/>
      <c r="Q29" s="287"/>
      <c r="R29" s="287"/>
      <c r="S29" s="287"/>
      <c r="T29" s="287"/>
    </row>
    <row r="30" spans="4:20" x14ac:dyDescent="0.3">
      <c r="D30" s="286" t="s">
        <v>1119</v>
      </c>
      <c r="E30" s="286"/>
      <c r="F30" s="286"/>
      <c r="G30" s="286"/>
      <c r="H30" s="286"/>
      <c r="I30" s="287" t="s">
        <v>259</v>
      </c>
      <c r="J30" s="287"/>
      <c r="K30" s="287"/>
      <c r="L30" s="287"/>
      <c r="M30" s="287"/>
      <c r="N30" s="287"/>
      <c r="O30" s="287" t="s">
        <v>1161</v>
      </c>
      <c r="P30" s="287"/>
      <c r="Q30" s="287"/>
      <c r="R30" s="287"/>
      <c r="S30" s="287"/>
      <c r="T30" s="287"/>
    </row>
    <row r="31" spans="4:20" x14ac:dyDescent="0.3">
      <c r="D31" s="286" t="s">
        <v>1120</v>
      </c>
      <c r="E31" s="286"/>
      <c r="F31" s="286"/>
      <c r="G31" s="286"/>
      <c r="H31" s="286"/>
      <c r="I31" s="287" t="s">
        <v>259</v>
      </c>
      <c r="J31" s="287"/>
      <c r="K31" s="287"/>
      <c r="L31" s="287"/>
      <c r="M31" s="287"/>
      <c r="N31" s="287"/>
      <c r="O31" s="287" t="s">
        <v>1162</v>
      </c>
      <c r="P31" s="287"/>
      <c r="Q31" s="287"/>
      <c r="R31" s="287"/>
      <c r="S31" s="287"/>
      <c r="T31" s="287"/>
    </row>
    <row r="32" spans="4:20" x14ac:dyDescent="0.3">
      <c r="D32" s="274" t="s">
        <v>1121</v>
      </c>
      <c r="E32" s="286"/>
      <c r="F32" s="286"/>
      <c r="G32" s="286"/>
      <c r="H32" s="286"/>
      <c r="I32" s="287"/>
      <c r="J32" s="287"/>
      <c r="K32" s="287"/>
      <c r="L32" s="287"/>
      <c r="M32" s="287"/>
      <c r="N32" s="287"/>
      <c r="O32" s="287"/>
      <c r="P32" s="287"/>
      <c r="Q32" s="287"/>
      <c r="R32" s="287"/>
      <c r="S32" s="287"/>
      <c r="T32" s="287"/>
    </row>
    <row r="33" spans="2:22" x14ac:dyDescent="0.3">
      <c r="D33" s="286" t="s">
        <v>1122</v>
      </c>
      <c r="E33" s="286"/>
      <c r="F33" s="286"/>
      <c r="G33" s="286"/>
      <c r="H33" s="286"/>
      <c r="I33" s="287"/>
      <c r="J33" s="287"/>
      <c r="K33" s="287"/>
      <c r="L33" s="287"/>
      <c r="M33" s="287"/>
      <c r="N33" s="287"/>
      <c r="O33" s="287" t="s">
        <v>1156</v>
      </c>
      <c r="P33" s="287"/>
      <c r="Q33" s="287"/>
      <c r="R33" s="287"/>
      <c r="S33" s="287"/>
      <c r="T33" s="287"/>
    </row>
    <row r="34" spans="2:22" x14ac:dyDescent="0.3">
      <c r="D34" s="286" t="s">
        <v>1123</v>
      </c>
      <c r="E34" s="286"/>
      <c r="F34" s="286"/>
      <c r="G34" s="286"/>
      <c r="H34" s="286"/>
      <c r="I34" s="287"/>
      <c r="J34" s="287"/>
      <c r="K34" s="287"/>
      <c r="L34" s="287"/>
      <c r="M34" s="287"/>
      <c r="N34" s="287"/>
      <c r="O34" s="287" t="s">
        <v>1157</v>
      </c>
      <c r="P34" s="287"/>
      <c r="Q34" s="287"/>
      <c r="R34" s="287"/>
      <c r="S34" s="287"/>
      <c r="T34" s="287"/>
    </row>
    <row r="35" spans="2:22" x14ac:dyDescent="0.3">
      <c r="D35" s="286" t="s">
        <v>1124</v>
      </c>
      <c r="E35" s="286"/>
      <c r="F35" s="286"/>
      <c r="G35" s="286"/>
      <c r="H35" s="286"/>
      <c r="I35" s="287"/>
      <c r="J35" s="287"/>
      <c r="K35" s="287"/>
      <c r="L35" s="287"/>
      <c r="M35" s="287"/>
      <c r="N35" s="287"/>
      <c r="O35" s="287" t="s">
        <v>1158</v>
      </c>
      <c r="P35" s="287"/>
      <c r="Q35" s="287"/>
      <c r="R35" s="287"/>
      <c r="S35" s="287"/>
      <c r="T35" s="287"/>
    </row>
    <row r="36" spans="2:22" x14ac:dyDescent="0.3">
      <c r="D36" s="286" t="s">
        <v>1125</v>
      </c>
      <c r="E36" s="286"/>
      <c r="F36" s="286"/>
      <c r="G36" s="286"/>
      <c r="H36" s="286"/>
      <c r="I36" s="287" t="s">
        <v>1137</v>
      </c>
      <c r="J36" s="287"/>
      <c r="K36" s="287"/>
      <c r="L36" s="287"/>
      <c r="M36" s="287"/>
      <c r="N36" s="287"/>
      <c r="O36" s="287" t="s">
        <v>1159</v>
      </c>
      <c r="P36" s="287"/>
      <c r="Q36" s="287"/>
      <c r="R36" s="287"/>
      <c r="S36" s="287"/>
      <c r="T36" s="287"/>
    </row>
    <row r="37" spans="2:22" x14ac:dyDescent="0.3">
      <c r="D37" s="286" t="s">
        <v>1126</v>
      </c>
      <c r="E37" s="286"/>
      <c r="F37" s="286"/>
      <c r="G37" s="286"/>
      <c r="H37" s="286"/>
      <c r="I37" s="287" t="s">
        <v>1137</v>
      </c>
      <c r="J37" s="287"/>
      <c r="K37" s="287"/>
      <c r="L37" s="287"/>
      <c r="M37" s="287"/>
      <c r="N37" s="287"/>
      <c r="O37" s="322" t="s">
        <v>1163</v>
      </c>
      <c r="P37" s="287"/>
      <c r="Q37" s="287"/>
      <c r="R37" s="287"/>
      <c r="S37" s="287"/>
      <c r="T37" s="287"/>
    </row>
    <row r="38" spans="2:22" x14ac:dyDescent="0.3">
      <c r="D38" s="286" t="s">
        <v>1127</v>
      </c>
      <c r="E38" s="286"/>
      <c r="F38" s="286"/>
      <c r="G38" s="286"/>
      <c r="H38" s="286"/>
      <c r="I38" s="287" t="s">
        <v>1137</v>
      </c>
      <c r="J38" s="287"/>
      <c r="K38" s="287"/>
      <c r="L38" s="287"/>
      <c r="M38" s="287"/>
      <c r="N38" s="287"/>
      <c r="O38" s="288" t="s">
        <v>1163</v>
      </c>
      <c r="P38" s="287"/>
      <c r="Q38" s="287"/>
      <c r="R38" s="287"/>
      <c r="S38" s="287"/>
      <c r="T38" s="287"/>
    </row>
    <row r="39" spans="2:22" x14ac:dyDescent="0.3">
      <c r="D39" s="274" t="s">
        <v>1128</v>
      </c>
      <c r="E39" s="286"/>
      <c r="F39" s="286"/>
      <c r="G39" s="286"/>
      <c r="H39" s="286"/>
      <c r="I39" s="287"/>
      <c r="J39" s="287"/>
      <c r="K39" s="287"/>
      <c r="L39" s="287"/>
      <c r="M39" s="287"/>
      <c r="N39" s="287"/>
      <c r="O39" s="287"/>
      <c r="P39" s="287"/>
      <c r="Q39" s="287"/>
      <c r="R39" s="287"/>
      <c r="S39" s="287"/>
      <c r="T39" s="287"/>
    </row>
    <row r="40" spans="2:22" x14ac:dyDescent="0.3">
      <c r="D40" s="286" t="s">
        <v>1129</v>
      </c>
      <c r="E40" s="286"/>
      <c r="F40" s="286"/>
      <c r="G40" s="286"/>
      <c r="H40" s="286"/>
      <c r="I40" s="287" t="s">
        <v>258</v>
      </c>
      <c r="J40" s="287"/>
      <c r="K40" s="287"/>
      <c r="L40" s="287"/>
      <c r="M40" s="287"/>
      <c r="N40" s="287"/>
      <c r="O40" s="287" t="s">
        <v>1164</v>
      </c>
      <c r="P40" s="287"/>
      <c r="Q40" s="287"/>
      <c r="R40" s="287"/>
      <c r="S40" s="287"/>
      <c r="T40" s="287"/>
    </row>
    <row r="41" spans="2:22" x14ac:dyDescent="0.3">
      <c r="D41" s="286" t="s">
        <v>1130</v>
      </c>
      <c r="E41" s="286"/>
      <c r="F41" s="286"/>
      <c r="G41" s="286"/>
      <c r="H41" s="286"/>
      <c r="I41" s="287" t="s">
        <v>258</v>
      </c>
      <c r="J41" s="287"/>
      <c r="K41" s="287"/>
      <c r="L41" s="287"/>
      <c r="M41" s="287"/>
      <c r="N41" s="287"/>
      <c r="O41" s="287" t="s">
        <v>1165</v>
      </c>
      <c r="P41" s="287"/>
      <c r="Q41" s="287"/>
      <c r="R41" s="287"/>
      <c r="S41" s="287"/>
      <c r="T41" s="287"/>
    </row>
    <row r="42" spans="2:22" x14ac:dyDescent="0.3">
      <c r="D42" s="286" t="s">
        <v>1131</v>
      </c>
      <c r="E42" s="286"/>
      <c r="F42" s="286"/>
      <c r="G42" s="286"/>
      <c r="H42" s="286"/>
      <c r="I42" s="287" t="s">
        <v>258</v>
      </c>
      <c r="J42" s="287"/>
      <c r="K42" s="287"/>
      <c r="L42" s="287"/>
      <c r="M42" s="287"/>
      <c r="N42" s="287"/>
      <c r="O42" s="287" t="s">
        <v>1166</v>
      </c>
      <c r="P42" s="287"/>
      <c r="Q42" s="287"/>
      <c r="R42" s="287"/>
      <c r="S42" s="287"/>
      <c r="T42" s="287"/>
    </row>
    <row r="43" spans="2:22" x14ac:dyDescent="0.3">
      <c r="D43" s="286" t="s">
        <v>1132</v>
      </c>
      <c r="E43" s="286"/>
      <c r="F43" s="286"/>
      <c r="G43" s="286"/>
      <c r="H43" s="286"/>
      <c r="I43" s="287" t="s">
        <v>258</v>
      </c>
      <c r="J43" s="287"/>
      <c r="K43" s="287"/>
      <c r="L43" s="287"/>
      <c r="M43" s="287"/>
      <c r="N43" s="287"/>
      <c r="O43" s="287" t="s">
        <v>1167</v>
      </c>
      <c r="P43" s="287"/>
      <c r="Q43" s="287"/>
      <c r="R43" s="287"/>
      <c r="S43" s="287"/>
      <c r="T43" s="287"/>
    </row>
    <row r="44" spans="2:22" x14ac:dyDescent="0.3">
      <c r="D44" s="286"/>
      <c r="E44" s="286"/>
      <c r="F44" s="286"/>
      <c r="G44" s="286"/>
      <c r="H44" s="286"/>
      <c r="I44" s="287"/>
      <c r="J44" s="287"/>
      <c r="K44" s="287"/>
      <c r="L44" s="287"/>
      <c r="M44" s="287"/>
      <c r="N44" s="287"/>
      <c r="O44" s="287"/>
      <c r="P44" s="287"/>
      <c r="Q44" s="287"/>
      <c r="R44" s="287"/>
      <c r="S44" s="287"/>
      <c r="T44" s="287"/>
    </row>
    <row r="45" spans="2:22" x14ac:dyDescent="0.3">
      <c r="D45" s="286"/>
      <c r="E45" s="286"/>
      <c r="F45" s="286"/>
      <c r="G45" s="286"/>
      <c r="H45" s="286"/>
      <c r="I45" s="287"/>
      <c r="J45" s="287"/>
      <c r="K45" s="287"/>
      <c r="L45" s="287"/>
      <c r="M45" s="287"/>
      <c r="N45" s="287"/>
      <c r="O45" s="287"/>
      <c r="P45" s="287"/>
      <c r="Q45" s="287"/>
      <c r="R45" s="287"/>
      <c r="S45" s="287"/>
      <c r="T45" s="287"/>
    </row>
    <row r="46" spans="2:22" x14ac:dyDescent="0.3">
      <c r="B46" s="297" t="s">
        <v>389</v>
      </c>
      <c r="C46" s="297"/>
      <c r="D46" s="291" t="s">
        <v>388</v>
      </c>
      <c r="E46" s="291"/>
      <c r="F46" s="291"/>
      <c r="G46" s="291"/>
      <c r="H46" s="291" t="s">
        <v>300</v>
      </c>
      <c r="I46" s="291"/>
      <c r="J46" s="291"/>
      <c r="K46" s="291" t="s">
        <v>129</v>
      </c>
      <c r="L46" s="291"/>
      <c r="M46" s="291"/>
      <c r="N46" s="291" t="s">
        <v>301</v>
      </c>
      <c r="O46" s="291"/>
      <c r="P46" s="291"/>
      <c r="Q46" s="291" t="s">
        <v>302</v>
      </c>
      <c r="R46" s="291"/>
      <c r="S46" s="291"/>
      <c r="T46" s="291" t="s">
        <v>334</v>
      </c>
      <c r="U46" s="291"/>
      <c r="V46" s="291"/>
    </row>
    <row r="47" spans="2:22" x14ac:dyDescent="0.3">
      <c r="D47" s="274" t="s">
        <v>1168</v>
      </c>
      <c r="E47" s="286"/>
      <c r="F47" s="286"/>
      <c r="G47" s="286"/>
      <c r="H47" s="286"/>
      <c r="I47" s="286"/>
      <c r="J47" s="286"/>
      <c r="K47" s="286"/>
      <c r="L47" s="286"/>
      <c r="M47" s="286"/>
      <c r="N47" s="286"/>
      <c r="O47" s="286"/>
      <c r="P47" s="286"/>
      <c r="Q47" s="286"/>
      <c r="R47" s="286"/>
      <c r="S47" s="286"/>
      <c r="T47" s="286"/>
      <c r="U47" s="286"/>
      <c r="V47" s="286"/>
    </row>
    <row r="48" spans="2:22" x14ac:dyDescent="0.3">
      <c r="D48" s="286" t="s">
        <v>645</v>
      </c>
      <c r="E48" s="286"/>
      <c r="F48" s="286"/>
      <c r="G48" s="286"/>
      <c r="H48" s="286" t="s">
        <v>325</v>
      </c>
      <c r="I48" s="286"/>
      <c r="J48" s="286"/>
      <c r="K48" s="286" t="s">
        <v>186</v>
      </c>
      <c r="L48" s="286"/>
      <c r="M48" s="286"/>
      <c r="N48" s="286" t="s">
        <v>403</v>
      </c>
      <c r="O48" s="286"/>
      <c r="P48" s="286"/>
      <c r="Q48" s="294">
        <f>'Kebutuhan Air Total'!G26</f>
        <v>0.68287864897272743</v>
      </c>
      <c r="R48" s="294"/>
      <c r="S48" s="294"/>
      <c r="T48" s="286"/>
      <c r="U48" s="286"/>
      <c r="V48" s="286"/>
    </row>
    <row r="49" spans="4:22" x14ac:dyDescent="0.3">
      <c r="D49" s="286" t="s">
        <v>1115</v>
      </c>
      <c r="E49" s="286"/>
      <c r="F49" s="286"/>
      <c r="G49" s="286"/>
      <c r="H49" s="286" t="s">
        <v>1175</v>
      </c>
      <c r="I49" s="286"/>
      <c r="J49" s="286"/>
      <c r="K49" s="286" t="s">
        <v>1133</v>
      </c>
      <c r="L49" s="286"/>
      <c r="M49" s="286"/>
      <c r="N49" s="286" t="s">
        <v>311</v>
      </c>
      <c r="O49" s="286"/>
      <c r="P49" s="286"/>
      <c r="Q49" s="300">
        <v>195</v>
      </c>
      <c r="R49" s="301"/>
      <c r="S49" s="301"/>
      <c r="T49" s="286"/>
      <c r="U49" s="286"/>
      <c r="V49" s="286"/>
    </row>
    <row r="50" spans="4:22" x14ac:dyDescent="0.3">
      <c r="D50" s="286" t="s">
        <v>1116</v>
      </c>
      <c r="E50" s="286"/>
      <c r="F50" s="286"/>
      <c r="G50" s="286"/>
      <c r="H50" s="286" t="s">
        <v>1176</v>
      </c>
      <c r="I50" s="286"/>
      <c r="J50" s="286"/>
      <c r="K50" s="286" t="s">
        <v>1133</v>
      </c>
      <c r="L50" s="286"/>
      <c r="M50" s="286"/>
      <c r="N50" s="286" t="s">
        <v>311</v>
      </c>
      <c r="O50" s="286"/>
      <c r="P50" s="286"/>
      <c r="Q50" s="286">
        <v>975</v>
      </c>
      <c r="R50" s="286"/>
      <c r="S50" s="286"/>
      <c r="T50" s="286"/>
      <c r="U50" s="286"/>
      <c r="V50" s="286"/>
    </row>
    <row r="51" spans="4:22" x14ac:dyDescent="0.3">
      <c r="D51" s="286" t="s">
        <v>1169</v>
      </c>
      <c r="E51" s="286"/>
      <c r="F51" s="286"/>
      <c r="G51" s="286"/>
      <c r="H51" s="286" t="s">
        <v>1177</v>
      </c>
      <c r="I51" s="286"/>
      <c r="J51" s="286"/>
      <c r="K51" s="286"/>
      <c r="L51" s="286"/>
      <c r="M51" s="286"/>
      <c r="N51" s="286" t="s">
        <v>311</v>
      </c>
      <c r="O51" s="286"/>
      <c r="P51" s="286"/>
      <c r="Q51" s="355" t="s">
        <v>1189</v>
      </c>
      <c r="R51" s="286"/>
      <c r="S51" s="286"/>
      <c r="T51" s="286"/>
      <c r="U51" s="286"/>
      <c r="V51" s="286"/>
    </row>
    <row r="52" spans="4:22" x14ac:dyDescent="0.3">
      <c r="D52" s="286" t="s">
        <v>1170</v>
      </c>
      <c r="E52" s="286"/>
      <c r="F52" s="286"/>
      <c r="G52" s="286"/>
      <c r="H52" s="286"/>
      <c r="I52" s="286"/>
      <c r="J52" s="286"/>
      <c r="K52" s="286"/>
      <c r="L52" s="286"/>
      <c r="M52" s="286"/>
      <c r="N52" s="286"/>
      <c r="O52" s="286"/>
      <c r="P52" s="286"/>
      <c r="Q52" s="170"/>
      <c r="R52" s="286"/>
      <c r="S52" s="286"/>
      <c r="T52" s="286"/>
      <c r="U52" s="286"/>
      <c r="V52" s="286"/>
    </row>
    <row r="53" spans="4:22" x14ac:dyDescent="0.3">
      <c r="D53" s="286" t="s">
        <v>1190</v>
      </c>
      <c r="E53" s="286"/>
      <c r="F53" s="286"/>
      <c r="G53" s="286"/>
      <c r="H53" s="286"/>
      <c r="I53" s="286"/>
      <c r="J53" s="286"/>
      <c r="K53" s="286" t="s">
        <v>516</v>
      </c>
      <c r="L53" s="286"/>
      <c r="M53" s="286"/>
      <c r="N53" s="286" t="s">
        <v>311</v>
      </c>
      <c r="O53" s="286"/>
      <c r="P53" s="286"/>
      <c r="Q53" s="170">
        <v>20</v>
      </c>
      <c r="R53" s="286"/>
      <c r="S53" s="286"/>
      <c r="T53" s="286"/>
      <c r="U53" s="286"/>
      <c r="V53" s="286"/>
    </row>
    <row r="54" spans="4:22" x14ac:dyDescent="0.3">
      <c r="D54" s="286" t="s">
        <v>1191</v>
      </c>
      <c r="E54" s="286"/>
      <c r="F54" s="286"/>
      <c r="G54" s="286"/>
      <c r="H54" s="286"/>
      <c r="I54" s="286"/>
      <c r="J54" s="286"/>
      <c r="K54" s="286" t="s">
        <v>644</v>
      </c>
      <c r="L54" s="286"/>
      <c r="M54" s="286"/>
      <c r="N54" s="286" t="s">
        <v>311</v>
      </c>
      <c r="O54" s="286"/>
      <c r="P54" s="286"/>
      <c r="Q54" s="170">
        <v>0.45</v>
      </c>
      <c r="R54" s="286"/>
      <c r="S54" s="286"/>
      <c r="T54" s="286"/>
      <c r="U54" s="286"/>
      <c r="V54" s="286"/>
    </row>
    <row r="55" spans="4:22" x14ac:dyDescent="0.3">
      <c r="D55" s="286" t="s">
        <v>1192</v>
      </c>
      <c r="E55" s="286"/>
      <c r="F55" s="286"/>
      <c r="G55" s="286"/>
      <c r="H55" s="286"/>
      <c r="I55" s="286"/>
      <c r="J55" s="286"/>
      <c r="K55" s="286"/>
      <c r="L55" s="286"/>
      <c r="M55" s="286"/>
      <c r="N55" s="286" t="s">
        <v>311</v>
      </c>
      <c r="O55" s="286"/>
      <c r="P55" s="286"/>
      <c r="Q55" s="170">
        <v>1.5</v>
      </c>
      <c r="R55" s="286"/>
      <c r="S55" s="286"/>
      <c r="T55" s="286"/>
      <c r="U55" s="286"/>
      <c r="V55" s="286"/>
    </row>
    <row r="56" spans="4:22" x14ac:dyDescent="0.3">
      <c r="D56" s="286" t="s">
        <v>1193</v>
      </c>
      <c r="E56" s="286"/>
      <c r="F56" s="286"/>
      <c r="G56" s="286"/>
      <c r="H56" s="286"/>
      <c r="I56" s="286"/>
      <c r="J56" s="286"/>
      <c r="K56" s="286"/>
      <c r="L56" s="286"/>
      <c r="M56" s="286"/>
      <c r="N56" s="286" t="s">
        <v>311</v>
      </c>
      <c r="O56" s="286"/>
      <c r="P56" s="286"/>
      <c r="Q56" s="170">
        <v>2.65</v>
      </c>
      <c r="R56" s="286"/>
      <c r="S56" s="286"/>
      <c r="T56" s="286"/>
      <c r="U56" s="286"/>
      <c r="V56" s="286"/>
    </row>
    <row r="57" spans="4:22" x14ac:dyDescent="0.3">
      <c r="D57" s="286" t="s">
        <v>1194</v>
      </c>
      <c r="E57" s="286"/>
      <c r="F57" s="286"/>
      <c r="G57" s="286"/>
      <c r="H57" s="286"/>
      <c r="I57" s="286"/>
      <c r="J57" s="286"/>
      <c r="K57" s="286"/>
      <c r="L57" s="286"/>
      <c r="M57" s="286"/>
      <c r="N57" s="286" t="s">
        <v>311</v>
      </c>
      <c r="O57" s="286"/>
      <c r="P57" s="286"/>
      <c r="Q57" s="170">
        <v>0.82</v>
      </c>
      <c r="R57" s="286"/>
      <c r="S57" s="286"/>
      <c r="T57" s="286"/>
      <c r="U57" s="286"/>
      <c r="V57" s="286"/>
    </row>
    <row r="58" spans="4:22" x14ac:dyDescent="0.3">
      <c r="D58" s="286" t="s">
        <v>1195</v>
      </c>
      <c r="E58" s="286"/>
      <c r="F58" s="286"/>
      <c r="G58" s="286"/>
      <c r="H58" s="286"/>
      <c r="I58" s="286"/>
      <c r="J58" s="286"/>
      <c r="K58" s="286"/>
      <c r="L58" s="286"/>
      <c r="M58" s="286"/>
      <c r="N58" s="286" t="s">
        <v>311</v>
      </c>
      <c r="O58" s="286"/>
      <c r="P58" s="286"/>
      <c r="Q58" s="170">
        <v>0.42</v>
      </c>
      <c r="R58" s="286"/>
      <c r="S58" s="286"/>
      <c r="T58" s="286"/>
      <c r="U58" s="286"/>
      <c r="V58" s="286"/>
    </row>
    <row r="59" spans="4:22" x14ac:dyDescent="0.3">
      <c r="D59" s="286" t="s">
        <v>1196</v>
      </c>
      <c r="E59" s="286"/>
      <c r="F59" s="286"/>
      <c r="G59" s="286"/>
      <c r="H59" s="286"/>
      <c r="I59" s="286"/>
      <c r="J59" s="286"/>
      <c r="K59" s="286" t="s">
        <v>516</v>
      </c>
      <c r="L59" s="286"/>
      <c r="M59" s="286"/>
      <c r="N59" s="286" t="s">
        <v>311</v>
      </c>
      <c r="O59" s="286"/>
      <c r="P59" s="286"/>
      <c r="Q59" s="170">
        <v>60</v>
      </c>
      <c r="R59" s="286"/>
      <c r="S59" s="286"/>
      <c r="T59" s="286"/>
      <c r="U59" s="286"/>
      <c r="V59" s="286"/>
    </row>
    <row r="60" spans="4:22" x14ac:dyDescent="0.3">
      <c r="D60" s="286" t="s">
        <v>1197</v>
      </c>
      <c r="E60" s="286"/>
      <c r="F60" s="286"/>
      <c r="G60" s="286"/>
      <c r="H60" s="286"/>
      <c r="I60" s="286"/>
      <c r="J60" s="286"/>
      <c r="K60" s="286" t="s">
        <v>644</v>
      </c>
      <c r="L60" s="286"/>
      <c r="M60" s="286"/>
      <c r="N60" s="286" t="s">
        <v>311</v>
      </c>
      <c r="O60" s="286"/>
      <c r="P60" s="286"/>
      <c r="Q60" s="170">
        <v>1.1000000000000001</v>
      </c>
      <c r="R60" s="286"/>
      <c r="S60" s="286"/>
      <c r="T60" s="286"/>
      <c r="U60" s="286"/>
      <c r="V60" s="286"/>
    </row>
    <row r="61" spans="4:22" x14ac:dyDescent="0.3">
      <c r="D61" s="286" t="s">
        <v>1198</v>
      </c>
      <c r="E61" s="286"/>
      <c r="F61" s="286"/>
      <c r="G61" s="286"/>
      <c r="H61" s="286"/>
      <c r="I61" s="286"/>
      <c r="J61" s="286"/>
      <c r="K61" s="286"/>
      <c r="L61" s="286"/>
      <c r="M61" s="286"/>
      <c r="N61" s="286" t="s">
        <v>311</v>
      </c>
      <c r="O61" s="286"/>
      <c r="P61" s="286"/>
      <c r="Q61" s="170">
        <v>1.6</v>
      </c>
      <c r="R61" s="286"/>
      <c r="S61" s="286"/>
      <c r="T61" s="286"/>
      <c r="U61" s="286"/>
      <c r="V61" s="286"/>
    </row>
    <row r="62" spans="4:22" x14ac:dyDescent="0.3">
      <c r="D62" s="286" t="s">
        <v>1199</v>
      </c>
      <c r="E62" s="286"/>
      <c r="F62" s="286"/>
      <c r="G62" s="286"/>
      <c r="H62" s="286"/>
      <c r="I62" s="286"/>
      <c r="J62" s="286"/>
      <c r="K62" s="286"/>
      <c r="L62" s="286"/>
      <c r="M62" s="286"/>
      <c r="N62" s="286" t="s">
        <v>311</v>
      </c>
      <c r="O62" s="286"/>
      <c r="P62" s="286"/>
      <c r="Q62" s="170">
        <v>1.6</v>
      </c>
      <c r="R62" s="286"/>
      <c r="S62" s="286"/>
      <c r="T62" s="286"/>
      <c r="U62" s="286"/>
      <c r="V62" s="286"/>
    </row>
    <row r="63" spans="4:22" x14ac:dyDescent="0.3">
      <c r="D63" s="286" t="s">
        <v>1200</v>
      </c>
      <c r="E63" s="286"/>
      <c r="F63" s="286"/>
      <c r="G63" s="286"/>
      <c r="H63" s="286"/>
      <c r="I63" s="286"/>
      <c r="J63" s="286"/>
      <c r="K63" s="286"/>
      <c r="L63" s="286"/>
      <c r="M63" s="286"/>
      <c r="N63" s="286" t="s">
        <v>311</v>
      </c>
      <c r="O63" s="286"/>
      <c r="P63" s="286"/>
      <c r="Q63" s="170">
        <v>0.72</v>
      </c>
      <c r="R63" s="286"/>
      <c r="S63" s="286"/>
      <c r="T63" s="286"/>
      <c r="U63" s="286"/>
      <c r="V63" s="286"/>
    </row>
    <row r="64" spans="4:22" x14ac:dyDescent="0.3">
      <c r="D64" s="286" t="s">
        <v>1201</v>
      </c>
      <c r="E64" s="286"/>
      <c r="F64" s="286"/>
      <c r="G64" s="286"/>
      <c r="H64" s="286"/>
      <c r="I64" s="286"/>
      <c r="J64" s="286"/>
      <c r="K64" s="286"/>
      <c r="L64" s="286"/>
      <c r="M64" s="286"/>
      <c r="N64" s="286" t="s">
        <v>311</v>
      </c>
      <c r="O64" s="286"/>
      <c r="P64" s="286"/>
      <c r="Q64" s="170">
        <v>0.42</v>
      </c>
      <c r="R64" s="286"/>
      <c r="S64" s="286"/>
      <c r="T64" s="286"/>
      <c r="U64" s="286"/>
      <c r="V64" s="286"/>
    </row>
    <row r="65" spans="2:22" x14ac:dyDescent="0.3">
      <c r="D65" t="s">
        <v>1171</v>
      </c>
      <c r="K65" s="286"/>
      <c r="L65" s="286"/>
      <c r="M65" s="286"/>
      <c r="N65" s="286"/>
      <c r="O65" s="286"/>
      <c r="P65" s="286"/>
      <c r="Q65" s="170"/>
      <c r="R65" s="286"/>
      <c r="S65" s="286"/>
      <c r="T65" s="286"/>
      <c r="U65" s="286"/>
      <c r="V65" s="286"/>
    </row>
    <row r="66" spans="2:22" x14ac:dyDescent="0.3">
      <c r="D66" s="286" t="s">
        <v>1172</v>
      </c>
      <c r="E66" s="286"/>
      <c r="F66" s="286"/>
      <c r="G66" s="286"/>
      <c r="H66" s="286" t="s">
        <v>1182</v>
      </c>
      <c r="I66" s="286"/>
      <c r="J66" s="286"/>
      <c r="K66" s="286" t="s">
        <v>275</v>
      </c>
      <c r="L66" s="286"/>
      <c r="M66" s="286"/>
      <c r="N66" s="286"/>
      <c r="O66" s="286"/>
      <c r="P66" s="286"/>
      <c r="Q66" s="170">
        <v>5</v>
      </c>
      <c r="R66" s="286"/>
      <c r="S66" s="286"/>
      <c r="T66" s="286"/>
      <c r="U66" s="286"/>
      <c r="V66" s="286"/>
    </row>
    <row r="67" spans="2:22" x14ac:dyDescent="0.3">
      <c r="D67" s="286" t="s">
        <v>1173</v>
      </c>
      <c r="E67" s="286"/>
      <c r="F67" s="286"/>
      <c r="G67" s="286"/>
      <c r="H67" s="286" t="s">
        <v>1183</v>
      </c>
      <c r="I67" s="286"/>
      <c r="J67" s="286"/>
      <c r="K67" s="286" t="s">
        <v>259</v>
      </c>
      <c r="L67" s="286"/>
      <c r="M67" s="286"/>
      <c r="N67" s="286"/>
      <c r="O67" s="286"/>
      <c r="P67" s="286"/>
      <c r="Q67" s="170">
        <v>1</v>
      </c>
      <c r="R67" s="286"/>
      <c r="S67" s="286"/>
      <c r="T67" s="286"/>
      <c r="U67" s="286"/>
      <c r="V67" s="286"/>
    </row>
    <row r="68" spans="2:22" x14ac:dyDescent="0.3">
      <c r="D68" s="274" t="s">
        <v>1121</v>
      </c>
      <c r="E68" s="286"/>
      <c r="F68" s="286"/>
      <c r="G68" s="286"/>
      <c r="H68" s="286"/>
      <c r="I68" s="286"/>
      <c r="J68" s="286"/>
      <c r="K68" s="286"/>
      <c r="L68" s="286"/>
      <c r="M68" s="286"/>
      <c r="N68" s="286"/>
      <c r="O68" s="286"/>
      <c r="P68" s="286"/>
      <c r="Q68" s="170"/>
      <c r="R68" s="286"/>
      <c r="S68" s="286"/>
      <c r="T68" s="286"/>
      <c r="U68" s="286"/>
      <c r="V68" s="286"/>
    </row>
    <row r="69" spans="2:22" x14ac:dyDescent="0.3">
      <c r="D69" s="286" t="s">
        <v>1122</v>
      </c>
      <c r="E69" s="286"/>
      <c r="F69" s="286"/>
      <c r="G69" s="286"/>
      <c r="H69" s="286"/>
      <c r="I69" s="286"/>
      <c r="J69" s="286"/>
      <c r="K69" s="286"/>
      <c r="L69" s="286"/>
      <c r="M69" s="286"/>
      <c r="N69" s="286"/>
      <c r="O69" s="286"/>
      <c r="P69" s="286"/>
      <c r="Q69" s="170" t="s">
        <v>1202</v>
      </c>
      <c r="R69" s="286"/>
      <c r="S69" s="286"/>
      <c r="T69" s="286"/>
      <c r="U69" s="286"/>
      <c r="V69" s="286"/>
    </row>
    <row r="70" spans="2:22" x14ac:dyDescent="0.3">
      <c r="D70" s="286" t="s">
        <v>1123</v>
      </c>
      <c r="E70" s="286"/>
      <c r="F70" s="286"/>
      <c r="G70" s="286"/>
      <c r="H70" s="286"/>
      <c r="I70" s="286"/>
      <c r="J70" s="286"/>
      <c r="K70" s="286"/>
      <c r="L70" s="286"/>
      <c r="M70" s="286"/>
      <c r="N70" s="286"/>
      <c r="O70" s="286"/>
      <c r="P70" s="286"/>
      <c r="Q70" s="170" t="s">
        <v>1203</v>
      </c>
      <c r="R70" s="286"/>
      <c r="S70" s="286"/>
      <c r="T70" s="286"/>
      <c r="U70" s="286"/>
      <c r="V70" s="286"/>
    </row>
    <row r="71" spans="2:22" x14ac:dyDescent="0.3">
      <c r="D71" s="286" t="s">
        <v>1174</v>
      </c>
      <c r="E71" s="286"/>
      <c r="F71" s="286"/>
      <c r="G71" s="286"/>
      <c r="H71" s="286"/>
      <c r="I71" s="286"/>
      <c r="J71" s="286"/>
      <c r="K71" s="286"/>
      <c r="L71" s="286"/>
      <c r="M71" s="286"/>
      <c r="N71" s="286"/>
      <c r="O71" s="286"/>
      <c r="P71" s="286"/>
      <c r="Q71" s="170" t="s">
        <v>1204</v>
      </c>
      <c r="R71" s="286"/>
      <c r="S71" s="286"/>
      <c r="T71" s="286"/>
      <c r="U71" s="286"/>
      <c r="V71" s="286"/>
    </row>
    <row r="72" spans="2:22" x14ac:dyDescent="0.3">
      <c r="D72" s="286" t="s">
        <v>1125</v>
      </c>
      <c r="E72" s="286"/>
      <c r="F72" s="286"/>
      <c r="G72" s="286"/>
      <c r="H72" s="286" t="s">
        <v>1184</v>
      </c>
      <c r="I72" s="286"/>
      <c r="J72" s="286"/>
      <c r="K72" s="286" t="s">
        <v>1137</v>
      </c>
      <c r="L72" s="286"/>
      <c r="M72" s="286"/>
      <c r="N72" s="286"/>
      <c r="O72" s="286"/>
      <c r="P72" s="286"/>
      <c r="Q72" s="170">
        <v>0.5</v>
      </c>
      <c r="R72" s="286"/>
      <c r="S72" s="286"/>
      <c r="T72" s="286"/>
      <c r="U72" s="286"/>
      <c r="V72" s="286"/>
    </row>
    <row r="73" spans="2:22" x14ac:dyDescent="0.3">
      <c r="D73" s="286" t="s">
        <v>1127</v>
      </c>
      <c r="E73" s="286"/>
      <c r="F73" s="286"/>
      <c r="G73" s="286"/>
      <c r="H73" s="286" t="s">
        <v>1185</v>
      </c>
      <c r="I73" s="286"/>
      <c r="J73" s="286"/>
      <c r="K73" s="286" t="s">
        <v>1137</v>
      </c>
      <c r="L73" s="286"/>
      <c r="M73" s="286"/>
      <c r="N73" s="286"/>
      <c r="O73" s="286"/>
      <c r="P73" s="286"/>
      <c r="Q73" s="170">
        <v>5</v>
      </c>
      <c r="R73" s="286"/>
      <c r="S73" s="286"/>
      <c r="T73" s="286"/>
      <c r="U73" s="286"/>
      <c r="V73" s="286"/>
    </row>
    <row r="74" spans="2:22" x14ac:dyDescent="0.3">
      <c r="D74" s="274" t="s">
        <v>1128</v>
      </c>
      <c r="E74" s="286"/>
      <c r="F74" s="286"/>
      <c r="G74" s="286"/>
      <c r="H74" s="286"/>
      <c r="I74" s="286"/>
      <c r="J74" s="286"/>
      <c r="K74" s="286"/>
      <c r="L74" s="286"/>
      <c r="M74" s="286"/>
      <c r="N74" s="286"/>
      <c r="O74" s="286"/>
      <c r="P74" s="286"/>
      <c r="Q74" s="170"/>
      <c r="R74" s="286"/>
      <c r="S74" s="286"/>
      <c r="T74" s="286"/>
      <c r="U74" s="286"/>
      <c r="V74" s="286"/>
    </row>
    <row r="75" spans="2:22" x14ac:dyDescent="0.3">
      <c r="D75" s="286" t="s">
        <v>1129</v>
      </c>
      <c r="E75" s="286"/>
      <c r="F75" s="286"/>
      <c r="G75" s="286"/>
      <c r="H75" s="286" t="s">
        <v>1186</v>
      </c>
      <c r="I75" s="286"/>
      <c r="J75" s="286"/>
      <c r="K75" s="286" t="s">
        <v>258</v>
      </c>
      <c r="L75" s="286"/>
      <c r="M75" s="286"/>
      <c r="N75" s="286"/>
      <c r="O75" s="286"/>
      <c r="P75" s="286"/>
      <c r="Q75" s="170">
        <v>1</v>
      </c>
      <c r="R75" s="286"/>
      <c r="S75" s="286"/>
      <c r="T75" s="286"/>
      <c r="U75" s="286"/>
      <c r="V75" s="286"/>
    </row>
    <row r="76" spans="2:22" x14ac:dyDescent="0.3">
      <c r="D76" s="286" t="s">
        <v>1130</v>
      </c>
      <c r="E76" s="286"/>
      <c r="F76" s="286"/>
      <c r="G76" s="286"/>
      <c r="H76" s="286" t="s">
        <v>1187</v>
      </c>
      <c r="I76" s="286"/>
      <c r="J76" s="286"/>
      <c r="K76" s="286" t="s">
        <v>258</v>
      </c>
      <c r="L76" s="286"/>
      <c r="M76" s="286"/>
      <c r="N76" s="286"/>
      <c r="O76" s="286"/>
      <c r="P76" s="286"/>
      <c r="Q76" s="170">
        <v>1</v>
      </c>
      <c r="R76" s="286"/>
      <c r="S76" s="286"/>
      <c r="T76" s="286"/>
      <c r="U76" s="286"/>
      <c r="V76" s="286"/>
    </row>
    <row r="77" spans="2:22" x14ac:dyDescent="0.3">
      <c r="D77" s="286" t="s">
        <v>1131</v>
      </c>
      <c r="E77" s="286"/>
      <c r="F77" s="286"/>
      <c r="G77" s="286"/>
      <c r="H77" s="286" t="s">
        <v>1188</v>
      </c>
      <c r="I77" s="286"/>
      <c r="J77" s="286"/>
      <c r="K77" s="286" t="s">
        <v>258</v>
      </c>
      <c r="L77" s="286"/>
      <c r="M77" s="286"/>
      <c r="N77" s="286"/>
      <c r="O77" s="286"/>
      <c r="P77" s="286"/>
      <c r="Q77" s="170">
        <v>3</v>
      </c>
      <c r="R77" s="286"/>
      <c r="S77" s="286"/>
      <c r="T77" s="286"/>
      <c r="U77" s="286"/>
      <c r="V77" s="286"/>
    </row>
    <row r="78" spans="2:22" x14ac:dyDescent="0.3">
      <c r="D78" s="286" t="s">
        <v>1132</v>
      </c>
      <c r="E78" s="286"/>
      <c r="F78" s="286"/>
      <c r="G78" s="286"/>
      <c r="H78" s="286" t="s">
        <v>1176</v>
      </c>
      <c r="I78" s="286"/>
      <c r="J78" s="286"/>
      <c r="K78" s="286" t="s">
        <v>258</v>
      </c>
      <c r="L78" s="286"/>
      <c r="M78" s="286"/>
      <c r="N78" s="286"/>
      <c r="O78" s="286"/>
      <c r="P78" s="286"/>
      <c r="Q78" s="170">
        <v>2</v>
      </c>
      <c r="R78" s="286"/>
      <c r="S78" s="286"/>
      <c r="T78" s="286"/>
      <c r="U78" s="286"/>
      <c r="V78" s="286"/>
    </row>
    <row r="79" spans="2:22" x14ac:dyDescent="0.3">
      <c r="B79" s="297" t="s">
        <v>299</v>
      </c>
      <c r="C79" s="297"/>
      <c r="D79" s="291" t="s">
        <v>1205</v>
      </c>
      <c r="E79" s="291"/>
      <c r="F79" s="291"/>
      <c r="G79" s="291"/>
      <c r="H79" s="291" t="s">
        <v>300</v>
      </c>
      <c r="I79" s="291"/>
      <c r="J79" s="291"/>
      <c r="K79" s="291" t="s">
        <v>129</v>
      </c>
      <c r="L79" s="291"/>
      <c r="M79" s="291"/>
      <c r="N79" s="291" t="s">
        <v>301</v>
      </c>
      <c r="O79" s="291"/>
      <c r="P79" s="291"/>
      <c r="Q79" s="291" t="s">
        <v>302</v>
      </c>
      <c r="R79" s="291"/>
      <c r="S79" s="291"/>
      <c r="T79" s="291" t="s">
        <v>334</v>
      </c>
      <c r="U79" s="291"/>
      <c r="V79" s="291"/>
    </row>
    <row r="80" spans="2:22" x14ac:dyDescent="0.3">
      <c r="D80" s="274" t="s">
        <v>1215</v>
      </c>
      <c r="E80" s="286"/>
      <c r="F80" s="286"/>
      <c r="G80" s="286"/>
      <c r="H80" s="286"/>
      <c r="I80" s="286"/>
      <c r="J80" s="286"/>
      <c r="K80" s="286"/>
      <c r="L80" s="286"/>
      <c r="M80" s="286"/>
      <c r="N80" s="286"/>
      <c r="O80" s="286"/>
      <c r="P80" s="286"/>
      <c r="Q80" s="170"/>
      <c r="R80" s="286"/>
      <c r="S80" s="286"/>
      <c r="T80" s="286"/>
      <c r="U80" s="286"/>
      <c r="V80" s="286"/>
    </row>
    <row r="81" spans="4:22" x14ac:dyDescent="0.3">
      <c r="D81" s="286" t="s">
        <v>1191</v>
      </c>
      <c r="E81" s="286"/>
      <c r="F81" s="286"/>
      <c r="G81" s="286"/>
      <c r="H81" s="286" t="s">
        <v>1213</v>
      </c>
      <c r="I81" s="286"/>
      <c r="J81" s="286"/>
      <c r="K81" s="286" t="s">
        <v>644</v>
      </c>
      <c r="L81" s="286"/>
      <c r="M81" s="286"/>
      <c r="N81" s="286" t="s">
        <v>311</v>
      </c>
      <c r="O81" s="286"/>
      <c r="P81" s="286"/>
      <c r="Q81" s="170">
        <v>0.45</v>
      </c>
      <c r="R81" s="286"/>
      <c r="S81" s="286"/>
      <c r="T81" s="286"/>
      <c r="U81" s="286"/>
      <c r="V81" s="286"/>
    </row>
    <row r="82" spans="4:22" x14ac:dyDescent="0.3">
      <c r="D82" s="286" t="s">
        <v>1192</v>
      </c>
      <c r="E82" s="286"/>
      <c r="F82" s="286"/>
      <c r="G82" s="286"/>
      <c r="H82" s="286" t="s">
        <v>1214</v>
      </c>
      <c r="I82" s="286"/>
      <c r="J82" s="286"/>
      <c r="K82" s="286"/>
      <c r="L82" s="286"/>
      <c r="M82" s="286"/>
      <c r="N82" s="286" t="s">
        <v>311</v>
      </c>
      <c r="O82" s="286"/>
      <c r="P82" s="286"/>
      <c r="Q82" s="170">
        <v>1.5</v>
      </c>
      <c r="R82" s="286"/>
      <c r="S82" s="286"/>
      <c r="T82" s="286"/>
      <c r="U82" s="286"/>
      <c r="V82" s="286"/>
    </row>
    <row r="83" spans="4:22" x14ac:dyDescent="0.3">
      <c r="D83" s="286" t="s">
        <v>1193</v>
      </c>
      <c r="E83" s="286"/>
      <c r="F83" s="286"/>
      <c r="G83" s="286"/>
      <c r="H83" s="286" t="s">
        <v>1179</v>
      </c>
      <c r="I83" s="286"/>
      <c r="J83" s="286"/>
      <c r="K83" s="286"/>
      <c r="L83" s="286"/>
      <c r="M83" s="286"/>
      <c r="N83" s="286" t="s">
        <v>311</v>
      </c>
      <c r="O83" s="286"/>
      <c r="P83" s="286"/>
      <c r="Q83" s="170">
        <v>2.65</v>
      </c>
      <c r="R83" s="286"/>
      <c r="S83" s="286"/>
      <c r="T83" s="286"/>
      <c r="U83" s="286"/>
      <c r="V83" s="286"/>
    </row>
    <row r="84" spans="4:22" x14ac:dyDescent="0.3">
      <c r="D84" s="286" t="s">
        <v>1194</v>
      </c>
      <c r="E84" s="286"/>
      <c r="F84" s="286"/>
      <c r="G84" s="286"/>
      <c r="H84" s="286" t="s">
        <v>1180</v>
      </c>
      <c r="I84" s="286"/>
      <c r="J84" s="286"/>
      <c r="K84" s="286"/>
      <c r="L84" s="286"/>
      <c r="M84" s="286"/>
      <c r="N84" s="286" t="s">
        <v>311</v>
      </c>
      <c r="O84" s="286"/>
      <c r="P84" s="286"/>
      <c r="Q84" s="170">
        <v>0.82</v>
      </c>
      <c r="R84" s="286"/>
      <c r="S84" s="286"/>
      <c r="T84" s="286"/>
      <c r="U84" s="286"/>
      <c r="V84" s="286"/>
    </row>
    <row r="85" spans="4:22" x14ac:dyDescent="0.3">
      <c r="D85" s="286" t="s">
        <v>1195</v>
      </c>
      <c r="E85" s="286"/>
      <c r="F85" s="286"/>
      <c r="G85" s="286"/>
      <c r="H85" s="286" t="s">
        <v>1181</v>
      </c>
      <c r="I85" s="286"/>
      <c r="J85" s="286"/>
      <c r="K85" s="286"/>
      <c r="L85" s="286"/>
      <c r="M85" s="286"/>
      <c r="N85" s="286" t="s">
        <v>311</v>
      </c>
      <c r="O85" s="286"/>
      <c r="P85" s="286"/>
      <c r="Q85" s="170">
        <v>0.42</v>
      </c>
      <c r="R85" s="286"/>
      <c r="S85" s="286"/>
      <c r="T85" s="286"/>
      <c r="U85" s="286"/>
      <c r="V85" s="286"/>
    </row>
    <row r="86" spans="4:22" x14ac:dyDescent="0.3">
      <c r="D86" s="286" t="s">
        <v>1190</v>
      </c>
      <c r="E86" s="286"/>
      <c r="F86" s="286"/>
      <c r="G86" s="286"/>
      <c r="H86" s="286" t="s">
        <v>1178</v>
      </c>
      <c r="I86" s="286"/>
      <c r="J86" s="286"/>
      <c r="K86" s="286" t="s">
        <v>516</v>
      </c>
      <c r="L86" s="286"/>
      <c r="M86" s="286"/>
      <c r="N86" s="286" t="s">
        <v>311</v>
      </c>
      <c r="O86" s="286"/>
      <c r="P86" s="286"/>
      <c r="Q86" s="170">
        <v>20</v>
      </c>
      <c r="R86" s="286"/>
      <c r="S86" s="286"/>
      <c r="T86" s="286"/>
      <c r="U86" s="286"/>
      <c r="V86" s="286"/>
    </row>
    <row r="87" spans="4:22" x14ac:dyDescent="0.3">
      <c r="D87" s="274" t="s">
        <v>1206</v>
      </c>
      <c r="E87" s="286"/>
      <c r="F87" s="286"/>
      <c r="G87" s="286"/>
      <c r="H87" s="286"/>
      <c r="I87" s="286"/>
      <c r="J87" s="286"/>
      <c r="K87" s="286"/>
      <c r="L87" s="286"/>
      <c r="M87" s="286"/>
      <c r="N87" s="286"/>
      <c r="O87" s="286"/>
      <c r="P87" s="286"/>
      <c r="Q87" s="170"/>
      <c r="R87" s="286"/>
      <c r="S87" s="286"/>
      <c r="T87" s="286"/>
      <c r="U87" s="286"/>
      <c r="V87" s="286"/>
    </row>
    <row r="88" spans="4:22" x14ac:dyDescent="0.3">
      <c r="D88" s="286" t="s">
        <v>1207</v>
      </c>
      <c r="E88" s="286"/>
      <c r="F88" s="286"/>
      <c r="G88" s="286"/>
      <c r="H88" s="286"/>
      <c r="I88" s="286"/>
      <c r="J88" s="286"/>
      <c r="K88" s="286" t="s">
        <v>132</v>
      </c>
      <c r="L88" s="286"/>
      <c r="M88" s="286"/>
      <c r="N88" s="286" t="s">
        <v>311</v>
      </c>
      <c r="O88" s="286"/>
      <c r="P88" s="286"/>
      <c r="Q88" s="354">
        <v>8.3400000000000002E-2</v>
      </c>
      <c r="R88" s="170"/>
      <c r="S88" s="170"/>
      <c r="T88" s="286"/>
      <c r="U88" s="286"/>
      <c r="V88" s="286"/>
    </row>
    <row r="89" spans="4:22" x14ac:dyDescent="0.3">
      <c r="D89" s="286" t="s">
        <v>1208</v>
      </c>
      <c r="E89" s="286"/>
      <c r="F89" s="286"/>
      <c r="G89" s="286"/>
      <c r="H89" s="286"/>
      <c r="I89" s="286"/>
      <c r="J89" s="286"/>
      <c r="K89" s="286" t="s">
        <v>132</v>
      </c>
      <c r="L89" s="286"/>
      <c r="M89" s="286"/>
      <c r="N89" s="286" t="s">
        <v>311</v>
      </c>
      <c r="O89" s="286"/>
      <c r="P89" s="286"/>
      <c r="Q89" s="354">
        <v>0.33389999999999997</v>
      </c>
      <c r="R89" s="170"/>
      <c r="S89" s="170"/>
      <c r="T89" s="286"/>
      <c r="U89" s="286"/>
      <c r="V89" s="286"/>
    </row>
    <row r="90" spans="4:22" x14ac:dyDescent="0.3">
      <c r="D90" s="286" t="s">
        <v>1209</v>
      </c>
      <c r="E90" s="286"/>
      <c r="F90" s="286"/>
      <c r="G90" s="286"/>
      <c r="H90" s="286"/>
      <c r="I90" s="286"/>
      <c r="J90" s="286"/>
      <c r="K90" s="286" t="s">
        <v>132</v>
      </c>
      <c r="L90" s="286"/>
      <c r="M90" s="286"/>
      <c r="N90" s="286" t="s">
        <v>311</v>
      </c>
      <c r="O90" s="286"/>
      <c r="P90" s="286"/>
      <c r="Q90" s="354">
        <v>0.5827</v>
      </c>
      <c r="R90" s="170"/>
      <c r="S90" s="170"/>
      <c r="T90" s="286"/>
      <c r="U90" s="286"/>
      <c r="V90" s="286"/>
    </row>
    <row r="91" spans="4:22" x14ac:dyDescent="0.3">
      <c r="D91" s="286" t="s">
        <v>1210</v>
      </c>
      <c r="E91" s="286"/>
      <c r="F91" s="286"/>
      <c r="G91" s="286"/>
      <c r="H91" s="286"/>
      <c r="I91" s="286"/>
      <c r="J91" s="286"/>
      <c r="K91" s="286" t="s">
        <v>516</v>
      </c>
      <c r="L91" s="286"/>
      <c r="M91" s="286"/>
      <c r="N91" s="286" t="s">
        <v>311</v>
      </c>
      <c r="O91" s="286"/>
      <c r="P91" s="286"/>
      <c r="Q91" s="170">
        <v>1.6679999999999999</v>
      </c>
      <c r="R91" s="170"/>
      <c r="S91" s="170"/>
      <c r="T91" s="286"/>
      <c r="U91" s="286"/>
      <c r="V91" s="286"/>
    </row>
    <row r="92" spans="4:22" x14ac:dyDescent="0.3">
      <c r="D92" s="286" t="s">
        <v>1211</v>
      </c>
      <c r="E92" s="286"/>
      <c r="F92" s="286"/>
      <c r="G92" s="286"/>
      <c r="H92" s="286"/>
      <c r="I92" s="286"/>
      <c r="J92" s="286"/>
      <c r="K92" s="286" t="s">
        <v>516</v>
      </c>
      <c r="L92" s="286"/>
      <c r="M92" s="286"/>
      <c r="N92" s="286" t="s">
        <v>311</v>
      </c>
      <c r="O92" s="286"/>
      <c r="P92" s="286"/>
      <c r="Q92" s="170">
        <v>6.6779999999999999</v>
      </c>
      <c r="R92" s="170"/>
      <c r="S92" s="170"/>
      <c r="T92" s="286"/>
      <c r="U92" s="286"/>
      <c r="V92" s="286"/>
    </row>
    <row r="93" spans="4:22" x14ac:dyDescent="0.3">
      <c r="D93" s="286" t="s">
        <v>1212</v>
      </c>
      <c r="E93" s="286"/>
      <c r="F93" s="286"/>
      <c r="G93" s="286"/>
      <c r="H93" s="286"/>
      <c r="I93" s="286"/>
      <c r="J93" s="286"/>
      <c r="K93" s="286" t="s">
        <v>516</v>
      </c>
      <c r="L93" s="286"/>
      <c r="M93" s="286"/>
      <c r="N93" s="286" t="s">
        <v>311</v>
      </c>
      <c r="O93" s="286"/>
      <c r="P93" s="286"/>
      <c r="Q93" s="170">
        <v>11.654</v>
      </c>
      <c r="R93" s="170"/>
      <c r="S93" s="170"/>
      <c r="T93" s="286"/>
      <c r="U93" s="286"/>
      <c r="V93" s="286"/>
    </row>
    <row r="94" spans="4:22" x14ac:dyDescent="0.3">
      <c r="D94" s="274" t="s">
        <v>1216</v>
      </c>
      <c r="E94" s="286"/>
      <c r="F94" s="286"/>
      <c r="G94" s="286"/>
      <c r="H94" s="286"/>
      <c r="I94" s="286"/>
      <c r="J94" s="286"/>
      <c r="K94" s="286"/>
      <c r="L94" s="286"/>
      <c r="M94" s="286"/>
      <c r="N94" s="286"/>
      <c r="O94" s="286"/>
      <c r="P94" s="286"/>
      <c r="Q94" s="170"/>
      <c r="R94" s="286"/>
      <c r="S94" s="286"/>
      <c r="T94" s="286"/>
      <c r="U94" s="286"/>
      <c r="V94" s="286"/>
    </row>
    <row r="95" spans="4:22" x14ac:dyDescent="0.3">
      <c r="D95" s="286" t="s">
        <v>1197</v>
      </c>
      <c r="E95" s="286"/>
      <c r="F95" s="286"/>
      <c r="G95" s="286"/>
      <c r="H95" s="286" t="s">
        <v>1213</v>
      </c>
      <c r="I95" s="286"/>
      <c r="J95" s="286"/>
      <c r="K95" s="286" t="s">
        <v>644</v>
      </c>
      <c r="L95" s="286"/>
      <c r="M95" s="286"/>
      <c r="N95" s="286" t="s">
        <v>311</v>
      </c>
      <c r="O95" s="286"/>
      <c r="P95" s="286"/>
      <c r="Q95" s="170">
        <v>1.1000000000000001</v>
      </c>
      <c r="R95" s="286"/>
      <c r="S95" s="286"/>
      <c r="T95" s="286"/>
      <c r="U95" s="286"/>
      <c r="V95" s="286"/>
    </row>
    <row r="96" spans="4:22" x14ac:dyDescent="0.3">
      <c r="D96" s="286" t="s">
        <v>1198</v>
      </c>
      <c r="E96" s="286"/>
      <c r="F96" s="286"/>
      <c r="G96" s="286"/>
      <c r="H96" s="286" t="s">
        <v>1214</v>
      </c>
      <c r="I96" s="286"/>
      <c r="J96" s="286"/>
      <c r="K96" s="286"/>
      <c r="L96" s="286"/>
      <c r="M96" s="286"/>
      <c r="N96" s="286" t="s">
        <v>311</v>
      </c>
      <c r="O96" s="286"/>
      <c r="P96" s="286"/>
      <c r="Q96" s="170">
        <v>1.6</v>
      </c>
      <c r="R96" s="286"/>
      <c r="S96" s="286"/>
      <c r="T96" s="286"/>
      <c r="U96" s="286"/>
      <c r="V96" s="286"/>
    </row>
    <row r="97" spans="4:22" x14ac:dyDescent="0.3">
      <c r="D97" s="286" t="s">
        <v>1199</v>
      </c>
      <c r="E97" s="286"/>
      <c r="F97" s="286"/>
      <c r="G97" s="286"/>
      <c r="H97" s="286" t="s">
        <v>1179</v>
      </c>
      <c r="I97" s="286"/>
      <c r="J97" s="286"/>
      <c r="K97" s="286"/>
      <c r="L97" s="286"/>
      <c r="M97" s="286"/>
      <c r="N97" s="286" t="s">
        <v>311</v>
      </c>
      <c r="O97" s="286"/>
      <c r="P97" s="286"/>
      <c r="Q97" s="170">
        <v>1.6</v>
      </c>
      <c r="R97" s="286"/>
      <c r="S97" s="286"/>
      <c r="T97" s="286"/>
      <c r="U97" s="286"/>
      <c r="V97" s="286"/>
    </row>
    <row r="98" spans="4:22" x14ac:dyDescent="0.3">
      <c r="D98" s="286" t="s">
        <v>1200</v>
      </c>
      <c r="E98" s="286"/>
      <c r="F98" s="286"/>
      <c r="G98" s="286"/>
      <c r="H98" s="286" t="s">
        <v>1180</v>
      </c>
      <c r="I98" s="286"/>
      <c r="J98" s="286"/>
      <c r="K98" s="286"/>
      <c r="L98" s="286"/>
      <c r="M98" s="286"/>
      <c r="N98" s="286" t="s">
        <v>311</v>
      </c>
      <c r="O98" s="286"/>
      <c r="P98" s="286"/>
      <c r="Q98" s="170">
        <v>0.72</v>
      </c>
      <c r="R98" s="286"/>
      <c r="S98" s="286"/>
      <c r="T98" s="286"/>
      <c r="U98" s="286"/>
      <c r="V98" s="286"/>
    </row>
    <row r="99" spans="4:22" x14ac:dyDescent="0.3">
      <c r="D99" s="286" t="s">
        <v>1201</v>
      </c>
      <c r="E99" s="286"/>
      <c r="F99" s="286"/>
      <c r="G99" s="286"/>
      <c r="H99" s="286" t="s">
        <v>1181</v>
      </c>
      <c r="I99" s="286"/>
      <c r="J99" s="286"/>
      <c r="K99" s="286"/>
      <c r="L99" s="286"/>
      <c r="M99" s="286"/>
      <c r="N99" s="286" t="s">
        <v>311</v>
      </c>
      <c r="O99" s="286"/>
      <c r="P99" s="286"/>
      <c r="Q99" s="170">
        <v>0.42</v>
      </c>
      <c r="R99" s="286"/>
      <c r="S99" s="286"/>
      <c r="T99" s="286"/>
      <c r="U99" s="286"/>
      <c r="V99" s="286"/>
    </row>
    <row r="100" spans="4:22" x14ac:dyDescent="0.3">
      <c r="D100" s="286" t="s">
        <v>1196</v>
      </c>
      <c r="E100" s="286"/>
      <c r="F100" s="286"/>
      <c r="G100" s="286"/>
      <c r="H100" s="286" t="s">
        <v>1178</v>
      </c>
      <c r="I100" s="286"/>
      <c r="J100" s="286"/>
      <c r="K100" s="286" t="s">
        <v>516</v>
      </c>
      <c r="L100" s="286"/>
      <c r="M100" s="286"/>
      <c r="N100" s="286" t="s">
        <v>311</v>
      </c>
      <c r="O100" s="286"/>
      <c r="P100" s="286"/>
      <c r="Q100" s="170">
        <v>60</v>
      </c>
      <c r="R100" s="286"/>
      <c r="S100" s="286"/>
      <c r="T100" s="286"/>
      <c r="U100" s="286"/>
      <c r="V100" s="286"/>
    </row>
    <row r="101" spans="4:22" x14ac:dyDescent="0.3">
      <c r="D101" s="286" t="s">
        <v>1217</v>
      </c>
      <c r="E101" s="286"/>
      <c r="F101" s="286"/>
      <c r="G101" s="286"/>
      <c r="H101" s="286"/>
      <c r="I101" s="286"/>
      <c r="J101" s="286"/>
      <c r="K101" s="286"/>
      <c r="L101" s="286"/>
      <c r="M101" s="286"/>
      <c r="N101" s="286"/>
      <c r="O101" s="286"/>
      <c r="P101" s="286"/>
      <c r="Q101" s="286"/>
      <c r="R101" s="286"/>
      <c r="S101" s="286"/>
      <c r="T101" s="286"/>
      <c r="U101" s="286"/>
      <c r="V101" s="286"/>
    </row>
    <row r="102" spans="4:22" x14ac:dyDescent="0.3">
      <c r="D102" s="286" t="s">
        <v>1218</v>
      </c>
      <c r="E102" s="286"/>
      <c r="F102" s="286"/>
      <c r="G102" s="286"/>
      <c r="H102" s="286" t="s">
        <v>1219</v>
      </c>
      <c r="I102" s="286"/>
      <c r="J102" s="286"/>
      <c r="K102" s="286" t="s">
        <v>644</v>
      </c>
      <c r="L102" s="286"/>
      <c r="M102" s="286"/>
      <c r="N102" s="286" t="s">
        <v>1220</v>
      </c>
      <c r="O102" s="286"/>
      <c r="P102" s="286"/>
      <c r="Q102" s="342">
        <f>0.564/(((1.6-1)/(2.65-1))^0.667)</f>
        <v>1.1074242027115591</v>
      </c>
      <c r="R102" s="294"/>
      <c r="S102" s="294"/>
      <c r="T102" s="286"/>
      <c r="U102" s="286"/>
      <c r="V102" s="286"/>
    </row>
    <row r="103" spans="4:22" x14ac:dyDescent="0.3">
      <c r="D103" s="274" t="s">
        <v>1221</v>
      </c>
      <c r="E103" s="286"/>
      <c r="F103" s="286"/>
      <c r="G103" s="286"/>
      <c r="H103" s="286"/>
      <c r="I103" s="286"/>
      <c r="J103" s="286"/>
      <c r="K103" s="286"/>
      <c r="L103" s="286"/>
      <c r="M103" s="286"/>
      <c r="N103" s="286"/>
      <c r="O103" s="286"/>
      <c r="P103" s="286"/>
      <c r="Q103" s="170"/>
      <c r="R103" s="286"/>
      <c r="S103" s="286"/>
      <c r="T103" s="286"/>
      <c r="U103" s="286"/>
      <c r="V103" s="286"/>
    </row>
    <row r="104" spans="4:22" x14ac:dyDescent="0.3">
      <c r="D104" s="286" t="s">
        <v>1207</v>
      </c>
      <c r="E104" s="286"/>
      <c r="F104" s="286"/>
      <c r="G104" s="286"/>
      <c r="H104" s="286"/>
      <c r="I104" s="286"/>
      <c r="J104" s="286"/>
      <c r="K104" s="286" t="s">
        <v>132</v>
      </c>
      <c r="L104" s="286"/>
      <c r="M104" s="286"/>
      <c r="N104" s="286" t="s">
        <v>311</v>
      </c>
      <c r="O104" s="286"/>
      <c r="P104" s="286"/>
      <c r="Q104" s="354">
        <v>0.18079999999999999</v>
      </c>
      <c r="R104" s="170"/>
      <c r="S104" s="170"/>
      <c r="T104" s="286"/>
      <c r="U104" s="286"/>
      <c r="V104" s="286"/>
    </row>
    <row r="105" spans="4:22" x14ac:dyDescent="0.3">
      <c r="D105" s="286" t="s">
        <v>1208</v>
      </c>
      <c r="E105" s="286"/>
      <c r="F105" s="286"/>
      <c r="G105" s="286"/>
      <c r="H105" s="286"/>
      <c r="I105" s="286"/>
      <c r="J105" s="286"/>
      <c r="K105" s="286" t="s">
        <v>132</v>
      </c>
      <c r="L105" s="286"/>
      <c r="M105" s="286"/>
      <c r="N105" s="286" t="s">
        <v>311</v>
      </c>
      <c r="O105" s="286"/>
      <c r="P105" s="286"/>
      <c r="Q105" s="354">
        <v>0.33410000000000001</v>
      </c>
      <c r="R105" s="170"/>
      <c r="S105" s="170"/>
      <c r="T105" s="286"/>
      <c r="U105" s="286"/>
      <c r="V105" s="286"/>
    </row>
    <row r="106" spans="4:22" x14ac:dyDescent="0.3">
      <c r="D106" s="286" t="s">
        <v>1209</v>
      </c>
      <c r="E106" s="286"/>
      <c r="F106" s="286"/>
      <c r="G106" s="286"/>
      <c r="H106" s="286"/>
      <c r="I106" s="286"/>
      <c r="J106" s="286"/>
      <c r="K106" s="286" t="s">
        <v>132</v>
      </c>
      <c r="L106" s="286"/>
      <c r="M106" s="286"/>
      <c r="N106" s="286" t="s">
        <v>311</v>
      </c>
      <c r="O106" s="286"/>
      <c r="P106" s="286"/>
      <c r="Q106" s="354">
        <v>0.48509999999999998</v>
      </c>
      <c r="R106" s="170"/>
      <c r="S106" s="170"/>
      <c r="T106" s="286"/>
      <c r="U106" s="286"/>
      <c r="V106" s="286"/>
    </row>
    <row r="107" spans="4:22" x14ac:dyDescent="0.3">
      <c r="D107" s="286" t="s">
        <v>1210</v>
      </c>
      <c r="E107" s="286"/>
      <c r="F107" s="286"/>
      <c r="G107" s="286"/>
      <c r="H107" s="286"/>
      <c r="I107" s="286"/>
      <c r="J107" s="286"/>
      <c r="K107" s="286" t="s">
        <v>516</v>
      </c>
      <c r="L107" s="286"/>
      <c r="M107" s="286"/>
      <c r="N107" s="286" t="s">
        <v>311</v>
      </c>
      <c r="O107" s="286"/>
      <c r="P107" s="286"/>
      <c r="Q107" s="170">
        <v>10.848000000000001</v>
      </c>
      <c r="R107" s="170"/>
      <c r="S107" s="170"/>
      <c r="T107" s="286"/>
      <c r="U107" s="286"/>
      <c r="V107" s="286"/>
    </row>
    <row r="108" spans="4:22" x14ac:dyDescent="0.3">
      <c r="D108" s="286" t="s">
        <v>1211</v>
      </c>
      <c r="E108" s="286"/>
      <c r="F108" s="286"/>
      <c r="G108" s="286"/>
      <c r="H108" s="286"/>
      <c r="I108" s="286"/>
      <c r="J108" s="286"/>
      <c r="K108" s="286" t="s">
        <v>516</v>
      </c>
      <c r="L108" s="286"/>
      <c r="M108" s="286"/>
      <c r="N108" s="286" t="s">
        <v>311</v>
      </c>
      <c r="O108" s="286"/>
      <c r="P108" s="286"/>
      <c r="Q108" s="170">
        <v>20.045999999999999</v>
      </c>
      <c r="R108" s="170"/>
      <c r="S108" s="170"/>
      <c r="T108" s="286"/>
      <c r="U108" s="286"/>
      <c r="V108" s="286"/>
    </row>
    <row r="109" spans="4:22" x14ac:dyDescent="0.3">
      <c r="D109" s="286" t="s">
        <v>1212</v>
      </c>
      <c r="E109" s="286"/>
      <c r="F109" s="286"/>
      <c r="G109" s="286"/>
      <c r="H109" s="286"/>
      <c r="I109" s="286"/>
      <c r="J109" s="286"/>
      <c r="K109" s="286" t="s">
        <v>516</v>
      </c>
      <c r="L109" s="286"/>
      <c r="M109" s="286"/>
      <c r="N109" s="286" t="s">
        <v>311</v>
      </c>
      <c r="O109" s="286"/>
      <c r="P109" s="286"/>
      <c r="Q109" s="170">
        <v>29.106000000000002</v>
      </c>
      <c r="R109" s="170"/>
      <c r="S109" s="170"/>
      <c r="T109" s="286"/>
      <c r="U109" s="286"/>
      <c r="V109" s="286"/>
    </row>
    <row r="110" spans="4:22" x14ac:dyDescent="0.3">
      <c r="D110" s="274" t="s">
        <v>1223</v>
      </c>
      <c r="E110" s="286"/>
      <c r="F110" s="286"/>
      <c r="G110" s="286"/>
      <c r="H110" s="286"/>
      <c r="I110" s="286"/>
      <c r="J110" s="286"/>
      <c r="K110" s="286"/>
      <c r="L110" s="286"/>
      <c r="M110" s="286"/>
      <c r="N110" s="286"/>
      <c r="O110" s="286"/>
      <c r="P110" s="286"/>
      <c r="Q110" s="170"/>
      <c r="R110" s="286"/>
      <c r="S110" s="286"/>
      <c r="T110" s="286"/>
      <c r="U110" s="286"/>
      <c r="V110" s="286"/>
    </row>
    <row r="111" spans="4:22" x14ac:dyDescent="0.3">
      <c r="D111" s="286" t="s">
        <v>1222</v>
      </c>
      <c r="E111" s="286"/>
      <c r="F111" s="286"/>
      <c r="G111" s="286"/>
      <c r="H111" s="286" t="s">
        <v>1179</v>
      </c>
      <c r="I111" s="286"/>
      <c r="J111" s="286"/>
      <c r="K111" s="286"/>
      <c r="L111" s="286"/>
      <c r="M111" s="286"/>
      <c r="N111" s="286" t="s">
        <v>436</v>
      </c>
      <c r="O111" s="286"/>
      <c r="P111" s="286"/>
      <c r="Q111" s="170">
        <v>2.65</v>
      </c>
      <c r="R111" s="286"/>
      <c r="S111" s="286"/>
      <c r="T111" s="286"/>
      <c r="U111" s="286"/>
      <c r="V111" s="286"/>
    </row>
    <row r="112" spans="4:22" x14ac:dyDescent="0.3">
      <c r="D112" s="286" t="s">
        <v>1224</v>
      </c>
      <c r="E112" s="286"/>
      <c r="F112" s="286"/>
      <c r="G112" s="286"/>
      <c r="H112" s="286" t="s">
        <v>1180</v>
      </c>
      <c r="I112" s="286"/>
      <c r="J112" s="286"/>
      <c r="K112" s="286"/>
      <c r="L112" s="286"/>
      <c r="M112" s="286"/>
      <c r="N112" s="286" t="s">
        <v>436</v>
      </c>
      <c r="O112" s="286"/>
      <c r="P112" s="286"/>
      <c r="Q112" s="170">
        <v>0.95</v>
      </c>
      <c r="R112" s="286"/>
      <c r="S112" s="286"/>
      <c r="T112" s="286"/>
      <c r="U112" s="286"/>
      <c r="V112" s="286"/>
    </row>
    <row r="113" spans="4:22" x14ac:dyDescent="0.3">
      <c r="D113" s="286" t="s">
        <v>1225</v>
      </c>
      <c r="E113" s="286"/>
      <c r="F113" s="286"/>
      <c r="G113" s="286"/>
      <c r="H113" s="286" t="s">
        <v>1181</v>
      </c>
      <c r="I113" s="286"/>
      <c r="J113" s="286"/>
      <c r="K113" s="286"/>
      <c r="L113" s="286"/>
      <c r="M113" s="286"/>
      <c r="N113" s="286" t="s">
        <v>436</v>
      </c>
      <c r="O113" s="286"/>
      <c r="P113" s="286"/>
      <c r="Q113" s="170">
        <v>0.4</v>
      </c>
      <c r="R113" s="286"/>
      <c r="S113" s="286"/>
      <c r="T113" s="286"/>
      <c r="U113" s="286"/>
      <c r="V113" s="286"/>
    </row>
    <row r="114" spans="4:22" x14ac:dyDescent="0.3">
      <c r="D114" s="286" t="s">
        <v>1226</v>
      </c>
      <c r="E114" s="286"/>
      <c r="F114" s="286"/>
      <c r="G114" s="286"/>
      <c r="H114" s="286" t="s">
        <v>306</v>
      </c>
      <c r="I114" s="286"/>
      <c r="J114" s="286"/>
      <c r="K114" s="286"/>
      <c r="L114" s="286"/>
      <c r="M114" s="286"/>
      <c r="N114" s="286" t="s">
        <v>436</v>
      </c>
      <c r="O114" s="286"/>
      <c r="P114" s="286"/>
      <c r="Q114" s="170">
        <v>12</v>
      </c>
      <c r="R114" s="286"/>
      <c r="S114" s="286"/>
      <c r="T114" s="286"/>
      <c r="U114" s="286"/>
      <c r="V114" s="286"/>
    </row>
    <row r="115" spans="4:22" x14ac:dyDescent="0.3">
      <c r="D115" s="274" t="s">
        <v>1227</v>
      </c>
      <c r="E115" s="286"/>
      <c r="F115" s="286"/>
      <c r="G115" s="286"/>
      <c r="H115" s="286"/>
      <c r="I115" s="286"/>
      <c r="J115" s="286"/>
      <c r="K115" s="286"/>
      <c r="L115" s="286"/>
      <c r="M115" s="286"/>
      <c r="N115" s="286"/>
      <c r="O115" s="286"/>
      <c r="P115" s="286"/>
      <c r="Q115" s="170"/>
      <c r="R115" s="286"/>
      <c r="S115" s="286"/>
      <c r="T115" s="286"/>
      <c r="U115" s="286"/>
      <c r="V115" s="286"/>
    </row>
    <row r="116" spans="4:22" x14ac:dyDescent="0.3">
      <c r="D116" s="286" t="s">
        <v>1228</v>
      </c>
      <c r="E116" s="286"/>
      <c r="F116" s="286"/>
      <c r="G116" s="286"/>
      <c r="H116" s="286" t="s">
        <v>1233</v>
      </c>
      <c r="I116" s="286"/>
      <c r="J116" s="286"/>
      <c r="K116" s="286" t="s">
        <v>1137</v>
      </c>
      <c r="L116" s="286"/>
      <c r="M116" s="286"/>
      <c r="N116" s="286" t="s">
        <v>436</v>
      </c>
      <c r="O116" s="286"/>
      <c r="P116" s="286"/>
      <c r="Q116" s="170">
        <v>4.8</v>
      </c>
      <c r="R116" s="286"/>
      <c r="S116" s="286"/>
      <c r="T116" s="286"/>
      <c r="U116" s="286"/>
      <c r="V116" s="286"/>
    </row>
    <row r="117" spans="4:22" x14ac:dyDescent="0.3">
      <c r="D117" s="286" t="s">
        <v>1229</v>
      </c>
      <c r="E117" s="286"/>
      <c r="F117" s="286"/>
      <c r="G117" s="286"/>
      <c r="H117" s="286" t="s">
        <v>1234</v>
      </c>
      <c r="I117" s="286"/>
      <c r="J117" s="286"/>
      <c r="K117" s="286" t="s">
        <v>1137</v>
      </c>
      <c r="L117" s="286"/>
      <c r="M117" s="286"/>
      <c r="N117" s="286" t="s">
        <v>436</v>
      </c>
      <c r="O117" s="286"/>
      <c r="P117" s="286"/>
      <c r="Q117" s="170">
        <v>12.02</v>
      </c>
      <c r="R117" s="286"/>
      <c r="S117" s="286"/>
      <c r="T117" s="286"/>
      <c r="U117" s="286"/>
      <c r="V117" s="286"/>
    </row>
    <row r="118" spans="4:22" x14ac:dyDescent="0.3">
      <c r="D118" s="286" t="s">
        <v>1230</v>
      </c>
      <c r="E118" s="286"/>
      <c r="F118" s="286"/>
      <c r="G118" s="286"/>
      <c r="H118" s="286" t="s">
        <v>1235</v>
      </c>
      <c r="I118" s="286"/>
      <c r="J118" s="286"/>
      <c r="K118" s="286" t="s">
        <v>1137</v>
      </c>
      <c r="L118" s="286"/>
      <c r="M118" s="286"/>
      <c r="N118" s="286" t="s">
        <v>436</v>
      </c>
      <c r="O118" s="286"/>
      <c r="P118" s="286"/>
      <c r="Q118" s="170">
        <v>16.25</v>
      </c>
      <c r="R118" s="286"/>
      <c r="S118" s="286"/>
      <c r="T118" s="286"/>
      <c r="U118" s="286"/>
      <c r="V118" s="286"/>
    </row>
    <row r="119" spans="4:22" x14ac:dyDescent="0.3">
      <c r="D119" s="286" t="s">
        <v>1231</v>
      </c>
      <c r="E119" s="286"/>
      <c r="F119" s="286"/>
      <c r="G119" s="286"/>
      <c r="H119" s="286" t="s">
        <v>1236</v>
      </c>
      <c r="I119" s="286"/>
      <c r="J119" s="286"/>
      <c r="K119" s="286" t="s">
        <v>1137</v>
      </c>
      <c r="L119" s="286"/>
      <c r="M119" s="286"/>
      <c r="N119" s="286" t="s">
        <v>436</v>
      </c>
      <c r="O119" s="286"/>
      <c r="P119" s="286"/>
      <c r="Q119" s="170">
        <v>19.25</v>
      </c>
      <c r="R119" s="286"/>
      <c r="S119" s="286"/>
      <c r="T119" s="286"/>
      <c r="U119" s="286"/>
      <c r="V119" s="286"/>
    </row>
    <row r="120" spans="4:22" x14ac:dyDescent="0.3">
      <c r="D120" s="286" t="s">
        <v>1232</v>
      </c>
      <c r="E120" s="286"/>
      <c r="F120" s="286"/>
      <c r="G120" s="286"/>
      <c r="H120" s="286" t="s">
        <v>1237</v>
      </c>
      <c r="I120" s="286"/>
      <c r="J120" s="286"/>
      <c r="K120" s="286" t="s">
        <v>1137</v>
      </c>
      <c r="L120" s="286"/>
      <c r="M120" s="286"/>
      <c r="N120" s="286" t="s">
        <v>436</v>
      </c>
      <c r="O120" s="286"/>
      <c r="P120" s="286"/>
      <c r="Q120" s="170">
        <v>21.58</v>
      </c>
      <c r="R120" s="286"/>
      <c r="S120" s="286"/>
      <c r="T120" s="286"/>
      <c r="U120" s="286"/>
      <c r="V120" s="286"/>
    </row>
    <row r="121" spans="4:22" x14ac:dyDescent="0.3">
      <c r="D121" s="286" t="s">
        <v>1238</v>
      </c>
      <c r="E121" s="286"/>
      <c r="F121" s="286"/>
      <c r="G121" s="286"/>
      <c r="H121" s="286" t="s">
        <v>1244</v>
      </c>
      <c r="I121" s="286"/>
      <c r="J121" s="286"/>
      <c r="K121" s="286" t="s">
        <v>516</v>
      </c>
      <c r="L121" s="286"/>
      <c r="M121" s="286"/>
      <c r="N121" s="286" t="s">
        <v>436</v>
      </c>
      <c r="O121" s="286"/>
      <c r="P121" s="286"/>
      <c r="Q121" s="170">
        <v>12.19</v>
      </c>
      <c r="R121" s="286"/>
      <c r="S121" s="286"/>
      <c r="T121" s="286"/>
      <c r="U121" s="286"/>
      <c r="V121" s="286"/>
    </row>
    <row r="122" spans="4:22" x14ac:dyDescent="0.3">
      <c r="D122" s="286" t="s">
        <v>1239</v>
      </c>
      <c r="E122" s="286"/>
      <c r="F122" s="286"/>
      <c r="G122" s="286"/>
      <c r="H122" s="286" t="s">
        <v>1245</v>
      </c>
      <c r="I122" s="286"/>
      <c r="J122" s="286"/>
      <c r="K122" s="286" t="s">
        <v>516</v>
      </c>
      <c r="L122" s="286"/>
      <c r="M122" s="286"/>
      <c r="N122" s="286" t="s">
        <v>436</v>
      </c>
      <c r="O122" s="286"/>
      <c r="P122" s="286"/>
      <c r="Q122" s="170">
        <v>18.350000000000001</v>
      </c>
      <c r="R122" s="286"/>
      <c r="S122" s="286"/>
      <c r="T122" s="286"/>
      <c r="U122" s="286"/>
      <c r="V122" s="286"/>
    </row>
    <row r="123" spans="4:22" x14ac:dyDescent="0.3">
      <c r="D123" s="286" t="s">
        <v>1240</v>
      </c>
      <c r="E123" s="286"/>
      <c r="F123" s="286"/>
      <c r="G123" s="286"/>
      <c r="H123" s="286" t="s">
        <v>1246</v>
      </c>
      <c r="I123" s="286"/>
      <c r="J123" s="286"/>
      <c r="K123" s="286" t="s">
        <v>516</v>
      </c>
      <c r="L123" s="286"/>
      <c r="M123" s="286"/>
      <c r="N123" s="286" t="s">
        <v>436</v>
      </c>
      <c r="O123" s="286"/>
      <c r="P123" s="286"/>
      <c r="Q123" s="170">
        <v>10.73</v>
      </c>
      <c r="R123" s="286"/>
      <c r="S123" s="286"/>
      <c r="T123" s="286"/>
      <c r="U123" s="286"/>
      <c r="V123" s="286"/>
    </row>
    <row r="124" spans="4:22" x14ac:dyDescent="0.3">
      <c r="D124" s="286" t="s">
        <v>1241</v>
      </c>
      <c r="E124" s="286"/>
      <c r="F124" s="286"/>
      <c r="G124" s="286"/>
      <c r="H124" s="286" t="s">
        <v>1247</v>
      </c>
      <c r="I124" s="286"/>
      <c r="J124" s="286"/>
      <c r="K124" s="286" t="s">
        <v>516</v>
      </c>
      <c r="L124" s="286"/>
      <c r="M124" s="286"/>
      <c r="N124" s="286" t="s">
        <v>436</v>
      </c>
      <c r="O124" s="286"/>
      <c r="P124" s="286"/>
      <c r="Q124" s="170">
        <v>7.62</v>
      </c>
      <c r="R124" s="286"/>
      <c r="S124" s="286"/>
      <c r="T124" s="286"/>
      <c r="U124" s="286"/>
      <c r="V124" s="286"/>
    </row>
    <row r="125" spans="4:22" x14ac:dyDescent="0.3">
      <c r="D125" s="286" t="s">
        <v>1242</v>
      </c>
      <c r="E125" s="286"/>
      <c r="F125" s="286"/>
      <c r="G125" s="286"/>
      <c r="H125" s="286" t="s">
        <v>1248</v>
      </c>
      <c r="I125" s="286"/>
      <c r="J125" s="286"/>
      <c r="K125" s="286" t="s">
        <v>516</v>
      </c>
      <c r="L125" s="286"/>
      <c r="M125" s="286"/>
      <c r="N125" s="286" t="s">
        <v>436</v>
      </c>
      <c r="O125" s="286"/>
      <c r="P125" s="286"/>
      <c r="Q125" s="170">
        <v>5.91</v>
      </c>
      <c r="R125" s="286"/>
      <c r="S125" s="286"/>
      <c r="T125" s="286"/>
      <c r="U125" s="286"/>
      <c r="V125" s="286"/>
    </row>
    <row r="126" spans="4:22" x14ac:dyDescent="0.3">
      <c r="D126" s="286" t="s">
        <v>1243</v>
      </c>
      <c r="E126" s="286"/>
      <c r="F126" s="286"/>
      <c r="G126" s="286"/>
      <c r="H126" s="286" t="s">
        <v>1249</v>
      </c>
      <c r="I126" s="286"/>
      <c r="J126" s="286"/>
      <c r="K126" s="286" t="s">
        <v>516</v>
      </c>
      <c r="L126" s="286"/>
      <c r="M126" s="286"/>
      <c r="N126" s="286" t="s">
        <v>436</v>
      </c>
      <c r="O126" s="286"/>
      <c r="P126" s="286"/>
      <c r="Q126" s="170">
        <v>54.8</v>
      </c>
      <c r="R126" s="286"/>
      <c r="S126" s="286"/>
      <c r="T126" s="286"/>
      <c r="U126" s="286"/>
      <c r="V126" s="286"/>
    </row>
    <row r="127" spans="4:22" x14ac:dyDescent="0.3">
      <c r="D127" s="274" t="s">
        <v>1250</v>
      </c>
      <c r="E127" s="286"/>
      <c r="F127" s="286"/>
      <c r="G127" s="286"/>
      <c r="H127" s="286"/>
      <c r="I127" s="286"/>
      <c r="J127" s="286"/>
      <c r="K127" s="286"/>
      <c r="L127" s="286"/>
      <c r="M127" s="286"/>
      <c r="N127" s="286"/>
      <c r="O127" s="286"/>
      <c r="P127" s="286"/>
      <c r="Q127" s="170"/>
      <c r="R127" s="286"/>
      <c r="S127" s="286"/>
      <c r="T127" s="286"/>
      <c r="U127" s="286"/>
      <c r="V127" s="286"/>
    </row>
    <row r="128" spans="4:22" x14ac:dyDescent="0.3">
      <c r="D128" s="286" t="s">
        <v>839</v>
      </c>
      <c r="E128" s="286"/>
      <c r="F128" s="286"/>
      <c r="G128" s="286"/>
      <c r="H128" s="286" t="s">
        <v>325</v>
      </c>
      <c r="I128" s="286"/>
      <c r="J128" s="286"/>
      <c r="K128" s="286" t="s">
        <v>186</v>
      </c>
      <c r="L128" s="286"/>
      <c r="M128" s="286"/>
      <c r="N128" s="286" t="s">
        <v>403</v>
      </c>
      <c r="O128" s="286"/>
      <c r="P128" s="286"/>
      <c r="Q128" s="339">
        <f>'Kebutuhan Air Total'!G26</f>
        <v>0.68287864897272743</v>
      </c>
      <c r="R128" s="296"/>
      <c r="S128" s="296"/>
      <c r="T128" s="286"/>
      <c r="U128" s="286"/>
      <c r="V128" s="286"/>
    </row>
    <row r="129" spans="2:22" x14ac:dyDescent="0.3">
      <c r="D129" s="286"/>
      <c r="E129" s="286"/>
      <c r="F129" s="286"/>
      <c r="G129" s="286"/>
      <c r="H129" s="286"/>
      <c r="I129" s="286"/>
      <c r="J129" s="286"/>
      <c r="K129" s="286" t="s">
        <v>1251</v>
      </c>
      <c r="L129" s="286"/>
      <c r="M129" s="286"/>
      <c r="N129" s="286" t="s">
        <v>519</v>
      </c>
      <c r="O129" s="286"/>
      <c r="P129" s="286"/>
      <c r="Q129" s="339">
        <f>Q128*22.824</f>
        <v>15.586022284153533</v>
      </c>
      <c r="R129" s="296"/>
      <c r="S129" s="296"/>
      <c r="T129" s="286"/>
      <c r="U129" s="286"/>
      <c r="V129" s="286"/>
    </row>
    <row r="130" spans="2:22" x14ac:dyDescent="0.3">
      <c r="D130" s="286" t="s">
        <v>1252</v>
      </c>
      <c r="E130" s="286"/>
      <c r="F130" s="286"/>
      <c r="G130" s="286"/>
      <c r="H130" s="286" t="s">
        <v>1175</v>
      </c>
      <c r="I130" s="286"/>
      <c r="J130" s="286"/>
      <c r="K130" s="286" t="s">
        <v>1133</v>
      </c>
      <c r="L130" s="286"/>
      <c r="M130" s="286"/>
      <c r="N130" s="286" t="s">
        <v>311</v>
      </c>
      <c r="O130" s="286"/>
      <c r="P130" s="286"/>
      <c r="Q130" s="170">
        <v>195</v>
      </c>
      <c r="R130" s="286"/>
      <c r="S130" s="286"/>
      <c r="T130" s="286"/>
      <c r="U130" s="286"/>
      <c r="V130" s="286"/>
    </row>
    <row r="131" spans="2:22" x14ac:dyDescent="0.3">
      <c r="D131" s="286"/>
      <c r="E131" s="286"/>
      <c r="F131" s="286"/>
      <c r="G131" s="286"/>
      <c r="H131" s="286"/>
      <c r="I131" s="286"/>
      <c r="J131" s="286"/>
      <c r="K131" s="286" t="s">
        <v>258</v>
      </c>
      <c r="L131" s="286"/>
      <c r="M131" s="286"/>
      <c r="N131" s="286" t="s">
        <v>519</v>
      </c>
      <c r="O131" s="286"/>
      <c r="P131" s="286"/>
      <c r="Q131" s="344">
        <f>Q130/86400</f>
        <v>2.2569444444444442E-3</v>
      </c>
      <c r="R131" s="317"/>
      <c r="S131" s="317"/>
      <c r="T131" s="286"/>
      <c r="U131" s="286"/>
      <c r="V131" s="286"/>
    </row>
    <row r="132" spans="2:22" x14ac:dyDescent="0.3">
      <c r="D132" s="286" t="s">
        <v>1253</v>
      </c>
      <c r="E132" s="286"/>
      <c r="F132" s="286"/>
      <c r="G132" s="286"/>
      <c r="H132" s="286" t="s">
        <v>1254</v>
      </c>
      <c r="I132" s="286"/>
      <c r="J132" s="286"/>
      <c r="K132" s="286" t="s">
        <v>372</v>
      </c>
      <c r="L132" s="286"/>
      <c r="M132" s="286"/>
      <c r="N132" s="286" t="s">
        <v>1255</v>
      </c>
      <c r="O132" s="286"/>
      <c r="P132" s="286"/>
      <c r="Q132" s="349">
        <f>1.2*(Q129^0.5)</f>
        <v>4.737496394635154</v>
      </c>
      <c r="R132" s="293"/>
      <c r="S132" s="293"/>
      <c r="T132" s="286"/>
      <c r="U132" s="286"/>
      <c r="V132" s="286"/>
    </row>
    <row r="133" spans="2:22" x14ac:dyDescent="0.3">
      <c r="D133" s="286" t="s">
        <v>400</v>
      </c>
      <c r="E133" s="286"/>
      <c r="F133" s="286"/>
      <c r="G133" s="286"/>
      <c r="H133" s="286" t="s">
        <v>401</v>
      </c>
      <c r="I133" s="286"/>
      <c r="J133" s="286"/>
      <c r="K133" s="286" t="s">
        <v>186</v>
      </c>
      <c r="L133" s="286"/>
      <c r="M133" s="286"/>
      <c r="N133" s="286" t="s">
        <v>1256</v>
      </c>
      <c r="O133" s="286"/>
      <c r="P133" s="286"/>
      <c r="Q133" s="339">
        <f>Q128/Q132</f>
        <v>0.14414336013976378</v>
      </c>
      <c r="R133" s="296"/>
      <c r="S133" s="296"/>
      <c r="T133" s="286"/>
      <c r="U133" s="286"/>
      <c r="V133" s="286"/>
    </row>
    <row r="134" spans="2:22" x14ac:dyDescent="0.3">
      <c r="D134" s="286" t="s">
        <v>1257</v>
      </c>
      <c r="E134" s="286"/>
      <c r="F134" s="286"/>
      <c r="G134" s="286"/>
      <c r="H134" s="286" t="s">
        <v>1258</v>
      </c>
      <c r="I134" s="286"/>
      <c r="J134" s="286"/>
      <c r="K134" s="286" t="s">
        <v>186</v>
      </c>
      <c r="L134" s="286"/>
      <c r="M134" s="286"/>
      <c r="N134" s="286" t="s">
        <v>1259</v>
      </c>
      <c r="O134" s="286"/>
      <c r="P134" s="286"/>
      <c r="Q134" s="342">
        <f>Q133/Q131</f>
        <v>63.866596492695344</v>
      </c>
      <c r="R134" s="294"/>
      <c r="S134" s="294"/>
      <c r="T134" s="286"/>
      <c r="U134" s="286"/>
      <c r="V134" s="286"/>
    </row>
    <row r="135" spans="2:22" x14ac:dyDescent="0.3">
      <c r="B135" s="63"/>
      <c r="C135" s="63"/>
      <c r="D135" s="330" t="s">
        <v>408</v>
      </c>
      <c r="E135" s="304"/>
      <c r="F135" s="304"/>
      <c r="G135" s="304"/>
      <c r="H135" s="304"/>
      <c r="I135" s="304"/>
      <c r="J135" s="304"/>
      <c r="K135" s="304"/>
      <c r="L135" s="304"/>
      <c r="M135" s="304"/>
      <c r="N135" s="304"/>
      <c r="O135" s="304"/>
      <c r="P135" s="304"/>
      <c r="Q135" s="353"/>
      <c r="R135" s="304"/>
      <c r="S135" s="304"/>
      <c r="T135" s="304"/>
      <c r="U135" s="304"/>
      <c r="V135" s="304"/>
    </row>
    <row r="136" spans="2:22" x14ac:dyDescent="0.3">
      <c r="B136" s="63"/>
      <c r="C136" s="63"/>
      <c r="D136" s="304" t="s">
        <v>411</v>
      </c>
      <c r="E136" s="304"/>
      <c r="F136" s="304"/>
      <c r="G136" s="304"/>
      <c r="H136" s="304" t="s">
        <v>668</v>
      </c>
      <c r="I136" s="304"/>
      <c r="J136" s="304"/>
      <c r="K136" s="304" t="s">
        <v>259</v>
      </c>
      <c r="L136" s="304"/>
      <c r="M136" s="304"/>
      <c r="N136" s="304" t="s">
        <v>1260</v>
      </c>
      <c r="O136" s="304"/>
      <c r="P136" s="304"/>
      <c r="Q136" s="351">
        <f>((2*Q134)^(1/2))</f>
        <v>11.301911032448924</v>
      </c>
      <c r="R136" s="311"/>
      <c r="S136" s="311"/>
      <c r="T136" s="304"/>
      <c r="U136" s="304"/>
      <c r="V136" s="304"/>
    </row>
    <row r="137" spans="2:22" x14ac:dyDescent="0.3">
      <c r="B137" s="63"/>
      <c r="C137" s="63"/>
      <c r="D137" s="304" t="s">
        <v>305</v>
      </c>
      <c r="E137" s="304"/>
      <c r="F137" s="304"/>
      <c r="G137" s="304"/>
      <c r="H137" s="304" t="s">
        <v>1261</v>
      </c>
      <c r="I137" s="304"/>
      <c r="J137" s="304"/>
      <c r="K137" s="304" t="s">
        <v>259</v>
      </c>
      <c r="L137" s="304"/>
      <c r="M137" s="304"/>
      <c r="N137" s="304" t="s">
        <v>1262</v>
      </c>
      <c r="O137" s="304"/>
      <c r="P137" s="304"/>
      <c r="Q137" s="352">
        <f>Q136/2</f>
        <v>5.650955516224462</v>
      </c>
      <c r="R137" s="312"/>
      <c r="S137" s="312"/>
      <c r="T137" s="304"/>
      <c r="U137" s="304"/>
      <c r="V137" s="304"/>
    </row>
    <row r="138" spans="2:22" x14ac:dyDescent="0.3">
      <c r="D138" s="286" t="s">
        <v>1263</v>
      </c>
      <c r="E138" s="286"/>
      <c r="F138" s="286"/>
      <c r="G138" s="286"/>
      <c r="H138" s="286" t="s">
        <v>1264</v>
      </c>
      <c r="I138" s="286"/>
      <c r="J138" s="286"/>
      <c r="K138" s="286" t="s">
        <v>320</v>
      </c>
      <c r="L138" s="286"/>
      <c r="M138" s="286"/>
      <c r="N138" s="286" t="s">
        <v>1265</v>
      </c>
      <c r="O138" s="286"/>
      <c r="P138" s="286"/>
      <c r="Q138" s="342">
        <f>Q136*Q137</f>
        <v>63.866596492695351</v>
      </c>
      <c r="R138" s="294"/>
      <c r="S138" s="294"/>
      <c r="T138" s="286"/>
      <c r="U138" s="286"/>
      <c r="V138" s="286"/>
    </row>
    <row r="139" spans="2:22" x14ac:dyDescent="0.3">
      <c r="D139" s="286" t="s">
        <v>1266</v>
      </c>
      <c r="E139" s="286"/>
      <c r="F139" s="286"/>
      <c r="G139" s="286"/>
      <c r="H139" s="286" t="s">
        <v>1267</v>
      </c>
      <c r="I139" s="286"/>
      <c r="J139" s="286"/>
      <c r="K139" s="286" t="s">
        <v>258</v>
      </c>
      <c r="L139" s="286"/>
      <c r="M139" s="286"/>
      <c r="N139" s="286" t="s">
        <v>1268</v>
      </c>
      <c r="O139" s="286"/>
      <c r="P139" s="286"/>
      <c r="Q139" s="344">
        <f>Q133/(Q136*Q137)</f>
        <v>2.2569444444444438E-3</v>
      </c>
      <c r="R139" s="317"/>
      <c r="S139" s="317"/>
      <c r="T139" s="286"/>
      <c r="U139" s="286"/>
      <c r="V139" s="286"/>
    </row>
    <row r="140" spans="2:22" x14ac:dyDescent="0.3">
      <c r="D140" s="286"/>
      <c r="E140" s="286"/>
      <c r="F140" s="286"/>
      <c r="G140" s="286"/>
      <c r="H140" s="286"/>
      <c r="I140" s="286"/>
      <c r="J140" s="286"/>
      <c r="K140" s="286" t="s">
        <v>1133</v>
      </c>
      <c r="L140" s="286"/>
      <c r="M140" s="286"/>
      <c r="N140" s="286" t="s">
        <v>519</v>
      </c>
      <c r="O140" s="286"/>
      <c r="P140" s="286"/>
      <c r="Q140" s="170">
        <f>Q139*86400</f>
        <v>194.99999999999994</v>
      </c>
      <c r="R140" s="286"/>
      <c r="S140" s="286"/>
      <c r="T140" s="274" t="s">
        <v>1269</v>
      </c>
      <c r="U140" s="286"/>
      <c r="V140" s="286"/>
    </row>
    <row r="141" spans="2:22" x14ac:dyDescent="0.3">
      <c r="D141" s="274" t="s">
        <v>1270</v>
      </c>
      <c r="E141" s="286"/>
      <c r="F141" s="286"/>
      <c r="G141" s="286"/>
      <c r="H141" s="286"/>
      <c r="I141" s="286"/>
      <c r="J141" s="286"/>
      <c r="K141" s="286"/>
      <c r="L141" s="286"/>
      <c r="M141" s="286"/>
      <c r="N141" s="286"/>
      <c r="O141" s="286"/>
      <c r="P141" s="286"/>
      <c r="Q141" s="170"/>
      <c r="R141" s="286"/>
      <c r="S141" s="286"/>
      <c r="T141" s="286"/>
      <c r="U141" s="286"/>
      <c r="V141" s="286"/>
    </row>
    <row r="142" spans="2:22" x14ac:dyDescent="0.3">
      <c r="D142" s="286" t="s">
        <v>1271</v>
      </c>
      <c r="E142" s="286"/>
      <c r="F142" s="286"/>
      <c r="G142" s="286"/>
      <c r="H142" s="286"/>
      <c r="I142" s="286"/>
      <c r="J142" s="286"/>
      <c r="K142" s="286"/>
      <c r="L142" s="286"/>
      <c r="M142" s="286"/>
      <c r="N142" s="286"/>
      <c r="O142" s="286"/>
      <c r="P142" s="286"/>
      <c r="Q142" s="170"/>
      <c r="R142" s="286"/>
      <c r="S142" s="286"/>
      <c r="T142" s="286"/>
      <c r="U142" s="286"/>
      <c r="V142" s="286"/>
    </row>
    <row r="143" spans="2:22" x14ac:dyDescent="0.3">
      <c r="D143" s="286" t="s">
        <v>1272</v>
      </c>
      <c r="E143" s="286"/>
      <c r="F143" s="286"/>
      <c r="G143" s="286"/>
      <c r="H143" s="286" t="s">
        <v>401</v>
      </c>
      <c r="I143" s="286"/>
      <c r="J143" s="286"/>
      <c r="K143" s="286" t="s">
        <v>186</v>
      </c>
      <c r="L143" s="286"/>
      <c r="M143" s="286"/>
      <c r="N143" s="286" t="s">
        <v>461</v>
      </c>
      <c r="O143" s="286"/>
      <c r="P143" s="286"/>
      <c r="Q143" s="342">
        <f>Q128/3</f>
        <v>0.22762621632424249</v>
      </c>
      <c r="R143" s="294"/>
      <c r="S143" s="294"/>
      <c r="T143" s="286"/>
      <c r="U143" s="286"/>
      <c r="V143" s="286"/>
    </row>
    <row r="144" spans="2:22" x14ac:dyDescent="0.3">
      <c r="D144" s="286" t="s">
        <v>1115</v>
      </c>
      <c r="E144" s="286"/>
      <c r="F144" s="286"/>
      <c r="G144" s="286"/>
      <c r="H144" s="286" t="s">
        <v>1273</v>
      </c>
      <c r="I144" s="286"/>
      <c r="J144" s="286"/>
      <c r="K144" s="286" t="s">
        <v>258</v>
      </c>
      <c r="L144" s="286"/>
      <c r="M144" s="286"/>
      <c r="N144" s="286" t="s">
        <v>1274</v>
      </c>
      <c r="O144" s="286"/>
      <c r="P144" s="286"/>
      <c r="Q144" s="341">
        <f>Q143/Q138</f>
        <v>3.5640887228157976E-3</v>
      </c>
      <c r="R144" s="314"/>
      <c r="S144" s="314"/>
      <c r="T144" s="286"/>
      <c r="U144" s="286"/>
      <c r="V144" s="286"/>
    </row>
    <row r="145" spans="2:22" x14ac:dyDescent="0.3">
      <c r="D145" s="286"/>
      <c r="E145" s="286"/>
      <c r="F145" s="286"/>
      <c r="G145" s="286"/>
      <c r="H145" s="286"/>
      <c r="I145" s="286"/>
      <c r="J145" s="286"/>
      <c r="K145" s="286" t="s">
        <v>1133</v>
      </c>
      <c r="L145" s="286"/>
      <c r="M145" s="286"/>
      <c r="N145" s="286" t="s">
        <v>519</v>
      </c>
      <c r="O145" s="286"/>
      <c r="P145" s="286"/>
      <c r="Q145" s="342">
        <f>Q144*86400</f>
        <v>307.93726565128492</v>
      </c>
      <c r="R145" s="294"/>
      <c r="S145" s="294"/>
      <c r="T145" s="274" t="s">
        <v>1269</v>
      </c>
      <c r="U145" s="286"/>
      <c r="V145" s="286"/>
    </row>
    <row r="146" spans="2:22" x14ac:dyDescent="0.3">
      <c r="B146" s="66"/>
      <c r="C146" s="66"/>
      <c r="D146" s="305" t="s">
        <v>1275</v>
      </c>
      <c r="E146" s="267"/>
      <c r="F146" s="267"/>
      <c r="G146" s="267"/>
      <c r="H146" s="267"/>
      <c r="I146" s="267"/>
      <c r="J146" s="267"/>
      <c r="K146" s="267"/>
      <c r="L146" s="267"/>
      <c r="M146" s="267"/>
      <c r="N146" s="267"/>
      <c r="O146" s="267"/>
      <c r="P146" s="267"/>
      <c r="Q146" s="343"/>
      <c r="R146" s="267"/>
      <c r="S146" s="267"/>
      <c r="T146" s="267"/>
      <c r="U146" s="267"/>
      <c r="V146" s="267"/>
    </row>
    <row r="147" spans="2:22" x14ac:dyDescent="0.3">
      <c r="D147" s="274" t="s">
        <v>986</v>
      </c>
      <c r="E147" s="286"/>
      <c r="F147" s="286"/>
      <c r="G147" s="286"/>
      <c r="H147" s="286"/>
      <c r="I147" s="286"/>
      <c r="J147" s="286"/>
      <c r="K147" s="286"/>
      <c r="L147" s="286"/>
      <c r="M147" s="286"/>
      <c r="N147" s="286"/>
      <c r="O147" s="286"/>
      <c r="P147" s="286"/>
      <c r="Q147" s="170"/>
      <c r="R147" s="286"/>
      <c r="S147" s="286"/>
      <c r="T147" s="286"/>
      <c r="U147" s="286"/>
      <c r="V147" s="286"/>
    </row>
    <row r="148" spans="2:22" x14ac:dyDescent="0.3">
      <c r="D148" s="286" t="s">
        <v>1125</v>
      </c>
      <c r="E148" s="286"/>
      <c r="F148" s="286"/>
      <c r="G148" s="286"/>
      <c r="H148" s="286" t="s">
        <v>1279</v>
      </c>
      <c r="I148" s="286"/>
      <c r="J148" s="286"/>
      <c r="K148" s="286" t="s">
        <v>259</v>
      </c>
      <c r="L148" s="286"/>
      <c r="M148" s="286"/>
      <c r="N148" s="286" t="s">
        <v>436</v>
      </c>
      <c r="O148" s="286"/>
      <c r="P148" s="286"/>
      <c r="Q148" s="170">
        <v>1.2699999999999999E-2</v>
      </c>
      <c r="R148" s="286"/>
      <c r="S148" s="286"/>
      <c r="T148" s="286"/>
      <c r="U148" s="286"/>
      <c r="V148" s="286"/>
    </row>
    <row r="149" spans="2:22" x14ac:dyDescent="0.3">
      <c r="D149" s="286" t="s">
        <v>1276</v>
      </c>
      <c r="E149" s="286"/>
      <c r="F149" s="286"/>
      <c r="G149" s="286"/>
      <c r="H149" s="286" t="s">
        <v>993</v>
      </c>
      <c r="I149" s="286"/>
      <c r="J149" s="286"/>
      <c r="K149" s="286" t="s">
        <v>320</v>
      </c>
      <c r="L149" s="286"/>
      <c r="M149" s="286"/>
      <c r="N149" s="286" t="s">
        <v>1282</v>
      </c>
      <c r="O149" s="286"/>
      <c r="P149" s="286"/>
      <c r="Q149" s="170">
        <f>(1/4)*3.41*(Q148^2)</f>
        <v>1.37499725E-4</v>
      </c>
      <c r="R149" s="286"/>
      <c r="S149" s="286"/>
      <c r="T149" s="286"/>
      <c r="U149" s="286"/>
      <c r="V149" s="286"/>
    </row>
    <row r="150" spans="2:22" x14ac:dyDescent="0.3">
      <c r="D150" s="286" t="s">
        <v>1277</v>
      </c>
      <c r="E150" s="286"/>
      <c r="F150" s="286"/>
      <c r="G150" s="286"/>
      <c r="H150" s="286" t="s">
        <v>1280</v>
      </c>
      <c r="I150" s="286"/>
      <c r="J150" s="286"/>
      <c r="K150" s="286" t="s">
        <v>320</v>
      </c>
      <c r="L150" s="286"/>
      <c r="M150" s="286"/>
      <c r="N150" s="286" t="s">
        <v>1283</v>
      </c>
      <c r="O150" s="286"/>
      <c r="P150" s="286"/>
      <c r="Q150" s="339">
        <f>3*(10^-3)*Q138</f>
        <v>0.19159978947808606</v>
      </c>
      <c r="R150" s="296"/>
      <c r="S150" s="296"/>
      <c r="T150" s="286"/>
      <c r="U150" s="286"/>
      <c r="V150" s="286"/>
    </row>
    <row r="151" spans="2:22" x14ac:dyDescent="0.3">
      <c r="D151" s="286" t="s">
        <v>1278</v>
      </c>
      <c r="E151" s="286"/>
      <c r="F151" s="286"/>
      <c r="G151" s="286"/>
      <c r="H151" s="286" t="s">
        <v>1281</v>
      </c>
      <c r="I151" s="286"/>
      <c r="J151" s="286"/>
      <c r="K151" s="286" t="s">
        <v>372</v>
      </c>
      <c r="L151" s="286"/>
      <c r="M151" s="286"/>
      <c r="N151" s="286" t="s">
        <v>1284</v>
      </c>
      <c r="O151" s="286"/>
      <c r="P151" s="286"/>
      <c r="Q151" s="349">
        <f>Q150/Q149</f>
        <v>1393.4558012976831</v>
      </c>
      <c r="R151" s="293"/>
      <c r="S151" s="293"/>
      <c r="T151" s="286"/>
      <c r="U151" s="286"/>
      <c r="V151" s="286"/>
    </row>
    <row r="152" spans="2:22" x14ac:dyDescent="0.3">
      <c r="D152" s="274" t="s">
        <v>1286</v>
      </c>
      <c r="E152" s="286"/>
      <c r="F152" s="286"/>
      <c r="G152" s="286"/>
      <c r="H152" s="286"/>
      <c r="I152" s="286"/>
      <c r="J152" s="286"/>
      <c r="K152" s="286"/>
      <c r="L152" s="286"/>
      <c r="M152" s="286"/>
      <c r="N152" s="286"/>
      <c r="O152" s="286"/>
      <c r="P152" s="286"/>
      <c r="Q152" s="170"/>
      <c r="R152" s="286"/>
      <c r="S152" s="286"/>
      <c r="T152" s="286"/>
      <c r="U152" s="286"/>
      <c r="V152" s="286"/>
    </row>
    <row r="153" spans="2:22" x14ac:dyDescent="0.3">
      <c r="D153" s="286" t="s">
        <v>1287</v>
      </c>
      <c r="E153" s="286"/>
      <c r="F153" s="286"/>
      <c r="G153" s="286"/>
      <c r="H153" s="286" t="s">
        <v>1288</v>
      </c>
      <c r="I153" s="286"/>
      <c r="J153" s="286"/>
      <c r="K153" s="286" t="s">
        <v>320</v>
      </c>
      <c r="L153" s="286"/>
      <c r="M153" s="286"/>
      <c r="N153" s="286" t="s">
        <v>1289</v>
      </c>
      <c r="O153" s="286"/>
      <c r="P153" s="286"/>
      <c r="Q153" s="339">
        <f>(2/1)*Q150</f>
        <v>0.38319957895617213</v>
      </c>
      <c r="R153" s="296"/>
      <c r="S153" s="296"/>
      <c r="T153" s="286"/>
      <c r="U153" s="286"/>
      <c r="V153" s="286"/>
    </row>
    <row r="154" spans="2:22" x14ac:dyDescent="0.3">
      <c r="D154" s="286" t="s">
        <v>1290</v>
      </c>
      <c r="E154" s="286"/>
      <c r="F154" s="286"/>
      <c r="G154" s="286"/>
      <c r="H154" s="286" t="s">
        <v>1291</v>
      </c>
      <c r="I154" s="286"/>
      <c r="J154" s="286"/>
      <c r="K154" s="286" t="s">
        <v>320</v>
      </c>
      <c r="L154" s="286"/>
      <c r="M154" s="286"/>
      <c r="N154" s="286" t="s">
        <v>668</v>
      </c>
      <c r="O154" s="286"/>
      <c r="P154" s="286"/>
      <c r="Q154" s="349">
        <f>Q136</f>
        <v>11.301911032448924</v>
      </c>
      <c r="R154" s="286"/>
      <c r="S154" s="286"/>
      <c r="T154" s="286"/>
      <c r="U154" s="286"/>
      <c r="V154" s="286"/>
    </row>
    <row r="155" spans="2:22" x14ac:dyDescent="0.3">
      <c r="D155" s="286" t="s">
        <v>1292</v>
      </c>
      <c r="E155" s="286"/>
      <c r="F155" s="286"/>
      <c r="G155" s="286"/>
      <c r="H155" s="286" t="s">
        <v>1293</v>
      </c>
      <c r="I155" s="286"/>
      <c r="J155" s="286"/>
      <c r="K155" s="286" t="s">
        <v>259</v>
      </c>
      <c r="L155" s="286"/>
      <c r="M155" s="286"/>
      <c r="N155" s="286" t="s">
        <v>436</v>
      </c>
      <c r="O155" s="286"/>
      <c r="P155" s="286"/>
      <c r="Q155" s="170">
        <v>0.127</v>
      </c>
      <c r="R155" s="286"/>
      <c r="S155" s="286"/>
      <c r="T155" s="286"/>
      <c r="U155" s="286"/>
      <c r="V155" s="286"/>
    </row>
    <row r="156" spans="2:22" x14ac:dyDescent="0.3">
      <c r="D156" s="286" t="s">
        <v>1294</v>
      </c>
      <c r="E156" s="286"/>
      <c r="F156" s="286"/>
      <c r="G156" s="286"/>
      <c r="H156" s="286" t="s">
        <v>1295</v>
      </c>
      <c r="I156" s="286"/>
      <c r="J156" s="286"/>
      <c r="K156" s="286" t="s">
        <v>372</v>
      </c>
      <c r="L156" s="286"/>
      <c r="M156" s="286"/>
      <c r="N156" s="286" t="s">
        <v>1296</v>
      </c>
      <c r="O156" s="286"/>
      <c r="P156" s="286"/>
      <c r="Q156" s="349">
        <f>(Q154/Q155)*2</f>
        <v>177.98285090470748</v>
      </c>
      <c r="R156" s="293"/>
      <c r="S156" s="293"/>
      <c r="T156" s="286"/>
      <c r="U156" s="286"/>
      <c r="V156" s="286"/>
    </row>
    <row r="157" spans="2:22" x14ac:dyDescent="0.3">
      <c r="D157" s="286" t="s">
        <v>1297</v>
      </c>
      <c r="E157" s="286"/>
      <c r="F157" s="286"/>
      <c r="G157" s="286"/>
      <c r="H157" s="286" t="s">
        <v>1298</v>
      </c>
      <c r="I157" s="286"/>
      <c r="J157" s="286"/>
      <c r="K157" s="286" t="s">
        <v>320</v>
      </c>
      <c r="L157" s="286"/>
      <c r="M157" s="286"/>
      <c r="N157" s="286" t="s">
        <v>1299</v>
      </c>
      <c r="O157" s="286"/>
      <c r="P157" s="286"/>
      <c r="Q157" s="344">
        <f>Q153/Q156</f>
        <v>2.1530140516815201E-3</v>
      </c>
      <c r="R157" s="317"/>
      <c r="S157" s="317"/>
      <c r="T157" s="286"/>
      <c r="U157" s="286"/>
      <c r="V157" s="286"/>
    </row>
    <row r="158" spans="2:22" x14ac:dyDescent="0.3">
      <c r="D158" s="286" t="s">
        <v>1300</v>
      </c>
      <c r="E158" s="286"/>
      <c r="F158" s="286"/>
      <c r="G158" s="286"/>
      <c r="H158" s="286" t="s">
        <v>1301</v>
      </c>
      <c r="I158" s="286"/>
      <c r="J158" s="286"/>
      <c r="K158" s="286" t="s">
        <v>259</v>
      </c>
      <c r="L158" s="286"/>
      <c r="M158" s="286"/>
      <c r="N158" s="286" t="s">
        <v>1302</v>
      </c>
      <c r="O158" s="286"/>
      <c r="P158" s="286"/>
      <c r="Q158" s="342">
        <f>SQRT((4*Q157)/3.14)</f>
        <v>5.2370727123717736E-2</v>
      </c>
      <c r="R158" s="294"/>
      <c r="S158" s="294"/>
      <c r="T158" s="286"/>
      <c r="U158" s="286"/>
      <c r="V158" s="286"/>
    </row>
    <row r="159" spans="2:22" x14ac:dyDescent="0.3">
      <c r="D159" s="286"/>
      <c r="E159" s="286"/>
      <c r="F159" s="286"/>
      <c r="G159" s="286"/>
      <c r="H159" s="286"/>
      <c r="I159" s="286"/>
      <c r="J159" s="286"/>
      <c r="K159" s="286" t="s">
        <v>1137</v>
      </c>
      <c r="L159" s="286"/>
      <c r="M159" s="286"/>
      <c r="N159" s="286" t="s">
        <v>519</v>
      </c>
      <c r="O159" s="286"/>
      <c r="P159" s="286"/>
      <c r="Q159" s="342">
        <f>Q158*39.37</f>
        <v>2.0618355268607673</v>
      </c>
      <c r="R159" s="294"/>
      <c r="S159" s="294"/>
      <c r="T159" s="286"/>
      <c r="U159" s="286"/>
      <c r="V159" s="286"/>
    </row>
    <row r="160" spans="2:22" x14ac:dyDescent="0.3">
      <c r="D160" s="286" t="s">
        <v>1303</v>
      </c>
      <c r="E160" s="286"/>
      <c r="F160" s="286"/>
      <c r="G160" s="286"/>
      <c r="H160" s="286" t="s">
        <v>1304</v>
      </c>
      <c r="I160" s="286"/>
      <c r="J160" s="286"/>
      <c r="K160" s="286" t="s">
        <v>372</v>
      </c>
      <c r="L160" s="286"/>
      <c r="M160" s="286"/>
      <c r="N160" s="286" t="s">
        <v>1305</v>
      </c>
      <c r="O160" s="286"/>
      <c r="P160" s="286"/>
      <c r="Q160" s="349">
        <f>Q151/Q156</f>
        <v>7.829157664429947</v>
      </c>
      <c r="R160" s="293"/>
      <c r="S160" s="293"/>
      <c r="T160" s="286"/>
      <c r="U160" s="286"/>
      <c r="V160" s="286"/>
    </row>
    <row r="161" spans="4:22" x14ac:dyDescent="0.3">
      <c r="D161" s="274" t="s">
        <v>1306</v>
      </c>
      <c r="E161" s="286"/>
      <c r="F161" s="286"/>
      <c r="G161" s="286"/>
      <c r="H161" s="286"/>
      <c r="I161" s="286"/>
      <c r="J161" s="286"/>
      <c r="K161" s="286"/>
      <c r="L161" s="286"/>
      <c r="M161" s="286"/>
      <c r="N161" s="286"/>
      <c r="O161" s="286"/>
      <c r="P161" s="286"/>
      <c r="Q161" s="170"/>
      <c r="R161" s="286"/>
      <c r="S161" s="286"/>
      <c r="T161" s="286"/>
      <c r="U161" s="286"/>
      <c r="V161" s="286"/>
    </row>
    <row r="162" spans="4:22" x14ac:dyDescent="0.3">
      <c r="D162" s="286" t="s">
        <v>1307</v>
      </c>
      <c r="E162" s="286"/>
      <c r="F162" s="286"/>
      <c r="G162" s="286"/>
      <c r="H162" s="286" t="s">
        <v>1308</v>
      </c>
      <c r="I162" s="286"/>
      <c r="J162" s="286"/>
      <c r="K162" s="286" t="s">
        <v>320</v>
      </c>
      <c r="L162" s="286"/>
      <c r="M162" s="286"/>
      <c r="N162" s="286" t="s">
        <v>1309</v>
      </c>
      <c r="O162" s="286"/>
      <c r="P162" s="286"/>
      <c r="Q162" s="342">
        <f>(1.5/1)*Q153</f>
        <v>0.57479936843425816</v>
      </c>
      <c r="R162" s="294"/>
      <c r="S162" s="294"/>
      <c r="T162" s="286"/>
      <c r="U162" s="286"/>
      <c r="V162" s="286"/>
    </row>
    <row r="163" spans="4:22" x14ac:dyDescent="0.3">
      <c r="D163" s="286" t="s">
        <v>1310</v>
      </c>
      <c r="E163" s="286"/>
      <c r="F163" s="286"/>
      <c r="G163" s="286"/>
      <c r="H163" s="286" t="s">
        <v>1311</v>
      </c>
      <c r="I163" s="286"/>
      <c r="J163" s="286"/>
      <c r="K163" s="286" t="s">
        <v>259</v>
      </c>
      <c r="L163" s="286"/>
      <c r="M163" s="286"/>
      <c r="N163" s="286" t="s">
        <v>1312</v>
      </c>
      <c r="O163" s="286"/>
      <c r="P163" s="286"/>
      <c r="Q163" s="342">
        <f>SQRT((4*Q162)/3.14)</f>
        <v>0.85570350871123046</v>
      </c>
      <c r="R163" s="294"/>
      <c r="S163" s="294"/>
      <c r="T163" s="286"/>
      <c r="U163" s="286"/>
      <c r="V163" s="286"/>
    </row>
    <row r="164" spans="4:22" x14ac:dyDescent="0.3">
      <c r="D164" s="286"/>
      <c r="E164" s="286"/>
      <c r="F164" s="286"/>
      <c r="G164" s="286"/>
      <c r="H164" s="286"/>
      <c r="I164" s="286"/>
      <c r="J164" s="286"/>
      <c r="K164" s="286" t="s">
        <v>1137</v>
      </c>
      <c r="L164" s="286"/>
      <c r="M164" s="286"/>
      <c r="N164" s="286" t="s">
        <v>519</v>
      </c>
      <c r="O164" s="286"/>
      <c r="P164" s="286"/>
      <c r="Q164" s="349">
        <f>Q163*39.37</f>
        <v>33.68904713796114</v>
      </c>
      <c r="R164" s="293"/>
      <c r="S164" s="293"/>
      <c r="T164" s="286"/>
      <c r="U164" s="286"/>
      <c r="V164" s="286"/>
    </row>
    <row r="165" spans="4:22" x14ac:dyDescent="0.3">
      <c r="D165" s="286"/>
      <c r="E165" s="286"/>
      <c r="F165" s="286"/>
      <c r="G165" s="286"/>
      <c r="H165" s="286"/>
      <c r="I165" s="286"/>
      <c r="J165" s="286"/>
      <c r="K165" s="286" t="s">
        <v>259</v>
      </c>
      <c r="L165" s="286"/>
      <c r="M165" s="286"/>
      <c r="N165" s="286" t="s">
        <v>519</v>
      </c>
      <c r="O165" s="286"/>
      <c r="P165" s="286"/>
      <c r="Q165" s="170">
        <v>0.86360000000000003</v>
      </c>
      <c r="R165" s="286"/>
      <c r="S165" s="286"/>
      <c r="T165" s="286"/>
      <c r="U165" s="286"/>
      <c r="V165" s="286"/>
    </row>
    <row r="166" spans="4:22" x14ac:dyDescent="0.3">
      <c r="D166" s="286" t="s">
        <v>1313</v>
      </c>
      <c r="E166" s="286"/>
      <c r="F166" s="286"/>
      <c r="G166" s="286"/>
      <c r="H166" s="286" t="s">
        <v>1314</v>
      </c>
      <c r="I166" s="286"/>
      <c r="J166" s="286"/>
      <c r="K166" s="286" t="s">
        <v>320</v>
      </c>
      <c r="L166" s="286"/>
      <c r="M166" s="286"/>
      <c r="N166" s="286" t="s">
        <v>1315</v>
      </c>
      <c r="O166" s="286"/>
      <c r="P166" s="286"/>
      <c r="Q166" s="339">
        <f>(1/4)*3.14*(Q165^2)</f>
        <v>0.58545689360000008</v>
      </c>
      <c r="R166" s="296"/>
      <c r="S166" s="296"/>
      <c r="T166" s="286"/>
      <c r="U166" s="286"/>
      <c r="V166" s="286"/>
    </row>
    <row r="167" spans="4:22" x14ac:dyDescent="0.3">
      <c r="D167" s="286" t="s">
        <v>1316</v>
      </c>
      <c r="E167" s="286"/>
      <c r="F167" s="286"/>
      <c r="G167" s="286"/>
      <c r="H167" s="286" t="s">
        <v>814</v>
      </c>
      <c r="I167" s="286"/>
      <c r="J167" s="286"/>
      <c r="K167" s="286" t="s">
        <v>259</v>
      </c>
      <c r="L167" s="286"/>
      <c r="M167" s="286"/>
      <c r="N167" s="286" t="s">
        <v>1317</v>
      </c>
      <c r="O167" s="286"/>
      <c r="P167" s="286"/>
      <c r="Q167" s="350">
        <f>(Q137-Q165)/2</f>
        <v>2.393677758112231</v>
      </c>
      <c r="R167" s="313"/>
      <c r="S167" s="313"/>
      <c r="T167" s="286"/>
      <c r="U167" s="286"/>
      <c r="V167" s="286"/>
    </row>
    <row r="168" spans="4:22" x14ac:dyDescent="0.3">
      <c r="D168" s="286" t="s">
        <v>1318</v>
      </c>
      <c r="E168" s="286"/>
      <c r="F168" s="286"/>
      <c r="G168" s="286"/>
      <c r="H168" s="286" t="s">
        <v>1319</v>
      </c>
      <c r="I168" s="286"/>
      <c r="J168" s="286"/>
      <c r="K168" s="286" t="s">
        <v>259</v>
      </c>
      <c r="L168" s="286"/>
      <c r="M168" s="286"/>
      <c r="N168" s="286" t="s">
        <v>1320</v>
      </c>
      <c r="O168" s="286"/>
      <c r="P168" s="286"/>
      <c r="Q168" s="339">
        <f>Q167/Q160</f>
        <v>0.30573886243054965</v>
      </c>
      <c r="R168" s="296"/>
      <c r="S168" s="296"/>
      <c r="T168" s="286"/>
      <c r="U168" s="286"/>
      <c r="V168" s="286"/>
    </row>
    <row r="169" spans="4:22" x14ac:dyDescent="0.3">
      <c r="D169" s="286"/>
      <c r="E169" s="286"/>
      <c r="F169" s="286"/>
      <c r="G169" s="286"/>
      <c r="H169" s="286"/>
      <c r="I169" s="286"/>
      <c r="J169" s="286"/>
      <c r="K169" s="286" t="s">
        <v>1137</v>
      </c>
      <c r="L169" s="286"/>
      <c r="M169" s="286"/>
      <c r="N169" s="286" t="s">
        <v>519</v>
      </c>
      <c r="O169" s="286"/>
      <c r="P169" s="286"/>
      <c r="Q169" s="342">
        <f>Q168*39.37</f>
        <v>12.03693901389074</v>
      </c>
      <c r="R169" s="294"/>
      <c r="S169" s="294"/>
      <c r="T169" s="286"/>
      <c r="U169" s="286"/>
      <c r="V169" s="286"/>
    </row>
    <row r="170" spans="4:22" x14ac:dyDescent="0.3">
      <c r="D170" s="274" t="s">
        <v>1321</v>
      </c>
      <c r="E170" s="286"/>
      <c r="F170" s="286"/>
      <c r="G170" s="286"/>
      <c r="H170" s="286"/>
      <c r="I170" s="286"/>
      <c r="J170" s="286"/>
      <c r="K170" s="286"/>
      <c r="L170" s="286"/>
      <c r="M170" s="286"/>
      <c r="N170" s="286"/>
      <c r="O170" s="286"/>
      <c r="P170" s="286"/>
      <c r="Q170" s="170"/>
      <c r="R170" s="286"/>
      <c r="S170" s="286"/>
      <c r="T170" s="286"/>
      <c r="U170" s="286"/>
      <c r="V170" s="286"/>
    </row>
    <row r="171" spans="4:22" x14ac:dyDescent="0.3">
      <c r="D171" s="286" t="s">
        <v>1322</v>
      </c>
      <c r="E171" s="286"/>
      <c r="F171" s="286"/>
      <c r="G171" s="286"/>
      <c r="H171" s="286" t="s">
        <v>1281</v>
      </c>
      <c r="I171" s="286"/>
      <c r="J171" s="286"/>
      <c r="K171" s="286" t="s">
        <v>372</v>
      </c>
      <c r="L171" s="286"/>
      <c r="M171" s="286"/>
      <c r="N171" s="286" t="s">
        <v>1323</v>
      </c>
      <c r="O171" s="286"/>
      <c r="P171" s="286"/>
      <c r="Q171" s="349">
        <f>Q160*Q156</f>
        <v>1393.4558012976831</v>
      </c>
      <c r="R171" s="293"/>
      <c r="S171" s="293"/>
      <c r="T171" s="286"/>
      <c r="U171" s="286"/>
      <c r="V171" s="286"/>
    </row>
    <row r="172" spans="4:22" x14ac:dyDescent="0.3">
      <c r="D172" s="286" t="s">
        <v>1324</v>
      </c>
      <c r="E172" s="286"/>
      <c r="F172" s="286"/>
      <c r="G172" s="286"/>
      <c r="H172" s="286" t="s">
        <v>1280</v>
      </c>
      <c r="I172" s="286"/>
      <c r="J172" s="286"/>
      <c r="K172" s="286" t="s">
        <v>320</v>
      </c>
      <c r="L172" s="286"/>
      <c r="M172" s="286"/>
      <c r="N172" s="286" t="s">
        <v>1325</v>
      </c>
      <c r="O172" s="286"/>
      <c r="P172" s="286"/>
      <c r="Q172" s="339">
        <f>Q171*Q149</f>
        <v>0.19159978947808606</v>
      </c>
      <c r="R172" s="296"/>
      <c r="S172" s="296"/>
      <c r="T172" s="286"/>
      <c r="U172" s="286"/>
      <c r="V172" s="286"/>
    </row>
    <row r="173" spans="4:22" x14ac:dyDescent="0.3">
      <c r="D173" s="286" t="s">
        <v>1122</v>
      </c>
      <c r="E173" s="286"/>
      <c r="F173" s="286"/>
      <c r="G173" s="286"/>
      <c r="H173" s="286" t="s">
        <v>1326</v>
      </c>
      <c r="I173" s="286"/>
      <c r="J173" s="286"/>
      <c r="K173" s="286"/>
      <c r="L173" s="286"/>
      <c r="M173" s="286"/>
      <c r="N173" s="286" t="s">
        <v>1327</v>
      </c>
      <c r="O173" s="286"/>
      <c r="P173" s="286"/>
      <c r="Q173" s="341">
        <f>Q150/Q138</f>
        <v>3.0000000000000001E-3</v>
      </c>
      <c r="R173" s="314"/>
      <c r="S173" s="314"/>
      <c r="T173" s="274" t="s">
        <v>1328</v>
      </c>
      <c r="U173" s="286"/>
      <c r="V173" s="286"/>
    </row>
    <row r="174" spans="4:22" x14ac:dyDescent="0.3">
      <c r="D174" s="286" t="s">
        <v>1329</v>
      </c>
      <c r="E174" s="286"/>
      <c r="F174" s="286"/>
      <c r="G174" s="286"/>
      <c r="H174" s="286" t="s">
        <v>1288</v>
      </c>
      <c r="I174" s="286"/>
      <c r="J174" s="286"/>
      <c r="K174" s="286" t="s">
        <v>320</v>
      </c>
      <c r="L174" s="286"/>
      <c r="M174" s="286"/>
      <c r="N174" s="286" t="s">
        <v>1330</v>
      </c>
      <c r="O174" s="286"/>
      <c r="P174" s="286"/>
      <c r="Q174" s="339">
        <f>Q156*((1/4)*3.14*(Q158^2))</f>
        <v>0.38319957895617218</v>
      </c>
      <c r="R174" s="296"/>
      <c r="S174" s="296"/>
      <c r="T174" s="286"/>
      <c r="U174" s="286"/>
      <c r="V174" s="286"/>
    </row>
    <row r="175" spans="4:22" x14ac:dyDescent="0.3">
      <c r="D175" s="286" t="s">
        <v>1123</v>
      </c>
      <c r="E175" s="286"/>
      <c r="F175" s="286"/>
      <c r="G175" s="286"/>
      <c r="H175" s="286" t="s">
        <v>1331</v>
      </c>
      <c r="I175" s="286"/>
      <c r="J175" s="286"/>
      <c r="K175" s="286" t="s">
        <v>320</v>
      </c>
      <c r="L175" s="286"/>
      <c r="M175" s="286"/>
      <c r="N175" s="286" t="s">
        <v>1332</v>
      </c>
      <c r="O175" s="286"/>
      <c r="P175" s="286"/>
      <c r="Q175" s="170">
        <f>Q174/Q172</f>
        <v>2.0000000000000004</v>
      </c>
      <c r="R175" s="286"/>
      <c r="S175" s="286"/>
      <c r="T175" s="274" t="s">
        <v>1333</v>
      </c>
      <c r="U175" s="286"/>
      <c r="V175" s="286"/>
    </row>
    <row r="176" spans="4:22" x14ac:dyDescent="0.3">
      <c r="D176" s="286" t="s">
        <v>1174</v>
      </c>
      <c r="E176" s="286"/>
      <c r="F176" s="286"/>
      <c r="G176" s="286"/>
      <c r="H176" s="286" t="s">
        <v>1334</v>
      </c>
      <c r="I176" s="286"/>
      <c r="J176" s="286"/>
      <c r="K176" s="286" t="s">
        <v>320</v>
      </c>
      <c r="L176" s="286"/>
      <c r="M176" s="286"/>
      <c r="N176" s="286" t="s">
        <v>1335</v>
      </c>
      <c r="O176" s="286"/>
      <c r="P176" s="286"/>
      <c r="Q176" s="170">
        <f>Q162/Q174</f>
        <v>1.4999999999999998</v>
      </c>
      <c r="R176" s="286"/>
      <c r="S176" s="286"/>
      <c r="T176" s="274" t="s">
        <v>1336</v>
      </c>
      <c r="U176" s="286"/>
      <c r="V176" s="286"/>
    </row>
    <row r="177" spans="4:22" x14ac:dyDescent="0.3">
      <c r="D177" s="286" t="s">
        <v>1337</v>
      </c>
      <c r="E177" s="286"/>
      <c r="F177" s="286"/>
      <c r="G177" s="286"/>
      <c r="H177" s="286" t="s">
        <v>696</v>
      </c>
      <c r="I177" s="286"/>
      <c r="J177" s="286"/>
      <c r="K177" s="286" t="s">
        <v>259</v>
      </c>
      <c r="L177" s="286"/>
      <c r="M177" s="286"/>
      <c r="N177" s="286" t="s">
        <v>1338</v>
      </c>
      <c r="O177" s="286"/>
      <c r="P177" s="286"/>
      <c r="Q177" s="342">
        <f>((5*2.34*(10^-3)*9.539*(10^-7))/9.81)*(((1-0.42)^2)/(0.42^3))*((6/0.82)^2)*0.2*4.48*10^6</f>
        <v>0.24780531941312958</v>
      </c>
      <c r="R177" s="294"/>
      <c r="S177" s="294"/>
      <c r="T177" s="286"/>
      <c r="U177" s="286"/>
      <c r="V177" s="286"/>
    </row>
    <row r="178" spans="4:22" x14ac:dyDescent="0.3">
      <c r="D178" s="286" t="s">
        <v>1339</v>
      </c>
      <c r="E178" s="286"/>
      <c r="F178" s="286"/>
      <c r="G178" s="286"/>
      <c r="H178" s="286" t="s">
        <v>1183</v>
      </c>
      <c r="I178" s="286"/>
      <c r="J178" s="286"/>
      <c r="K178" s="286" t="s">
        <v>259</v>
      </c>
      <c r="L178" s="286"/>
      <c r="M178" s="286"/>
      <c r="N178" s="286" t="s">
        <v>1340</v>
      </c>
      <c r="O178" s="286"/>
      <c r="P178" s="286"/>
      <c r="Q178" s="339">
        <f>((5*2.34*(10^-3)*9.539*(10^-7))/9.81)*(((1-0.42)^2)/(0.42^3))*((6/0.72)^2)*0.6*0.49*10^6</f>
        <v>0.10546604432632725</v>
      </c>
      <c r="R178" s="296"/>
      <c r="S178" s="296"/>
      <c r="T178" s="286"/>
      <c r="U178" s="286"/>
      <c r="V178" s="286"/>
    </row>
    <row r="179" spans="4:22" x14ac:dyDescent="0.3">
      <c r="D179" s="286" t="s">
        <v>1341</v>
      </c>
      <c r="E179" s="286"/>
      <c r="F179" s="286"/>
      <c r="G179" s="286"/>
      <c r="H179" s="286" t="s">
        <v>1342</v>
      </c>
      <c r="I179" s="286"/>
      <c r="J179" s="286"/>
      <c r="K179" s="286" t="s">
        <v>259</v>
      </c>
      <c r="L179" s="286"/>
      <c r="M179" s="286"/>
      <c r="N179" s="286" t="s">
        <v>1343</v>
      </c>
      <c r="O179" s="286"/>
      <c r="P179" s="286"/>
      <c r="Q179" s="342">
        <f>((5*2.34*(10^-3)*9.539*(10^-7))/9.81)*(((1-0.4)^2)/(0.4^3))*((6/0.95)^2)*0.548*0.051*10^6</f>
        <v>7.1342488631477271E-3</v>
      </c>
      <c r="R179" s="294"/>
      <c r="S179" s="294"/>
      <c r="T179" s="286"/>
      <c r="U179" s="286"/>
      <c r="V179" s="286"/>
    </row>
    <row r="180" spans="4:22" x14ac:dyDescent="0.3">
      <c r="D180" s="286" t="s">
        <v>1344</v>
      </c>
      <c r="E180" s="286"/>
      <c r="F180" s="286"/>
      <c r="G180" s="286"/>
      <c r="H180" s="286" t="s">
        <v>1345</v>
      </c>
      <c r="I180" s="286"/>
      <c r="J180" s="286"/>
      <c r="K180" s="286" t="s">
        <v>186</v>
      </c>
      <c r="L180" s="286"/>
      <c r="M180" s="286"/>
      <c r="N180" s="286" t="s">
        <v>1346</v>
      </c>
      <c r="O180" s="286"/>
      <c r="P180" s="286"/>
      <c r="Q180" s="344">
        <f>Q133/Q151</f>
        <v>1.0344308015046293E-4</v>
      </c>
      <c r="R180" s="317"/>
      <c r="S180" s="317"/>
      <c r="T180" s="286"/>
      <c r="U180" s="286"/>
      <c r="V180" s="286"/>
    </row>
    <row r="181" spans="4:22" x14ac:dyDescent="0.3">
      <c r="D181" s="286" t="s">
        <v>1347</v>
      </c>
      <c r="E181" s="286"/>
      <c r="F181" s="286"/>
      <c r="G181" s="286"/>
      <c r="H181" s="286" t="s">
        <v>1348</v>
      </c>
      <c r="I181" s="286"/>
      <c r="J181" s="286"/>
      <c r="K181" s="286" t="s">
        <v>259</v>
      </c>
      <c r="L181" s="286"/>
      <c r="M181" s="286"/>
      <c r="N181" s="286" t="s">
        <v>1349</v>
      </c>
      <c r="O181" s="286"/>
      <c r="P181" s="286"/>
      <c r="Q181" s="339">
        <f>2.4*(((9.92*(10^-5))^2)/((Q149^2)*(2*9.81)))</f>
        <v>6.3669571027512598E-2</v>
      </c>
      <c r="R181" s="296"/>
      <c r="S181" s="296"/>
      <c r="T181" s="286"/>
      <c r="U181" s="286"/>
      <c r="V181" s="286"/>
    </row>
    <row r="182" spans="4:22" x14ac:dyDescent="0.3">
      <c r="D182" s="286" t="s">
        <v>1300</v>
      </c>
      <c r="E182" s="286"/>
      <c r="F182" s="286"/>
      <c r="G182" s="286"/>
      <c r="H182" s="286" t="s">
        <v>1301</v>
      </c>
      <c r="I182" s="286"/>
      <c r="J182" s="286"/>
      <c r="K182" s="286" t="s">
        <v>259</v>
      </c>
      <c r="L182" s="286"/>
      <c r="M182" s="286"/>
      <c r="N182" s="286" t="s">
        <v>436</v>
      </c>
      <c r="O182" s="286"/>
      <c r="P182" s="286"/>
      <c r="Q182" s="170">
        <v>5.0799999999999998E-2</v>
      </c>
      <c r="R182" s="286"/>
      <c r="S182" s="286"/>
      <c r="T182" s="286"/>
      <c r="U182" s="286"/>
      <c r="V182" s="286"/>
    </row>
    <row r="183" spans="4:22" x14ac:dyDescent="0.3">
      <c r="D183" s="286" t="s">
        <v>1316</v>
      </c>
      <c r="E183" s="286"/>
      <c r="F183" s="286"/>
      <c r="G183" s="286"/>
      <c r="H183" s="286" t="s">
        <v>814</v>
      </c>
      <c r="I183" s="286"/>
      <c r="J183" s="286"/>
      <c r="K183" s="286" t="s">
        <v>259</v>
      </c>
      <c r="L183" s="286"/>
      <c r="M183" s="286"/>
      <c r="N183" s="286" t="s">
        <v>814</v>
      </c>
      <c r="O183" s="286"/>
      <c r="P183" s="286"/>
      <c r="Q183" s="350">
        <f>Q167</f>
        <v>2.393677758112231</v>
      </c>
      <c r="R183" s="286"/>
      <c r="S183" s="286"/>
      <c r="T183" s="286"/>
      <c r="U183" s="286"/>
      <c r="V183" s="286"/>
    </row>
    <row r="184" spans="4:22" x14ac:dyDescent="0.3">
      <c r="D184" s="286" t="s">
        <v>1350</v>
      </c>
      <c r="E184" s="286"/>
      <c r="F184" s="286"/>
      <c r="G184" s="286"/>
      <c r="H184" s="286" t="s">
        <v>570</v>
      </c>
      <c r="I184" s="286"/>
      <c r="J184" s="286"/>
      <c r="K184" s="286" t="s">
        <v>186</v>
      </c>
      <c r="L184" s="286"/>
      <c r="M184" s="286"/>
      <c r="N184" s="286" t="s">
        <v>1354</v>
      </c>
      <c r="O184" s="286"/>
      <c r="P184" s="286"/>
      <c r="Q184" s="170">
        <f>Q133/Q156</f>
        <v>8.0987218379223816E-4</v>
      </c>
      <c r="R184" s="286"/>
      <c r="S184" s="286"/>
      <c r="T184" s="286"/>
      <c r="U184" s="286"/>
      <c r="V184" s="286"/>
    </row>
    <row r="185" spans="4:22" x14ac:dyDescent="0.3">
      <c r="D185" s="286" t="s">
        <v>1351</v>
      </c>
      <c r="E185" s="286"/>
      <c r="F185" s="286"/>
      <c r="G185" s="286"/>
      <c r="H185" s="286" t="s">
        <v>1353</v>
      </c>
      <c r="I185" s="286"/>
      <c r="J185" s="286"/>
      <c r="K185" s="286" t="s">
        <v>258</v>
      </c>
      <c r="L185" s="286"/>
      <c r="M185" s="286"/>
      <c r="N185" s="286" t="s">
        <v>1355</v>
      </c>
      <c r="O185" s="286"/>
      <c r="P185" s="286"/>
      <c r="Q185" s="342">
        <f>Q184/((1/4)*3.14*(0.0508^2))</f>
        <v>0.39977846990024213</v>
      </c>
      <c r="R185" s="294"/>
      <c r="S185" s="294"/>
      <c r="T185" s="286"/>
      <c r="U185" s="286"/>
      <c r="V185" s="286"/>
    </row>
    <row r="186" spans="4:22" x14ac:dyDescent="0.3">
      <c r="D186" s="286" t="s">
        <v>1352</v>
      </c>
      <c r="E186" s="286"/>
      <c r="F186" s="286"/>
      <c r="G186" s="286"/>
      <c r="H186" s="286" t="s">
        <v>694</v>
      </c>
      <c r="I186" s="286"/>
      <c r="J186" s="286"/>
      <c r="K186" s="286" t="s">
        <v>259</v>
      </c>
      <c r="L186" s="286"/>
      <c r="M186" s="286"/>
      <c r="N186" s="286" t="s">
        <v>1356</v>
      </c>
      <c r="O186" s="286"/>
      <c r="P186" s="286"/>
      <c r="Q186" s="344">
        <f>((1/3)*0.026*(Q183/0.0508)*((Q185^2)/(2*9.81)))</f>
        <v>3.3265485421190076E-3</v>
      </c>
      <c r="R186" s="317"/>
      <c r="S186" s="317"/>
      <c r="T186" s="286"/>
      <c r="U186" s="286"/>
      <c r="V186" s="286"/>
    </row>
    <row r="187" spans="4:22" x14ac:dyDescent="0.3">
      <c r="D187" s="274" t="s">
        <v>1357</v>
      </c>
      <c r="E187" s="286"/>
      <c r="F187" s="286"/>
      <c r="G187" s="286"/>
      <c r="H187" s="286"/>
      <c r="I187" s="286"/>
      <c r="J187" s="286"/>
      <c r="K187" s="286"/>
      <c r="L187" s="286"/>
      <c r="M187" s="286"/>
      <c r="N187" s="286"/>
      <c r="O187" s="286"/>
      <c r="P187" s="286"/>
      <c r="Q187" s="170"/>
      <c r="R187" s="286"/>
      <c r="S187" s="286"/>
      <c r="T187" s="286"/>
      <c r="U187" s="286"/>
      <c r="V187" s="286"/>
    </row>
    <row r="188" spans="4:22" x14ac:dyDescent="0.3">
      <c r="D188" s="286" t="s">
        <v>1310</v>
      </c>
      <c r="E188" s="286"/>
      <c r="F188" s="286"/>
      <c r="G188" s="286"/>
      <c r="H188" s="286" t="s">
        <v>1311</v>
      </c>
      <c r="I188" s="286"/>
      <c r="J188" s="286"/>
      <c r="K188" s="286" t="s">
        <v>259</v>
      </c>
      <c r="L188" s="286"/>
      <c r="M188" s="286"/>
      <c r="N188" s="286" t="s">
        <v>436</v>
      </c>
      <c r="O188" s="286"/>
      <c r="P188" s="286"/>
      <c r="Q188" s="170">
        <v>0.60960000000000003</v>
      </c>
      <c r="R188" s="286"/>
      <c r="S188" s="286"/>
      <c r="T188" s="286"/>
      <c r="U188" s="286"/>
      <c r="V188" s="286"/>
    </row>
    <row r="189" spans="4:22" x14ac:dyDescent="0.3">
      <c r="D189" s="286" t="s">
        <v>1358</v>
      </c>
      <c r="E189" s="286"/>
      <c r="F189" s="286"/>
      <c r="G189" s="286"/>
      <c r="H189" s="286" t="s">
        <v>1291</v>
      </c>
      <c r="I189" s="286"/>
      <c r="J189" s="286"/>
      <c r="K189" s="286" t="s">
        <v>259</v>
      </c>
      <c r="L189" s="286"/>
      <c r="M189" s="286"/>
      <c r="N189" s="286" t="s">
        <v>1291</v>
      </c>
      <c r="O189" s="286"/>
      <c r="P189" s="286"/>
      <c r="Q189" s="349">
        <f>Q154</f>
        <v>11.301911032448924</v>
      </c>
      <c r="R189" s="286"/>
      <c r="S189" s="286"/>
      <c r="T189" s="286"/>
      <c r="U189" s="286"/>
      <c r="V189" s="286"/>
    </row>
    <row r="190" spans="4:22" x14ac:dyDescent="0.3">
      <c r="D190" s="286" t="s">
        <v>1359</v>
      </c>
      <c r="E190" s="286"/>
      <c r="F190" s="286"/>
      <c r="G190" s="286"/>
      <c r="H190" s="286" t="s">
        <v>1365</v>
      </c>
      <c r="I190" s="286"/>
      <c r="J190" s="286"/>
      <c r="K190" s="286" t="s">
        <v>186</v>
      </c>
      <c r="L190" s="286"/>
      <c r="M190" s="286"/>
      <c r="N190" s="286" t="s">
        <v>401</v>
      </c>
      <c r="O190" s="286"/>
      <c r="P190" s="286"/>
      <c r="Q190" s="339">
        <f>Q133</f>
        <v>0.14414336013976378</v>
      </c>
      <c r="R190" s="286"/>
      <c r="S190" s="286"/>
      <c r="T190" s="286"/>
      <c r="U190" s="286"/>
      <c r="V190" s="286"/>
    </row>
    <row r="191" spans="4:22" x14ac:dyDescent="0.3">
      <c r="D191" s="286" t="s">
        <v>1360</v>
      </c>
      <c r="E191" s="286"/>
      <c r="F191" s="286"/>
      <c r="G191" s="286"/>
      <c r="H191" s="286" t="s">
        <v>1366</v>
      </c>
      <c r="I191" s="286"/>
      <c r="J191" s="286"/>
      <c r="K191" s="286" t="s">
        <v>258</v>
      </c>
      <c r="L191" s="286"/>
      <c r="M191" s="286"/>
      <c r="N191" s="286" t="s">
        <v>1372</v>
      </c>
      <c r="O191" s="286"/>
      <c r="P191" s="286"/>
      <c r="Q191" s="342">
        <f>Q190/((1/4)*3.14*(Q188^2))</f>
        <v>0.49412299863310327</v>
      </c>
      <c r="R191" s="294"/>
      <c r="S191" s="294"/>
      <c r="T191" s="286"/>
      <c r="U191" s="286"/>
      <c r="V191" s="286"/>
    </row>
    <row r="192" spans="4:22" x14ac:dyDescent="0.3">
      <c r="D192" s="286" t="s">
        <v>1361</v>
      </c>
      <c r="E192" s="286"/>
      <c r="F192" s="286"/>
      <c r="G192" s="286"/>
      <c r="H192" s="286" t="s">
        <v>1367</v>
      </c>
      <c r="I192" s="286"/>
      <c r="J192" s="286"/>
      <c r="K192" s="286" t="s">
        <v>259</v>
      </c>
      <c r="L192" s="286"/>
      <c r="M192" s="286"/>
      <c r="N192" s="286" t="s">
        <v>1373</v>
      </c>
      <c r="O192" s="286"/>
      <c r="P192" s="286"/>
      <c r="Q192" s="170">
        <f>1/3*(0.026)*(Q189/Q188)*((Q191^2)/(2*9.81))</f>
        <v>1.9995402592565058E-3</v>
      </c>
      <c r="R192" s="286"/>
      <c r="S192" s="286"/>
      <c r="T192" s="286"/>
      <c r="U192" s="286"/>
      <c r="V192" s="286"/>
    </row>
    <row r="193" spans="2:22" x14ac:dyDescent="0.3">
      <c r="D193" s="286" t="s">
        <v>1362</v>
      </c>
      <c r="E193" s="286"/>
      <c r="F193" s="286"/>
      <c r="G193" s="286"/>
      <c r="H193" s="286" t="s">
        <v>1368</v>
      </c>
      <c r="I193" s="286"/>
      <c r="J193" s="286"/>
      <c r="K193" s="286" t="s">
        <v>259</v>
      </c>
      <c r="L193" s="286"/>
      <c r="M193" s="286"/>
      <c r="N193" s="286" t="s">
        <v>1374</v>
      </c>
      <c r="O193" s="286"/>
      <c r="P193" s="286"/>
      <c r="Q193" s="342">
        <f>Q177+Q178+Q179+Q181+Q186+Q192</f>
        <v>0.42940127243149268</v>
      </c>
      <c r="R193" s="294"/>
      <c r="S193" s="294"/>
      <c r="T193" s="286"/>
      <c r="U193" s="286"/>
      <c r="V193" s="286"/>
    </row>
    <row r="194" spans="2:22" x14ac:dyDescent="0.3">
      <c r="D194" s="286" t="s">
        <v>1363</v>
      </c>
      <c r="E194" s="286"/>
      <c r="F194" s="286"/>
      <c r="G194" s="286"/>
      <c r="H194" s="286" t="s">
        <v>1369</v>
      </c>
      <c r="I194" s="286"/>
      <c r="J194" s="286"/>
      <c r="K194" s="286" t="s">
        <v>259</v>
      </c>
      <c r="L194" s="286"/>
      <c r="M194" s="286"/>
      <c r="N194" s="286" t="s">
        <v>436</v>
      </c>
      <c r="O194" s="286"/>
      <c r="P194" s="286"/>
      <c r="Q194" s="170">
        <v>1</v>
      </c>
      <c r="R194" s="286"/>
      <c r="S194" s="286"/>
      <c r="T194" s="286"/>
      <c r="U194" s="286"/>
      <c r="V194" s="286"/>
    </row>
    <row r="195" spans="2:22" x14ac:dyDescent="0.3">
      <c r="D195" s="286" t="s">
        <v>1364</v>
      </c>
      <c r="E195" s="286"/>
      <c r="F195" s="286"/>
      <c r="G195" s="286"/>
      <c r="H195" s="286" t="s">
        <v>1370</v>
      </c>
      <c r="I195" s="286"/>
      <c r="J195" s="286"/>
      <c r="K195" s="286" t="s">
        <v>259</v>
      </c>
      <c r="L195" s="286"/>
      <c r="M195" s="286"/>
      <c r="N195" s="286" t="s">
        <v>436</v>
      </c>
      <c r="O195" s="286"/>
      <c r="P195" s="286"/>
      <c r="Q195" s="170">
        <v>1</v>
      </c>
      <c r="R195" s="286"/>
      <c r="S195" s="286"/>
      <c r="T195" s="286"/>
      <c r="U195" s="286"/>
      <c r="V195" s="286"/>
    </row>
    <row r="196" spans="2:22" x14ac:dyDescent="0.3">
      <c r="D196" s="286" t="s">
        <v>1371</v>
      </c>
      <c r="E196" s="286"/>
      <c r="F196" s="286"/>
      <c r="G196" s="286"/>
      <c r="H196" s="286" t="s">
        <v>344</v>
      </c>
      <c r="I196" s="286"/>
      <c r="J196" s="286"/>
      <c r="K196" s="286" t="s">
        <v>259</v>
      </c>
      <c r="L196" s="286"/>
      <c r="M196" s="286"/>
      <c r="N196" s="286" t="s">
        <v>1375</v>
      </c>
      <c r="O196" s="286"/>
      <c r="P196" s="286"/>
      <c r="Q196" s="342">
        <f>Q177+Q178+Q179+Q193+Q194+Q195</f>
        <v>2.7898068850340971</v>
      </c>
      <c r="R196" s="294"/>
      <c r="S196" s="294"/>
      <c r="T196" s="286"/>
      <c r="U196" s="286"/>
      <c r="V196" s="286"/>
    </row>
    <row r="197" spans="2:22" x14ac:dyDescent="0.3">
      <c r="D197" s="286" t="s">
        <v>416</v>
      </c>
      <c r="E197" s="286"/>
      <c r="F197" s="286"/>
      <c r="G197" s="286"/>
      <c r="H197" s="286" t="s">
        <v>345</v>
      </c>
      <c r="I197" s="286"/>
      <c r="J197" s="286"/>
      <c r="K197" s="286" t="s">
        <v>259</v>
      </c>
      <c r="L197" s="286"/>
      <c r="M197" s="286"/>
      <c r="N197" s="286" t="s">
        <v>310</v>
      </c>
      <c r="O197" s="286"/>
      <c r="P197" s="286"/>
      <c r="Q197" s="170">
        <v>0.22</v>
      </c>
      <c r="R197" s="286"/>
      <c r="S197" s="286"/>
      <c r="T197" s="286"/>
      <c r="U197" s="286"/>
      <c r="V197" s="286"/>
    </row>
    <row r="198" spans="2:22" x14ac:dyDescent="0.3">
      <c r="B198" s="66"/>
      <c r="C198" s="66"/>
      <c r="D198" s="305" t="s">
        <v>1376</v>
      </c>
      <c r="E198" s="267"/>
      <c r="F198" s="267"/>
      <c r="G198" s="267"/>
      <c r="H198" s="267"/>
      <c r="I198" s="267"/>
      <c r="J198" s="267"/>
      <c r="K198" s="267"/>
      <c r="L198" s="267"/>
      <c r="M198" s="267"/>
      <c r="N198" s="267"/>
      <c r="O198" s="267"/>
      <c r="P198" s="267"/>
      <c r="Q198" s="343"/>
      <c r="R198" s="267"/>
      <c r="S198" s="267"/>
      <c r="T198" s="267"/>
      <c r="U198" s="267"/>
      <c r="V198" s="267"/>
    </row>
    <row r="199" spans="2:22" x14ac:dyDescent="0.3">
      <c r="D199" s="286" t="s">
        <v>402</v>
      </c>
      <c r="E199" s="286"/>
      <c r="F199" s="286"/>
      <c r="G199" s="286"/>
      <c r="H199" s="286" t="s">
        <v>401</v>
      </c>
      <c r="I199" s="286"/>
      <c r="J199" s="286"/>
      <c r="K199" s="286" t="s">
        <v>186</v>
      </c>
      <c r="L199" s="286"/>
      <c r="M199" s="286"/>
      <c r="N199" s="286" t="s">
        <v>401</v>
      </c>
      <c r="O199" s="286"/>
      <c r="P199" s="286"/>
      <c r="Q199" s="339">
        <f>Q133</f>
        <v>0.14414336013976378</v>
      </c>
      <c r="R199" s="286"/>
      <c r="S199" s="286"/>
      <c r="T199" s="286"/>
      <c r="U199" s="286"/>
      <c r="V199" s="286"/>
    </row>
    <row r="200" spans="2:22" x14ac:dyDescent="0.3">
      <c r="D200" s="286" t="s">
        <v>1377</v>
      </c>
      <c r="E200" s="286"/>
      <c r="F200" s="286"/>
      <c r="G200" s="286"/>
      <c r="H200" s="286" t="s">
        <v>343</v>
      </c>
      <c r="I200" s="286"/>
      <c r="J200" s="286"/>
      <c r="K200" s="286" t="s">
        <v>258</v>
      </c>
      <c r="L200" s="286"/>
      <c r="M200" s="286"/>
      <c r="N200" s="286" t="s">
        <v>1378</v>
      </c>
      <c r="O200" s="286"/>
      <c r="P200" s="286"/>
      <c r="Q200" s="170">
        <v>1</v>
      </c>
      <c r="R200" s="286"/>
      <c r="S200" s="286"/>
      <c r="T200" s="286"/>
      <c r="U200" s="286"/>
      <c r="V200" s="286"/>
    </row>
    <row r="201" spans="2:22" x14ac:dyDescent="0.3">
      <c r="D201" s="286" t="s">
        <v>1379</v>
      </c>
      <c r="E201" s="286"/>
      <c r="F201" s="286"/>
      <c r="G201" s="286"/>
      <c r="H201" s="286" t="s">
        <v>347</v>
      </c>
      <c r="I201" s="286"/>
      <c r="J201" s="286"/>
      <c r="K201" s="286" t="s">
        <v>320</v>
      </c>
      <c r="L201" s="286"/>
      <c r="M201" s="286"/>
      <c r="N201" s="286" t="s">
        <v>1259</v>
      </c>
      <c r="O201" s="286"/>
      <c r="P201" s="286"/>
      <c r="Q201" s="339">
        <f>Q199/Q200</f>
        <v>0.14414336013976378</v>
      </c>
      <c r="R201" s="296"/>
      <c r="S201" s="296"/>
      <c r="T201" s="286"/>
      <c r="U201" s="286"/>
      <c r="V201" s="286"/>
    </row>
    <row r="202" spans="2:22" x14ac:dyDescent="0.3">
      <c r="D202" s="286" t="s">
        <v>1380</v>
      </c>
      <c r="E202" s="286"/>
      <c r="F202" s="286"/>
      <c r="G202" s="286"/>
      <c r="H202" s="286" t="s">
        <v>348</v>
      </c>
      <c r="I202" s="286"/>
      <c r="J202" s="286"/>
      <c r="K202" s="286" t="s">
        <v>259</v>
      </c>
      <c r="L202" s="286"/>
      <c r="M202" s="286"/>
      <c r="N202" s="286" t="s">
        <v>1381</v>
      </c>
      <c r="O202" s="286"/>
      <c r="P202" s="286"/>
      <c r="Q202" s="170">
        <f>SQRT((4*Q201)/3.41)</f>
        <v>0.4111971794632715</v>
      </c>
      <c r="R202" s="286"/>
      <c r="S202" s="286"/>
      <c r="T202" s="286"/>
      <c r="U202" s="286"/>
      <c r="V202" s="286"/>
    </row>
    <row r="203" spans="2:22" x14ac:dyDescent="0.3">
      <c r="D203" s="286"/>
      <c r="E203" s="286"/>
      <c r="F203" s="286"/>
      <c r="G203" s="286"/>
      <c r="H203" s="286"/>
      <c r="I203" s="286"/>
      <c r="J203" s="286"/>
      <c r="K203" s="286" t="s">
        <v>1137</v>
      </c>
      <c r="L203" s="286"/>
      <c r="M203" s="286"/>
      <c r="N203" s="286" t="s">
        <v>1382</v>
      </c>
      <c r="O203" s="286"/>
      <c r="P203" s="286"/>
      <c r="Q203" s="170">
        <v>18</v>
      </c>
      <c r="R203" s="286"/>
      <c r="S203" s="286"/>
      <c r="T203" s="286"/>
      <c r="U203" s="286"/>
      <c r="V203" s="286"/>
    </row>
    <row r="204" spans="2:22" x14ac:dyDescent="0.3">
      <c r="D204" s="286"/>
      <c r="E204" s="286"/>
      <c r="F204" s="286"/>
      <c r="G204" s="286"/>
      <c r="H204" s="286"/>
      <c r="I204" s="286"/>
      <c r="J204" s="286"/>
      <c r="K204" s="286" t="s">
        <v>259</v>
      </c>
      <c r="L204" s="286"/>
      <c r="M204" s="286"/>
      <c r="N204" s="286" t="s">
        <v>1382</v>
      </c>
      <c r="O204" s="286"/>
      <c r="P204" s="286"/>
      <c r="Q204" s="170">
        <v>0.45</v>
      </c>
      <c r="R204" s="286"/>
      <c r="S204" s="286"/>
      <c r="T204" s="286"/>
      <c r="U204" s="286"/>
      <c r="V204" s="286"/>
    </row>
    <row r="205" spans="2:22" x14ac:dyDescent="0.3">
      <c r="D205" s="286" t="s">
        <v>1383</v>
      </c>
      <c r="E205" s="286"/>
      <c r="F205" s="286"/>
      <c r="G205" s="286"/>
      <c r="H205" s="286" t="s">
        <v>332</v>
      </c>
      <c r="I205" s="286"/>
      <c r="J205" s="286"/>
      <c r="K205" s="286" t="s">
        <v>258</v>
      </c>
      <c r="L205" s="286"/>
      <c r="M205" s="286"/>
      <c r="N205" s="286" t="s">
        <v>1274</v>
      </c>
      <c r="O205" s="286"/>
      <c r="P205" s="286"/>
      <c r="Q205" s="342">
        <f>Q199/(((1/4)*3.14)*(Q204^2))</f>
        <v>0.90677587569246698</v>
      </c>
      <c r="R205" s="294"/>
      <c r="S205" s="294"/>
      <c r="T205" s="286"/>
      <c r="U205" s="286"/>
      <c r="V205" s="286"/>
    </row>
    <row r="206" spans="2:22" x14ac:dyDescent="0.3">
      <c r="D206" s="286" t="s">
        <v>1384</v>
      </c>
      <c r="E206" s="286"/>
      <c r="F206" s="286"/>
      <c r="G206" s="286"/>
      <c r="H206" s="286" t="s">
        <v>306</v>
      </c>
      <c r="I206" s="286"/>
      <c r="J206" s="286"/>
      <c r="K206" s="286" t="s">
        <v>259</v>
      </c>
      <c r="L206" s="286"/>
      <c r="M206" s="286"/>
      <c r="N206" s="286" t="s">
        <v>310</v>
      </c>
      <c r="O206" s="286"/>
      <c r="P206" s="286"/>
      <c r="Q206" s="170">
        <v>15</v>
      </c>
      <c r="R206" s="286"/>
      <c r="S206" s="286"/>
      <c r="T206" s="286"/>
      <c r="U206" s="286"/>
      <c r="V206" s="286"/>
    </row>
    <row r="207" spans="2:22" x14ac:dyDescent="0.3">
      <c r="D207" s="286" t="s">
        <v>1385</v>
      </c>
      <c r="E207" s="286"/>
      <c r="F207" s="286"/>
      <c r="G207" s="286"/>
      <c r="H207" s="286" t="s">
        <v>1386</v>
      </c>
      <c r="I207" s="286"/>
      <c r="J207" s="286"/>
      <c r="K207" s="286" t="s">
        <v>259</v>
      </c>
      <c r="L207" s="286"/>
      <c r="M207" s="286"/>
      <c r="N207" s="286" t="s">
        <v>1387</v>
      </c>
      <c r="O207" s="286"/>
      <c r="P207" s="286"/>
      <c r="Q207" s="339">
        <f>((Q199*(Q206^0.54))/(0.2785*110*(Q204^2.63)))^(1/0.54)</f>
        <v>3.5894814582036312E-2</v>
      </c>
      <c r="R207" s="296"/>
      <c r="S207" s="296"/>
      <c r="T207" s="286"/>
      <c r="U207" s="286"/>
      <c r="V207" s="286"/>
    </row>
    <row r="208" spans="2:22" x14ac:dyDescent="0.3">
      <c r="D208" s="286" t="s">
        <v>1388</v>
      </c>
      <c r="E208" s="286"/>
      <c r="F208" s="286"/>
      <c r="G208" s="286"/>
      <c r="H208" s="286" t="s">
        <v>1389</v>
      </c>
      <c r="I208" s="286"/>
      <c r="J208" s="286"/>
      <c r="K208" s="286" t="s">
        <v>259</v>
      </c>
      <c r="L208" s="286"/>
      <c r="M208" s="286"/>
      <c r="N208" s="286"/>
      <c r="O208" s="286"/>
      <c r="P208" s="286"/>
      <c r="Q208" s="170"/>
      <c r="R208" s="286"/>
      <c r="S208" s="286"/>
      <c r="T208" s="286"/>
      <c r="U208" s="286"/>
      <c r="V208" s="286"/>
    </row>
    <row r="209" spans="2:22" x14ac:dyDescent="0.3">
      <c r="D209" s="286" t="s">
        <v>1393</v>
      </c>
      <c r="E209" s="286"/>
      <c r="F209" s="286"/>
      <c r="G209" s="286"/>
      <c r="H209" s="286" t="s">
        <v>1394</v>
      </c>
      <c r="I209" s="286"/>
      <c r="J209" s="286"/>
      <c r="K209" s="286" t="s">
        <v>372</v>
      </c>
      <c r="L209" s="286"/>
      <c r="M209" s="286"/>
      <c r="N209" s="286" t="s">
        <v>1395</v>
      </c>
      <c r="O209" s="286"/>
      <c r="P209" s="286"/>
      <c r="Q209" s="170">
        <v>3</v>
      </c>
      <c r="R209" s="286"/>
      <c r="S209" s="286"/>
      <c r="T209" s="286"/>
      <c r="U209" s="286"/>
      <c r="V209" s="286"/>
    </row>
    <row r="210" spans="2:22" x14ac:dyDescent="0.3">
      <c r="D210" s="286" t="s">
        <v>1396</v>
      </c>
      <c r="E210" s="286"/>
      <c r="F210" s="286"/>
      <c r="G210" s="286"/>
      <c r="H210" s="286" t="s">
        <v>1397</v>
      </c>
      <c r="I210" s="286"/>
      <c r="J210" s="286"/>
      <c r="K210" s="286" t="s">
        <v>372</v>
      </c>
      <c r="L210" s="286"/>
      <c r="M210" s="286"/>
      <c r="N210" s="286" t="s">
        <v>1395</v>
      </c>
      <c r="O210" s="286"/>
      <c r="P210" s="286"/>
      <c r="Q210" s="170">
        <v>1</v>
      </c>
      <c r="R210" s="286"/>
      <c r="S210" s="286"/>
      <c r="T210" s="286"/>
      <c r="U210" s="286"/>
      <c r="V210" s="286"/>
    </row>
    <row r="211" spans="2:22" x14ac:dyDescent="0.3">
      <c r="D211" s="286"/>
      <c r="E211" s="286"/>
      <c r="F211" s="286"/>
      <c r="G211" s="286"/>
      <c r="H211" s="286" t="s">
        <v>1389</v>
      </c>
      <c r="I211" s="286"/>
      <c r="J211" s="286"/>
      <c r="K211" s="286" t="s">
        <v>259</v>
      </c>
      <c r="L211" s="286"/>
      <c r="M211" s="286"/>
      <c r="N211" s="286" t="s">
        <v>1398</v>
      </c>
      <c r="O211" s="286"/>
      <c r="P211" s="286"/>
      <c r="Q211" s="170">
        <v>5.9200000000000003E-2</v>
      </c>
      <c r="R211" s="286"/>
      <c r="S211" s="286"/>
      <c r="T211" s="286"/>
      <c r="U211" s="286"/>
      <c r="V211" s="286"/>
    </row>
    <row r="212" spans="2:22" x14ac:dyDescent="0.3">
      <c r="D212" s="286" t="s">
        <v>1390</v>
      </c>
      <c r="E212" s="286"/>
      <c r="F212" s="286"/>
      <c r="G212" s="286"/>
      <c r="H212" s="286" t="s">
        <v>1391</v>
      </c>
      <c r="I212" s="286"/>
      <c r="J212" s="286"/>
      <c r="K212" s="286" t="s">
        <v>259</v>
      </c>
      <c r="L212" s="286"/>
      <c r="M212" s="286"/>
      <c r="N212" s="286" t="s">
        <v>1392</v>
      </c>
      <c r="O212" s="286"/>
      <c r="P212" s="286"/>
      <c r="Q212" s="342">
        <f>Q207+Q211</f>
        <v>9.5094814582036308E-2</v>
      </c>
      <c r="R212" s="294"/>
      <c r="S212" s="294"/>
      <c r="T212" s="286"/>
      <c r="U212" s="286"/>
      <c r="V212" s="286"/>
    </row>
    <row r="213" spans="2:22" x14ac:dyDescent="0.3">
      <c r="D213" s="274" t="s">
        <v>502</v>
      </c>
      <c r="E213" s="286"/>
      <c r="F213" s="286"/>
      <c r="G213" s="286"/>
      <c r="H213" s="286"/>
      <c r="I213" s="286"/>
      <c r="J213" s="286"/>
      <c r="K213" s="286"/>
      <c r="L213" s="286"/>
      <c r="M213" s="286"/>
      <c r="N213" s="286"/>
      <c r="O213" s="286"/>
      <c r="P213" s="286"/>
      <c r="Q213" s="170"/>
      <c r="R213" s="286"/>
      <c r="S213" s="286"/>
      <c r="T213" s="286"/>
      <c r="U213" s="286"/>
      <c r="V213" s="286"/>
    </row>
    <row r="214" spans="2:22" x14ac:dyDescent="0.3">
      <c r="D214" s="286" t="s">
        <v>1399</v>
      </c>
      <c r="E214" s="286"/>
      <c r="F214" s="286"/>
      <c r="G214" s="286"/>
      <c r="H214" s="286" t="s">
        <v>1400</v>
      </c>
      <c r="I214" s="286"/>
      <c r="J214" s="286"/>
      <c r="K214" s="286" t="s">
        <v>259</v>
      </c>
      <c r="L214" s="286"/>
      <c r="M214" s="286"/>
      <c r="N214" s="286" t="s">
        <v>1401</v>
      </c>
      <c r="O214" s="286"/>
      <c r="P214" s="286"/>
      <c r="Q214" s="170">
        <v>4</v>
      </c>
      <c r="R214" s="286"/>
      <c r="S214" s="286"/>
      <c r="T214" s="286"/>
      <c r="U214" s="286"/>
      <c r="V214" s="286"/>
    </row>
    <row r="215" spans="2:22" x14ac:dyDescent="0.3">
      <c r="D215" s="286" t="s">
        <v>1402</v>
      </c>
      <c r="E215" s="286"/>
      <c r="F215" s="286"/>
      <c r="G215" s="286"/>
      <c r="H215" s="286" t="s">
        <v>1403</v>
      </c>
      <c r="I215" s="286"/>
      <c r="J215" s="286"/>
      <c r="K215" s="286" t="s">
        <v>259</v>
      </c>
      <c r="L215" s="286"/>
      <c r="M215" s="286"/>
      <c r="N215" s="286" t="s">
        <v>310</v>
      </c>
      <c r="O215" s="286"/>
      <c r="P215" s="286"/>
      <c r="Q215" s="170">
        <v>0.5</v>
      </c>
      <c r="R215" s="286"/>
      <c r="S215" s="286"/>
      <c r="T215" s="286"/>
      <c r="U215" s="286"/>
      <c r="V215" s="286"/>
    </row>
    <row r="216" spans="2:22" x14ac:dyDescent="0.3">
      <c r="D216" s="286" t="s">
        <v>1404</v>
      </c>
      <c r="E216" s="286"/>
      <c r="F216" s="286"/>
      <c r="G216" s="286"/>
      <c r="H216" s="286" t="s">
        <v>1405</v>
      </c>
      <c r="I216" s="286"/>
      <c r="J216" s="286"/>
      <c r="K216" s="286" t="s">
        <v>259</v>
      </c>
      <c r="L216" s="286"/>
      <c r="M216" s="286"/>
      <c r="N216" s="286" t="s">
        <v>310</v>
      </c>
      <c r="O216" s="286"/>
      <c r="P216" s="286"/>
      <c r="Q216" s="170">
        <v>1</v>
      </c>
      <c r="R216" s="286"/>
      <c r="S216" s="286"/>
      <c r="T216" s="286"/>
      <c r="U216" s="286"/>
      <c r="V216" s="286"/>
    </row>
    <row r="217" spans="2:22" x14ac:dyDescent="0.3">
      <c r="B217" s="66"/>
      <c r="C217" s="66"/>
      <c r="D217" s="305" t="s">
        <v>1406</v>
      </c>
      <c r="E217" s="267"/>
      <c r="F217" s="267"/>
      <c r="G217" s="267"/>
      <c r="H217" s="267"/>
      <c r="I217" s="267"/>
      <c r="J217" s="267"/>
      <c r="K217" s="267"/>
      <c r="L217" s="267"/>
      <c r="M217" s="267"/>
      <c r="N217" s="267"/>
      <c r="O217" s="267"/>
      <c r="P217" s="267"/>
      <c r="Q217" s="343"/>
      <c r="R217" s="267"/>
      <c r="S217" s="267"/>
      <c r="T217" s="267"/>
      <c r="U217" s="267"/>
      <c r="V217" s="267"/>
    </row>
    <row r="218" spans="2:22" x14ac:dyDescent="0.3">
      <c r="D218" s="286" t="s">
        <v>402</v>
      </c>
      <c r="E218" s="286"/>
      <c r="F218" s="286"/>
      <c r="G218" s="286"/>
      <c r="H218" s="286" t="s">
        <v>401</v>
      </c>
      <c r="I218" s="286"/>
      <c r="J218" s="286"/>
      <c r="K218" s="286" t="s">
        <v>186</v>
      </c>
      <c r="L218" s="286"/>
      <c r="M218" s="286"/>
      <c r="N218" s="286" t="s">
        <v>401</v>
      </c>
      <c r="O218" s="286"/>
      <c r="P218" s="286"/>
      <c r="Q218" s="339">
        <f>Q133</f>
        <v>0.14414336013976378</v>
      </c>
      <c r="R218" s="286"/>
      <c r="S218" s="286"/>
      <c r="T218" s="286"/>
      <c r="U218" s="286"/>
      <c r="V218" s="286"/>
    </row>
    <row r="219" spans="2:22" x14ac:dyDescent="0.3">
      <c r="D219" s="286" t="s">
        <v>1377</v>
      </c>
      <c r="E219" s="286"/>
      <c r="F219" s="286"/>
      <c r="G219" s="286"/>
      <c r="H219" s="286" t="s">
        <v>332</v>
      </c>
      <c r="I219" s="286"/>
      <c r="J219" s="286"/>
      <c r="K219" s="286" t="s">
        <v>258</v>
      </c>
      <c r="L219" s="286"/>
      <c r="M219" s="286"/>
      <c r="N219" s="286" t="s">
        <v>310</v>
      </c>
      <c r="O219" s="286"/>
      <c r="P219" s="286"/>
      <c r="Q219" s="170">
        <v>1</v>
      </c>
      <c r="R219" s="286"/>
      <c r="S219" s="286"/>
      <c r="T219" s="286"/>
      <c r="U219" s="286"/>
      <c r="V219" s="286"/>
    </row>
    <row r="220" spans="2:22" x14ac:dyDescent="0.3">
      <c r="D220" s="286" t="s">
        <v>1407</v>
      </c>
      <c r="E220" s="286"/>
      <c r="F220" s="286"/>
      <c r="G220" s="286"/>
      <c r="H220" s="286" t="s">
        <v>347</v>
      </c>
      <c r="I220" s="286"/>
      <c r="J220" s="286"/>
      <c r="K220" s="286" t="s">
        <v>320</v>
      </c>
      <c r="L220" s="286"/>
      <c r="M220" s="286"/>
      <c r="N220" s="286" t="s">
        <v>1408</v>
      </c>
      <c r="O220" s="286"/>
      <c r="P220" s="286"/>
      <c r="Q220" s="339">
        <f>Q218/Q219</f>
        <v>0.14414336013976378</v>
      </c>
      <c r="R220" s="296"/>
      <c r="S220" s="296"/>
      <c r="T220" s="286"/>
      <c r="U220" s="286"/>
      <c r="V220" s="286"/>
    </row>
    <row r="221" spans="2:22" x14ac:dyDescent="0.3">
      <c r="D221" s="286" t="s">
        <v>341</v>
      </c>
      <c r="E221" s="286"/>
      <c r="F221" s="286"/>
      <c r="G221" s="286"/>
      <c r="H221" s="286" t="s">
        <v>348</v>
      </c>
      <c r="I221" s="286"/>
      <c r="J221" s="286"/>
      <c r="K221" s="286" t="s">
        <v>259</v>
      </c>
      <c r="L221" s="286"/>
      <c r="M221" s="286"/>
      <c r="N221" s="286" t="s">
        <v>1409</v>
      </c>
      <c r="O221" s="286"/>
      <c r="P221" s="286"/>
      <c r="Q221" s="339">
        <f>SQRT((4*Q220)/3.14)</f>
        <v>0.42851151072955385</v>
      </c>
      <c r="R221" s="296"/>
      <c r="S221" s="296"/>
      <c r="T221" s="286"/>
      <c r="U221" s="286"/>
      <c r="V221" s="286"/>
    </row>
    <row r="222" spans="2:22" x14ac:dyDescent="0.3">
      <c r="D222" s="286"/>
      <c r="E222" s="286"/>
      <c r="F222" s="286"/>
      <c r="G222" s="286"/>
      <c r="H222" s="286"/>
      <c r="I222" s="286"/>
      <c r="J222" s="286"/>
      <c r="K222" s="286" t="s">
        <v>1137</v>
      </c>
      <c r="L222" s="286"/>
      <c r="M222" s="286"/>
      <c r="N222" s="286" t="s">
        <v>1410</v>
      </c>
      <c r="O222" s="286"/>
      <c r="P222" s="286"/>
      <c r="Q222" s="170">
        <v>18</v>
      </c>
      <c r="R222" s="286"/>
      <c r="S222" s="286"/>
      <c r="T222" s="286"/>
      <c r="U222" s="286"/>
      <c r="V222" s="286"/>
    </row>
    <row r="223" spans="2:22" x14ac:dyDescent="0.3">
      <c r="D223" s="286"/>
      <c r="E223" s="286"/>
      <c r="F223" s="286"/>
      <c r="G223" s="286"/>
      <c r="H223" s="286"/>
      <c r="I223" s="286"/>
      <c r="J223" s="286"/>
      <c r="K223" s="286" t="s">
        <v>259</v>
      </c>
      <c r="L223" s="286"/>
      <c r="M223" s="286"/>
      <c r="N223" s="286" t="s">
        <v>1411</v>
      </c>
      <c r="O223" s="286"/>
      <c r="P223" s="286"/>
      <c r="Q223" s="170">
        <v>0.45</v>
      </c>
      <c r="R223" s="286"/>
      <c r="S223" s="286"/>
      <c r="T223" s="286"/>
      <c r="U223" s="286"/>
      <c r="V223" s="286"/>
    </row>
    <row r="224" spans="2:22" x14ac:dyDescent="0.3">
      <c r="D224" s="286" t="s">
        <v>1412</v>
      </c>
      <c r="E224" s="286"/>
      <c r="F224" s="286"/>
      <c r="G224" s="286"/>
      <c r="H224" s="286" t="s">
        <v>1413</v>
      </c>
      <c r="I224" s="286"/>
      <c r="J224" s="286"/>
      <c r="K224" s="170" t="s">
        <v>258</v>
      </c>
      <c r="L224" s="286"/>
      <c r="M224" s="286"/>
      <c r="N224" s="286" t="s">
        <v>1414</v>
      </c>
      <c r="O224" s="286"/>
      <c r="P224" s="286"/>
      <c r="Q224" s="339">
        <f>Q199/((1/4)*3.14*(Q223^2))</f>
        <v>0.90677587569246698</v>
      </c>
      <c r="R224" s="296"/>
      <c r="S224" s="296"/>
      <c r="T224" s="286"/>
      <c r="U224" s="286"/>
      <c r="V224" s="286"/>
    </row>
    <row r="225" spans="2:22" x14ac:dyDescent="0.3">
      <c r="D225" s="286" t="s">
        <v>1415</v>
      </c>
      <c r="E225" s="286"/>
      <c r="F225" s="286"/>
      <c r="G225" s="286"/>
      <c r="H225" s="286" t="s">
        <v>306</v>
      </c>
      <c r="I225" s="286"/>
      <c r="J225" s="286"/>
      <c r="K225" s="286" t="s">
        <v>259</v>
      </c>
      <c r="L225" s="286"/>
      <c r="M225" s="286"/>
      <c r="N225" s="286" t="s">
        <v>310</v>
      </c>
      <c r="O225" s="286"/>
      <c r="P225" s="286"/>
      <c r="Q225" s="170">
        <v>10</v>
      </c>
      <c r="R225" s="286"/>
      <c r="S225" s="286"/>
      <c r="T225" s="286"/>
      <c r="U225" s="286"/>
      <c r="V225" s="286"/>
    </row>
    <row r="226" spans="2:22" x14ac:dyDescent="0.3">
      <c r="D226" s="286" t="s">
        <v>1416</v>
      </c>
      <c r="E226" s="286"/>
      <c r="F226" s="286"/>
      <c r="G226" s="286"/>
      <c r="H226" s="286" t="s">
        <v>1386</v>
      </c>
      <c r="I226" s="286"/>
      <c r="J226" s="286"/>
      <c r="K226" s="286" t="s">
        <v>259</v>
      </c>
      <c r="L226" s="286"/>
      <c r="M226" s="286"/>
      <c r="N226" s="286" t="s">
        <v>1387</v>
      </c>
      <c r="O226" s="286"/>
      <c r="P226" s="286"/>
      <c r="Q226" s="339">
        <f>((Q199*(Q225^0.54))/(0.2785*110*(Q223^2.63)))^(1/0.54)</f>
        <v>2.3929876388024227E-2</v>
      </c>
      <c r="R226" s="296"/>
      <c r="S226" s="296"/>
      <c r="T226" s="286"/>
      <c r="U226" s="286"/>
      <c r="V226" s="286"/>
    </row>
    <row r="227" spans="2:22" x14ac:dyDescent="0.3">
      <c r="D227" s="286" t="s">
        <v>1417</v>
      </c>
      <c r="E227" s="286"/>
      <c r="F227" s="286"/>
      <c r="G227" s="286"/>
      <c r="H227" s="286" t="s">
        <v>1366</v>
      </c>
      <c r="I227" s="286"/>
      <c r="J227" s="286"/>
      <c r="K227" s="286" t="s">
        <v>258</v>
      </c>
      <c r="L227" s="286"/>
      <c r="M227" s="286"/>
      <c r="N227" s="286" t="s">
        <v>1418</v>
      </c>
      <c r="O227" s="286"/>
      <c r="P227" s="286"/>
      <c r="Q227" s="339">
        <f>Q190/((1/4)*3.14*(Q165^2))</f>
        <v>0.24620661523587151</v>
      </c>
      <c r="R227" s="296"/>
      <c r="S227" s="296"/>
      <c r="T227" s="286"/>
      <c r="U227" s="286"/>
      <c r="V227" s="286"/>
    </row>
    <row r="228" spans="2:22" x14ac:dyDescent="0.3">
      <c r="D228" s="286" t="s">
        <v>1388</v>
      </c>
      <c r="E228" s="286"/>
      <c r="F228" s="286"/>
      <c r="G228" s="286"/>
      <c r="H228" s="286" t="s">
        <v>1389</v>
      </c>
      <c r="I228" s="286"/>
      <c r="J228" s="286"/>
      <c r="K228" s="286" t="s">
        <v>259</v>
      </c>
      <c r="L228" s="286"/>
      <c r="M228" s="286"/>
      <c r="N228" s="286" t="s">
        <v>1419</v>
      </c>
      <c r="O228" s="286"/>
      <c r="P228" s="286"/>
      <c r="Q228" s="170">
        <v>7.1400000000000005E-2</v>
      </c>
      <c r="R228" s="286"/>
      <c r="S228" s="286"/>
      <c r="T228" s="286"/>
      <c r="U228" s="286"/>
      <c r="V228" s="286"/>
    </row>
    <row r="229" spans="2:22" x14ac:dyDescent="0.3">
      <c r="D229" s="286" t="s">
        <v>1420</v>
      </c>
      <c r="E229" s="286"/>
      <c r="F229" s="286"/>
      <c r="G229" s="286"/>
      <c r="H229" s="286" t="s">
        <v>1421</v>
      </c>
      <c r="I229" s="286"/>
      <c r="J229" s="286"/>
      <c r="K229" s="286" t="s">
        <v>259</v>
      </c>
      <c r="L229" s="286"/>
      <c r="M229" s="286"/>
      <c r="N229" s="286" t="s">
        <v>1392</v>
      </c>
      <c r="O229" s="286"/>
      <c r="P229" s="286"/>
      <c r="Q229" s="339">
        <f>Q226+Q228</f>
        <v>9.5329876388024232E-2</v>
      </c>
      <c r="R229" s="286"/>
      <c r="S229" s="286"/>
      <c r="T229" s="286"/>
      <c r="U229" s="286"/>
      <c r="V229" s="286"/>
    </row>
    <row r="230" spans="2:22" x14ac:dyDescent="0.3">
      <c r="B230" s="66"/>
      <c r="C230" s="66"/>
      <c r="D230" s="305" t="s">
        <v>1422</v>
      </c>
      <c r="E230" s="267"/>
      <c r="F230" s="267"/>
      <c r="G230" s="267"/>
      <c r="H230" s="267"/>
      <c r="I230" s="267"/>
      <c r="J230" s="267"/>
      <c r="K230" s="267"/>
      <c r="L230" s="267"/>
      <c r="M230" s="267"/>
      <c r="N230" s="267"/>
      <c r="O230" s="267"/>
      <c r="P230" s="267"/>
      <c r="Q230" s="343"/>
      <c r="R230" s="267"/>
      <c r="S230" s="267"/>
      <c r="T230" s="267"/>
      <c r="U230" s="267"/>
      <c r="V230" s="267"/>
    </row>
    <row r="231" spans="2:22" x14ac:dyDescent="0.3">
      <c r="D231" s="286" t="s">
        <v>1116</v>
      </c>
      <c r="E231" s="286"/>
      <c r="F231" s="286"/>
      <c r="G231" s="286"/>
      <c r="H231" s="286" t="s">
        <v>1430</v>
      </c>
      <c r="I231" s="286"/>
      <c r="J231" s="286"/>
      <c r="K231" s="286" t="s">
        <v>258</v>
      </c>
      <c r="L231" s="286"/>
      <c r="M231" s="286"/>
      <c r="N231" s="286" t="s">
        <v>436</v>
      </c>
      <c r="O231" s="286"/>
      <c r="P231" s="286"/>
      <c r="Q231" s="170">
        <v>1.1299999999999999E-2</v>
      </c>
      <c r="R231" s="286"/>
      <c r="S231" s="286"/>
      <c r="T231" s="286"/>
      <c r="U231" s="286"/>
      <c r="V231" s="286"/>
    </row>
    <row r="232" spans="2:22" x14ac:dyDescent="0.3">
      <c r="D232" s="286" t="s">
        <v>1423</v>
      </c>
      <c r="E232" s="286"/>
      <c r="F232" s="286"/>
      <c r="G232" s="286"/>
      <c r="H232" s="286" t="s">
        <v>1258</v>
      </c>
      <c r="I232" s="286"/>
      <c r="J232" s="286"/>
      <c r="K232" s="286" t="s">
        <v>320</v>
      </c>
      <c r="L232" s="286"/>
      <c r="M232" s="286"/>
      <c r="N232" s="286" t="s">
        <v>436</v>
      </c>
      <c r="O232" s="286"/>
      <c r="P232" s="286"/>
      <c r="Q232" s="170">
        <v>32</v>
      </c>
      <c r="R232" s="286"/>
      <c r="S232" s="286"/>
      <c r="T232" s="286"/>
      <c r="U232" s="286"/>
      <c r="V232" s="286"/>
    </row>
    <row r="233" spans="2:22" x14ac:dyDescent="0.3">
      <c r="D233" s="286" t="s">
        <v>1424</v>
      </c>
      <c r="E233" s="286"/>
      <c r="F233" s="286"/>
      <c r="G233" s="286"/>
      <c r="H233" s="286" t="s">
        <v>1426</v>
      </c>
      <c r="I233" s="286"/>
      <c r="J233" s="286"/>
      <c r="K233" s="286" t="s">
        <v>1428</v>
      </c>
      <c r="L233" s="286"/>
      <c r="M233" s="286"/>
      <c r="N233" s="286" t="s">
        <v>436</v>
      </c>
      <c r="O233" s="286"/>
      <c r="P233" s="286"/>
      <c r="Q233" s="170">
        <v>300</v>
      </c>
      <c r="R233" s="286"/>
      <c r="S233" s="286"/>
      <c r="T233" s="286"/>
      <c r="U233" s="286"/>
      <c r="V233" s="286"/>
    </row>
    <row r="234" spans="2:22" x14ac:dyDescent="0.3">
      <c r="D234" s="286" t="s">
        <v>1425</v>
      </c>
      <c r="E234" s="286"/>
      <c r="F234" s="286"/>
      <c r="G234" s="286"/>
      <c r="H234" s="286" t="s">
        <v>1427</v>
      </c>
      <c r="I234" s="286"/>
      <c r="J234" s="286"/>
      <c r="K234" s="286" t="s">
        <v>186</v>
      </c>
      <c r="L234" s="286"/>
      <c r="M234" s="286"/>
      <c r="N234" s="286" t="s">
        <v>1429</v>
      </c>
      <c r="O234" s="286"/>
      <c r="P234" s="286"/>
      <c r="Q234" s="170">
        <f>Q232*Q231</f>
        <v>0.36159999999999998</v>
      </c>
      <c r="R234" s="286"/>
      <c r="S234" s="286"/>
      <c r="T234" s="286"/>
      <c r="U234" s="286"/>
      <c r="V234" s="286"/>
    </row>
    <row r="235" spans="2:22" x14ac:dyDescent="0.3">
      <c r="D235" s="345" t="s">
        <v>1431</v>
      </c>
      <c r="E235" s="286"/>
      <c r="F235" s="286"/>
      <c r="G235" s="286"/>
      <c r="H235" s="286"/>
      <c r="I235" s="286"/>
      <c r="J235" s="286"/>
      <c r="K235" s="286"/>
      <c r="L235" s="286"/>
      <c r="M235" s="286"/>
      <c r="N235" s="286"/>
      <c r="O235" s="286"/>
      <c r="P235" s="286"/>
      <c r="Q235" s="170"/>
      <c r="R235" s="286"/>
      <c r="S235" s="286"/>
      <c r="T235" s="286"/>
      <c r="U235" s="286"/>
      <c r="V235" s="286"/>
    </row>
    <row r="236" spans="2:22" x14ac:dyDescent="0.3">
      <c r="D236" s="286" t="s">
        <v>1432</v>
      </c>
      <c r="E236" s="286"/>
      <c r="F236" s="286"/>
      <c r="G236" s="286"/>
      <c r="H236" s="286" t="s">
        <v>1433</v>
      </c>
      <c r="I236" s="286"/>
      <c r="J236" s="286"/>
      <c r="K236" s="286" t="s">
        <v>132</v>
      </c>
      <c r="L236" s="286"/>
      <c r="M236" s="286"/>
      <c r="N236" s="286" t="s">
        <v>1434</v>
      </c>
      <c r="O236" s="286"/>
      <c r="P236" s="286"/>
      <c r="Q236" s="347">
        <f>(0.306-0.2)/0.2</f>
        <v>0.52999999999999992</v>
      </c>
      <c r="R236" s="348"/>
      <c r="S236" s="348"/>
      <c r="T236" s="286"/>
      <c r="U236" s="286"/>
      <c r="V236" s="286"/>
    </row>
    <row r="237" spans="2:22" x14ac:dyDescent="0.3">
      <c r="D237" s="286" t="s">
        <v>1435</v>
      </c>
      <c r="E237" s="286"/>
      <c r="F237" s="286"/>
      <c r="G237" s="286"/>
      <c r="H237" s="286" t="s">
        <v>1436</v>
      </c>
      <c r="I237" s="286"/>
      <c r="J237" s="286"/>
      <c r="K237" s="286" t="s">
        <v>132</v>
      </c>
      <c r="L237" s="286"/>
      <c r="M237" s="286"/>
      <c r="N237" s="286" t="s">
        <v>1434</v>
      </c>
      <c r="O237" s="286"/>
      <c r="P237" s="286"/>
      <c r="Q237" s="347">
        <f>((0.724-0.6)/0.6)</f>
        <v>0.20666666666666667</v>
      </c>
      <c r="R237" s="348"/>
      <c r="S237" s="348"/>
      <c r="T237" s="286"/>
      <c r="U237" s="286"/>
      <c r="V237" s="286"/>
    </row>
    <row r="238" spans="2:22" x14ac:dyDescent="0.3">
      <c r="D238" s="345" t="s">
        <v>1437</v>
      </c>
      <c r="E238" s="286"/>
      <c r="F238" s="286"/>
      <c r="G238" s="286"/>
      <c r="H238" s="286"/>
      <c r="I238" s="286"/>
      <c r="J238" s="286"/>
      <c r="K238" s="286"/>
      <c r="L238" s="286"/>
      <c r="M238" s="286"/>
      <c r="N238" s="286"/>
      <c r="O238" s="286"/>
      <c r="P238" s="286"/>
      <c r="Q238" s="170"/>
      <c r="R238" s="286"/>
      <c r="S238" s="286"/>
      <c r="T238" s="286"/>
      <c r="U238" s="286"/>
      <c r="V238" s="286"/>
    </row>
    <row r="239" spans="2:22" x14ac:dyDescent="0.3">
      <c r="D239" s="286" t="s">
        <v>1438</v>
      </c>
      <c r="E239" s="286"/>
      <c r="F239" s="286"/>
      <c r="G239" s="286"/>
      <c r="H239" s="286" t="s">
        <v>1439</v>
      </c>
      <c r="I239" s="286"/>
      <c r="J239" s="286"/>
      <c r="K239" s="286" t="s">
        <v>259</v>
      </c>
      <c r="L239" s="286"/>
      <c r="M239" s="286"/>
      <c r="N239" s="286" t="s">
        <v>1440</v>
      </c>
      <c r="O239" s="286"/>
      <c r="P239" s="286"/>
      <c r="Q239" s="342">
        <f>((4*Q231*9.539*(10^-7))/9.81)*((6/0.82)^2)*809199</f>
        <v>0.1904155491746394</v>
      </c>
      <c r="R239" s="294"/>
      <c r="S239" s="294"/>
      <c r="T239" s="286"/>
      <c r="U239" s="286"/>
      <c r="V239" s="286"/>
    </row>
    <row r="240" spans="2:22" x14ac:dyDescent="0.3">
      <c r="D240" s="286" t="s">
        <v>1441</v>
      </c>
      <c r="E240" s="286"/>
      <c r="F240" s="286"/>
      <c r="G240" s="286"/>
      <c r="H240" s="286" t="s">
        <v>1442</v>
      </c>
      <c r="I240" s="286"/>
      <c r="J240" s="286"/>
      <c r="K240" s="286" t="s">
        <v>259</v>
      </c>
      <c r="L240" s="286"/>
      <c r="M240" s="286"/>
      <c r="N240" s="286" t="s">
        <v>1440</v>
      </c>
      <c r="O240" s="286"/>
      <c r="P240" s="286"/>
      <c r="Q240" s="342">
        <f>((4*Q231*9.539*(10^-7))/9.81)*((6/0.72)^2)*569141</f>
        <v>0.17371193450192549</v>
      </c>
      <c r="R240" s="294"/>
      <c r="S240" s="294"/>
      <c r="T240" s="286"/>
      <c r="U240" s="286"/>
      <c r="V240" s="286"/>
    </row>
    <row r="241" spans="4:22" x14ac:dyDescent="0.3">
      <c r="D241" s="286" t="s">
        <v>1443</v>
      </c>
      <c r="E241" s="286"/>
      <c r="F241" s="286"/>
      <c r="G241" s="286"/>
      <c r="H241" s="286" t="s">
        <v>1444</v>
      </c>
      <c r="I241" s="286"/>
      <c r="J241" s="286"/>
      <c r="K241" s="286" t="s">
        <v>259</v>
      </c>
      <c r="L241" s="286"/>
      <c r="M241" s="286"/>
      <c r="N241" s="286" t="s">
        <v>1445</v>
      </c>
      <c r="O241" s="286"/>
      <c r="P241" s="286"/>
      <c r="Q241" s="339">
        <f>(5*0.0113*9.539*(10^-7)/9.81)*((1-0.4)^2)/((0.4)^3)*((6/0.95)^2)*0.548*0.05*(10^6)</f>
        <v>3.3776190779943573E-2</v>
      </c>
      <c r="R241" s="296"/>
      <c r="S241" s="296"/>
      <c r="T241" s="286"/>
      <c r="U241" s="286"/>
      <c r="V241" s="286"/>
    </row>
    <row r="242" spans="4:22" x14ac:dyDescent="0.3">
      <c r="D242" s="286" t="s">
        <v>1448</v>
      </c>
      <c r="E242" s="286"/>
      <c r="F242" s="286"/>
      <c r="G242" s="286"/>
      <c r="H242" s="286" t="s">
        <v>1446</v>
      </c>
      <c r="I242" s="286"/>
      <c r="J242" s="286"/>
      <c r="K242" s="286" t="s">
        <v>186</v>
      </c>
      <c r="L242" s="286"/>
      <c r="M242" s="286"/>
      <c r="N242" s="286" t="s">
        <v>1447</v>
      </c>
      <c r="O242" s="286"/>
      <c r="P242" s="286"/>
      <c r="Q242" s="346">
        <f>Q234/Q151</f>
        <v>2.5949872228688768E-4</v>
      </c>
      <c r="R242" s="302"/>
      <c r="S242" s="302"/>
      <c r="T242" s="286"/>
      <c r="U242" s="286"/>
      <c r="V242" s="286"/>
    </row>
    <row r="243" spans="4:22" x14ac:dyDescent="0.3">
      <c r="D243" s="286" t="s">
        <v>1449</v>
      </c>
      <c r="E243" s="286"/>
      <c r="F243" s="286"/>
      <c r="G243" s="286"/>
      <c r="H243" s="286" t="s">
        <v>1450</v>
      </c>
      <c r="I243" s="286"/>
      <c r="J243" s="286"/>
      <c r="K243" s="286" t="s">
        <v>259</v>
      </c>
      <c r="L243" s="286"/>
      <c r="M243" s="286"/>
      <c r="N243" s="286" t="s">
        <v>1451</v>
      </c>
      <c r="O243" s="286"/>
      <c r="P243" s="286"/>
      <c r="Q243" s="339">
        <f>2.4*(((Q242)^2)/(((Q149)^2)*2*9.81))</f>
        <v>0.43569143969183399</v>
      </c>
      <c r="R243" s="296"/>
      <c r="S243" s="296"/>
      <c r="T243" s="286"/>
      <c r="U243" s="286"/>
      <c r="V243" s="286"/>
    </row>
    <row r="244" spans="4:22" x14ac:dyDescent="0.3">
      <c r="D244" s="286" t="s">
        <v>1300</v>
      </c>
      <c r="E244" s="286"/>
      <c r="F244" s="286"/>
      <c r="G244" s="286"/>
      <c r="H244" s="286" t="s">
        <v>1301</v>
      </c>
      <c r="I244" s="286"/>
      <c r="J244" s="286"/>
      <c r="K244" s="286" t="s">
        <v>259</v>
      </c>
      <c r="L244" s="286"/>
      <c r="M244" s="286"/>
      <c r="N244" s="286" t="s">
        <v>436</v>
      </c>
      <c r="O244" s="286"/>
      <c r="P244" s="286"/>
      <c r="Q244" s="170">
        <v>5.0799999999999998E-2</v>
      </c>
      <c r="R244" s="286"/>
      <c r="S244" s="286"/>
      <c r="T244" s="286"/>
      <c r="U244" s="286"/>
      <c r="V244" s="286"/>
    </row>
    <row r="245" spans="4:22" x14ac:dyDescent="0.3">
      <c r="D245" s="286" t="s">
        <v>1452</v>
      </c>
      <c r="E245" s="286"/>
      <c r="F245" s="286"/>
      <c r="G245" s="286"/>
      <c r="H245" s="286" t="s">
        <v>1462</v>
      </c>
      <c r="I245" s="286"/>
      <c r="J245" s="286"/>
      <c r="K245" s="286" t="s">
        <v>259</v>
      </c>
      <c r="L245" s="286"/>
      <c r="M245" s="286"/>
      <c r="N245" s="286" t="s">
        <v>436</v>
      </c>
      <c r="O245" s="286"/>
      <c r="P245" s="286"/>
      <c r="Q245" s="170">
        <v>1.6950000000000001</v>
      </c>
      <c r="R245" s="286"/>
      <c r="S245" s="286"/>
      <c r="T245" s="286"/>
      <c r="U245" s="286"/>
      <c r="V245" s="286"/>
    </row>
    <row r="246" spans="4:22" x14ac:dyDescent="0.3">
      <c r="D246" s="286" t="s">
        <v>1453</v>
      </c>
      <c r="E246" s="286"/>
      <c r="F246" s="286"/>
      <c r="G246" s="286"/>
      <c r="H246" s="286" t="s">
        <v>1454</v>
      </c>
      <c r="I246" s="286"/>
      <c r="J246" s="286"/>
      <c r="K246" s="286" t="s">
        <v>186</v>
      </c>
      <c r="L246" s="286"/>
      <c r="M246" s="286"/>
      <c r="N246" s="286" t="s">
        <v>1455</v>
      </c>
      <c r="O246" s="286"/>
      <c r="P246" s="286"/>
      <c r="Q246" s="344">
        <f>Q234/Q156</f>
        <v>2.031656410502165E-3</v>
      </c>
      <c r="R246" s="317"/>
      <c r="S246" s="317"/>
      <c r="T246" s="286"/>
      <c r="U246" s="286"/>
      <c r="V246" s="286"/>
    </row>
    <row r="247" spans="4:22" x14ac:dyDescent="0.3">
      <c r="D247" s="286" t="s">
        <v>1456</v>
      </c>
      <c r="E247" s="286"/>
      <c r="F247" s="286"/>
      <c r="G247" s="286"/>
      <c r="H247" s="286" t="s">
        <v>1457</v>
      </c>
      <c r="I247" s="286"/>
      <c r="J247" s="286"/>
      <c r="K247" s="286" t="s">
        <v>258</v>
      </c>
      <c r="L247" s="286"/>
      <c r="M247" s="286"/>
      <c r="N247" s="286" t="s">
        <v>1458</v>
      </c>
      <c r="O247" s="286"/>
      <c r="P247" s="286"/>
      <c r="Q247" s="339">
        <f>Q246/((1/4)*3.14*(Q244^2))</f>
        <v>1.0028897243394346</v>
      </c>
      <c r="R247" s="296"/>
      <c r="S247" s="296"/>
      <c r="T247" s="286"/>
      <c r="U247" s="286"/>
      <c r="V247" s="286"/>
    </row>
    <row r="248" spans="4:22" x14ac:dyDescent="0.3">
      <c r="D248" s="286" t="s">
        <v>1459</v>
      </c>
      <c r="E248" s="286"/>
      <c r="F248" s="286"/>
      <c r="G248" s="286"/>
      <c r="H248" s="286" t="s">
        <v>1460</v>
      </c>
      <c r="I248" s="286"/>
      <c r="J248" s="286"/>
      <c r="K248" s="286" t="s">
        <v>259</v>
      </c>
      <c r="L248" s="286"/>
      <c r="M248" s="286"/>
      <c r="N248" s="286" t="s">
        <v>1461</v>
      </c>
      <c r="O248" s="286"/>
      <c r="P248" s="286"/>
      <c r="Q248" s="339">
        <f>(1/3)*0.026*(Q245/Q244)*((Q247^2)/(2*9.81))</f>
        <v>1.4824001270233714E-2</v>
      </c>
      <c r="R248" s="296"/>
      <c r="S248" s="296"/>
      <c r="T248" s="286"/>
      <c r="U248" s="286"/>
      <c r="V248" s="286"/>
    </row>
    <row r="249" spans="4:22" x14ac:dyDescent="0.3">
      <c r="D249" s="286" t="s">
        <v>1310</v>
      </c>
      <c r="E249" s="286"/>
      <c r="F249" s="286"/>
      <c r="G249" s="286"/>
      <c r="H249" s="286" t="s">
        <v>1311</v>
      </c>
      <c r="I249" s="286"/>
      <c r="J249" s="286"/>
      <c r="K249" s="286" t="s">
        <v>259</v>
      </c>
      <c r="L249" s="286"/>
      <c r="M249" s="286"/>
      <c r="N249" s="286" t="s">
        <v>436</v>
      </c>
      <c r="O249" s="286"/>
      <c r="P249" s="286"/>
      <c r="Q249" s="170">
        <v>0.60960000000000003</v>
      </c>
      <c r="R249" s="286"/>
      <c r="S249" s="286"/>
      <c r="T249" s="286"/>
      <c r="U249" s="286"/>
      <c r="V249" s="286"/>
    </row>
    <row r="250" spans="4:22" x14ac:dyDescent="0.3">
      <c r="D250" s="286" t="s">
        <v>1463</v>
      </c>
      <c r="E250" s="286"/>
      <c r="F250" s="286"/>
      <c r="G250" s="286"/>
      <c r="H250" s="286" t="s">
        <v>1471</v>
      </c>
      <c r="I250" s="286"/>
      <c r="J250" s="286"/>
      <c r="K250" s="286" t="s">
        <v>259</v>
      </c>
      <c r="L250" s="286"/>
      <c r="M250" s="286"/>
      <c r="N250" s="286" t="s">
        <v>436</v>
      </c>
      <c r="O250" s="286"/>
      <c r="P250" s="286"/>
      <c r="Q250" s="170">
        <v>8</v>
      </c>
      <c r="R250" s="286"/>
      <c r="S250" s="286"/>
      <c r="T250" s="286"/>
      <c r="U250" s="286"/>
      <c r="V250" s="286"/>
    </row>
    <row r="251" spans="4:22" x14ac:dyDescent="0.3">
      <c r="D251" s="286" t="s">
        <v>1464</v>
      </c>
      <c r="E251" s="286"/>
      <c r="F251" s="286"/>
      <c r="G251" s="286"/>
      <c r="H251" s="286" t="s">
        <v>1465</v>
      </c>
      <c r="I251" s="286"/>
      <c r="J251" s="286"/>
      <c r="K251" s="286" t="s">
        <v>259</v>
      </c>
      <c r="L251" s="286"/>
      <c r="M251" s="286"/>
      <c r="N251" s="286" t="s">
        <v>1427</v>
      </c>
      <c r="O251" s="286"/>
      <c r="P251" s="286"/>
      <c r="Q251" s="170">
        <f>Q234</f>
        <v>0.36159999999999998</v>
      </c>
      <c r="R251" s="286"/>
      <c r="S251" s="286"/>
      <c r="T251" s="286"/>
      <c r="U251" s="286"/>
      <c r="V251" s="286"/>
    </row>
    <row r="252" spans="4:22" x14ac:dyDescent="0.3">
      <c r="D252" s="286" t="s">
        <v>1466</v>
      </c>
      <c r="E252" s="286"/>
      <c r="F252" s="286"/>
      <c r="G252" s="286"/>
      <c r="H252" s="286" t="s">
        <v>1467</v>
      </c>
      <c r="I252" s="286"/>
      <c r="J252" s="286"/>
      <c r="K252" s="286" t="s">
        <v>258</v>
      </c>
      <c r="L252" s="286"/>
      <c r="M252" s="286"/>
      <c r="N252" s="286" t="s">
        <v>1468</v>
      </c>
      <c r="O252" s="286"/>
      <c r="P252" s="286"/>
      <c r="Q252" s="342">
        <f>Q251/((1/4)*3.14*(Q249^2))</f>
        <v>1.2395636963956163</v>
      </c>
      <c r="R252" s="294"/>
      <c r="S252" s="294"/>
      <c r="T252" s="286"/>
      <c r="U252" s="286"/>
      <c r="V252" s="286"/>
    </row>
    <row r="253" spans="4:22" x14ac:dyDescent="0.3">
      <c r="D253" s="286" t="s">
        <v>1361</v>
      </c>
      <c r="E253" s="286"/>
      <c r="F253" s="286"/>
      <c r="G253" s="286"/>
      <c r="H253" s="286" t="s">
        <v>1469</v>
      </c>
      <c r="I253" s="286"/>
      <c r="J253" s="286"/>
      <c r="K253" s="286" t="s">
        <v>259</v>
      </c>
      <c r="L253" s="286"/>
      <c r="M253" s="286"/>
      <c r="N253" s="286" t="s">
        <v>1470</v>
      </c>
      <c r="O253" s="286"/>
      <c r="P253" s="286"/>
      <c r="Q253" s="341">
        <f>(1/3)*0.026*(Q250/Q249)*((Q252^2)/(2*9.81))</f>
        <v>8.9070894887755912E-3</v>
      </c>
      <c r="R253" s="314"/>
      <c r="S253" s="314"/>
      <c r="T253" s="286"/>
      <c r="U253" s="286"/>
      <c r="V253" s="286"/>
    </row>
    <row r="254" spans="4:22" x14ac:dyDescent="0.3">
      <c r="D254" s="345" t="s">
        <v>1472</v>
      </c>
      <c r="E254" s="286"/>
      <c r="F254" s="286"/>
      <c r="G254" s="286"/>
      <c r="H254" s="286"/>
      <c r="I254" s="286"/>
      <c r="J254" s="286"/>
      <c r="K254" s="286"/>
      <c r="L254" s="286"/>
      <c r="M254" s="286"/>
      <c r="N254" s="286"/>
      <c r="O254" s="286"/>
      <c r="P254" s="286"/>
      <c r="Q254" s="170"/>
      <c r="R254" s="286"/>
      <c r="S254" s="286"/>
      <c r="T254" s="286"/>
      <c r="U254" s="286"/>
      <c r="V254" s="286"/>
    </row>
    <row r="255" spans="4:22" x14ac:dyDescent="0.3">
      <c r="D255" s="286" t="s">
        <v>1473</v>
      </c>
      <c r="E255" s="286"/>
      <c r="F255" s="286"/>
      <c r="G255" s="286"/>
      <c r="H255" s="286" t="s">
        <v>306</v>
      </c>
      <c r="I255" s="286"/>
      <c r="J255" s="286"/>
      <c r="K255" s="286" t="s">
        <v>259</v>
      </c>
      <c r="L255" s="286"/>
      <c r="M255" s="286"/>
      <c r="N255" s="286" t="s">
        <v>436</v>
      </c>
      <c r="O255" s="286"/>
      <c r="P255" s="286"/>
      <c r="Q255" s="170">
        <v>15</v>
      </c>
      <c r="R255" s="286"/>
      <c r="S255" s="286"/>
      <c r="T255" s="286"/>
      <c r="U255" s="286"/>
      <c r="V255" s="286"/>
    </row>
    <row r="256" spans="4:22" x14ac:dyDescent="0.3">
      <c r="D256" s="286" t="s">
        <v>1474</v>
      </c>
      <c r="E256" s="286"/>
      <c r="F256" s="286"/>
      <c r="G256" s="286"/>
      <c r="H256" s="286" t="s">
        <v>1475</v>
      </c>
      <c r="I256" s="286"/>
      <c r="J256" s="286"/>
      <c r="K256" s="286"/>
      <c r="L256" s="286"/>
      <c r="M256" s="286"/>
      <c r="N256" s="286" t="s">
        <v>436</v>
      </c>
      <c r="O256" s="286"/>
      <c r="P256" s="286"/>
      <c r="Q256" s="170">
        <v>110</v>
      </c>
      <c r="R256" s="286"/>
      <c r="S256" s="286"/>
      <c r="T256" s="286"/>
      <c r="U256" s="286"/>
      <c r="V256" s="286"/>
    </row>
    <row r="257" spans="2:22" x14ac:dyDescent="0.3">
      <c r="D257" s="286" t="s">
        <v>1476</v>
      </c>
      <c r="E257" s="286"/>
      <c r="F257" s="286"/>
      <c r="G257" s="286"/>
      <c r="H257" s="286" t="s">
        <v>1188</v>
      </c>
      <c r="I257" s="286"/>
      <c r="J257" s="286"/>
      <c r="K257" s="286" t="s">
        <v>258</v>
      </c>
      <c r="L257" s="286"/>
      <c r="M257" s="286"/>
      <c r="N257" s="286" t="s">
        <v>436</v>
      </c>
      <c r="O257" s="286"/>
      <c r="P257" s="286"/>
      <c r="Q257" s="170">
        <v>3</v>
      </c>
      <c r="R257" s="286"/>
      <c r="S257" s="286"/>
      <c r="T257" s="286"/>
      <c r="U257" s="286"/>
      <c r="V257" s="286"/>
    </row>
    <row r="258" spans="2:22" x14ac:dyDescent="0.3">
      <c r="D258" s="286" t="s">
        <v>610</v>
      </c>
      <c r="E258" s="286"/>
      <c r="F258" s="286"/>
      <c r="G258" s="286"/>
      <c r="H258" s="286" t="s">
        <v>611</v>
      </c>
      <c r="I258" s="286"/>
      <c r="J258" s="286"/>
      <c r="K258" s="286" t="s">
        <v>320</v>
      </c>
      <c r="L258" s="286"/>
      <c r="M258" s="286"/>
      <c r="N258" s="286" t="s">
        <v>1477</v>
      </c>
      <c r="O258" s="286"/>
      <c r="P258" s="286"/>
      <c r="Q258" s="341">
        <f>Q234/Q257</f>
        <v>0.12053333333333333</v>
      </c>
      <c r="R258" s="314"/>
      <c r="S258" s="314"/>
      <c r="T258" s="286"/>
      <c r="U258" s="286"/>
      <c r="V258" s="286"/>
    </row>
    <row r="259" spans="2:22" x14ac:dyDescent="0.3">
      <c r="D259" s="286" t="s">
        <v>1478</v>
      </c>
      <c r="E259" s="286"/>
      <c r="F259" s="286"/>
      <c r="G259" s="286"/>
      <c r="H259" s="286" t="s">
        <v>1479</v>
      </c>
      <c r="I259" s="286"/>
      <c r="J259" s="286"/>
      <c r="K259" s="286" t="s">
        <v>259</v>
      </c>
      <c r="L259" s="286"/>
      <c r="M259" s="286"/>
      <c r="N259" s="286" t="s">
        <v>1480</v>
      </c>
      <c r="O259" s="286"/>
      <c r="P259" s="286"/>
      <c r="Q259" s="341">
        <f>SQRT((4*(Q258))/(3.14))</f>
        <v>0.39184901117443999</v>
      </c>
      <c r="R259" s="314"/>
      <c r="S259" s="314"/>
      <c r="T259" s="286"/>
      <c r="U259" s="286"/>
      <c r="V259" s="286"/>
    </row>
    <row r="260" spans="2:22" x14ac:dyDescent="0.3">
      <c r="D260" s="286"/>
      <c r="E260" s="286"/>
      <c r="F260" s="286"/>
      <c r="G260" s="286"/>
      <c r="H260" s="286"/>
      <c r="I260" s="286"/>
      <c r="J260" s="286"/>
      <c r="K260" s="286" t="s">
        <v>1137</v>
      </c>
      <c r="L260" s="286"/>
      <c r="M260" s="286"/>
      <c r="N260" s="286" t="s">
        <v>1411</v>
      </c>
      <c r="O260" s="286"/>
      <c r="P260" s="286"/>
      <c r="Q260" s="170">
        <v>16</v>
      </c>
      <c r="R260" s="286"/>
      <c r="S260" s="286"/>
      <c r="T260" s="286"/>
      <c r="U260" s="286"/>
      <c r="V260" s="286"/>
    </row>
    <row r="261" spans="2:22" x14ac:dyDescent="0.3">
      <c r="D261" s="286"/>
      <c r="E261" s="286"/>
      <c r="F261" s="286"/>
      <c r="G261" s="286"/>
      <c r="H261" s="286"/>
      <c r="I261" s="286"/>
      <c r="J261" s="286"/>
      <c r="K261" s="286" t="s">
        <v>259</v>
      </c>
      <c r="L261" s="286"/>
      <c r="M261" s="286"/>
      <c r="N261" s="286" t="s">
        <v>1410</v>
      </c>
      <c r="O261" s="286"/>
      <c r="P261" s="286"/>
      <c r="Q261" s="170">
        <v>0.40639999999999998</v>
      </c>
      <c r="R261" s="286"/>
      <c r="S261" s="286"/>
      <c r="T261" s="286"/>
      <c r="U261" s="286"/>
      <c r="V261" s="286"/>
    </row>
    <row r="262" spans="2:22" x14ac:dyDescent="0.3">
      <c r="D262" s="286" t="s">
        <v>1481</v>
      </c>
      <c r="E262" s="286"/>
      <c r="F262" s="286"/>
      <c r="G262" s="286"/>
      <c r="H262" s="286" t="s">
        <v>1188</v>
      </c>
      <c r="I262" s="286"/>
      <c r="J262" s="286"/>
      <c r="K262" s="286" t="s">
        <v>258</v>
      </c>
      <c r="L262" s="286"/>
      <c r="M262" s="286"/>
      <c r="N262" s="286" t="s">
        <v>1482</v>
      </c>
      <c r="O262" s="286"/>
      <c r="P262" s="286"/>
      <c r="Q262" s="339">
        <f>Q234/((1/4)*3.14*(Q261^2))</f>
        <v>2.7890183168901368</v>
      </c>
      <c r="R262" s="296"/>
      <c r="S262" s="296"/>
      <c r="T262" s="286"/>
      <c r="U262" s="286"/>
      <c r="V262" s="286"/>
    </row>
    <row r="263" spans="2:22" x14ac:dyDescent="0.3">
      <c r="D263" s="286" t="s">
        <v>1483</v>
      </c>
      <c r="E263" s="286"/>
      <c r="F263" s="286"/>
      <c r="G263" s="286"/>
      <c r="H263" s="286" t="s">
        <v>1386</v>
      </c>
      <c r="I263" s="286"/>
      <c r="J263" s="286"/>
      <c r="K263" s="286" t="s">
        <v>259</v>
      </c>
      <c r="L263" s="286"/>
      <c r="M263" s="286"/>
      <c r="N263" s="286" t="s">
        <v>1484</v>
      </c>
      <c r="O263" s="286"/>
      <c r="P263" s="286"/>
      <c r="Q263" s="339">
        <f>((Q234*(Q255^0.54))/(0.2785*110*(Q261^2.63)))^(1/0.54)</f>
        <v>0.32380288835702636</v>
      </c>
      <c r="R263" s="296"/>
      <c r="S263" s="296"/>
      <c r="T263" s="286"/>
      <c r="U263" s="286"/>
      <c r="V263" s="286"/>
    </row>
    <row r="264" spans="2:22" x14ac:dyDescent="0.3">
      <c r="D264" s="286" t="s">
        <v>1388</v>
      </c>
      <c r="E264" s="286"/>
      <c r="F264" s="286"/>
      <c r="G264" s="286"/>
      <c r="H264" s="286" t="s">
        <v>1389</v>
      </c>
      <c r="I264" s="286"/>
      <c r="J264" s="286"/>
      <c r="K264" s="286" t="s">
        <v>259</v>
      </c>
      <c r="L264" s="286"/>
      <c r="M264" s="286"/>
      <c r="N264" s="286" t="s">
        <v>1485</v>
      </c>
      <c r="O264" s="286"/>
      <c r="P264" s="286"/>
      <c r="Q264" s="339">
        <f>Q263</f>
        <v>0.32380288835702636</v>
      </c>
      <c r="R264" s="286"/>
      <c r="S264" s="286"/>
      <c r="T264" s="286"/>
      <c r="U264" s="286"/>
      <c r="V264" s="286"/>
    </row>
    <row r="265" spans="2:22" x14ac:dyDescent="0.3">
      <c r="D265" s="286" t="s">
        <v>1489</v>
      </c>
      <c r="E265" s="286"/>
      <c r="F265" s="286"/>
      <c r="G265" s="286"/>
      <c r="H265" s="286" t="s">
        <v>1490</v>
      </c>
      <c r="I265" s="286"/>
      <c r="J265" s="286"/>
      <c r="K265" s="286" t="s">
        <v>259</v>
      </c>
      <c r="L265" s="286"/>
      <c r="M265" s="286"/>
      <c r="N265" s="286" t="s">
        <v>1491</v>
      </c>
      <c r="O265" s="286"/>
      <c r="P265" s="286"/>
      <c r="Q265" s="339">
        <f>Q264+Q263</f>
        <v>0.64760577671405273</v>
      </c>
      <c r="R265" s="286"/>
      <c r="S265" s="286"/>
      <c r="T265" s="65"/>
      <c r="U265" s="65"/>
      <c r="V265" s="65"/>
    </row>
    <row r="266" spans="2:22" x14ac:dyDescent="0.3">
      <c r="D266" s="286" t="s">
        <v>1486</v>
      </c>
      <c r="E266" s="286"/>
      <c r="F266" s="286"/>
      <c r="G266" s="286"/>
      <c r="H266" s="286" t="s">
        <v>1487</v>
      </c>
      <c r="I266" s="286"/>
      <c r="J266" s="286"/>
      <c r="K266" s="286" t="s">
        <v>259</v>
      </c>
      <c r="L266" s="286"/>
      <c r="M266" s="286"/>
      <c r="N266" s="286" t="s">
        <v>1488</v>
      </c>
      <c r="O266" s="286"/>
      <c r="P266" s="286"/>
      <c r="Q266" s="341">
        <f>Q239+Q240+Q241+Q243+Q248+Q253+Q265</f>
        <v>1.5049319816214046</v>
      </c>
      <c r="R266" s="286"/>
      <c r="S266" s="286"/>
      <c r="T266" s="286"/>
      <c r="U266" s="286"/>
      <c r="V266" s="286"/>
    </row>
    <row r="267" spans="2:22" x14ac:dyDescent="0.3">
      <c r="D267" s="286" t="s">
        <v>1492</v>
      </c>
      <c r="E267" s="286"/>
      <c r="F267" s="286"/>
      <c r="G267" s="286"/>
      <c r="H267" s="286" t="s">
        <v>1493</v>
      </c>
      <c r="I267" s="286"/>
      <c r="J267" s="286"/>
      <c r="K267" s="286" t="s">
        <v>259</v>
      </c>
      <c r="L267" s="286"/>
      <c r="M267" s="286"/>
      <c r="N267" s="286" t="s">
        <v>1494</v>
      </c>
      <c r="O267" s="286"/>
      <c r="P267" s="286"/>
      <c r="Q267" s="342">
        <f>Q239+Q240+Q179</f>
        <v>0.37126173253971262</v>
      </c>
      <c r="R267" s="286"/>
      <c r="S267" s="286"/>
      <c r="T267" s="286"/>
      <c r="U267" s="286"/>
      <c r="V267" s="286"/>
    </row>
    <row r="268" spans="2:22" x14ac:dyDescent="0.3">
      <c r="B268" s="66"/>
      <c r="C268" s="66"/>
      <c r="D268" s="305" t="s">
        <v>1495</v>
      </c>
      <c r="E268" s="267"/>
      <c r="F268" s="267"/>
      <c r="G268" s="267"/>
      <c r="H268" s="267"/>
      <c r="I268" s="267"/>
      <c r="J268" s="267"/>
      <c r="K268" s="267"/>
      <c r="L268" s="267"/>
      <c r="M268" s="267"/>
      <c r="N268" s="267"/>
      <c r="O268" s="267"/>
      <c r="P268" s="267"/>
      <c r="Q268" s="343"/>
      <c r="R268" s="267"/>
      <c r="S268" s="267"/>
      <c r="T268" s="267"/>
      <c r="U268" s="267"/>
      <c r="V268" s="267"/>
    </row>
    <row r="269" spans="2:22" x14ac:dyDescent="0.3">
      <c r="D269" s="286" t="s">
        <v>1496</v>
      </c>
      <c r="E269" s="286"/>
      <c r="F269" s="286"/>
      <c r="G269" s="286"/>
      <c r="H269" s="286"/>
      <c r="I269" s="286"/>
      <c r="J269" s="286"/>
      <c r="K269" s="286"/>
      <c r="L269" s="286"/>
      <c r="M269" s="286"/>
      <c r="N269" s="286"/>
      <c r="O269" s="286"/>
      <c r="P269" s="286"/>
      <c r="Q269" s="170"/>
      <c r="R269" s="286"/>
      <c r="S269" s="286"/>
      <c r="T269" s="286"/>
      <c r="U269" s="286"/>
      <c r="V269" s="286"/>
    </row>
    <row r="270" spans="2:22" x14ac:dyDescent="0.3">
      <c r="D270" s="286" t="s">
        <v>1497</v>
      </c>
      <c r="E270" s="286"/>
      <c r="F270" s="286"/>
      <c r="G270" s="286"/>
      <c r="H270" s="286" t="s">
        <v>1498</v>
      </c>
      <c r="I270" s="286"/>
      <c r="J270" s="286"/>
      <c r="K270" s="286" t="s">
        <v>372</v>
      </c>
      <c r="L270" s="286"/>
      <c r="M270" s="286"/>
      <c r="N270" s="286" t="s">
        <v>436</v>
      </c>
      <c r="O270" s="286"/>
      <c r="P270" s="286"/>
      <c r="Q270" s="170">
        <v>1</v>
      </c>
      <c r="R270" s="286"/>
      <c r="S270" s="286"/>
      <c r="T270" s="286"/>
      <c r="U270" s="286"/>
      <c r="V270" s="286"/>
    </row>
    <row r="271" spans="2:22" x14ac:dyDescent="0.3">
      <c r="D271" s="286" t="s">
        <v>1425</v>
      </c>
      <c r="E271" s="286"/>
      <c r="F271" s="286"/>
      <c r="G271" s="286"/>
      <c r="H271" s="286" t="s">
        <v>1504</v>
      </c>
      <c r="I271" s="286"/>
      <c r="J271" s="286"/>
      <c r="K271" s="286" t="s">
        <v>186</v>
      </c>
      <c r="L271" s="286"/>
      <c r="M271" s="286"/>
      <c r="N271" s="286" t="s">
        <v>1427</v>
      </c>
      <c r="O271" s="286"/>
      <c r="P271" s="286"/>
      <c r="Q271" s="170">
        <f>Q234</f>
        <v>0.36159999999999998</v>
      </c>
      <c r="R271" s="286"/>
      <c r="S271" s="286"/>
      <c r="T271" s="286"/>
      <c r="U271" s="286"/>
      <c r="V271" s="286"/>
    </row>
    <row r="272" spans="2:22" x14ac:dyDescent="0.3">
      <c r="D272" s="286" t="s">
        <v>1499</v>
      </c>
      <c r="E272" s="286"/>
      <c r="F272" s="286"/>
      <c r="G272" s="286"/>
      <c r="H272" s="286" t="s">
        <v>1500</v>
      </c>
      <c r="I272" s="286"/>
      <c r="J272" s="286"/>
      <c r="K272" s="286" t="s">
        <v>259</v>
      </c>
      <c r="L272" s="286"/>
      <c r="M272" s="286"/>
      <c r="N272" s="286" t="s">
        <v>436</v>
      </c>
      <c r="O272" s="286"/>
      <c r="P272" s="286"/>
      <c r="Q272" s="170">
        <v>0.5</v>
      </c>
      <c r="R272" s="286"/>
      <c r="S272" s="286"/>
      <c r="T272" s="286"/>
      <c r="U272" s="286"/>
      <c r="V272" s="286"/>
    </row>
    <row r="273" spans="4:22" x14ac:dyDescent="0.3">
      <c r="D273" s="286" t="s">
        <v>1501</v>
      </c>
      <c r="E273" s="286"/>
      <c r="F273" s="286"/>
      <c r="G273" s="286"/>
      <c r="H273" s="286" t="s">
        <v>1502</v>
      </c>
      <c r="I273" s="286"/>
      <c r="J273" s="286"/>
      <c r="K273" s="286" t="s">
        <v>259</v>
      </c>
      <c r="L273" s="286"/>
      <c r="M273" s="286"/>
      <c r="N273" s="286" t="s">
        <v>1503</v>
      </c>
      <c r="O273" s="286"/>
      <c r="P273" s="286"/>
      <c r="Q273" s="342">
        <f>(Q271/(1.38*Q272))^(2/3)</f>
        <v>0.65000927559452049</v>
      </c>
      <c r="R273" s="294"/>
      <c r="S273" s="294"/>
      <c r="T273" s="286"/>
      <c r="U273" s="286"/>
      <c r="V273" s="286"/>
    </row>
    <row r="274" spans="4:22" x14ac:dyDescent="0.3">
      <c r="D274" s="286" t="s">
        <v>416</v>
      </c>
      <c r="E274" s="286"/>
      <c r="F274" s="286"/>
      <c r="G274" s="286"/>
      <c r="H274" s="286" t="s">
        <v>345</v>
      </c>
      <c r="I274" s="286"/>
      <c r="J274" s="286"/>
      <c r="K274" s="286" t="s">
        <v>259</v>
      </c>
      <c r="L274" s="286"/>
      <c r="M274" s="286"/>
      <c r="N274" s="286" t="s">
        <v>310</v>
      </c>
      <c r="O274" s="286"/>
      <c r="P274" s="286"/>
      <c r="Q274" s="170">
        <f>15/100</f>
        <v>0.15</v>
      </c>
      <c r="R274" s="286"/>
      <c r="S274" s="286"/>
      <c r="T274" s="286"/>
      <c r="U274" s="286"/>
      <c r="V274" s="286"/>
    </row>
    <row r="275" spans="4:22" x14ac:dyDescent="0.3">
      <c r="D275" s="274" t="s">
        <v>526</v>
      </c>
      <c r="E275" s="286"/>
      <c r="F275" s="286"/>
      <c r="G275" s="286"/>
      <c r="H275" s="286"/>
      <c r="I275" s="286"/>
      <c r="J275" s="286"/>
      <c r="K275" s="286"/>
      <c r="L275" s="286"/>
      <c r="M275" s="286"/>
      <c r="N275" s="286"/>
      <c r="O275" s="286"/>
      <c r="P275" s="286"/>
      <c r="Q275" s="170"/>
      <c r="R275" s="286"/>
      <c r="S275" s="286"/>
      <c r="T275" s="286"/>
      <c r="U275" s="286"/>
      <c r="V275" s="286"/>
    </row>
    <row r="276" spans="4:22" x14ac:dyDescent="0.3">
      <c r="D276" s="286" t="s">
        <v>529</v>
      </c>
      <c r="E276" s="286"/>
      <c r="F276" s="286"/>
      <c r="G276" s="286"/>
      <c r="H276" s="286" t="s">
        <v>1505</v>
      </c>
      <c r="I276" s="286"/>
      <c r="J276" s="286"/>
      <c r="K276" s="286" t="s">
        <v>372</v>
      </c>
      <c r="L276" s="286"/>
      <c r="M276" s="286"/>
      <c r="N276" s="286" t="s">
        <v>310</v>
      </c>
      <c r="O276" s="286"/>
      <c r="P276" s="286"/>
      <c r="Q276" s="170">
        <v>2</v>
      </c>
      <c r="R276" s="286"/>
      <c r="S276" s="286"/>
      <c r="T276" s="286"/>
      <c r="U276" s="286"/>
      <c r="V276" s="286"/>
    </row>
    <row r="277" spans="4:22" x14ac:dyDescent="0.3">
      <c r="D277" s="286" t="s">
        <v>1014</v>
      </c>
      <c r="E277" s="286"/>
      <c r="F277" s="286"/>
      <c r="G277" s="286"/>
      <c r="H277" s="286" t="s">
        <v>1018</v>
      </c>
      <c r="I277" s="286"/>
      <c r="J277" s="286"/>
      <c r="K277" s="286" t="s">
        <v>259</v>
      </c>
      <c r="L277" s="286"/>
      <c r="M277" s="286"/>
      <c r="N277" s="286" t="s">
        <v>1506</v>
      </c>
      <c r="O277" s="286"/>
      <c r="P277" s="286"/>
      <c r="Q277" s="349">
        <f>Q189</f>
        <v>11.301911032448924</v>
      </c>
      <c r="R277" s="286"/>
      <c r="S277" s="286"/>
      <c r="T277" s="286"/>
      <c r="U277" s="286"/>
      <c r="V277" s="286"/>
    </row>
    <row r="278" spans="4:22" x14ac:dyDescent="0.3">
      <c r="D278" s="286" t="s">
        <v>530</v>
      </c>
      <c r="E278" s="286"/>
      <c r="F278" s="286"/>
      <c r="G278" s="286"/>
      <c r="H278" s="286" t="s">
        <v>1017</v>
      </c>
      <c r="I278" s="286"/>
      <c r="J278" s="286"/>
      <c r="K278" s="286" t="s">
        <v>259</v>
      </c>
      <c r="L278" s="286"/>
      <c r="M278" s="286"/>
      <c r="N278" s="286" t="s">
        <v>1507</v>
      </c>
      <c r="O278" s="286"/>
      <c r="P278" s="286"/>
      <c r="Q278" s="170">
        <v>16</v>
      </c>
      <c r="R278" s="286"/>
      <c r="S278" s="286"/>
      <c r="T278" s="286"/>
      <c r="U278" s="286"/>
      <c r="V278" s="286"/>
    </row>
    <row r="279" spans="4:22" x14ac:dyDescent="0.3">
      <c r="D279" s="286" t="s">
        <v>532</v>
      </c>
      <c r="E279" s="286"/>
      <c r="F279" s="286"/>
      <c r="G279" s="286"/>
      <c r="H279" s="286" t="s">
        <v>1508</v>
      </c>
      <c r="I279" s="286"/>
      <c r="J279" s="286"/>
      <c r="K279" s="286" t="s">
        <v>1509</v>
      </c>
      <c r="L279" s="286"/>
      <c r="M279" s="286"/>
      <c r="N279" s="286" t="s">
        <v>1510</v>
      </c>
      <c r="O279" s="286"/>
      <c r="P279" s="286"/>
      <c r="Q279" s="170">
        <f>Q271/Q278</f>
        <v>2.2599999999999999E-2</v>
      </c>
      <c r="R279" s="286"/>
      <c r="S279" s="286"/>
      <c r="T279" s="286"/>
      <c r="U279" s="286"/>
      <c r="V279" s="286"/>
    </row>
    <row r="280" spans="4:22" x14ac:dyDescent="0.3">
      <c r="D280" s="286" t="s">
        <v>1016</v>
      </c>
      <c r="E280" s="286"/>
      <c r="F280" s="286"/>
      <c r="G280" s="286"/>
      <c r="H280" s="286" t="s">
        <v>696</v>
      </c>
      <c r="I280" s="286"/>
      <c r="J280" s="286"/>
      <c r="K280" s="286" t="s">
        <v>259</v>
      </c>
      <c r="L280" s="286"/>
      <c r="M280" s="286"/>
      <c r="N280" s="286" t="s">
        <v>1511</v>
      </c>
      <c r="O280" s="286"/>
      <c r="P280" s="286"/>
      <c r="Q280" s="342">
        <f>((Q271)*(35.32))/((3.33*Q278*3.281))^(2/3)</f>
        <v>0.40850949221222244</v>
      </c>
      <c r="R280" s="294"/>
      <c r="S280" s="294"/>
      <c r="T280" s="286"/>
      <c r="U280" s="286"/>
      <c r="V280" s="286"/>
    </row>
    <row r="281" spans="4:22" x14ac:dyDescent="0.3">
      <c r="D281" s="274" t="s">
        <v>1512</v>
      </c>
      <c r="E281" s="286"/>
      <c r="F281" s="286"/>
      <c r="G281" s="286"/>
      <c r="H281" s="286"/>
      <c r="I281" s="286"/>
      <c r="J281" s="286"/>
      <c r="K281" s="286"/>
      <c r="L281" s="286"/>
      <c r="M281" s="286"/>
      <c r="N281" s="286"/>
      <c r="O281" s="286"/>
      <c r="P281" s="286"/>
      <c r="Q281" s="170"/>
      <c r="R281" s="286"/>
      <c r="S281" s="286"/>
      <c r="T281" s="286"/>
      <c r="U281" s="286"/>
      <c r="V281" s="286"/>
    </row>
    <row r="282" spans="4:22" x14ac:dyDescent="0.3">
      <c r="D282" s="286" t="s">
        <v>402</v>
      </c>
      <c r="E282" s="286"/>
      <c r="F282" s="286"/>
      <c r="G282" s="286"/>
      <c r="H282" s="286" t="s">
        <v>1427</v>
      </c>
      <c r="I282" s="286"/>
      <c r="J282" s="286"/>
      <c r="K282" s="286" t="s">
        <v>186</v>
      </c>
      <c r="L282" s="286"/>
      <c r="M282" s="286"/>
      <c r="N282" s="286" t="s">
        <v>1427</v>
      </c>
      <c r="O282" s="286"/>
      <c r="P282" s="286"/>
      <c r="Q282" s="170">
        <f>Q234</f>
        <v>0.36159999999999998</v>
      </c>
      <c r="R282" s="286"/>
      <c r="S282" s="286"/>
      <c r="T282" s="286"/>
      <c r="U282" s="286"/>
      <c r="V282" s="286"/>
    </row>
    <row r="283" spans="4:22" x14ac:dyDescent="0.3">
      <c r="D283" s="286" t="s">
        <v>1514</v>
      </c>
      <c r="E283" s="286"/>
      <c r="F283" s="286"/>
      <c r="G283" s="286"/>
      <c r="H283" s="286" t="s">
        <v>1516</v>
      </c>
      <c r="I283" s="286"/>
      <c r="J283" s="286"/>
      <c r="K283" s="286" t="s">
        <v>258</v>
      </c>
      <c r="L283" s="286"/>
      <c r="M283" s="286"/>
      <c r="N283" s="286" t="s">
        <v>436</v>
      </c>
      <c r="O283" s="286"/>
      <c r="P283" s="286"/>
      <c r="Q283" s="170">
        <v>2</v>
      </c>
      <c r="R283" s="286"/>
      <c r="S283" s="286"/>
      <c r="T283" s="286"/>
      <c r="U283" s="286"/>
      <c r="V283" s="286"/>
    </row>
    <row r="284" spans="4:22" x14ac:dyDescent="0.3">
      <c r="D284" s="286" t="s">
        <v>1513</v>
      </c>
      <c r="E284" s="286"/>
      <c r="F284" s="286"/>
      <c r="G284" s="286"/>
      <c r="H284" s="286" t="s">
        <v>1515</v>
      </c>
      <c r="I284" s="286"/>
      <c r="J284" s="286"/>
      <c r="K284" s="286" t="s">
        <v>320</v>
      </c>
      <c r="L284" s="286"/>
      <c r="M284" s="286"/>
      <c r="N284" s="286" t="s">
        <v>1517</v>
      </c>
      <c r="O284" s="286"/>
      <c r="P284" s="286"/>
      <c r="Q284" s="170">
        <f>Q282/Q283</f>
        <v>0.18079999999999999</v>
      </c>
      <c r="R284" s="286"/>
      <c r="S284" s="286"/>
      <c r="T284" s="286"/>
      <c r="U284" s="286"/>
      <c r="V284" s="286"/>
    </row>
    <row r="285" spans="4:22" x14ac:dyDescent="0.3">
      <c r="D285" s="286" t="s">
        <v>1518</v>
      </c>
      <c r="E285" s="286"/>
      <c r="F285" s="286"/>
      <c r="G285" s="286"/>
      <c r="H285" s="286" t="s">
        <v>1519</v>
      </c>
      <c r="I285" s="286"/>
      <c r="J285" s="286"/>
      <c r="K285" s="286" t="s">
        <v>259</v>
      </c>
      <c r="L285" s="286"/>
      <c r="M285" s="286"/>
      <c r="N285" s="286" t="s">
        <v>1520</v>
      </c>
      <c r="O285" s="286"/>
      <c r="P285" s="286"/>
      <c r="Q285" s="341">
        <f>SQRT((4*(Q284))/(3.14))</f>
        <v>0.47991506679576085</v>
      </c>
      <c r="R285" s="314"/>
      <c r="S285" s="314"/>
      <c r="T285" s="286"/>
      <c r="U285" s="286"/>
      <c r="V285" s="286"/>
    </row>
    <row r="286" spans="4:22" x14ac:dyDescent="0.3">
      <c r="D286" s="286"/>
      <c r="E286" s="286"/>
      <c r="F286" s="286"/>
      <c r="G286" s="286"/>
      <c r="H286" s="286"/>
      <c r="I286" s="286"/>
      <c r="J286" s="286"/>
      <c r="K286" s="286" t="s">
        <v>1137</v>
      </c>
      <c r="L286" s="286"/>
      <c r="M286" s="286"/>
      <c r="N286" s="286" t="s">
        <v>1411</v>
      </c>
      <c r="O286" s="286"/>
      <c r="P286" s="286"/>
      <c r="Q286" s="170" t="s">
        <v>1521</v>
      </c>
      <c r="R286" s="286"/>
      <c r="S286" s="286"/>
      <c r="T286" s="286"/>
      <c r="U286" s="286"/>
      <c r="V286" s="286"/>
    </row>
    <row r="287" spans="4:22" x14ac:dyDescent="0.3">
      <c r="D287" s="286"/>
      <c r="E287" s="286"/>
      <c r="F287" s="286"/>
      <c r="G287" s="286"/>
      <c r="H287" s="286"/>
      <c r="I287" s="286"/>
      <c r="J287" s="286"/>
      <c r="K287" s="286" t="s">
        <v>259</v>
      </c>
      <c r="L287" s="286"/>
      <c r="M287" s="286"/>
      <c r="N287" s="286" t="s">
        <v>1410</v>
      </c>
      <c r="O287" s="286"/>
      <c r="P287" s="286"/>
      <c r="Q287" s="170">
        <v>0.50800000000000001</v>
      </c>
      <c r="R287" s="286"/>
      <c r="S287" s="286"/>
      <c r="T287" s="286"/>
      <c r="U287" s="286"/>
      <c r="V287" s="286"/>
    </row>
    <row r="288" spans="4:22" x14ac:dyDescent="0.3">
      <c r="D288" s="286" t="s">
        <v>1522</v>
      </c>
      <c r="E288" s="286"/>
      <c r="F288" s="286"/>
      <c r="G288" s="286"/>
      <c r="H288" s="286" t="s">
        <v>1176</v>
      </c>
      <c r="I288" s="286"/>
      <c r="J288" s="286"/>
      <c r="K288" s="286" t="s">
        <v>258</v>
      </c>
      <c r="L288" s="286"/>
      <c r="M288" s="286"/>
      <c r="N288" s="286" t="s">
        <v>1523</v>
      </c>
      <c r="O288" s="286"/>
      <c r="P288" s="286"/>
      <c r="Q288" s="170">
        <f>Q282/((1/4)*(3.14)*(Q287^2))</f>
        <v>1.7849717228096873</v>
      </c>
      <c r="R288" s="286"/>
      <c r="S288" s="286"/>
      <c r="T288" s="286" t="s">
        <v>1524</v>
      </c>
      <c r="U288" s="286"/>
      <c r="V288" s="286"/>
    </row>
    <row r="289" spans="4:22" x14ac:dyDescent="0.3">
      <c r="D289" s="274" t="s">
        <v>1525</v>
      </c>
      <c r="E289" s="286"/>
      <c r="F289" s="286"/>
      <c r="G289" s="286"/>
      <c r="H289" s="286"/>
      <c r="I289" s="286"/>
      <c r="J289" s="286"/>
      <c r="K289" s="286"/>
      <c r="L289" s="286"/>
      <c r="M289" s="286"/>
      <c r="N289" s="286"/>
      <c r="O289" s="286"/>
      <c r="P289" s="286"/>
      <c r="Q289" s="170"/>
      <c r="R289" s="286"/>
      <c r="S289" s="286"/>
      <c r="T289" s="286"/>
      <c r="U289" s="286"/>
      <c r="V289" s="286"/>
    </row>
    <row r="290" spans="4:22" x14ac:dyDescent="0.3">
      <c r="D290" s="286" t="s">
        <v>936</v>
      </c>
      <c r="E290" s="286"/>
      <c r="F290" s="286"/>
      <c r="G290" s="286"/>
      <c r="H290" s="286" t="s">
        <v>412</v>
      </c>
      <c r="I290" s="286"/>
      <c r="J290" s="286"/>
      <c r="K290" s="286" t="s">
        <v>259</v>
      </c>
      <c r="L290" s="286"/>
      <c r="M290" s="286"/>
      <c r="N290" s="286" t="s">
        <v>310</v>
      </c>
      <c r="O290" s="286"/>
      <c r="P290" s="286"/>
      <c r="Q290" s="170">
        <v>10</v>
      </c>
      <c r="R290" s="286"/>
      <c r="S290" s="286"/>
      <c r="T290" s="286"/>
      <c r="U290" s="286"/>
      <c r="V290" s="286"/>
    </row>
    <row r="291" spans="4:22" x14ac:dyDescent="0.3">
      <c r="D291" s="286" t="s">
        <v>296</v>
      </c>
      <c r="E291" s="286"/>
      <c r="F291" s="286"/>
      <c r="G291" s="286"/>
      <c r="H291" s="286" t="s">
        <v>306</v>
      </c>
      <c r="I291" s="286"/>
      <c r="J291" s="286"/>
      <c r="K291" s="286" t="s">
        <v>259</v>
      </c>
      <c r="L291" s="286"/>
      <c r="M291" s="286"/>
      <c r="N291" s="286" t="s">
        <v>310</v>
      </c>
      <c r="O291" s="286"/>
      <c r="P291" s="286"/>
      <c r="Q291" s="170">
        <v>0.5</v>
      </c>
      <c r="R291" s="286"/>
      <c r="S291" s="286"/>
      <c r="T291" s="286"/>
      <c r="U291" s="286"/>
      <c r="V291" s="286"/>
    </row>
    <row r="292" spans="4:22" x14ac:dyDescent="0.3">
      <c r="D292" s="286" t="s">
        <v>1526</v>
      </c>
      <c r="E292" s="286"/>
      <c r="F292" s="286"/>
      <c r="G292" s="286"/>
      <c r="H292" s="286" t="s">
        <v>415</v>
      </c>
      <c r="I292" s="286"/>
      <c r="J292" s="286"/>
      <c r="K292" s="286" t="s">
        <v>259</v>
      </c>
      <c r="L292" s="286"/>
      <c r="M292" s="286"/>
      <c r="N292" s="286" t="s">
        <v>310</v>
      </c>
      <c r="O292" s="286"/>
      <c r="P292" s="286"/>
      <c r="Q292" s="170">
        <v>0.5</v>
      </c>
      <c r="R292" s="286"/>
      <c r="S292" s="286"/>
      <c r="T292" s="286"/>
      <c r="U292" s="286"/>
      <c r="V292" s="286"/>
    </row>
    <row r="293" spans="4:22" x14ac:dyDescent="0.3">
      <c r="D293" s="286" t="s">
        <v>416</v>
      </c>
      <c r="E293" s="286"/>
      <c r="F293" s="286"/>
      <c r="G293" s="286"/>
      <c r="H293" s="286" t="s">
        <v>345</v>
      </c>
      <c r="I293" s="286"/>
      <c r="J293" s="286"/>
      <c r="K293" s="286" t="s">
        <v>259</v>
      </c>
      <c r="L293" s="286"/>
      <c r="M293" s="286"/>
      <c r="N293" s="286" t="s">
        <v>310</v>
      </c>
      <c r="O293" s="286"/>
      <c r="P293" s="286"/>
      <c r="Q293" s="170">
        <v>0.25</v>
      </c>
      <c r="R293" s="286"/>
      <c r="S293" s="286"/>
      <c r="T293" s="286"/>
      <c r="U293" s="286"/>
      <c r="V293" s="286"/>
    </row>
    <row r="294" spans="4:22" x14ac:dyDescent="0.3">
      <c r="D294" s="286" t="s">
        <v>1527</v>
      </c>
      <c r="E294" s="286"/>
      <c r="F294" s="286"/>
      <c r="G294" s="286"/>
      <c r="H294" s="286" t="s">
        <v>1187</v>
      </c>
      <c r="I294" s="286"/>
      <c r="J294" s="286"/>
      <c r="K294" s="286" t="s">
        <v>258</v>
      </c>
      <c r="L294" s="286"/>
      <c r="M294" s="286"/>
      <c r="N294" s="286" t="s">
        <v>1529</v>
      </c>
      <c r="O294" s="286"/>
      <c r="P294" s="286"/>
      <c r="Q294" s="170">
        <f>Q271/(Q291*Q292)</f>
        <v>1.4463999999999999</v>
      </c>
      <c r="R294" s="286"/>
      <c r="S294" s="286"/>
      <c r="T294" s="286"/>
      <c r="U294" s="286"/>
      <c r="V294" s="286"/>
    </row>
    <row r="295" spans="4:22" x14ac:dyDescent="0.3">
      <c r="D295" s="286" t="s">
        <v>431</v>
      </c>
      <c r="E295" s="286"/>
      <c r="F295" s="286"/>
      <c r="G295" s="286"/>
      <c r="H295" s="286" t="s">
        <v>432</v>
      </c>
      <c r="I295" s="286"/>
      <c r="J295" s="286"/>
      <c r="K295" s="286" t="s">
        <v>259</v>
      </c>
      <c r="L295" s="286"/>
      <c r="M295" s="286"/>
      <c r="N295" s="286" t="s">
        <v>1530</v>
      </c>
      <c r="O295" s="286"/>
      <c r="P295" s="286"/>
      <c r="Q295" s="339">
        <f>Q291*Q292/(Q291+(2*Q292))</f>
        <v>0.16666666666666666</v>
      </c>
      <c r="R295" s="296"/>
      <c r="S295" s="296"/>
      <c r="T295" s="286"/>
      <c r="U295" s="286"/>
      <c r="V295" s="286"/>
    </row>
    <row r="296" spans="4:22" x14ac:dyDescent="0.3">
      <c r="D296" s="286" t="s">
        <v>496</v>
      </c>
      <c r="E296" s="286"/>
      <c r="F296" s="286"/>
      <c r="G296" s="286"/>
      <c r="H296" s="286" t="s">
        <v>497</v>
      </c>
      <c r="I296" s="286"/>
      <c r="J296" s="286"/>
      <c r="K296" s="286"/>
      <c r="L296" s="286"/>
      <c r="M296" s="286"/>
      <c r="N296" s="286" t="s">
        <v>1531</v>
      </c>
      <c r="O296" s="286"/>
      <c r="P296" s="286"/>
      <c r="Q296" s="344">
        <f>(Q294*0.013/(0.167^(2/3)))^2</f>
        <v>3.8445150852692419E-3</v>
      </c>
      <c r="R296" s="317"/>
      <c r="S296" s="317"/>
      <c r="T296" s="286"/>
      <c r="U296" s="286"/>
      <c r="V296" s="286"/>
    </row>
    <row r="297" spans="4:22" x14ac:dyDescent="0.3">
      <c r="D297" s="286" t="s">
        <v>1528</v>
      </c>
      <c r="E297" s="286"/>
      <c r="F297" s="286"/>
      <c r="G297" s="286"/>
      <c r="H297" s="286" t="s">
        <v>500</v>
      </c>
      <c r="I297" s="286"/>
      <c r="J297" s="286"/>
      <c r="K297" s="286" t="s">
        <v>259</v>
      </c>
      <c r="L297" s="286"/>
      <c r="M297" s="286"/>
      <c r="N297" s="286" t="s">
        <v>1532</v>
      </c>
      <c r="O297" s="286"/>
      <c r="P297" s="286"/>
      <c r="Q297" s="339">
        <f>Q296*Q290</f>
        <v>3.8445150852692421E-2</v>
      </c>
      <c r="R297" s="296"/>
      <c r="S297" s="296"/>
      <c r="T297" s="286"/>
      <c r="U297" s="286"/>
      <c r="V297" s="286"/>
    </row>
    <row r="298" spans="4:22" x14ac:dyDescent="0.3">
      <c r="D298" s="286"/>
      <c r="E298" s="286"/>
      <c r="F298" s="286"/>
      <c r="G298" s="286"/>
      <c r="H298" s="286"/>
      <c r="I298" s="286"/>
      <c r="J298" s="286"/>
      <c r="K298" s="286"/>
      <c r="L298" s="286"/>
      <c r="M298" s="286"/>
      <c r="N298" s="286"/>
      <c r="O298" s="286"/>
      <c r="P298" s="286"/>
      <c r="Q298" s="170"/>
      <c r="R298" s="286"/>
      <c r="S298" s="286"/>
      <c r="T298" s="286"/>
      <c r="U298" s="286"/>
      <c r="V298" s="286"/>
    </row>
    <row r="299" spans="4:22" x14ac:dyDescent="0.3">
      <c r="D299" s="286"/>
      <c r="E299" s="286"/>
      <c r="F299" s="286"/>
      <c r="G299" s="286"/>
      <c r="H299" s="286"/>
      <c r="I299" s="286"/>
      <c r="J299" s="286"/>
      <c r="K299" s="286"/>
      <c r="L299" s="286"/>
      <c r="M299" s="286"/>
      <c r="N299" s="286"/>
      <c r="O299" s="286"/>
      <c r="P299" s="286"/>
      <c r="Q299" s="170"/>
      <c r="R299" s="286"/>
      <c r="S299" s="286"/>
      <c r="T299" s="286"/>
      <c r="U299" s="286"/>
      <c r="V299" s="286"/>
    </row>
    <row r="300" spans="4:22" x14ac:dyDescent="0.3">
      <c r="D300" s="286"/>
      <c r="E300" s="286"/>
      <c r="F300" s="286"/>
      <c r="G300" s="286"/>
      <c r="H300" s="286"/>
      <c r="I300" s="286"/>
      <c r="J300" s="286"/>
      <c r="K300" s="286"/>
      <c r="L300" s="286"/>
      <c r="M300" s="286"/>
      <c r="N300" s="286"/>
      <c r="O300" s="286"/>
      <c r="P300" s="286"/>
      <c r="Q300" s="170"/>
      <c r="R300" s="286"/>
      <c r="S300" s="286"/>
      <c r="T300" s="286"/>
      <c r="U300" s="286"/>
      <c r="V300" s="286"/>
    </row>
    <row r="301" spans="4:22" x14ac:dyDescent="0.3">
      <c r="D301" s="286"/>
      <c r="E301" s="286"/>
      <c r="F301" s="286"/>
      <c r="G301" s="286"/>
      <c r="H301" s="286"/>
      <c r="I301" s="286"/>
      <c r="J301" s="286"/>
      <c r="K301" s="286"/>
      <c r="L301" s="286"/>
      <c r="M301" s="286"/>
      <c r="N301" s="286"/>
      <c r="O301" s="286"/>
      <c r="P301" s="286"/>
      <c r="Q301" s="170"/>
      <c r="R301" s="286"/>
      <c r="S301" s="286"/>
      <c r="T301" s="286"/>
      <c r="U301" s="286"/>
      <c r="V301" s="286"/>
    </row>
    <row r="302" spans="4:22" x14ac:dyDescent="0.3">
      <c r="D302" s="286"/>
      <c r="E302" s="286"/>
      <c r="F302" s="286"/>
      <c r="G302" s="286"/>
      <c r="H302" s="286"/>
      <c r="I302" s="286"/>
      <c r="J302" s="286"/>
      <c r="K302" s="286"/>
      <c r="L302" s="286"/>
      <c r="M302" s="286"/>
      <c r="N302" s="286"/>
      <c r="O302" s="286"/>
      <c r="P302" s="286"/>
      <c r="Q302" s="170"/>
      <c r="R302" s="286"/>
      <c r="S302" s="286"/>
      <c r="T302" s="286"/>
      <c r="U302" s="286"/>
      <c r="V302" s="286"/>
    </row>
    <row r="303" spans="4:22" x14ac:dyDescent="0.3">
      <c r="D303" s="286"/>
      <c r="E303" s="286"/>
      <c r="F303" s="286"/>
      <c r="G303" s="286"/>
      <c r="H303" s="286"/>
      <c r="I303" s="286"/>
      <c r="J303" s="286"/>
      <c r="K303" s="286"/>
      <c r="L303" s="286"/>
      <c r="M303" s="286"/>
      <c r="N303" s="286"/>
      <c r="O303" s="286"/>
      <c r="P303" s="286"/>
      <c r="Q303" s="170"/>
      <c r="R303" s="286"/>
      <c r="S303" s="286"/>
      <c r="T303" s="286"/>
      <c r="U303" s="286"/>
      <c r="V303" s="286"/>
    </row>
    <row r="304" spans="4:22" x14ac:dyDescent="0.3">
      <c r="D304" s="286"/>
      <c r="E304" s="286"/>
      <c r="F304" s="286"/>
      <c r="G304" s="286"/>
      <c r="H304" s="286"/>
      <c r="I304" s="286"/>
      <c r="J304" s="286"/>
      <c r="K304" s="286"/>
      <c r="L304" s="286"/>
      <c r="M304" s="286"/>
      <c r="N304" s="286"/>
      <c r="O304" s="286"/>
      <c r="P304" s="286"/>
      <c r="Q304" s="170"/>
      <c r="R304" s="286"/>
      <c r="S304" s="286"/>
      <c r="T304" s="286"/>
      <c r="U304" s="286"/>
      <c r="V304" s="286"/>
    </row>
    <row r="305" spans="4:22" x14ac:dyDescent="0.3">
      <c r="D305" s="286"/>
      <c r="E305" s="286"/>
      <c r="F305" s="286"/>
      <c r="G305" s="286"/>
      <c r="H305" s="286"/>
      <c r="I305" s="286"/>
      <c r="J305" s="286"/>
      <c r="K305" s="286"/>
      <c r="L305" s="286"/>
      <c r="M305" s="286"/>
      <c r="N305" s="286"/>
      <c r="O305" s="286"/>
      <c r="P305" s="286"/>
      <c r="Q305" s="170"/>
      <c r="R305" s="286"/>
      <c r="S305" s="286"/>
      <c r="T305" s="286"/>
      <c r="U305" s="286"/>
      <c r="V305" s="286"/>
    </row>
    <row r="306" spans="4:22" x14ac:dyDescent="0.3">
      <c r="D306" s="286"/>
      <c r="E306" s="286"/>
      <c r="F306" s="286"/>
      <c r="G306" s="286"/>
      <c r="H306" s="286"/>
      <c r="I306" s="286"/>
      <c r="J306" s="286"/>
      <c r="K306" s="286"/>
      <c r="L306" s="286"/>
      <c r="M306" s="286"/>
      <c r="N306" s="286"/>
      <c r="O306" s="286"/>
      <c r="P306" s="286"/>
      <c r="Q306" s="170"/>
      <c r="R306" s="286"/>
      <c r="S306" s="286"/>
      <c r="T306" s="286"/>
      <c r="U306" s="286"/>
      <c r="V306" s="286"/>
    </row>
    <row r="307" spans="4:22" x14ac:dyDescent="0.3">
      <c r="D307" s="286"/>
      <c r="E307" s="286"/>
      <c r="F307" s="286"/>
      <c r="G307" s="286"/>
      <c r="H307" s="286"/>
      <c r="I307" s="286"/>
      <c r="J307" s="286"/>
      <c r="K307" s="286"/>
      <c r="L307" s="286"/>
      <c r="M307" s="286"/>
      <c r="N307" s="286"/>
      <c r="O307" s="286"/>
      <c r="P307" s="286"/>
      <c r="Q307" s="170"/>
      <c r="R307" s="286"/>
      <c r="S307" s="286"/>
      <c r="T307" s="286"/>
      <c r="U307" s="286"/>
      <c r="V307" s="286"/>
    </row>
    <row r="308" spans="4:22" x14ac:dyDescent="0.3">
      <c r="D308" s="286"/>
      <c r="E308" s="286"/>
      <c r="F308" s="286"/>
      <c r="G308" s="286"/>
      <c r="H308" s="286"/>
      <c r="I308" s="286"/>
      <c r="J308" s="286"/>
      <c r="K308" s="286"/>
      <c r="L308" s="286"/>
      <c r="M308" s="286"/>
      <c r="N308" s="286"/>
      <c r="O308" s="286"/>
      <c r="P308" s="286"/>
      <c r="Q308" s="170"/>
      <c r="R308" s="286"/>
      <c r="S308" s="286"/>
      <c r="T308" s="286"/>
      <c r="U308" s="286"/>
      <c r="V308" s="286"/>
    </row>
    <row r="309" spans="4:22" x14ac:dyDescent="0.3">
      <c r="D309" s="286"/>
      <c r="E309" s="286"/>
      <c r="F309" s="286"/>
      <c r="G309" s="286"/>
      <c r="H309" s="286"/>
      <c r="I309" s="286"/>
      <c r="J309" s="286"/>
      <c r="K309" s="286"/>
      <c r="L309" s="286"/>
      <c r="M309" s="286"/>
      <c r="N309" s="286"/>
      <c r="O309" s="286"/>
      <c r="P309" s="286"/>
      <c r="Q309" s="170"/>
      <c r="R309" s="286"/>
      <c r="S309" s="286"/>
      <c r="T309" s="286"/>
      <c r="U309" s="286"/>
      <c r="V309" s="286"/>
    </row>
    <row r="310" spans="4:22" x14ac:dyDescent="0.3">
      <c r="D310" s="286"/>
      <c r="E310" s="286"/>
      <c r="F310" s="286"/>
      <c r="G310" s="286"/>
      <c r="H310" s="286"/>
      <c r="I310" s="286"/>
      <c r="J310" s="286"/>
      <c r="K310" s="286"/>
      <c r="L310" s="286"/>
      <c r="M310" s="286"/>
      <c r="N310" s="286"/>
      <c r="O310" s="286"/>
      <c r="P310" s="286"/>
      <c r="Q310" s="170"/>
      <c r="R310" s="286"/>
      <c r="S310" s="286"/>
      <c r="T310" s="286"/>
      <c r="U310" s="286"/>
      <c r="V310" s="286"/>
    </row>
    <row r="311" spans="4:22" x14ac:dyDescent="0.3">
      <c r="D311" s="286"/>
      <c r="E311" s="286"/>
      <c r="F311" s="286"/>
      <c r="G311" s="286"/>
      <c r="H311" s="286"/>
      <c r="I311" s="286"/>
      <c r="J311" s="286"/>
      <c r="K311" s="286"/>
      <c r="L311" s="286"/>
      <c r="M311" s="286"/>
      <c r="N311" s="286"/>
      <c r="O311" s="286"/>
      <c r="P311" s="286"/>
      <c r="Q311" s="170"/>
      <c r="R311" s="286"/>
      <c r="S311" s="286"/>
      <c r="T311" s="286"/>
      <c r="U311" s="286"/>
      <c r="V311" s="286"/>
    </row>
    <row r="312" spans="4:22" x14ac:dyDescent="0.3">
      <c r="D312" s="286"/>
      <c r="E312" s="286"/>
      <c r="F312" s="286"/>
      <c r="G312" s="286"/>
      <c r="H312" s="286"/>
      <c r="I312" s="286"/>
      <c r="J312" s="286"/>
      <c r="K312" s="286"/>
      <c r="L312" s="286"/>
      <c r="M312" s="286"/>
      <c r="N312" s="286"/>
      <c r="O312" s="286"/>
      <c r="P312" s="286"/>
      <c r="Q312" s="170"/>
      <c r="R312" s="286"/>
      <c r="S312" s="286"/>
      <c r="T312" s="286"/>
      <c r="U312" s="286"/>
      <c r="V312" s="286"/>
    </row>
    <row r="313" spans="4:22" x14ac:dyDescent="0.3">
      <c r="D313" s="286"/>
      <c r="E313" s="286"/>
      <c r="F313" s="286"/>
      <c r="G313" s="286"/>
      <c r="H313" s="286"/>
      <c r="I313" s="286"/>
      <c r="J313" s="286"/>
      <c r="K313" s="286"/>
      <c r="L313" s="286"/>
      <c r="M313" s="286"/>
      <c r="N313" s="286"/>
      <c r="O313" s="286"/>
      <c r="P313" s="286"/>
      <c r="Q313" s="170"/>
      <c r="R313" s="286"/>
      <c r="S313" s="286"/>
      <c r="T313" s="286"/>
      <c r="U313" s="286"/>
      <c r="V313" s="286"/>
    </row>
    <row r="314" spans="4:22" x14ac:dyDescent="0.3">
      <c r="D314" s="286"/>
      <c r="E314" s="286"/>
      <c r="F314" s="286"/>
      <c r="G314" s="286"/>
      <c r="H314" s="286"/>
      <c r="I314" s="286"/>
      <c r="J314" s="286"/>
      <c r="K314" s="286"/>
      <c r="L314" s="286"/>
      <c r="M314" s="286"/>
      <c r="N314" s="286"/>
      <c r="O314" s="286"/>
      <c r="P314" s="286"/>
      <c r="Q314" s="170"/>
      <c r="R314" s="286"/>
      <c r="S314" s="286"/>
      <c r="T314" s="286"/>
      <c r="U314" s="286"/>
      <c r="V314" s="286"/>
    </row>
    <row r="315" spans="4:22" x14ac:dyDescent="0.3">
      <c r="D315" s="286"/>
      <c r="E315" s="286"/>
      <c r="F315" s="286"/>
      <c r="G315" s="286"/>
      <c r="H315" s="286"/>
      <c r="I315" s="286"/>
      <c r="J315" s="286"/>
      <c r="K315" s="286"/>
      <c r="L315" s="286"/>
      <c r="M315" s="286"/>
      <c r="N315" s="286"/>
      <c r="O315" s="286"/>
      <c r="P315" s="286"/>
      <c r="Q315" s="170"/>
      <c r="R315" s="286"/>
      <c r="S315" s="286"/>
      <c r="T315" s="286"/>
      <c r="U315" s="286"/>
      <c r="V315" s="286"/>
    </row>
    <row r="316" spans="4:22" x14ac:dyDescent="0.3">
      <c r="D316" s="286"/>
      <c r="E316" s="286"/>
      <c r="F316" s="286"/>
      <c r="G316" s="286"/>
      <c r="H316" s="286"/>
      <c r="I316" s="286"/>
      <c r="J316" s="286"/>
      <c r="K316" s="286"/>
      <c r="L316" s="286"/>
      <c r="M316" s="286"/>
      <c r="N316" s="286"/>
      <c r="O316" s="286"/>
      <c r="P316" s="286"/>
      <c r="Q316" s="170"/>
      <c r="R316" s="286"/>
      <c r="S316" s="286"/>
      <c r="T316" s="286"/>
      <c r="U316" s="286"/>
      <c r="V316" s="286"/>
    </row>
    <row r="317" spans="4:22" x14ac:dyDescent="0.3">
      <c r="D317" s="286"/>
      <c r="E317" s="286"/>
      <c r="F317" s="286"/>
      <c r="G317" s="286"/>
      <c r="H317" s="286"/>
      <c r="I317" s="286"/>
      <c r="J317" s="286"/>
      <c r="K317" s="286"/>
      <c r="L317" s="286"/>
      <c r="M317" s="286"/>
      <c r="N317" s="286"/>
      <c r="O317" s="286"/>
      <c r="P317" s="286"/>
      <c r="Q317" s="170"/>
      <c r="R317" s="286"/>
      <c r="S317" s="286"/>
      <c r="T317" s="286"/>
      <c r="U317" s="286"/>
      <c r="V317" s="286"/>
    </row>
    <row r="318" spans="4:22" x14ac:dyDescent="0.3">
      <c r="D318" s="286"/>
      <c r="E318" s="286"/>
      <c r="F318" s="286"/>
      <c r="G318" s="286"/>
      <c r="H318" s="286"/>
      <c r="I318" s="286"/>
      <c r="J318" s="286"/>
      <c r="K318" s="286"/>
      <c r="L318" s="286"/>
      <c r="M318" s="286"/>
      <c r="N318" s="286"/>
      <c r="O318" s="286"/>
      <c r="P318" s="286"/>
      <c r="Q318" s="170"/>
      <c r="R318" s="286"/>
      <c r="S318" s="286"/>
      <c r="T318" s="286"/>
      <c r="U318" s="286"/>
      <c r="V318" s="286"/>
    </row>
    <row r="319" spans="4:22" x14ac:dyDescent="0.3">
      <c r="D319" s="286"/>
      <c r="E319" s="286"/>
      <c r="F319" s="286"/>
      <c r="G319" s="286"/>
      <c r="H319" s="286"/>
      <c r="I319" s="286"/>
      <c r="J319" s="286"/>
      <c r="K319" s="286"/>
      <c r="L319" s="286"/>
      <c r="M319" s="286"/>
      <c r="N319" s="286"/>
      <c r="O319" s="286"/>
      <c r="P319" s="286"/>
      <c r="Q319" s="170"/>
      <c r="R319" s="286"/>
      <c r="S319" s="286"/>
      <c r="T319" s="286"/>
      <c r="U319" s="286"/>
      <c r="V319" s="286"/>
    </row>
    <row r="320" spans="4:22" x14ac:dyDescent="0.3">
      <c r="D320" s="286"/>
      <c r="E320" s="286"/>
      <c r="F320" s="286"/>
      <c r="G320" s="286"/>
      <c r="H320" s="286"/>
      <c r="I320" s="286"/>
      <c r="J320" s="286"/>
      <c r="K320" s="286"/>
      <c r="L320" s="286"/>
      <c r="M320" s="286"/>
      <c r="N320" s="286"/>
      <c r="O320" s="286"/>
      <c r="P320" s="286"/>
      <c r="Q320" s="170"/>
      <c r="R320" s="286"/>
      <c r="S320" s="286"/>
      <c r="T320" s="286"/>
      <c r="U320" s="286"/>
      <c r="V320" s="286"/>
    </row>
    <row r="321" spans="4:22" x14ac:dyDescent="0.3">
      <c r="D321" s="286"/>
      <c r="E321" s="286"/>
      <c r="F321" s="286"/>
      <c r="G321" s="286"/>
      <c r="H321" s="286"/>
      <c r="I321" s="286"/>
      <c r="J321" s="286"/>
      <c r="K321" s="286"/>
      <c r="L321" s="286"/>
      <c r="M321" s="286"/>
      <c r="N321" s="286"/>
      <c r="O321" s="286"/>
      <c r="P321" s="286"/>
      <c r="Q321" s="170"/>
      <c r="R321" s="286"/>
      <c r="S321" s="286"/>
      <c r="T321" s="286"/>
      <c r="U321" s="286"/>
      <c r="V321" s="286"/>
    </row>
    <row r="322" spans="4:22" x14ac:dyDescent="0.3">
      <c r="D322" s="286"/>
      <c r="E322" s="286"/>
      <c r="F322" s="286"/>
      <c r="G322" s="286"/>
      <c r="H322" s="286"/>
      <c r="I322" s="286"/>
      <c r="J322" s="286"/>
      <c r="K322" s="286"/>
      <c r="L322" s="286"/>
      <c r="M322" s="286"/>
      <c r="N322" s="286"/>
      <c r="O322" s="286"/>
      <c r="P322" s="286"/>
      <c r="Q322" s="170"/>
      <c r="R322" s="286"/>
      <c r="S322" s="286"/>
      <c r="T322" s="286"/>
      <c r="U322" s="286"/>
      <c r="V322" s="286"/>
    </row>
    <row r="323" spans="4:22" x14ac:dyDescent="0.3">
      <c r="D323" s="286"/>
      <c r="E323" s="286"/>
      <c r="F323" s="286"/>
      <c r="G323" s="286"/>
      <c r="H323" s="286"/>
      <c r="I323" s="286"/>
      <c r="J323" s="286"/>
      <c r="K323" s="286"/>
      <c r="L323" s="286"/>
      <c r="M323" s="286"/>
      <c r="N323" s="286"/>
      <c r="O323" s="286"/>
      <c r="P323" s="286"/>
      <c r="Q323" s="170"/>
      <c r="R323" s="286"/>
      <c r="S323" s="286"/>
      <c r="T323" s="286"/>
      <c r="U323" s="286"/>
      <c r="V323" s="286"/>
    </row>
    <row r="324" spans="4:22" x14ac:dyDescent="0.3">
      <c r="D324" s="286"/>
      <c r="E324" s="286"/>
      <c r="F324" s="286"/>
      <c r="G324" s="286"/>
      <c r="H324" s="286"/>
      <c r="I324" s="286"/>
      <c r="J324" s="286"/>
      <c r="K324" s="286"/>
      <c r="L324" s="286"/>
      <c r="M324" s="286"/>
      <c r="N324" s="286"/>
      <c r="O324" s="286"/>
      <c r="P324" s="286"/>
      <c r="Q324" s="170"/>
      <c r="R324" s="286"/>
      <c r="S324" s="286"/>
      <c r="T324" s="286"/>
      <c r="U324" s="286"/>
      <c r="V324" s="286"/>
    </row>
    <row r="325" spans="4:22" x14ac:dyDescent="0.3">
      <c r="D325" s="286"/>
      <c r="E325" s="286"/>
      <c r="F325" s="286"/>
      <c r="G325" s="286"/>
      <c r="H325" s="286"/>
      <c r="I325" s="286"/>
      <c r="J325" s="286"/>
      <c r="K325" s="286"/>
      <c r="L325" s="286"/>
      <c r="M325" s="286"/>
      <c r="N325" s="286"/>
      <c r="O325" s="286"/>
      <c r="P325" s="286"/>
      <c r="Q325" s="170"/>
      <c r="R325" s="286"/>
      <c r="S325" s="286"/>
      <c r="T325" s="286"/>
      <c r="U325" s="286"/>
      <c r="V325" s="286"/>
    </row>
    <row r="326" spans="4:22" x14ac:dyDescent="0.3">
      <c r="D326" s="286"/>
      <c r="E326" s="286"/>
      <c r="F326" s="286"/>
      <c r="G326" s="286"/>
      <c r="H326" s="286"/>
      <c r="I326" s="286"/>
      <c r="J326" s="286"/>
      <c r="K326" s="286"/>
      <c r="L326" s="286"/>
      <c r="M326" s="286"/>
      <c r="N326" s="286"/>
      <c r="O326" s="286"/>
      <c r="P326" s="286"/>
      <c r="Q326" s="170"/>
      <c r="R326" s="286"/>
      <c r="S326" s="286"/>
      <c r="T326" s="286"/>
      <c r="U326" s="286"/>
      <c r="V326" s="286"/>
    </row>
    <row r="327" spans="4:22" x14ac:dyDescent="0.3">
      <c r="D327" s="286"/>
      <c r="E327" s="286"/>
      <c r="F327" s="286"/>
      <c r="G327" s="286"/>
      <c r="H327" s="286"/>
      <c r="I327" s="286"/>
      <c r="J327" s="286"/>
      <c r="K327" s="286"/>
      <c r="L327" s="286"/>
      <c r="M327" s="286"/>
      <c r="N327" s="286"/>
      <c r="O327" s="286"/>
      <c r="P327" s="286"/>
      <c r="Q327" s="170"/>
      <c r="R327" s="286"/>
      <c r="S327" s="286"/>
      <c r="T327" s="286"/>
      <c r="U327" s="286"/>
      <c r="V327" s="286"/>
    </row>
    <row r="328" spans="4:22" x14ac:dyDescent="0.3">
      <c r="D328" s="286"/>
      <c r="E328" s="286"/>
      <c r="F328" s="286"/>
      <c r="G328" s="286"/>
      <c r="H328" s="286"/>
      <c r="I328" s="286"/>
      <c r="J328" s="286"/>
      <c r="K328" s="286"/>
      <c r="L328" s="286"/>
      <c r="M328" s="286"/>
      <c r="N328" s="286"/>
      <c r="O328" s="286"/>
      <c r="P328" s="286"/>
      <c r="Q328" s="170"/>
      <c r="R328" s="286"/>
      <c r="S328" s="286"/>
      <c r="T328" s="286"/>
      <c r="U328" s="286"/>
      <c r="V328" s="286"/>
    </row>
    <row r="329" spans="4:22" x14ac:dyDescent="0.3">
      <c r="D329" s="286"/>
      <c r="E329" s="286"/>
      <c r="F329" s="286"/>
      <c r="G329" s="286"/>
      <c r="H329" s="286"/>
      <c r="I329" s="286"/>
      <c r="J329" s="286"/>
      <c r="K329" s="286"/>
      <c r="L329" s="286"/>
      <c r="M329" s="286"/>
      <c r="N329" s="286"/>
      <c r="O329" s="286"/>
      <c r="P329" s="286"/>
      <c r="Q329" s="170"/>
      <c r="R329" s="286"/>
      <c r="S329" s="286"/>
      <c r="T329" s="286"/>
      <c r="U329" s="286"/>
      <c r="V329" s="286"/>
    </row>
    <row r="330" spans="4:22" x14ac:dyDescent="0.3">
      <c r="D330" s="286"/>
      <c r="E330" s="286"/>
      <c r="F330" s="286"/>
      <c r="G330" s="286"/>
      <c r="H330" s="286"/>
      <c r="I330" s="286"/>
      <c r="J330" s="286"/>
      <c r="K330" s="286"/>
      <c r="L330" s="286"/>
      <c r="M330" s="286"/>
      <c r="N330" s="286"/>
      <c r="O330" s="286"/>
      <c r="P330" s="286"/>
      <c r="Q330" s="170"/>
      <c r="R330" s="286"/>
      <c r="S330" s="286"/>
      <c r="T330" s="286"/>
      <c r="U330" s="286"/>
      <c r="V330" s="286"/>
    </row>
    <row r="331" spans="4:22" x14ac:dyDescent="0.3">
      <c r="D331" s="286"/>
      <c r="E331" s="286"/>
      <c r="F331" s="286"/>
      <c r="G331" s="286"/>
      <c r="H331" s="286"/>
      <c r="I331" s="286"/>
      <c r="J331" s="286"/>
      <c r="K331" s="286"/>
      <c r="L331" s="286"/>
      <c r="M331" s="286"/>
      <c r="N331" s="286"/>
      <c r="O331" s="286"/>
      <c r="P331" s="286"/>
      <c r="Q331" s="170"/>
      <c r="R331" s="286"/>
      <c r="S331" s="286"/>
      <c r="T331" s="286"/>
      <c r="U331" s="286"/>
      <c r="V331" s="286"/>
    </row>
    <row r="332" spans="4:22" x14ac:dyDescent="0.3">
      <c r="D332" s="286"/>
      <c r="E332" s="286"/>
      <c r="F332" s="286"/>
      <c r="G332" s="286"/>
      <c r="H332" s="286"/>
      <c r="I332" s="286"/>
      <c r="J332" s="286"/>
      <c r="K332" s="286"/>
      <c r="L332" s="286"/>
      <c r="M332" s="286"/>
      <c r="N332" s="286"/>
      <c r="O332" s="286"/>
      <c r="P332" s="286"/>
      <c r="Q332" s="170"/>
      <c r="R332" s="286"/>
      <c r="S332" s="286"/>
      <c r="T332" s="286"/>
      <c r="U332" s="286"/>
      <c r="V332" s="286"/>
    </row>
    <row r="333" spans="4:22" x14ac:dyDescent="0.3">
      <c r="D333" s="286"/>
      <c r="E333" s="286"/>
      <c r="F333" s="286"/>
      <c r="G333" s="286"/>
      <c r="H333" s="286"/>
      <c r="I333" s="286"/>
      <c r="J333" s="286"/>
      <c r="K333" s="286"/>
      <c r="L333" s="286"/>
      <c r="M333" s="286"/>
      <c r="N333" s="286"/>
      <c r="O333" s="286"/>
      <c r="P333" s="286"/>
      <c r="Q333" s="170"/>
      <c r="R333" s="286"/>
      <c r="S333" s="286"/>
      <c r="T333" s="286"/>
      <c r="U333" s="286"/>
      <c r="V333" s="286"/>
    </row>
    <row r="334" spans="4:22" x14ac:dyDescent="0.3">
      <c r="D334" s="286"/>
      <c r="E334" s="286"/>
      <c r="F334" s="286"/>
      <c r="G334" s="286"/>
      <c r="H334" s="286"/>
      <c r="I334" s="286"/>
      <c r="J334" s="286"/>
      <c r="K334" s="286"/>
      <c r="L334" s="286"/>
      <c r="M334" s="286"/>
      <c r="N334" s="286"/>
      <c r="O334" s="286"/>
      <c r="P334" s="286"/>
      <c r="Q334" s="170"/>
      <c r="R334" s="286"/>
      <c r="S334" s="286"/>
      <c r="T334" s="286"/>
      <c r="U334" s="286"/>
      <c r="V334" s="286"/>
    </row>
    <row r="335" spans="4:22" x14ac:dyDescent="0.3">
      <c r="D335" s="286"/>
      <c r="E335" s="286"/>
      <c r="F335" s="286"/>
      <c r="G335" s="286"/>
      <c r="H335" s="286"/>
      <c r="I335" s="286"/>
      <c r="J335" s="286"/>
      <c r="K335" s="286"/>
      <c r="L335" s="286"/>
      <c r="M335" s="286"/>
      <c r="N335" s="286"/>
      <c r="O335" s="286"/>
      <c r="P335" s="286"/>
      <c r="Q335" s="170"/>
      <c r="R335" s="286"/>
      <c r="S335" s="286"/>
      <c r="T335" s="286"/>
      <c r="U335" s="286"/>
      <c r="V335" s="286"/>
    </row>
    <row r="336" spans="4:22" x14ac:dyDescent="0.3">
      <c r="D336" s="286"/>
      <c r="E336" s="286"/>
      <c r="F336" s="286"/>
      <c r="G336" s="286"/>
      <c r="H336" s="286"/>
      <c r="I336" s="286"/>
      <c r="J336" s="286"/>
      <c r="K336" s="286"/>
      <c r="L336" s="286"/>
      <c r="M336" s="286"/>
      <c r="N336" s="286"/>
      <c r="O336" s="286"/>
      <c r="P336" s="286"/>
      <c r="Q336" s="170"/>
      <c r="R336" s="286"/>
      <c r="S336" s="286"/>
      <c r="T336" s="286"/>
      <c r="U336" s="286"/>
      <c r="V336" s="286"/>
    </row>
    <row r="337" spans="4:22" x14ac:dyDescent="0.3">
      <c r="D337" s="286"/>
      <c r="E337" s="286"/>
      <c r="F337" s="286"/>
      <c r="G337" s="286"/>
      <c r="H337" s="286"/>
      <c r="I337" s="286"/>
      <c r="J337" s="286"/>
      <c r="K337" s="286"/>
      <c r="L337" s="286"/>
      <c r="M337" s="286"/>
      <c r="N337" s="286"/>
      <c r="O337" s="286"/>
      <c r="P337" s="286"/>
      <c r="Q337" s="170"/>
      <c r="R337" s="286"/>
      <c r="S337" s="286"/>
      <c r="T337" s="286"/>
      <c r="U337" s="286"/>
      <c r="V337" s="286"/>
    </row>
    <row r="338" spans="4:22" x14ac:dyDescent="0.3">
      <c r="D338" s="286"/>
      <c r="E338" s="286"/>
      <c r="F338" s="286"/>
      <c r="G338" s="286"/>
      <c r="H338" s="286"/>
      <c r="I338" s="286"/>
      <c r="J338" s="286"/>
      <c r="K338" s="286"/>
      <c r="L338" s="286"/>
      <c r="M338" s="286"/>
      <c r="N338" s="286"/>
      <c r="O338" s="286"/>
      <c r="P338" s="286"/>
      <c r="Q338" s="170"/>
      <c r="R338" s="286"/>
      <c r="S338" s="286"/>
      <c r="T338" s="286"/>
      <c r="U338" s="286"/>
      <c r="V338" s="286"/>
    </row>
    <row r="339" spans="4:22" x14ac:dyDescent="0.3">
      <c r="D339" s="286"/>
      <c r="E339" s="286"/>
      <c r="F339" s="286"/>
      <c r="G339" s="286"/>
      <c r="H339" s="286"/>
      <c r="I339" s="286"/>
      <c r="J339" s="286"/>
      <c r="K339" s="286"/>
      <c r="L339" s="286"/>
      <c r="M339" s="286"/>
      <c r="N339" s="286"/>
      <c r="O339" s="286"/>
      <c r="P339" s="286"/>
      <c r="Q339" s="170"/>
      <c r="R339" s="286"/>
      <c r="S339" s="286"/>
      <c r="T339" s="286"/>
      <c r="U339" s="286"/>
      <c r="V339" s="286"/>
    </row>
    <row r="340" spans="4:22" x14ac:dyDescent="0.3">
      <c r="D340" s="286"/>
      <c r="E340" s="286"/>
      <c r="F340" s="286"/>
      <c r="G340" s="286"/>
      <c r="H340" s="286"/>
      <c r="I340" s="286"/>
      <c r="J340" s="286"/>
      <c r="K340" s="286"/>
      <c r="L340" s="286"/>
      <c r="M340" s="286"/>
      <c r="N340" s="286"/>
      <c r="O340" s="286"/>
      <c r="P340" s="286"/>
      <c r="Q340" s="170"/>
      <c r="R340" s="286"/>
      <c r="S340" s="286"/>
      <c r="T340" s="286"/>
      <c r="U340" s="286"/>
      <c r="V340" s="286"/>
    </row>
    <row r="341" spans="4:22" x14ac:dyDescent="0.3">
      <c r="D341" s="286"/>
      <c r="E341" s="286"/>
      <c r="F341" s="286"/>
      <c r="G341" s="286"/>
      <c r="H341" s="286"/>
      <c r="I341" s="286"/>
      <c r="J341" s="286"/>
      <c r="K341" s="286"/>
      <c r="L341" s="286"/>
      <c r="M341" s="286"/>
      <c r="N341" s="286"/>
      <c r="O341" s="286"/>
      <c r="P341" s="286"/>
      <c r="Q341" s="170"/>
      <c r="R341" s="286"/>
      <c r="S341" s="286"/>
      <c r="T341" s="286"/>
      <c r="U341" s="286"/>
      <c r="V341" s="286"/>
    </row>
    <row r="342" spans="4:22" x14ac:dyDescent="0.3">
      <c r="D342" s="286"/>
      <c r="E342" s="286"/>
      <c r="F342" s="286"/>
      <c r="G342" s="286"/>
      <c r="H342" s="286"/>
      <c r="I342" s="286"/>
      <c r="J342" s="286"/>
      <c r="K342" s="286"/>
      <c r="L342" s="286"/>
      <c r="M342" s="286"/>
      <c r="N342" s="286"/>
      <c r="O342" s="286"/>
      <c r="P342" s="286"/>
      <c r="Q342" s="170"/>
      <c r="R342" s="286"/>
      <c r="S342" s="286"/>
      <c r="T342" s="286"/>
      <c r="U342" s="286"/>
      <c r="V342" s="286"/>
    </row>
    <row r="343" spans="4:22" x14ac:dyDescent="0.3">
      <c r="D343" s="286"/>
      <c r="E343" s="286"/>
      <c r="F343" s="286"/>
      <c r="G343" s="286"/>
      <c r="H343" s="286"/>
      <c r="I343" s="286"/>
      <c r="J343" s="286"/>
      <c r="K343" s="286"/>
      <c r="L343" s="286"/>
      <c r="M343" s="286"/>
      <c r="N343" s="286"/>
      <c r="O343" s="286"/>
      <c r="P343" s="286"/>
      <c r="Q343" s="170"/>
      <c r="R343" s="286"/>
      <c r="S343" s="286"/>
      <c r="T343" s="286"/>
      <c r="U343" s="286"/>
      <c r="V343" s="286"/>
    </row>
    <row r="344" spans="4:22" x14ac:dyDescent="0.3">
      <c r="D344" s="286"/>
      <c r="E344" s="286"/>
      <c r="F344" s="286"/>
      <c r="G344" s="286"/>
      <c r="H344" s="286"/>
      <c r="I344" s="286"/>
      <c r="J344" s="286"/>
      <c r="K344" s="286"/>
      <c r="L344" s="286"/>
      <c r="M344" s="286"/>
      <c r="N344" s="286"/>
      <c r="O344" s="286"/>
      <c r="P344" s="286"/>
      <c r="Q344" s="170"/>
      <c r="R344" s="286"/>
      <c r="S344" s="286"/>
      <c r="T344" s="286"/>
      <c r="U344" s="286"/>
      <c r="V344" s="286"/>
    </row>
    <row r="345" spans="4:22" x14ac:dyDescent="0.3">
      <c r="D345" s="286"/>
      <c r="E345" s="286"/>
      <c r="F345" s="286"/>
      <c r="G345" s="286"/>
      <c r="H345" s="286"/>
      <c r="I345" s="286"/>
      <c r="J345" s="286"/>
      <c r="K345" s="286"/>
      <c r="L345" s="286"/>
      <c r="M345" s="286"/>
      <c r="N345" s="286"/>
      <c r="O345" s="286"/>
      <c r="P345" s="286"/>
      <c r="Q345" s="170"/>
      <c r="R345" s="286"/>
      <c r="S345" s="286"/>
      <c r="T345" s="286"/>
      <c r="U345" s="286"/>
      <c r="V345" s="286"/>
    </row>
    <row r="346" spans="4:22" x14ac:dyDescent="0.3">
      <c r="D346" s="286"/>
      <c r="E346" s="286"/>
      <c r="F346" s="286"/>
      <c r="G346" s="286"/>
      <c r="H346" s="286"/>
      <c r="I346" s="286"/>
      <c r="J346" s="286"/>
      <c r="K346" s="286"/>
      <c r="L346" s="286"/>
      <c r="M346" s="286"/>
      <c r="N346" s="286"/>
      <c r="O346" s="286"/>
      <c r="P346" s="286"/>
      <c r="Q346" s="170"/>
      <c r="R346" s="286"/>
      <c r="S346" s="286"/>
      <c r="T346" s="286"/>
      <c r="U346" s="286"/>
      <c r="V346" s="286"/>
    </row>
    <row r="347" spans="4:22" x14ac:dyDescent="0.3">
      <c r="D347" s="286"/>
      <c r="E347" s="286"/>
      <c r="F347" s="286"/>
      <c r="G347" s="286"/>
      <c r="H347" s="286"/>
      <c r="I347" s="286"/>
      <c r="J347" s="286"/>
      <c r="K347" s="286"/>
      <c r="L347" s="286"/>
      <c r="M347" s="286"/>
      <c r="N347" s="286"/>
      <c r="O347" s="286"/>
      <c r="P347" s="286"/>
      <c r="Q347" s="170"/>
      <c r="R347" s="286"/>
      <c r="S347" s="286"/>
      <c r="T347" s="286"/>
      <c r="U347" s="286"/>
      <c r="V347" s="286"/>
    </row>
    <row r="348" spans="4:22" x14ac:dyDescent="0.3">
      <c r="D348" s="286"/>
      <c r="E348" s="286"/>
      <c r="F348" s="286"/>
      <c r="G348" s="286"/>
      <c r="H348" s="286"/>
      <c r="I348" s="286"/>
      <c r="J348" s="286"/>
      <c r="K348" s="286"/>
      <c r="L348" s="286"/>
      <c r="M348" s="286"/>
      <c r="N348" s="286"/>
      <c r="O348" s="286"/>
      <c r="P348" s="286"/>
      <c r="Q348" s="170"/>
      <c r="R348" s="286"/>
      <c r="S348" s="286"/>
      <c r="T348" s="286"/>
      <c r="U348" s="286"/>
      <c r="V348" s="286"/>
    </row>
    <row r="349" spans="4:22" x14ac:dyDescent="0.3">
      <c r="D349" s="286"/>
      <c r="E349" s="286"/>
      <c r="F349" s="286"/>
      <c r="G349" s="286"/>
      <c r="H349" s="286"/>
      <c r="I349" s="286"/>
      <c r="J349" s="286"/>
      <c r="K349" s="286"/>
      <c r="L349" s="286"/>
      <c r="M349" s="286"/>
      <c r="N349" s="286"/>
      <c r="O349" s="286"/>
      <c r="P349" s="286"/>
      <c r="Q349" s="170"/>
      <c r="R349" s="286"/>
      <c r="S349" s="286"/>
      <c r="T349" s="286"/>
      <c r="U349" s="286"/>
      <c r="V349" s="286"/>
    </row>
    <row r="350" spans="4:22" x14ac:dyDescent="0.3">
      <c r="D350" s="286"/>
      <c r="E350" s="286"/>
      <c r="F350" s="286"/>
      <c r="G350" s="286"/>
      <c r="H350" s="286"/>
      <c r="I350" s="286"/>
      <c r="J350" s="286"/>
      <c r="K350" s="286"/>
      <c r="L350" s="286"/>
      <c r="M350" s="286"/>
      <c r="N350" s="286"/>
      <c r="O350" s="286"/>
      <c r="P350" s="286"/>
      <c r="Q350" s="170"/>
      <c r="R350" s="286"/>
      <c r="S350" s="286"/>
      <c r="T350" s="286"/>
      <c r="U350" s="286"/>
      <c r="V350" s="286"/>
    </row>
    <row r="351" spans="4:22" x14ac:dyDescent="0.3">
      <c r="D351" s="286"/>
      <c r="E351" s="286"/>
      <c r="F351" s="286"/>
      <c r="G351" s="286"/>
      <c r="H351" s="286"/>
      <c r="I351" s="286"/>
      <c r="J351" s="286"/>
      <c r="K351" s="286"/>
      <c r="L351" s="286"/>
      <c r="M351" s="286"/>
      <c r="N351" s="286"/>
      <c r="O351" s="286"/>
      <c r="P351" s="286"/>
      <c r="Q351" s="170"/>
      <c r="R351" s="286"/>
      <c r="S351" s="286"/>
      <c r="T351" s="286"/>
      <c r="U351" s="286"/>
      <c r="V351" s="286"/>
    </row>
    <row r="352" spans="4:22" x14ac:dyDescent="0.3">
      <c r="D352" s="286"/>
      <c r="E352" s="286"/>
      <c r="F352" s="286"/>
      <c r="G352" s="286"/>
      <c r="H352" s="286"/>
      <c r="I352" s="286"/>
      <c r="J352" s="286"/>
      <c r="K352" s="286"/>
      <c r="L352" s="286"/>
      <c r="M352" s="286"/>
      <c r="N352" s="286"/>
      <c r="O352" s="286"/>
      <c r="P352" s="286"/>
      <c r="Q352" s="170"/>
      <c r="R352" s="286"/>
      <c r="S352" s="286"/>
      <c r="T352" s="286"/>
      <c r="U352" s="286"/>
      <c r="V352" s="286"/>
    </row>
    <row r="353" spans="4:22" x14ac:dyDescent="0.3">
      <c r="D353" s="286"/>
      <c r="E353" s="286"/>
      <c r="F353" s="286"/>
      <c r="G353" s="286"/>
      <c r="H353" s="286"/>
      <c r="I353" s="286"/>
      <c r="J353" s="286"/>
      <c r="K353" s="286"/>
      <c r="L353" s="286"/>
      <c r="M353" s="286"/>
      <c r="N353" s="286"/>
      <c r="O353" s="286"/>
      <c r="P353" s="286"/>
      <c r="Q353" s="170"/>
      <c r="R353" s="286"/>
      <c r="S353" s="286"/>
      <c r="T353" s="286"/>
      <c r="U353" s="286"/>
      <c r="V353" s="286"/>
    </row>
    <row r="354" spans="4:22" x14ac:dyDescent="0.3">
      <c r="D354" s="286"/>
      <c r="E354" s="286"/>
      <c r="F354" s="286"/>
      <c r="G354" s="286"/>
      <c r="H354" s="286"/>
      <c r="I354" s="286"/>
      <c r="J354" s="286"/>
      <c r="K354" s="286"/>
      <c r="L354" s="286"/>
      <c r="M354" s="286"/>
      <c r="N354" s="286"/>
      <c r="O354" s="286"/>
      <c r="P354" s="286"/>
      <c r="Q354" s="170"/>
      <c r="R354" s="286"/>
      <c r="S354" s="286"/>
      <c r="T354" s="286"/>
      <c r="U354" s="286"/>
      <c r="V354" s="286"/>
    </row>
    <row r="355" spans="4:22" x14ac:dyDescent="0.3">
      <c r="D355" s="286"/>
      <c r="E355" s="286"/>
      <c r="F355" s="286"/>
      <c r="G355" s="286"/>
      <c r="H355" s="286"/>
      <c r="I355" s="286"/>
      <c r="J355" s="286"/>
      <c r="K355" s="286"/>
      <c r="L355" s="286"/>
      <c r="M355" s="286"/>
      <c r="N355" s="286"/>
      <c r="O355" s="286"/>
      <c r="P355" s="286"/>
      <c r="Q355" s="170"/>
      <c r="R355" s="286"/>
      <c r="S355" s="286"/>
      <c r="T355" s="286"/>
      <c r="U355" s="286"/>
      <c r="V355" s="286"/>
    </row>
    <row r="356" spans="4:22" x14ac:dyDescent="0.3">
      <c r="D356" s="286"/>
      <c r="E356" s="286"/>
      <c r="F356" s="286"/>
      <c r="G356" s="286"/>
      <c r="H356" s="286"/>
      <c r="I356" s="286"/>
      <c r="J356" s="286"/>
      <c r="K356" s="286"/>
      <c r="L356" s="286"/>
      <c r="M356" s="286"/>
      <c r="N356" s="286"/>
      <c r="O356" s="286"/>
      <c r="P356" s="286"/>
      <c r="Q356" s="170"/>
      <c r="R356" s="286"/>
      <c r="S356" s="286"/>
      <c r="T356" s="286"/>
      <c r="U356" s="286"/>
      <c r="V356" s="286"/>
    </row>
    <row r="357" spans="4:22" x14ac:dyDescent="0.3">
      <c r="D357" s="286"/>
      <c r="E357" s="286"/>
      <c r="F357" s="286"/>
      <c r="G357" s="286"/>
      <c r="H357" s="286"/>
      <c r="I357" s="286"/>
      <c r="J357" s="286"/>
      <c r="K357" s="286"/>
      <c r="L357" s="286"/>
      <c r="M357" s="286"/>
      <c r="N357" s="286"/>
      <c r="O357" s="286"/>
      <c r="P357" s="286"/>
      <c r="Q357" s="170"/>
      <c r="R357" s="286"/>
      <c r="S357" s="286"/>
      <c r="T357" s="286"/>
      <c r="U357" s="286"/>
      <c r="V357" s="286"/>
    </row>
    <row r="358" spans="4:22" x14ac:dyDescent="0.3">
      <c r="D358" s="286"/>
      <c r="E358" s="286"/>
      <c r="F358" s="286"/>
      <c r="G358" s="286"/>
      <c r="H358" s="286"/>
      <c r="I358" s="286"/>
      <c r="J358" s="286"/>
      <c r="K358" s="286"/>
      <c r="L358" s="286"/>
      <c r="M358" s="286"/>
      <c r="N358" s="286"/>
      <c r="O358" s="286"/>
      <c r="P358" s="286"/>
      <c r="Q358" s="170"/>
      <c r="R358" s="286"/>
      <c r="S358" s="286"/>
      <c r="T358" s="286"/>
      <c r="U358" s="286"/>
      <c r="V358" s="286"/>
    </row>
    <row r="359" spans="4:22" x14ac:dyDescent="0.3">
      <c r="D359" s="286"/>
      <c r="E359" s="286"/>
      <c r="F359" s="286"/>
      <c r="G359" s="286"/>
      <c r="H359" s="286"/>
      <c r="I359" s="286"/>
      <c r="J359" s="286"/>
      <c r="K359" s="286"/>
      <c r="L359" s="286"/>
      <c r="M359" s="286"/>
      <c r="N359" s="286"/>
      <c r="O359" s="286"/>
      <c r="P359" s="286"/>
      <c r="Q359" s="170"/>
      <c r="R359" s="286"/>
      <c r="S359" s="286"/>
      <c r="T359" s="286"/>
      <c r="U359" s="286"/>
      <c r="V359" s="286"/>
    </row>
    <row r="360" spans="4:22" x14ac:dyDescent="0.3">
      <c r="D360" s="286"/>
      <c r="E360" s="286"/>
      <c r="F360" s="286"/>
      <c r="G360" s="286"/>
      <c r="H360" s="286"/>
      <c r="I360" s="286"/>
      <c r="J360" s="286"/>
      <c r="K360" s="286"/>
      <c r="L360" s="286"/>
      <c r="M360" s="286"/>
      <c r="N360" s="286"/>
      <c r="O360" s="286"/>
      <c r="P360" s="286"/>
      <c r="Q360" s="170"/>
      <c r="R360" s="286"/>
      <c r="S360" s="286"/>
      <c r="T360" s="286"/>
      <c r="U360" s="286"/>
      <c r="V360" s="286"/>
    </row>
    <row r="361" spans="4:22" x14ac:dyDescent="0.3">
      <c r="D361" s="286"/>
      <c r="E361" s="286"/>
      <c r="F361" s="286"/>
      <c r="G361" s="286"/>
      <c r="H361" s="286"/>
      <c r="I361" s="286"/>
      <c r="J361" s="286"/>
      <c r="K361" s="286"/>
      <c r="L361" s="286"/>
      <c r="M361" s="286"/>
      <c r="N361" s="286"/>
      <c r="O361" s="286"/>
      <c r="P361" s="286"/>
      <c r="Q361" s="170"/>
      <c r="R361" s="286"/>
      <c r="S361" s="286"/>
      <c r="T361" s="286"/>
      <c r="U361" s="286"/>
      <c r="V361" s="286"/>
    </row>
    <row r="362" spans="4:22" x14ac:dyDescent="0.3">
      <c r="D362" s="286"/>
      <c r="E362" s="286"/>
      <c r="F362" s="286"/>
      <c r="G362" s="286"/>
      <c r="H362" s="286"/>
      <c r="I362" s="286"/>
      <c r="J362" s="286"/>
      <c r="K362" s="286"/>
      <c r="L362" s="286"/>
      <c r="M362" s="286"/>
      <c r="N362" s="286"/>
      <c r="O362" s="286"/>
      <c r="P362" s="286"/>
      <c r="Q362" s="170"/>
      <c r="R362" s="286"/>
      <c r="S362" s="286"/>
      <c r="T362" s="286"/>
      <c r="U362" s="286"/>
      <c r="V362" s="286"/>
    </row>
    <row r="363" spans="4:22" x14ac:dyDescent="0.3">
      <c r="D363" s="286"/>
      <c r="E363" s="286"/>
      <c r="F363" s="286"/>
      <c r="G363" s="286"/>
      <c r="H363" s="286"/>
      <c r="I363" s="286"/>
      <c r="J363" s="286"/>
      <c r="K363" s="286"/>
      <c r="L363" s="286"/>
      <c r="M363" s="286"/>
      <c r="N363" s="286"/>
      <c r="O363" s="286"/>
      <c r="P363" s="286"/>
      <c r="Q363" s="170"/>
      <c r="R363" s="286"/>
      <c r="S363" s="286"/>
      <c r="T363" s="286"/>
      <c r="U363" s="286"/>
      <c r="V363" s="286"/>
    </row>
    <row r="364" spans="4:22" x14ac:dyDescent="0.3">
      <c r="D364" s="286"/>
      <c r="E364" s="286"/>
      <c r="F364" s="286"/>
      <c r="G364" s="286"/>
      <c r="H364" s="286"/>
      <c r="I364" s="286"/>
      <c r="J364" s="286"/>
      <c r="K364" s="286"/>
      <c r="L364" s="286"/>
      <c r="M364" s="286"/>
      <c r="N364" s="286"/>
      <c r="O364" s="286"/>
      <c r="P364" s="286"/>
      <c r="Q364" s="170"/>
      <c r="R364" s="286"/>
      <c r="S364" s="286"/>
      <c r="T364" s="286"/>
      <c r="U364" s="286"/>
      <c r="V364" s="286"/>
    </row>
    <row r="365" spans="4:22" x14ac:dyDescent="0.3">
      <c r="D365" s="286"/>
      <c r="E365" s="286"/>
      <c r="F365" s="286"/>
      <c r="G365" s="286"/>
      <c r="H365" s="286"/>
      <c r="I365" s="286"/>
      <c r="J365" s="286"/>
      <c r="K365" s="286"/>
      <c r="L365" s="286"/>
      <c r="M365" s="286"/>
      <c r="N365" s="286"/>
      <c r="O365" s="286"/>
      <c r="P365" s="286"/>
      <c r="Q365" s="170"/>
      <c r="R365" s="286"/>
      <c r="S365" s="286"/>
      <c r="T365" s="286"/>
      <c r="U365" s="286"/>
      <c r="V365" s="286"/>
    </row>
    <row r="366" spans="4:22" x14ac:dyDescent="0.3">
      <c r="D366" s="286"/>
      <c r="E366" s="286"/>
      <c r="F366" s="286"/>
      <c r="G366" s="286"/>
      <c r="H366" s="286"/>
      <c r="I366" s="286"/>
      <c r="J366" s="286"/>
      <c r="K366" s="286"/>
      <c r="L366" s="286"/>
      <c r="M366" s="286"/>
      <c r="N366" s="286"/>
      <c r="O366" s="286"/>
      <c r="P366" s="286"/>
      <c r="Q366" s="170"/>
      <c r="R366" s="286"/>
      <c r="S366" s="286"/>
      <c r="T366" s="286"/>
      <c r="U366" s="286"/>
      <c r="V366" s="286"/>
    </row>
    <row r="367" spans="4:22" x14ac:dyDescent="0.3">
      <c r="D367" s="286"/>
      <c r="E367" s="286"/>
      <c r="F367" s="286"/>
      <c r="G367" s="286"/>
      <c r="H367" s="286"/>
      <c r="I367" s="286"/>
      <c r="J367" s="286"/>
      <c r="K367" s="286"/>
      <c r="L367" s="286"/>
      <c r="M367" s="286"/>
      <c r="N367" s="286"/>
      <c r="O367" s="286"/>
      <c r="P367" s="286"/>
      <c r="Q367" s="170"/>
      <c r="R367" s="286"/>
      <c r="S367" s="286"/>
      <c r="T367" s="286"/>
      <c r="U367" s="286"/>
      <c r="V367" s="286"/>
    </row>
    <row r="368" spans="4:22" x14ac:dyDescent="0.3">
      <c r="D368" s="286"/>
      <c r="E368" s="286"/>
      <c r="F368" s="286"/>
      <c r="G368" s="286"/>
      <c r="H368" s="286"/>
      <c r="I368" s="286"/>
      <c r="J368" s="286"/>
      <c r="K368" s="286"/>
      <c r="L368" s="286"/>
      <c r="M368" s="286"/>
      <c r="N368" s="286"/>
      <c r="O368" s="286"/>
      <c r="P368" s="286"/>
      <c r="Q368" s="170"/>
      <c r="R368" s="286"/>
      <c r="S368" s="286"/>
      <c r="T368" s="286"/>
      <c r="U368" s="286"/>
      <c r="V368" s="286"/>
    </row>
    <row r="369" spans="4:22" x14ac:dyDescent="0.3">
      <c r="D369" s="286"/>
      <c r="E369" s="286"/>
      <c r="F369" s="286"/>
      <c r="G369" s="286"/>
      <c r="H369" s="286"/>
      <c r="I369" s="286"/>
      <c r="J369" s="286"/>
      <c r="K369" s="286"/>
      <c r="L369" s="286"/>
      <c r="M369" s="286"/>
      <c r="N369" s="286"/>
      <c r="O369" s="286"/>
      <c r="P369" s="286"/>
      <c r="Q369" s="170"/>
      <c r="R369" s="286"/>
      <c r="S369" s="286"/>
      <c r="T369" s="286"/>
      <c r="U369" s="286"/>
      <c r="V369" s="286"/>
    </row>
    <row r="370" spans="4:22" x14ac:dyDescent="0.3">
      <c r="D370" s="286"/>
      <c r="E370" s="286"/>
      <c r="F370" s="286"/>
      <c r="G370" s="286"/>
      <c r="H370" s="286"/>
      <c r="I370" s="286"/>
      <c r="J370" s="286"/>
      <c r="K370" s="286"/>
      <c r="L370" s="286"/>
      <c r="M370" s="286"/>
      <c r="N370" s="286"/>
      <c r="O370" s="286"/>
      <c r="P370" s="286"/>
      <c r="Q370" s="170"/>
      <c r="R370" s="286"/>
      <c r="S370" s="286"/>
      <c r="T370" s="286"/>
      <c r="U370" s="286"/>
      <c r="V370" s="286"/>
    </row>
    <row r="371" spans="4:22" x14ac:dyDescent="0.3">
      <c r="D371" s="286"/>
      <c r="E371" s="286"/>
      <c r="F371" s="286"/>
      <c r="G371" s="286"/>
      <c r="H371" s="286"/>
      <c r="I371" s="286"/>
      <c r="J371" s="286"/>
      <c r="K371" s="286"/>
      <c r="L371" s="286"/>
      <c r="M371" s="286"/>
      <c r="N371" s="286"/>
      <c r="O371" s="286"/>
      <c r="P371" s="286"/>
      <c r="Q371" s="170"/>
      <c r="R371" s="286"/>
      <c r="S371" s="286"/>
      <c r="T371" s="286"/>
      <c r="U371" s="286"/>
      <c r="V371" s="286"/>
    </row>
    <row r="372" spans="4:22" x14ac:dyDescent="0.3">
      <c r="D372" s="286"/>
      <c r="E372" s="286"/>
      <c r="F372" s="286"/>
      <c r="G372" s="286"/>
      <c r="H372" s="286"/>
      <c r="I372" s="286"/>
      <c r="J372" s="286"/>
      <c r="K372" s="286"/>
      <c r="L372" s="286"/>
      <c r="M372" s="286"/>
      <c r="N372" s="286"/>
      <c r="O372" s="286"/>
      <c r="P372" s="286"/>
      <c r="Q372" s="170"/>
      <c r="R372" s="286"/>
      <c r="S372" s="286"/>
      <c r="T372" s="286"/>
      <c r="U372" s="286"/>
      <c r="V372" s="286"/>
    </row>
    <row r="373" spans="4:22" x14ac:dyDescent="0.3">
      <c r="D373" s="286"/>
      <c r="E373" s="286"/>
      <c r="F373" s="286"/>
      <c r="G373" s="286"/>
      <c r="H373" s="286"/>
      <c r="I373" s="286"/>
      <c r="J373" s="286"/>
      <c r="K373" s="286"/>
      <c r="L373" s="286"/>
      <c r="M373" s="286"/>
      <c r="N373" s="286"/>
      <c r="O373" s="286"/>
      <c r="P373" s="286"/>
      <c r="Q373" s="170"/>
      <c r="R373" s="286"/>
      <c r="S373" s="286"/>
      <c r="T373" s="286"/>
      <c r="U373" s="286"/>
      <c r="V373" s="286"/>
    </row>
    <row r="374" spans="4:22" x14ac:dyDescent="0.3">
      <c r="D374" s="286"/>
      <c r="E374" s="286"/>
      <c r="F374" s="286"/>
      <c r="G374" s="286"/>
      <c r="H374" s="286"/>
      <c r="I374" s="286"/>
      <c r="J374" s="286"/>
      <c r="K374" s="286"/>
      <c r="L374" s="286"/>
      <c r="M374" s="286"/>
      <c r="N374" s="286"/>
      <c r="O374" s="286"/>
      <c r="P374" s="286"/>
      <c r="Q374" s="170"/>
      <c r="R374" s="286"/>
      <c r="S374" s="286"/>
      <c r="T374" s="286"/>
      <c r="U374" s="286"/>
      <c r="V374" s="286"/>
    </row>
    <row r="375" spans="4:22" x14ac:dyDescent="0.3">
      <c r="D375" s="286"/>
      <c r="E375" s="286"/>
      <c r="F375" s="286"/>
      <c r="G375" s="286"/>
      <c r="H375" s="286"/>
      <c r="I375" s="286"/>
      <c r="J375" s="286"/>
      <c r="K375" s="286"/>
      <c r="L375" s="286"/>
      <c r="M375" s="286"/>
      <c r="N375" s="286"/>
      <c r="O375" s="286"/>
      <c r="P375" s="286"/>
      <c r="Q375" s="170"/>
      <c r="R375" s="286"/>
      <c r="S375" s="286"/>
      <c r="T375" s="286"/>
      <c r="U375" s="286"/>
      <c r="V375" s="286"/>
    </row>
    <row r="376" spans="4:22" x14ac:dyDescent="0.3">
      <c r="D376" s="286"/>
      <c r="E376" s="286"/>
      <c r="F376" s="286"/>
      <c r="G376" s="286"/>
      <c r="H376" s="286"/>
      <c r="I376" s="286"/>
      <c r="J376" s="286"/>
      <c r="K376" s="286"/>
      <c r="L376" s="286"/>
      <c r="M376" s="286"/>
      <c r="N376" s="286"/>
      <c r="O376" s="286"/>
      <c r="P376" s="286"/>
      <c r="Q376" s="170"/>
      <c r="R376" s="286"/>
      <c r="S376" s="286"/>
      <c r="T376" s="286"/>
      <c r="U376" s="286"/>
      <c r="V376" s="286"/>
    </row>
    <row r="377" spans="4:22" x14ac:dyDescent="0.3">
      <c r="D377" s="286"/>
      <c r="E377" s="286"/>
      <c r="F377" s="286"/>
      <c r="G377" s="286"/>
      <c r="H377" s="286"/>
      <c r="I377" s="286"/>
      <c r="J377" s="286"/>
      <c r="K377" s="286"/>
      <c r="L377" s="286"/>
      <c r="M377" s="286"/>
      <c r="N377" s="286"/>
      <c r="O377" s="286"/>
      <c r="P377" s="286"/>
      <c r="Q377" s="170"/>
      <c r="R377" s="286"/>
      <c r="S377" s="286"/>
      <c r="T377" s="286"/>
      <c r="U377" s="286"/>
      <c r="V377" s="286"/>
    </row>
    <row r="378" spans="4:22" x14ac:dyDescent="0.3">
      <c r="D378" s="286"/>
      <c r="E378" s="286"/>
      <c r="F378" s="286"/>
      <c r="G378" s="286"/>
      <c r="H378" s="286"/>
      <c r="I378" s="286"/>
      <c r="J378" s="286"/>
      <c r="K378" s="286"/>
      <c r="L378" s="286"/>
      <c r="M378" s="286"/>
      <c r="N378" s="286"/>
      <c r="O378" s="286"/>
      <c r="P378" s="286"/>
      <c r="Q378" s="170"/>
      <c r="R378" s="286"/>
      <c r="S378" s="286"/>
      <c r="T378" s="286"/>
      <c r="U378" s="286"/>
      <c r="V378" s="286"/>
    </row>
  </sheetData>
  <mergeCells count="2206">
    <mergeCell ref="D378:G378"/>
    <mergeCell ref="H378:J378"/>
    <mergeCell ref="K378:M378"/>
    <mergeCell ref="N378:P378"/>
    <mergeCell ref="Q378:S378"/>
    <mergeCell ref="T378:V378"/>
    <mergeCell ref="D375:G375"/>
    <mergeCell ref="H375:J375"/>
    <mergeCell ref="K375:M375"/>
    <mergeCell ref="N375:P375"/>
    <mergeCell ref="Q375:S375"/>
    <mergeCell ref="T375:V375"/>
    <mergeCell ref="D376:G376"/>
    <mergeCell ref="H376:J376"/>
    <mergeCell ref="K376:M376"/>
    <mergeCell ref="N376:P376"/>
    <mergeCell ref="Q376:S376"/>
    <mergeCell ref="T376:V376"/>
    <mergeCell ref="D377:G377"/>
    <mergeCell ref="H377:J377"/>
    <mergeCell ref="K377:M377"/>
    <mergeCell ref="N377:P377"/>
    <mergeCell ref="Q377:S377"/>
    <mergeCell ref="T377:V377"/>
    <mergeCell ref="D372:G372"/>
    <mergeCell ref="H372:J372"/>
    <mergeCell ref="K372:M372"/>
    <mergeCell ref="N372:P372"/>
    <mergeCell ref="Q372:S372"/>
    <mergeCell ref="T372:V372"/>
    <mergeCell ref="D373:G373"/>
    <mergeCell ref="H373:J373"/>
    <mergeCell ref="K373:M373"/>
    <mergeCell ref="N373:P373"/>
    <mergeCell ref="Q373:S373"/>
    <mergeCell ref="T373:V373"/>
    <mergeCell ref="D374:G374"/>
    <mergeCell ref="H374:J374"/>
    <mergeCell ref="K374:M374"/>
    <mergeCell ref="N374:P374"/>
    <mergeCell ref="Q374:S374"/>
    <mergeCell ref="T374:V374"/>
    <mergeCell ref="D369:G369"/>
    <mergeCell ref="H369:J369"/>
    <mergeCell ref="K369:M369"/>
    <mergeCell ref="N369:P369"/>
    <mergeCell ref="Q369:S369"/>
    <mergeCell ref="T369:V369"/>
    <mergeCell ref="D370:G370"/>
    <mergeCell ref="H370:J370"/>
    <mergeCell ref="K370:M370"/>
    <mergeCell ref="N370:P370"/>
    <mergeCell ref="Q370:S370"/>
    <mergeCell ref="T370:V370"/>
    <mergeCell ref="D371:G371"/>
    <mergeCell ref="H371:J371"/>
    <mergeCell ref="K371:M371"/>
    <mergeCell ref="N371:P371"/>
    <mergeCell ref="Q371:S371"/>
    <mergeCell ref="T371:V371"/>
    <mergeCell ref="D366:G366"/>
    <mergeCell ref="H366:J366"/>
    <mergeCell ref="K366:M366"/>
    <mergeCell ref="N366:P366"/>
    <mergeCell ref="Q366:S366"/>
    <mergeCell ref="T366:V366"/>
    <mergeCell ref="D367:G367"/>
    <mergeCell ref="H367:J367"/>
    <mergeCell ref="K367:M367"/>
    <mergeCell ref="N367:P367"/>
    <mergeCell ref="Q367:S367"/>
    <mergeCell ref="T367:V367"/>
    <mergeCell ref="D368:G368"/>
    <mergeCell ref="H368:J368"/>
    <mergeCell ref="K368:M368"/>
    <mergeCell ref="N368:P368"/>
    <mergeCell ref="Q368:S368"/>
    <mergeCell ref="T368:V368"/>
    <mergeCell ref="D363:G363"/>
    <mergeCell ref="H363:J363"/>
    <mergeCell ref="K363:M363"/>
    <mergeCell ref="N363:P363"/>
    <mergeCell ref="Q363:S363"/>
    <mergeCell ref="T363:V363"/>
    <mergeCell ref="D364:G364"/>
    <mergeCell ref="H364:J364"/>
    <mergeCell ref="K364:M364"/>
    <mergeCell ref="N364:P364"/>
    <mergeCell ref="Q364:S364"/>
    <mergeCell ref="T364:V364"/>
    <mergeCell ref="D365:G365"/>
    <mergeCell ref="H365:J365"/>
    <mergeCell ref="K365:M365"/>
    <mergeCell ref="N365:P365"/>
    <mergeCell ref="Q365:S365"/>
    <mergeCell ref="T365:V365"/>
    <mergeCell ref="D360:G360"/>
    <mergeCell ref="H360:J360"/>
    <mergeCell ref="K360:M360"/>
    <mergeCell ref="N360:P360"/>
    <mergeCell ref="Q360:S360"/>
    <mergeCell ref="T360:V360"/>
    <mergeCell ref="D361:G361"/>
    <mergeCell ref="H361:J361"/>
    <mergeCell ref="K361:M361"/>
    <mergeCell ref="N361:P361"/>
    <mergeCell ref="Q361:S361"/>
    <mergeCell ref="T361:V361"/>
    <mergeCell ref="D362:G362"/>
    <mergeCell ref="H362:J362"/>
    <mergeCell ref="K362:M362"/>
    <mergeCell ref="N362:P362"/>
    <mergeCell ref="Q362:S362"/>
    <mergeCell ref="T362:V362"/>
    <mergeCell ref="D357:G357"/>
    <mergeCell ref="H357:J357"/>
    <mergeCell ref="K357:M357"/>
    <mergeCell ref="N357:P357"/>
    <mergeCell ref="Q357:S357"/>
    <mergeCell ref="T357:V357"/>
    <mergeCell ref="D358:G358"/>
    <mergeCell ref="H358:J358"/>
    <mergeCell ref="K358:M358"/>
    <mergeCell ref="N358:P358"/>
    <mergeCell ref="Q358:S358"/>
    <mergeCell ref="T358:V358"/>
    <mergeCell ref="D359:G359"/>
    <mergeCell ref="H359:J359"/>
    <mergeCell ref="K359:M359"/>
    <mergeCell ref="N359:P359"/>
    <mergeCell ref="Q359:S359"/>
    <mergeCell ref="T359:V359"/>
    <mergeCell ref="D354:G354"/>
    <mergeCell ref="H354:J354"/>
    <mergeCell ref="K354:M354"/>
    <mergeCell ref="N354:P354"/>
    <mergeCell ref="Q354:S354"/>
    <mergeCell ref="T354:V354"/>
    <mergeCell ref="D355:G355"/>
    <mergeCell ref="H355:J355"/>
    <mergeCell ref="K355:M355"/>
    <mergeCell ref="N355:P355"/>
    <mergeCell ref="Q355:S355"/>
    <mergeCell ref="T355:V355"/>
    <mergeCell ref="D356:G356"/>
    <mergeCell ref="H356:J356"/>
    <mergeCell ref="K356:M356"/>
    <mergeCell ref="N356:P356"/>
    <mergeCell ref="Q356:S356"/>
    <mergeCell ref="T356:V356"/>
    <mergeCell ref="D351:G351"/>
    <mergeCell ref="H351:J351"/>
    <mergeCell ref="K351:M351"/>
    <mergeCell ref="N351:P351"/>
    <mergeCell ref="Q351:S351"/>
    <mergeCell ref="T351:V351"/>
    <mergeCell ref="D352:G352"/>
    <mergeCell ref="H352:J352"/>
    <mergeCell ref="K352:M352"/>
    <mergeCell ref="N352:P352"/>
    <mergeCell ref="Q352:S352"/>
    <mergeCell ref="T352:V352"/>
    <mergeCell ref="D353:G353"/>
    <mergeCell ref="H353:J353"/>
    <mergeCell ref="K353:M353"/>
    <mergeCell ref="N353:P353"/>
    <mergeCell ref="Q353:S353"/>
    <mergeCell ref="T353:V353"/>
    <mergeCell ref="D348:G348"/>
    <mergeCell ref="H348:J348"/>
    <mergeCell ref="K348:M348"/>
    <mergeCell ref="N348:P348"/>
    <mergeCell ref="Q348:S348"/>
    <mergeCell ref="T348:V348"/>
    <mergeCell ref="D349:G349"/>
    <mergeCell ref="H349:J349"/>
    <mergeCell ref="K349:M349"/>
    <mergeCell ref="N349:P349"/>
    <mergeCell ref="Q349:S349"/>
    <mergeCell ref="T349:V349"/>
    <mergeCell ref="D350:G350"/>
    <mergeCell ref="H350:J350"/>
    <mergeCell ref="K350:M350"/>
    <mergeCell ref="N350:P350"/>
    <mergeCell ref="Q350:S350"/>
    <mergeCell ref="T350:V350"/>
    <mergeCell ref="D345:G345"/>
    <mergeCell ref="H345:J345"/>
    <mergeCell ref="K345:M345"/>
    <mergeCell ref="N345:P345"/>
    <mergeCell ref="Q345:S345"/>
    <mergeCell ref="T345:V345"/>
    <mergeCell ref="D346:G346"/>
    <mergeCell ref="H346:J346"/>
    <mergeCell ref="K346:M346"/>
    <mergeCell ref="N346:P346"/>
    <mergeCell ref="Q346:S346"/>
    <mergeCell ref="T346:V346"/>
    <mergeCell ref="D347:G347"/>
    <mergeCell ref="H347:J347"/>
    <mergeCell ref="K347:M347"/>
    <mergeCell ref="N347:P347"/>
    <mergeCell ref="Q347:S347"/>
    <mergeCell ref="T347:V347"/>
    <mergeCell ref="D342:G342"/>
    <mergeCell ref="H342:J342"/>
    <mergeCell ref="K342:M342"/>
    <mergeCell ref="N342:P342"/>
    <mergeCell ref="Q342:S342"/>
    <mergeCell ref="T342:V342"/>
    <mergeCell ref="D343:G343"/>
    <mergeCell ref="H343:J343"/>
    <mergeCell ref="K343:M343"/>
    <mergeCell ref="N343:P343"/>
    <mergeCell ref="Q343:S343"/>
    <mergeCell ref="T343:V343"/>
    <mergeCell ref="D344:G344"/>
    <mergeCell ref="H344:J344"/>
    <mergeCell ref="K344:M344"/>
    <mergeCell ref="N344:P344"/>
    <mergeCell ref="Q344:S344"/>
    <mergeCell ref="T344:V344"/>
    <mergeCell ref="D339:G339"/>
    <mergeCell ref="H339:J339"/>
    <mergeCell ref="K339:M339"/>
    <mergeCell ref="N339:P339"/>
    <mergeCell ref="Q339:S339"/>
    <mergeCell ref="T339:V339"/>
    <mergeCell ref="D340:G340"/>
    <mergeCell ref="H340:J340"/>
    <mergeCell ref="K340:M340"/>
    <mergeCell ref="N340:P340"/>
    <mergeCell ref="Q340:S340"/>
    <mergeCell ref="T340:V340"/>
    <mergeCell ref="D341:G341"/>
    <mergeCell ref="H341:J341"/>
    <mergeCell ref="K341:M341"/>
    <mergeCell ref="N341:P341"/>
    <mergeCell ref="Q341:S341"/>
    <mergeCell ref="T341:V341"/>
    <mergeCell ref="D336:G336"/>
    <mergeCell ref="H336:J336"/>
    <mergeCell ref="K336:M336"/>
    <mergeCell ref="N336:P336"/>
    <mergeCell ref="Q336:S336"/>
    <mergeCell ref="T336:V336"/>
    <mergeCell ref="D337:G337"/>
    <mergeCell ref="H337:J337"/>
    <mergeCell ref="K337:M337"/>
    <mergeCell ref="N337:P337"/>
    <mergeCell ref="Q337:S337"/>
    <mergeCell ref="T337:V337"/>
    <mergeCell ref="D338:G338"/>
    <mergeCell ref="H338:J338"/>
    <mergeCell ref="K338:M338"/>
    <mergeCell ref="N338:P338"/>
    <mergeCell ref="Q338:S338"/>
    <mergeCell ref="T338:V338"/>
    <mergeCell ref="D333:G333"/>
    <mergeCell ref="H333:J333"/>
    <mergeCell ref="K333:M333"/>
    <mergeCell ref="N333:P333"/>
    <mergeCell ref="Q333:S333"/>
    <mergeCell ref="T333:V333"/>
    <mergeCell ref="D334:G334"/>
    <mergeCell ref="H334:J334"/>
    <mergeCell ref="K334:M334"/>
    <mergeCell ref="N334:P334"/>
    <mergeCell ref="Q334:S334"/>
    <mergeCell ref="T334:V334"/>
    <mergeCell ref="D335:G335"/>
    <mergeCell ref="H335:J335"/>
    <mergeCell ref="K335:M335"/>
    <mergeCell ref="N335:P335"/>
    <mergeCell ref="Q335:S335"/>
    <mergeCell ref="T335:V335"/>
    <mergeCell ref="D330:G330"/>
    <mergeCell ref="H330:J330"/>
    <mergeCell ref="K330:M330"/>
    <mergeCell ref="N330:P330"/>
    <mergeCell ref="Q330:S330"/>
    <mergeCell ref="T330:V330"/>
    <mergeCell ref="D331:G331"/>
    <mergeCell ref="H331:J331"/>
    <mergeCell ref="K331:M331"/>
    <mergeCell ref="N331:P331"/>
    <mergeCell ref="Q331:S331"/>
    <mergeCell ref="T331:V331"/>
    <mergeCell ref="D332:G332"/>
    <mergeCell ref="H332:J332"/>
    <mergeCell ref="K332:M332"/>
    <mergeCell ref="N332:P332"/>
    <mergeCell ref="Q332:S332"/>
    <mergeCell ref="T332:V332"/>
    <mergeCell ref="D327:G327"/>
    <mergeCell ref="H327:J327"/>
    <mergeCell ref="K327:M327"/>
    <mergeCell ref="N327:P327"/>
    <mergeCell ref="Q327:S327"/>
    <mergeCell ref="T327:V327"/>
    <mergeCell ref="D328:G328"/>
    <mergeCell ref="H328:J328"/>
    <mergeCell ref="K328:M328"/>
    <mergeCell ref="N328:P328"/>
    <mergeCell ref="Q328:S328"/>
    <mergeCell ref="T328:V328"/>
    <mergeCell ref="D329:G329"/>
    <mergeCell ref="H329:J329"/>
    <mergeCell ref="K329:M329"/>
    <mergeCell ref="N329:P329"/>
    <mergeCell ref="Q329:S329"/>
    <mergeCell ref="T329:V329"/>
    <mergeCell ref="D324:G324"/>
    <mergeCell ref="H324:J324"/>
    <mergeCell ref="K324:M324"/>
    <mergeCell ref="N324:P324"/>
    <mergeCell ref="Q324:S324"/>
    <mergeCell ref="T324:V324"/>
    <mergeCell ref="D325:G325"/>
    <mergeCell ref="H325:J325"/>
    <mergeCell ref="K325:M325"/>
    <mergeCell ref="N325:P325"/>
    <mergeCell ref="Q325:S325"/>
    <mergeCell ref="T325:V325"/>
    <mergeCell ref="D326:G326"/>
    <mergeCell ref="H326:J326"/>
    <mergeCell ref="K326:M326"/>
    <mergeCell ref="N326:P326"/>
    <mergeCell ref="Q326:S326"/>
    <mergeCell ref="T326:V326"/>
    <mergeCell ref="D321:G321"/>
    <mergeCell ref="H321:J321"/>
    <mergeCell ref="K321:M321"/>
    <mergeCell ref="N321:P321"/>
    <mergeCell ref="Q321:S321"/>
    <mergeCell ref="T321:V321"/>
    <mergeCell ref="D322:G322"/>
    <mergeCell ref="H322:J322"/>
    <mergeCell ref="K322:M322"/>
    <mergeCell ref="N322:P322"/>
    <mergeCell ref="Q322:S322"/>
    <mergeCell ref="T322:V322"/>
    <mergeCell ref="D323:G323"/>
    <mergeCell ref="H323:J323"/>
    <mergeCell ref="K323:M323"/>
    <mergeCell ref="N323:P323"/>
    <mergeCell ref="Q323:S323"/>
    <mergeCell ref="T323:V323"/>
    <mergeCell ref="D318:G318"/>
    <mergeCell ref="H318:J318"/>
    <mergeCell ref="K318:M318"/>
    <mergeCell ref="N318:P318"/>
    <mergeCell ref="Q318:S318"/>
    <mergeCell ref="T318:V318"/>
    <mergeCell ref="D319:G319"/>
    <mergeCell ref="H319:J319"/>
    <mergeCell ref="K319:M319"/>
    <mergeCell ref="N319:P319"/>
    <mergeCell ref="Q319:S319"/>
    <mergeCell ref="T319:V319"/>
    <mergeCell ref="D320:G320"/>
    <mergeCell ref="H320:J320"/>
    <mergeCell ref="K320:M320"/>
    <mergeCell ref="N320:P320"/>
    <mergeCell ref="Q320:S320"/>
    <mergeCell ref="T320:V320"/>
    <mergeCell ref="D315:G315"/>
    <mergeCell ref="H315:J315"/>
    <mergeCell ref="K315:M315"/>
    <mergeCell ref="N315:P315"/>
    <mergeCell ref="Q315:S315"/>
    <mergeCell ref="T315:V315"/>
    <mergeCell ref="D316:G316"/>
    <mergeCell ref="H316:J316"/>
    <mergeCell ref="K316:M316"/>
    <mergeCell ref="N316:P316"/>
    <mergeCell ref="Q316:S316"/>
    <mergeCell ref="T316:V316"/>
    <mergeCell ref="D317:G317"/>
    <mergeCell ref="H317:J317"/>
    <mergeCell ref="K317:M317"/>
    <mergeCell ref="N317:P317"/>
    <mergeCell ref="Q317:S317"/>
    <mergeCell ref="T317:V317"/>
    <mergeCell ref="D312:G312"/>
    <mergeCell ref="H312:J312"/>
    <mergeCell ref="K312:M312"/>
    <mergeCell ref="N312:P312"/>
    <mergeCell ref="Q312:S312"/>
    <mergeCell ref="T312:V312"/>
    <mergeCell ref="D313:G313"/>
    <mergeCell ref="H313:J313"/>
    <mergeCell ref="K313:M313"/>
    <mergeCell ref="N313:P313"/>
    <mergeCell ref="Q313:S313"/>
    <mergeCell ref="T313:V313"/>
    <mergeCell ref="D314:G314"/>
    <mergeCell ref="H314:J314"/>
    <mergeCell ref="K314:M314"/>
    <mergeCell ref="N314:P314"/>
    <mergeCell ref="Q314:S314"/>
    <mergeCell ref="T314:V314"/>
    <mergeCell ref="D309:G309"/>
    <mergeCell ref="H309:J309"/>
    <mergeCell ref="K309:M309"/>
    <mergeCell ref="N309:P309"/>
    <mergeCell ref="Q309:S309"/>
    <mergeCell ref="T309:V309"/>
    <mergeCell ref="D310:G310"/>
    <mergeCell ref="H310:J310"/>
    <mergeCell ref="K310:M310"/>
    <mergeCell ref="N310:P310"/>
    <mergeCell ref="Q310:S310"/>
    <mergeCell ref="T310:V310"/>
    <mergeCell ref="D311:G311"/>
    <mergeCell ref="H311:J311"/>
    <mergeCell ref="K311:M311"/>
    <mergeCell ref="N311:P311"/>
    <mergeCell ref="Q311:S311"/>
    <mergeCell ref="T311:V311"/>
    <mergeCell ref="D306:G306"/>
    <mergeCell ref="H306:J306"/>
    <mergeCell ref="K306:M306"/>
    <mergeCell ref="N306:P306"/>
    <mergeCell ref="Q306:S306"/>
    <mergeCell ref="T306:V306"/>
    <mergeCell ref="D307:G307"/>
    <mergeCell ref="H307:J307"/>
    <mergeCell ref="K307:M307"/>
    <mergeCell ref="N307:P307"/>
    <mergeCell ref="Q307:S307"/>
    <mergeCell ref="T307:V307"/>
    <mergeCell ref="D308:G308"/>
    <mergeCell ref="H308:J308"/>
    <mergeCell ref="K308:M308"/>
    <mergeCell ref="N308:P308"/>
    <mergeCell ref="Q308:S308"/>
    <mergeCell ref="T308:V308"/>
    <mergeCell ref="D303:G303"/>
    <mergeCell ref="H303:J303"/>
    <mergeCell ref="K303:M303"/>
    <mergeCell ref="N303:P303"/>
    <mergeCell ref="Q303:S303"/>
    <mergeCell ref="T303:V303"/>
    <mergeCell ref="D304:G304"/>
    <mergeCell ref="H304:J304"/>
    <mergeCell ref="K304:M304"/>
    <mergeCell ref="N304:P304"/>
    <mergeCell ref="Q304:S304"/>
    <mergeCell ref="T304:V304"/>
    <mergeCell ref="D305:G305"/>
    <mergeCell ref="H305:J305"/>
    <mergeCell ref="K305:M305"/>
    <mergeCell ref="N305:P305"/>
    <mergeCell ref="Q305:S305"/>
    <mergeCell ref="T305:V305"/>
    <mergeCell ref="D300:G300"/>
    <mergeCell ref="H300:J300"/>
    <mergeCell ref="K300:M300"/>
    <mergeCell ref="N300:P300"/>
    <mergeCell ref="Q300:S300"/>
    <mergeCell ref="T300:V300"/>
    <mergeCell ref="D301:G301"/>
    <mergeCell ref="H301:J301"/>
    <mergeCell ref="K301:M301"/>
    <mergeCell ref="N301:P301"/>
    <mergeCell ref="Q301:S301"/>
    <mergeCell ref="T301:V301"/>
    <mergeCell ref="D302:G302"/>
    <mergeCell ref="H302:J302"/>
    <mergeCell ref="K302:M302"/>
    <mergeCell ref="N302:P302"/>
    <mergeCell ref="Q302:S302"/>
    <mergeCell ref="T302:V302"/>
    <mergeCell ref="D297:G297"/>
    <mergeCell ref="H297:J297"/>
    <mergeCell ref="K297:M297"/>
    <mergeCell ref="N297:P297"/>
    <mergeCell ref="Q297:S297"/>
    <mergeCell ref="T297:V297"/>
    <mergeCell ref="D298:G298"/>
    <mergeCell ref="H298:J298"/>
    <mergeCell ref="K298:M298"/>
    <mergeCell ref="N298:P298"/>
    <mergeCell ref="Q298:S298"/>
    <mergeCell ref="T298:V298"/>
    <mergeCell ref="D299:G299"/>
    <mergeCell ref="H299:J299"/>
    <mergeCell ref="K299:M299"/>
    <mergeCell ref="N299:P299"/>
    <mergeCell ref="Q299:S299"/>
    <mergeCell ref="T299:V299"/>
    <mergeCell ref="D294:G294"/>
    <mergeCell ref="H294:J294"/>
    <mergeCell ref="K294:M294"/>
    <mergeCell ref="N294:P294"/>
    <mergeCell ref="Q294:S294"/>
    <mergeCell ref="T294:V294"/>
    <mergeCell ref="D295:G295"/>
    <mergeCell ref="H295:J295"/>
    <mergeCell ref="K295:M295"/>
    <mergeCell ref="N295:P295"/>
    <mergeCell ref="Q295:S295"/>
    <mergeCell ref="T295:V295"/>
    <mergeCell ref="D296:G296"/>
    <mergeCell ref="H296:J296"/>
    <mergeCell ref="K296:M296"/>
    <mergeCell ref="N296:P296"/>
    <mergeCell ref="Q296:S296"/>
    <mergeCell ref="T296:V296"/>
    <mergeCell ref="D291:G291"/>
    <mergeCell ref="H291:J291"/>
    <mergeCell ref="K291:M291"/>
    <mergeCell ref="N291:P291"/>
    <mergeCell ref="Q291:S291"/>
    <mergeCell ref="T291:V291"/>
    <mergeCell ref="D292:G292"/>
    <mergeCell ref="H292:J292"/>
    <mergeCell ref="K292:M292"/>
    <mergeCell ref="N292:P292"/>
    <mergeCell ref="Q292:S292"/>
    <mergeCell ref="T292:V292"/>
    <mergeCell ref="D293:G293"/>
    <mergeCell ref="H293:J293"/>
    <mergeCell ref="K293:M293"/>
    <mergeCell ref="N293:P293"/>
    <mergeCell ref="Q293:S293"/>
    <mergeCell ref="T293:V293"/>
    <mergeCell ref="D288:G288"/>
    <mergeCell ref="H288:J288"/>
    <mergeCell ref="K288:M288"/>
    <mergeCell ref="N288:P288"/>
    <mergeCell ref="Q288:S288"/>
    <mergeCell ref="T288:V288"/>
    <mergeCell ref="D289:G289"/>
    <mergeCell ref="H289:J289"/>
    <mergeCell ref="K289:M289"/>
    <mergeCell ref="N289:P289"/>
    <mergeCell ref="Q289:S289"/>
    <mergeCell ref="T289:V289"/>
    <mergeCell ref="D290:G290"/>
    <mergeCell ref="H290:J290"/>
    <mergeCell ref="K290:M290"/>
    <mergeCell ref="N290:P290"/>
    <mergeCell ref="Q290:S290"/>
    <mergeCell ref="T290:V290"/>
    <mergeCell ref="D285:G285"/>
    <mergeCell ref="H285:J285"/>
    <mergeCell ref="K285:M285"/>
    <mergeCell ref="N285:P285"/>
    <mergeCell ref="Q285:S285"/>
    <mergeCell ref="T285:V285"/>
    <mergeCell ref="D286:G286"/>
    <mergeCell ref="H286:J286"/>
    <mergeCell ref="K286:M286"/>
    <mergeCell ref="N286:P286"/>
    <mergeCell ref="Q286:S286"/>
    <mergeCell ref="T286:V286"/>
    <mergeCell ref="D287:G287"/>
    <mergeCell ref="H287:J287"/>
    <mergeCell ref="K287:M287"/>
    <mergeCell ref="N287:P287"/>
    <mergeCell ref="Q287:S287"/>
    <mergeCell ref="T287:V287"/>
    <mergeCell ref="D282:G282"/>
    <mergeCell ref="H282:J282"/>
    <mergeCell ref="K282:M282"/>
    <mergeCell ref="N282:P282"/>
    <mergeCell ref="Q282:S282"/>
    <mergeCell ref="T282:V282"/>
    <mergeCell ref="D283:G283"/>
    <mergeCell ref="H283:J283"/>
    <mergeCell ref="K283:M283"/>
    <mergeCell ref="N283:P283"/>
    <mergeCell ref="Q283:S283"/>
    <mergeCell ref="T283:V283"/>
    <mergeCell ref="D284:G284"/>
    <mergeCell ref="H284:J284"/>
    <mergeCell ref="K284:M284"/>
    <mergeCell ref="N284:P284"/>
    <mergeCell ref="Q284:S284"/>
    <mergeCell ref="T284:V284"/>
    <mergeCell ref="D279:G279"/>
    <mergeCell ref="H279:J279"/>
    <mergeCell ref="K279:M279"/>
    <mergeCell ref="N279:P279"/>
    <mergeCell ref="Q279:S279"/>
    <mergeCell ref="T279:V279"/>
    <mergeCell ref="D280:G280"/>
    <mergeCell ref="H280:J280"/>
    <mergeCell ref="K280:M280"/>
    <mergeCell ref="N280:P280"/>
    <mergeCell ref="Q280:S280"/>
    <mergeCell ref="T280:V280"/>
    <mergeCell ref="D281:G281"/>
    <mergeCell ref="H281:J281"/>
    <mergeCell ref="K281:M281"/>
    <mergeCell ref="N281:P281"/>
    <mergeCell ref="Q281:S281"/>
    <mergeCell ref="T281:V281"/>
    <mergeCell ref="D276:G276"/>
    <mergeCell ref="H276:J276"/>
    <mergeCell ref="K276:M276"/>
    <mergeCell ref="N276:P276"/>
    <mergeCell ref="Q276:S276"/>
    <mergeCell ref="T276:V276"/>
    <mergeCell ref="D277:G277"/>
    <mergeCell ref="H277:J277"/>
    <mergeCell ref="K277:M277"/>
    <mergeCell ref="N277:P277"/>
    <mergeCell ref="Q277:S277"/>
    <mergeCell ref="T277:V277"/>
    <mergeCell ref="D278:G278"/>
    <mergeCell ref="H278:J278"/>
    <mergeCell ref="K278:M278"/>
    <mergeCell ref="N278:P278"/>
    <mergeCell ref="Q278:S278"/>
    <mergeCell ref="T278:V278"/>
    <mergeCell ref="D265:G265"/>
    <mergeCell ref="H265:J265"/>
    <mergeCell ref="K265:M265"/>
    <mergeCell ref="N265:P265"/>
    <mergeCell ref="Q265:S265"/>
    <mergeCell ref="D274:G274"/>
    <mergeCell ref="H274:J274"/>
    <mergeCell ref="K274:M274"/>
    <mergeCell ref="N274:P274"/>
    <mergeCell ref="Q274:S274"/>
    <mergeCell ref="T274:V274"/>
    <mergeCell ref="D275:G275"/>
    <mergeCell ref="H275:J275"/>
    <mergeCell ref="K275:M275"/>
    <mergeCell ref="N275:P275"/>
    <mergeCell ref="Q275:S275"/>
    <mergeCell ref="T275:V275"/>
    <mergeCell ref="K268:M268"/>
    <mergeCell ref="K269:M269"/>
    <mergeCell ref="K270:M270"/>
    <mergeCell ref="K271:M271"/>
    <mergeCell ref="K272:M272"/>
    <mergeCell ref="K273:M273"/>
    <mergeCell ref="D3:H3"/>
    <mergeCell ref="I3:K3"/>
    <mergeCell ref="L3:N3"/>
    <mergeCell ref="O3:Q3"/>
    <mergeCell ref="R3:T3"/>
    <mergeCell ref="D8:H8"/>
    <mergeCell ref="I8:K8"/>
    <mergeCell ref="L8:N8"/>
    <mergeCell ref="O8:Q8"/>
    <mergeCell ref="R8:T8"/>
    <mergeCell ref="D7:H7"/>
    <mergeCell ref="I7:K7"/>
    <mergeCell ref="L7:N7"/>
    <mergeCell ref="O7:Q7"/>
    <mergeCell ref="R7:T7"/>
    <mergeCell ref="D6:H6"/>
    <mergeCell ref="I6:K6"/>
    <mergeCell ref="L6:N6"/>
    <mergeCell ref="O6:Q6"/>
    <mergeCell ref="O15:Q15"/>
    <mergeCell ref="O16:Q16"/>
    <mergeCell ref="O17:Q17"/>
    <mergeCell ref="O18:Q18"/>
    <mergeCell ref="L5:N5"/>
    <mergeCell ref="O5:Q5"/>
    <mergeCell ref="R5:T5"/>
    <mergeCell ref="D9:H9"/>
    <mergeCell ref="I9:K9"/>
    <mergeCell ref="L9:N9"/>
    <mergeCell ref="O9:Q9"/>
    <mergeCell ref="R9:T9"/>
    <mergeCell ref="D4:H4"/>
    <mergeCell ref="I4:K4"/>
    <mergeCell ref="L4:N4"/>
    <mergeCell ref="O4:Q4"/>
    <mergeCell ref="R4:T4"/>
    <mergeCell ref="R13:T13"/>
    <mergeCell ref="R14:T14"/>
    <mergeCell ref="R15:T15"/>
    <mergeCell ref="R16:T16"/>
    <mergeCell ref="R17:T17"/>
    <mergeCell ref="R18:T18"/>
    <mergeCell ref="D19:H19"/>
    <mergeCell ref="D20:H20"/>
    <mergeCell ref="D21:H21"/>
    <mergeCell ref="D22:H22"/>
    <mergeCell ref="D23:H23"/>
    <mergeCell ref="D24:H24"/>
    <mergeCell ref="R6:T6"/>
    <mergeCell ref="D5:H5"/>
    <mergeCell ref="I5:K5"/>
    <mergeCell ref="D13:H13"/>
    <mergeCell ref="D14:H14"/>
    <mergeCell ref="D15:H15"/>
    <mergeCell ref="D16:H16"/>
    <mergeCell ref="D17:H17"/>
    <mergeCell ref="D18:H18"/>
    <mergeCell ref="D12:H12"/>
    <mergeCell ref="I12:K12"/>
    <mergeCell ref="L12:N12"/>
    <mergeCell ref="O12:Q12"/>
    <mergeCell ref="R12:T12"/>
    <mergeCell ref="D11:H11"/>
    <mergeCell ref="I11:K11"/>
    <mergeCell ref="L11:N11"/>
    <mergeCell ref="O11:Q11"/>
    <mergeCell ref="R11:T11"/>
    <mergeCell ref="D10:H10"/>
    <mergeCell ref="I10:K10"/>
    <mergeCell ref="L10:N10"/>
    <mergeCell ref="O10:Q10"/>
    <mergeCell ref="R10:T10"/>
    <mergeCell ref="O13:Q13"/>
    <mergeCell ref="O14:Q14"/>
    <mergeCell ref="H50:J50"/>
    <mergeCell ref="H51:J51"/>
    <mergeCell ref="H52:J52"/>
    <mergeCell ref="H53:J53"/>
    <mergeCell ref="I43:K43"/>
    <mergeCell ref="I44:K44"/>
    <mergeCell ref="I45:K45"/>
    <mergeCell ref="H47:J47"/>
    <mergeCell ref="H48:J48"/>
    <mergeCell ref="D60:G60"/>
    <mergeCell ref="H60:J60"/>
    <mergeCell ref="D31:H31"/>
    <mergeCell ref="D32:H32"/>
    <mergeCell ref="D33:H33"/>
    <mergeCell ref="D34:H34"/>
    <mergeCell ref="D35:H35"/>
    <mergeCell ref="D36:H36"/>
    <mergeCell ref="I40:K40"/>
    <mergeCell ref="I41:K41"/>
    <mergeCell ref="I42:K42"/>
    <mergeCell ref="D37:H37"/>
    <mergeCell ref="D38:H38"/>
    <mergeCell ref="D39:H39"/>
    <mergeCell ref="D40:H40"/>
    <mergeCell ref="D41:H41"/>
    <mergeCell ref="D42:H42"/>
    <mergeCell ref="I19:K19"/>
    <mergeCell ref="I20:K20"/>
    <mergeCell ref="I21:K21"/>
    <mergeCell ref="I22:K22"/>
    <mergeCell ref="I23:K23"/>
    <mergeCell ref="I24:K24"/>
    <mergeCell ref="I13:K13"/>
    <mergeCell ref="I14:K14"/>
    <mergeCell ref="I15:K15"/>
    <mergeCell ref="I16:K16"/>
    <mergeCell ref="I17:K17"/>
    <mergeCell ref="I18:K18"/>
    <mergeCell ref="D67:G67"/>
    <mergeCell ref="D68:G68"/>
    <mergeCell ref="D69:G69"/>
    <mergeCell ref="D70:G70"/>
    <mergeCell ref="D66:G66"/>
    <mergeCell ref="D59:G59"/>
    <mergeCell ref="D61:G61"/>
    <mergeCell ref="D63:G63"/>
    <mergeCell ref="D50:G50"/>
    <mergeCell ref="D51:G51"/>
    <mergeCell ref="D52:G52"/>
    <mergeCell ref="D53:G53"/>
    <mergeCell ref="D43:H43"/>
    <mergeCell ref="D44:H44"/>
    <mergeCell ref="D45:H45"/>
    <mergeCell ref="D47:G47"/>
    <mergeCell ref="D48:G48"/>
    <mergeCell ref="H59:J59"/>
    <mergeCell ref="H61:J61"/>
    <mergeCell ref="H63:J63"/>
    <mergeCell ref="L25:N25"/>
    <mergeCell ref="L26:N26"/>
    <mergeCell ref="L27:N27"/>
    <mergeCell ref="L28:N28"/>
    <mergeCell ref="L29:N29"/>
    <mergeCell ref="L30:N30"/>
    <mergeCell ref="I25:K25"/>
    <mergeCell ref="I26:K26"/>
    <mergeCell ref="I27:K27"/>
    <mergeCell ref="I28:K28"/>
    <mergeCell ref="I29:K29"/>
    <mergeCell ref="I30:K30"/>
    <mergeCell ref="D25:H25"/>
    <mergeCell ref="D26:H26"/>
    <mergeCell ref="D27:H27"/>
    <mergeCell ref="D28:H28"/>
    <mergeCell ref="D29:H29"/>
    <mergeCell ref="D30:H30"/>
    <mergeCell ref="L19:N19"/>
    <mergeCell ref="L20:N20"/>
    <mergeCell ref="L21:N21"/>
    <mergeCell ref="L22:N22"/>
    <mergeCell ref="L23:N23"/>
    <mergeCell ref="L24:N24"/>
    <mergeCell ref="L13:N13"/>
    <mergeCell ref="L14:N14"/>
    <mergeCell ref="L15:N15"/>
    <mergeCell ref="L16:N16"/>
    <mergeCell ref="L17:N17"/>
    <mergeCell ref="L18:N18"/>
    <mergeCell ref="K50:M50"/>
    <mergeCell ref="K51:M51"/>
    <mergeCell ref="K52:M52"/>
    <mergeCell ref="K53:M53"/>
    <mergeCell ref="L43:N43"/>
    <mergeCell ref="L44:N44"/>
    <mergeCell ref="L45:N45"/>
    <mergeCell ref="K47:M47"/>
    <mergeCell ref="K48:M48"/>
    <mergeCell ref="L37:N37"/>
    <mergeCell ref="L38:N38"/>
    <mergeCell ref="L39:N39"/>
    <mergeCell ref="L40:N40"/>
    <mergeCell ref="L41:N41"/>
    <mergeCell ref="L42:N42"/>
    <mergeCell ref="N50:P50"/>
    <mergeCell ref="N51:P51"/>
    <mergeCell ref="N52:P52"/>
    <mergeCell ref="N53:P53"/>
    <mergeCell ref="O43:Q43"/>
    <mergeCell ref="O19:Q19"/>
    <mergeCell ref="O20:Q20"/>
    <mergeCell ref="O21:Q21"/>
    <mergeCell ref="O22:Q22"/>
    <mergeCell ref="O23:Q23"/>
    <mergeCell ref="O24:Q24"/>
    <mergeCell ref="Q48:S48"/>
    <mergeCell ref="R37:T37"/>
    <mergeCell ref="R38:T38"/>
    <mergeCell ref="R39:T39"/>
    <mergeCell ref="R40:T40"/>
    <mergeCell ref="R41:T41"/>
    <mergeCell ref="R42:T42"/>
    <mergeCell ref="R31:T31"/>
    <mergeCell ref="R32:T32"/>
    <mergeCell ref="R33:T33"/>
    <mergeCell ref="R34:T34"/>
    <mergeCell ref="R35:T35"/>
    <mergeCell ref="R19:T19"/>
    <mergeCell ref="R20:T20"/>
    <mergeCell ref="R21:T21"/>
    <mergeCell ref="R22:T22"/>
    <mergeCell ref="R23:T23"/>
    <mergeCell ref="R24:T24"/>
    <mergeCell ref="R43:T43"/>
    <mergeCell ref="R44:T44"/>
    <mergeCell ref="R45:T45"/>
    <mergeCell ref="Q47:S47"/>
    <mergeCell ref="T47:V47"/>
    <mergeCell ref="O42:Q42"/>
    <mergeCell ref="O31:Q31"/>
    <mergeCell ref="O32:Q32"/>
    <mergeCell ref="O33:Q33"/>
    <mergeCell ref="O34:Q34"/>
    <mergeCell ref="O35:Q35"/>
    <mergeCell ref="O36:Q36"/>
    <mergeCell ref="R25:T25"/>
    <mergeCell ref="R26:T26"/>
    <mergeCell ref="R27:T27"/>
    <mergeCell ref="R28:T28"/>
    <mergeCell ref="R29:T29"/>
    <mergeCell ref="R30:T30"/>
    <mergeCell ref="O25:Q25"/>
    <mergeCell ref="R36:T36"/>
    <mergeCell ref="O26:Q26"/>
    <mergeCell ref="O27:Q27"/>
    <mergeCell ref="O28:Q28"/>
    <mergeCell ref="O29:Q29"/>
    <mergeCell ref="O30:Q30"/>
    <mergeCell ref="T48:V48"/>
    <mergeCell ref="D49:G49"/>
    <mergeCell ref="H49:J49"/>
    <mergeCell ref="K49:M49"/>
    <mergeCell ref="N49:P49"/>
    <mergeCell ref="Q49:S49"/>
    <mergeCell ref="T49:V49"/>
    <mergeCell ref="L31:N31"/>
    <mergeCell ref="L32:N32"/>
    <mergeCell ref="L33:N33"/>
    <mergeCell ref="L34:N34"/>
    <mergeCell ref="L35:N35"/>
    <mergeCell ref="L36:N36"/>
    <mergeCell ref="I31:K31"/>
    <mergeCell ref="I32:K32"/>
    <mergeCell ref="I33:K33"/>
    <mergeCell ref="I34:K34"/>
    <mergeCell ref="I35:K35"/>
    <mergeCell ref="I36:K36"/>
    <mergeCell ref="O44:Q44"/>
    <mergeCell ref="O45:Q45"/>
    <mergeCell ref="N47:P47"/>
    <mergeCell ref="N48:P48"/>
    <mergeCell ref="O37:Q37"/>
    <mergeCell ref="O38:Q38"/>
    <mergeCell ref="O39:Q39"/>
    <mergeCell ref="O40:Q40"/>
    <mergeCell ref="O41:Q41"/>
    <mergeCell ref="I37:K37"/>
    <mergeCell ref="I38:K38"/>
    <mergeCell ref="I39:K39"/>
    <mergeCell ref="T46:V46"/>
    <mergeCell ref="B46:C46"/>
    <mergeCell ref="D46:G46"/>
    <mergeCell ref="H46:J46"/>
    <mergeCell ref="K46:M46"/>
    <mergeCell ref="N46:P46"/>
    <mergeCell ref="Q46:S46"/>
    <mergeCell ref="Q67:S67"/>
    <mergeCell ref="Q68:S68"/>
    <mergeCell ref="Q69:S69"/>
    <mergeCell ref="Q70:S70"/>
    <mergeCell ref="Q58:S58"/>
    <mergeCell ref="Q65:S65"/>
    <mergeCell ref="Q66:S66"/>
    <mergeCell ref="T58:V58"/>
    <mergeCell ref="Q50:S50"/>
    <mergeCell ref="T50:V50"/>
    <mergeCell ref="Q51:S51"/>
    <mergeCell ref="T51:V51"/>
    <mergeCell ref="N67:P67"/>
    <mergeCell ref="N68:P68"/>
    <mergeCell ref="N69:P69"/>
    <mergeCell ref="N70:P70"/>
    <mergeCell ref="N66:P66"/>
    <mergeCell ref="Q59:S59"/>
    <mergeCell ref="Q61:S61"/>
    <mergeCell ref="N54:P54"/>
    <mergeCell ref="N55:P55"/>
    <mergeCell ref="N56:P56"/>
    <mergeCell ref="N57:P57"/>
    <mergeCell ref="N58:P58"/>
    <mergeCell ref="N65:P65"/>
    <mergeCell ref="N59:P59"/>
    <mergeCell ref="H72:J72"/>
    <mergeCell ref="H73:J73"/>
    <mergeCell ref="H74:J74"/>
    <mergeCell ref="H75:J75"/>
    <mergeCell ref="H76:J76"/>
    <mergeCell ref="H54:J54"/>
    <mergeCell ref="H55:J55"/>
    <mergeCell ref="H56:J56"/>
    <mergeCell ref="H57:J57"/>
    <mergeCell ref="H58:J58"/>
    <mergeCell ref="D77:G77"/>
    <mergeCell ref="D78:G78"/>
    <mergeCell ref="D79:G79"/>
    <mergeCell ref="D80:G80"/>
    <mergeCell ref="D81:G81"/>
    <mergeCell ref="D82:G82"/>
    <mergeCell ref="D71:G71"/>
    <mergeCell ref="D72:G72"/>
    <mergeCell ref="D73:G73"/>
    <mergeCell ref="D74:G74"/>
    <mergeCell ref="D75:G75"/>
    <mergeCell ref="D76:G76"/>
    <mergeCell ref="D54:G54"/>
    <mergeCell ref="D55:G55"/>
    <mergeCell ref="D56:G56"/>
    <mergeCell ref="D57:G57"/>
    <mergeCell ref="D58:G58"/>
    <mergeCell ref="H67:J67"/>
    <mergeCell ref="H68:J68"/>
    <mergeCell ref="H69:J69"/>
    <mergeCell ref="H70:J70"/>
    <mergeCell ref="H66:J66"/>
    <mergeCell ref="N63:P63"/>
    <mergeCell ref="K77:M77"/>
    <mergeCell ref="K78:M78"/>
    <mergeCell ref="K79:M79"/>
    <mergeCell ref="K80:M80"/>
    <mergeCell ref="K81:M81"/>
    <mergeCell ref="K82:M82"/>
    <mergeCell ref="K71:M71"/>
    <mergeCell ref="K72:M72"/>
    <mergeCell ref="K73:M73"/>
    <mergeCell ref="K74:M74"/>
    <mergeCell ref="K75:M75"/>
    <mergeCell ref="K76:M76"/>
    <mergeCell ref="K54:M54"/>
    <mergeCell ref="K55:M55"/>
    <mergeCell ref="K56:M56"/>
    <mergeCell ref="K57:M57"/>
    <mergeCell ref="K58:M58"/>
    <mergeCell ref="K65:M65"/>
    <mergeCell ref="K59:M59"/>
    <mergeCell ref="K61:M61"/>
    <mergeCell ref="K63:M63"/>
    <mergeCell ref="K67:M67"/>
    <mergeCell ref="K68:M68"/>
    <mergeCell ref="K69:M69"/>
    <mergeCell ref="K70:M70"/>
    <mergeCell ref="K66:M66"/>
    <mergeCell ref="K60:M60"/>
    <mergeCell ref="N60:P60"/>
    <mergeCell ref="N61:P61"/>
    <mergeCell ref="T52:V52"/>
    <mergeCell ref="T53:V53"/>
    <mergeCell ref="T54:V54"/>
    <mergeCell ref="T55:V55"/>
    <mergeCell ref="T56:V56"/>
    <mergeCell ref="T57:V57"/>
    <mergeCell ref="Q77:S77"/>
    <mergeCell ref="Q78:S78"/>
    <mergeCell ref="Q79:S79"/>
    <mergeCell ref="Q80:S80"/>
    <mergeCell ref="Q81:S81"/>
    <mergeCell ref="Q82:S82"/>
    <mergeCell ref="Q71:S71"/>
    <mergeCell ref="Q72:S72"/>
    <mergeCell ref="Q73:S73"/>
    <mergeCell ref="Q74:S74"/>
    <mergeCell ref="Q75:S75"/>
    <mergeCell ref="Q76:S76"/>
    <mergeCell ref="Q52:S52"/>
    <mergeCell ref="Q53:S53"/>
    <mergeCell ref="Q54:S54"/>
    <mergeCell ref="Q55:S55"/>
    <mergeCell ref="Q56:S56"/>
    <mergeCell ref="Q57:S57"/>
    <mergeCell ref="Q63:S63"/>
    <mergeCell ref="T59:V59"/>
    <mergeCell ref="Q60:S60"/>
    <mergeCell ref="T60:V60"/>
    <mergeCell ref="T77:V77"/>
    <mergeCell ref="T78:V78"/>
    <mergeCell ref="T79:V79"/>
    <mergeCell ref="T80:V80"/>
    <mergeCell ref="T81:V81"/>
    <mergeCell ref="T82:V82"/>
    <mergeCell ref="T71:V71"/>
    <mergeCell ref="T72:V72"/>
    <mergeCell ref="T73:V73"/>
    <mergeCell ref="T74:V74"/>
    <mergeCell ref="T75:V75"/>
    <mergeCell ref="T76:V76"/>
    <mergeCell ref="T65:V65"/>
    <mergeCell ref="T66:V66"/>
    <mergeCell ref="T67:V67"/>
    <mergeCell ref="T68:V68"/>
    <mergeCell ref="T69:V69"/>
    <mergeCell ref="T70:V70"/>
    <mergeCell ref="N77:P77"/>
    <mergeCell ref="N78:P78"/>
    <mergeCell ref="N79:P79"/>
    <mergeCell ref="N80:P80"/>
    <mergeCell ref="N81:P81"/>
    <mergeCell ref="N82:P82"/>
    <mergeCell ref="N71:P71"/>
    <mergeCell ref="B79:C79"/>
    <mergeCell ref="D83:G83"/>
    <mergeCell ref="D84:G84"/>
    <mergeCell ref="D85:G85"/>
    <mergeCell ref="D86:G86"/>
    <mergeCell ref="D87:G87"/>
    <mergeCell ref="T63:V63"/>
    <mergeCell ref="D64:G64"/>
    <mergeCell ref="H64:J64"/>
    <mergeCell ref="K64:M64"/>
    <mergeCell ref="N64:P64"/>
    <mergeCell ref="Q64:S64"/>
    <mergeCell ref="T64:V64"/>
    <mergeCell ref="T61:V61"/>
    <mergeCell ref="D62:G62"/>
    <mergeCell ref="H62:J62"/>
    <mergeCell ref="K62:M62"/>
    <mergeCell ref="N62:P62"/>
    <mergeCell ref="Q62:S62"/>
    <mergeCell ref="T62:V62"/>
    <mergeCell ref="N72:P72"/>
    <mergeCell ref="N73:P73"/>
    <mergeCell ref="N74:P74"/>
    <mergeCell ref="N75:P75"/>
    <mergeCell ref="N76:P76"/>
    <mergeCell ref="H77:J77"/>
    <mergeCell ref="H78:J78"/>
    <mergeCell ref="H79:J79"/>
    <mergeCell ref="H80:J80"/>
    <mergeCell ref="H81:J81"/>
    <mergeCell ref="H82:J82"/>
    <mergeCell ref="H71:J71"/>
    <mergeCell ref="D100:G100"/>
    <mergeCell ref="D102:G102"/>
    <mergeCell ref="D103:G103"/>
    <mergeCell ref="D104:G104"/>
    <mergeCell ref="D105:G105"/>
    <mergeCell ref="D94:G94"/>
    <mergeCell ref="D95:G95"/>
    <mergeCell ref="D96:G96"/>
    <mergeCell ref="D97:G97"/>
    <mergeCell ref="D98:G98"/>
    <mergeCell ref="D99:G99"/>
    <mergeCell ref="D88:G88"/>
    <mergeCell ref="D89:G89"/>
    <mergeCell ref="D90:G90"/>
    <mergeCell ref="D91:G91"/>
    <mergeCell ref="D92:G92"/>
    <mergeCell ref="D93:G93"/>
    <mergeCell ref="D118:G118"/>
    <mergeCell ref="D119:G119"/>
    <mergeCell ref="D120:G120"/>
    <mergeCell ref="D121:G121"/>
    <mergeCell ref="D122:G122"/>
    <mergeCell ref="D123:G123"/>
    <mergeCell ref="D112:G112"/>
    <mergeCell ref="D113:G113"/>
    <mergeCell ref="D114:G114"/>
    <mergeCell ref="D115:G115"/>
    <mergeCell ref="D116:G116"/>
    <mergeCell ref="D117:G117"/>
    <mergeCell ref="D106:G106"/>
    <mergeCell ref="D107:G107"/>
    <mergeCell ref="D108:G108"/>
    <mergeCell ref="D109:G109"/>
    <mergeCell ref="D110:G110"/>
    <mergeCell ref="D111:G111"/>
    <mergeCell ref="D136:G136"/>
    <mergeCell ref="D137:G137"/>
    <mergeCell ref="D138:G138"/>
    <mergeCell ref="D139:G139"/>
    <mergeCell ref="D140:G140"/>
    <mergeCell ref="D141:G141"/>
    <mergeCell ref="D130:G130"/>
    <mergeCell ref="D131:G131"/>
    <mergeCell ref="D132:G132"/>
    <mergeCell ref="D133:G133"/>
    <mergeCell ref="D134:G134"/>
    <mergeCell ref="D135:G135"/>
    <mergeCell ref="D124:G124"/>
    <mergeCell ref="D125:G125"/>
    <mergeCell ref="D126:G126"/>
    <mergeCell ref="D127:G127"/>
    <mergeCell ref="D128:G128"/>
    <mergeCell ref="D129:G129"/>
    <mergeCell ref="D154:G154"/>
    <mergeCell ref="D155:G155"/>
    <mergeCell ref="D156:G156"/>
    <mergeCell ref="D157:G157"/>
    <mergeCell ref="D158:G158"/>
    <mergeCell ref="D159:G159"/>
    <mergeCell ref="D148:G148"/>
    <mergeCell ref="D149:G149"/>
    <mergeCell ref="D150:G150"/>
    <mergeCell ref="D151:G151"/>
    <mergeCell ref="D152:G152"/>
    <mergeCell ref="D153:G153"/>
    <mergeCell ref="D143:G143"/>
    <mergeCell ref="D144:G144"/>
    <mergeCell ref="D145:G145"/>
    <mergeCell ref="D146:G146"/>
    <mergeCell ref="D147:G147"/>
    <mergeCell ref="D172:G172"/>
    <mergeCell ref="D173:G173"/>
    <mergeCell ref="D174:G174"/>
    <mergeCell ref="D175:G175"/>
    <mergeCell ref="D176:G176"/>
    <mergeCell ref="D177:G177"/>
    <mergeCell ref="D166:G166"/>
    <mergeCell ref="D167:G167"/>
    <mergeCell ref="D168:G168"/>
    <mergeCell ref="D169:G169"/>
    <mergeCell ref="D170:G170"/>
    <mergeCell ref="D171:G171"/>
    <mergeCell ref="D160:G160"/>
    <mergeCell ref="D161:G161"/>
    <mergeCell ref="D162:G162"/>
    <mergeCell ref="D163:G163"/>
    <mergeCell ref="D164:G164"/>
    <mergeCell ref="D165:G165"/>
    <mergeCell ref="D190:G190"/>
    <mergeCell ref="D191:G191"/>
    <mergeCell ref="D192:G192"/>
    <mergeCell ref="D193:G193"/>
    <mergeCell ref="D194:G194"/>
    <mergeCell ref="D195:G195"/>
    <mergeCell ref="D184:G184"/>
    <mergeCell ref="D185:G185"/>
    <mergeCell ref="D186:G186"/>
    <mergeCell ref="D187:G187"/>
    <mergeCell ref="D188:G188"/>
    <mergeCell ref="D189:G189"/>
    <mergeCell ref="D178:G178"/>
    <mergeCell ref="D179:G179"/>
    <mergeCell ref="D180:G180"/>
    <mergeCell ref="D181:G181"/>
    <mergeCell ref="D182:G182"/>
    <mergeCell ref="D183:G183"/>
    <mergeCell ref="D216:G216"/>
    <mergeCell ref="D217:G217"/>
    <mergeCell ref="D218:G218"/>
    <mergeCell ref="D219:G219"/>
    <mergeCell ref="D208:G208"/>
    <mergeCell ref="D209:G209"/>
    <mergeCell ref="D210:G210"/>
    <mergeCell ref="D211:G211"/>
    <mergeCell ref="D212:G212"/>
    <mergeCell ref="D213:G213"/>
    <mergeCell ref="D202:G202"/>
    <mergeCell ref="D203:G203"/>
    <mergeCell ref="D204:G204"/>
    <mergeCell ref="D205:G205"/>
    <mergeCell ref="D206:G206"/>
    <mergeCell ref="D207:G207"/>
    <mergeCell ref="D196:G196"/>
    <mergeCell ref="D197:G197"/>
    <mergeCell ref="D198:G198"/>
    <mergeCell ref="D199:G199"/>
    <mergeCell ref="D200:G200"/>
    <mergeCell ref="D201:G201"/>
    <mergeCell ref="H83:J83"/>
    <mergeCell ref="H84:J84"/>
    <mergeCell ref="H85:J85"/>
    <mergeCell ref="H86:J86"/>
    <mergeCell ref="H87:J87"/>
    <mergeCell ref="H88:J88"/>
    <mergeCell ref="D238:G238"/>
    <mergeCell ref="D239:G239"/>
    <mergeCell ref="D240:G240"/>
    <mergeCell ref="D241:G241"/>
    <mergeCell ref="D242:G242"/>
    <mergeCell ref="D243:G243"/>
    <mergeCell ref="D232:G232"/>
    <mergeCell ref="D233:G233"/>
    <mergeCell ref="D234:G234"/>
    <mergeCell ref="D235:G235"/>
    <mergeCell ref="D236:G236"/>
    <mergeCell ref="D237:G237"/>
    <mergeCell ref="D226:G226"/>
    <mergeCell ref="D227:G227"/>
    <mergeCell ref="D228:G228"/>
    <mergeCell ref="D229:G229"/>
    <mergeCell ref="D230:G230"/>
    <mergeCell ref="D231:G231"/>
    <mergeCell ref="D220:G220"/>
    <mergeCell ref="D221:G221"/>
    <mergeCell ref="D222:G222"/>
    <mergeCell ref="D223:G223"/>
    <mergeCell ref="D224:G224"/>
    <mergeCell ref="D225:G225"/>
    <mergeCell ref="D214:G214"/>
    <mergeCell ref="D215:G215"/>
    <mergeCell ref="H102:J102"/>
    <mergeCell ref="H103:J103"/>
    <mergeCell ref="H104:J104"/>
    <mergeCell ref="H105:J105"/>
    <mergeCell ref="H106:J106"/>
    <mergeCell ref="H95:J95"/>
    <mergeCell ref="H96:J96"/>
    <mergeCell ref="H97:J97"/>
    <mergeCell ref="H98:J98"/>
    <mergeCell ref="H99:J99"/>
    <mergeCell ref="H100:J100"/>
    <mergeCell ref="H89:J89"/>
    <mergeCell ref="H90:J90"/>
    <mergeCell ref="H91:J91"/>
    <mergeCell ref="H92:J92"/>
    <mergeCell ref="H93:J93"/>
    <mergeCell ref="H94:J94"/>
    <mergeCell ref="H127:J127"/>
    <mergeCell ref="H128:J128"/>
    <mergeCell ref="H129:J129"/>
    <mergeCell ref="H130:J130"/>
    <mergeCell ref="H119:J119"/>
    <mergeCell ref="H120:J120"/>
    <mergeCell ref="H121:J121"/>
    <mergeCell ref="H122:J122"/>
    <mergeCell ref="H123:J123"/>
    <mergeCell ref="H124:J124"/>
    <mergeCell ref="H113:J113"/>
    <mergeCell ref="H114:J114"/>
    <mergeCell ref="H115:J115"/>
    <mergeCell ref="H116:J116"/>
    <mergeCell ref="H117:J117"/>
    <mergeCell ref="H118:J118"/>
    <mergeCell ref="H107:J107"/>
    <mergeCell ref="H108:J108"/>
    <mergeCell ref="H109:J109"/>
    <mergeCell ref="H110:J110"/>
    <mergeCell ref="H111:J111"/>
    <mergeCell ref="H112:J112"/>
    <mergeCell ref="H155:J155"/>
    <mergeCell ref="H156:J156"/>
    <mergeCell ref="H157:J157"/>
    <mergeCell ref="H158:J158"/>
    <mergeCell ref="H159:J159"/>
    <mergeCell ref="H160:J160"/>
    <mergeCell ref="H149:J149"/>
    <mergeCell ref="H150:J150"/>
    <mergeCell ref="H151:J151"/>
    <mergeCell ref="H152:J152"/>
    <mergeCell ref="H153:J153"/>
    <mergeCell ref="H154:J154"/>
    <mergeCell ref="H143:J143"/>
    <mergeCell ref="H144:J144"/>
    <mergeCell ref="H145:J145"/>
    <mergeCell ref="H146:J146"/>
    <mergeCell ref="H147:J147"/>
    <mergeCell ref="H148:J148"/>
    <mergeCell ref="H173:J173"/>
    <mergeCell ref="H174:J174"/>
    <mergeCell ref="H175:J175"/>
    <mergeCell ref="H176:J176"/>
    <mergeCell ref="H177:J177"/>
    <mergeCell ref="H178:J178"/>
    <mergeCell ref="H167:J167"/>
    <mergeCell ref="H168:J168"/>
    <mergeCell ref="H169:J169"/>
    <mergeCell ref="H170:J170"/>
    <mergeCell ref="H171:J171"/>
    <mergeCell ref="H172:J172"/>
    <mergeCell ref="H161:J161"/>
    <mergeCell ref="H162:J162"/>
    <mergeCell ref="H163:J163"/>
    <mergeCell ref="H164:J164"/>
    <mergeCell ref="H165:J165"/>
    <mergeCell ref="H166:J166"/>
    <mergeCell ref="H191:J191"/>
    <mergeCell ref="H192:J192"/>
    <mergeCell ref="H193:J193"/>
    <mergeCell ref="H194:J194"/>
    <mergeCell ref="H195:J195"/>
    <mergeCell ref="H196:J196"/>
    <mergeCell ref="H185:J185"/>
    <mergeCell ref="H186:J186"/>
    <mergeCell ref="H187:J187"/>
    <mergeCell ref="H188:J188"/>
    <mergeCell ref="H189:J189"/>
    <mergeCell ref="H190:J190"/>
    <mergeCell ref="H179:J179"/>
    <mergeCell ref="H180:J180"/>
    <mergeCell ref="H181:J181"/>
    <mergeCell ref="H182:J182"/>
    <mergeCell ref="H183:J183"/>
    <mergeCell ref="H184:J184"/>
    <mergeCell ref="H219:J219"/>
    <mergeCell ref="H220:J220"/>
    <mergeCell ref="H209:J209"/>
    <mergeCell ref="H210:J210"/>
    <mergeCell ref="H211:J211"/>
    <mergeCell ref="H212:J212"/>
    <mergeCell ref="H213:J213"/>
    <mergeCell ref="H214:J214"/>
    <mergeCell ref="H203:J203"/>
    <mergeCell ref="H204:J204"/>
    <mergeCell ref="H205:J205"/>
    <mergeCell ref="H206:J206"/>
    <mergeCell ref="H207:J207"/>
    <mergeCell ref="H208:J208"/>
    <mergeCell ref="H197:J197"/>
    <mergeCell ref="H198:J198"/>
    <mergeCell ref="H199:J199"/>
    <mergeCell ref="H200:J200"/>
    <mergeCell ref="H201:J201"/>
    <mergeCell ref="H202:J202"/>
    <mergeCell ref="H239:J239"/>
    <mergeCell ref="H240:J240"/>
    <mergeCell ref="H241:J241"/>
    <mergeCell ref="H242:J242"/>
    <mergeCell ref="H243:J243"/>
    <mergeCell ref="K83:M83"/>
    <mergeCell ref="K84:M84"/>
    <mergeCell ref="K85:M85"/>
    <mergeCell ref="K86:M86"/>
    <mergeCell ref="K87:M87"/>
    <mergeCell ref="H233:J233"/>
    <mergeCell ref="H234:J234"/>
    <mergeCell ref="H235:J235"/>
    <mergeCell ref="H236:J236"/>
    <mergeCell ref="H237:J237"/>
    <mergeCell ref="H238:J238"/>
    <mergeCell ref="H227:J227"/>
    <mergeCell ref="H228:J228"/>
    <mergeCell ref="H229:J229"/>
    <mergeCell ref="H230:J230"/>
    <mergeCell ref="H231:J231"/>
    <mergeCell ref="H232:J232"/>
    <mergeCell ref="H221:J221"/>
    <mergeCell ref="H222:J222"/>
    <mergeCell ref="H223:J223"/>
    <mergeCell ref="H224:J224"/>
    <mergeCell ref="H225:J225"/>
    <mergeCell ref="H226:J226"/>
    <mergeCell ref="H215:J215"/>
    <mergeCell ref="H216:J216"/>
    <mergeCell ref="H217:J217"/>
    <mergeCell ref="H218:J218"/>
    <mergeCell ref="K100:M100"/>
    <mergeCell ref="K102:M102"/>
    <mergeCell ref="K103:M103"/>
    <mergeCell ref="K104:M104"/>
    <mergeCell ref="K105:M105"/>
    <mergeCell ref="K94:M94"/>
    <mergeCell ref="K95:M95"/>
    <mergeCell ref="K96:M96"/>
    <mergeCell ref="K97:M97"/>
    <mergeCell ref="K98:M98"/>
    <mergeCell ref="K99:M99"/>
    <mergeCell ref="K88:M88"/>
    <mergeCell ref="K89:M89"/>
    <mergeCell ref="K90:M90"/>
    <mergeCell ref="K91:M91"/>
    <mergeCell ref="K92:M92"/>
    <mergeCell ref="K93:M93"/>
    <mergeCell ref="K118:M118"/>
    <mergeCell ref="K119:M119"/>
    <mergeCell ref="K120:M120"/>
    <mergeCell ref="K121:M121"/>
    <mergeCell ref="K122:M122"/>
    <mergeCell ref="K123:M123"/>
    <mergeCell ref="K112:M112"/>
    <mergeCell ref="K113:M113"/>
    <mergeCell ref="K114:M114"/>
    <mergeCell ref="K115:M115"/>
    <mergeCell ref="K116:M116"/>
    <mergeCell ref="K117:M117"/>
    <mergeCell ref="K106:M106"/>
    <mergeCell ref="K107:M107"/>
    <mergeCell ref="K108:M108"/>
    <mergeCell ref="K109:M109"/>
    <mergeCell ref="K110:M110"/>
    <mergeCell ref="K111:M111"/>
    <mergeCell ref="D142:M142"/>
    <mergeCell ref="K136:M136"/>
    <mergeCell ref="K137:M137"/>
    <mergeCell ref="K138:M138"/>
    <mergeCell ref="K139:M139"/>
    <mergeCell ref="K140:M140"/>
    <mergeCell ref="K141:M141"/>
    <mergeCell ref="K130:M130"/>
    <mergeCell ref="K131:M131"/>
    <mergeCell ref="K132:M132"/>
    <mergeCell ref="K133:M133"/>
    <mergeCell ref="K134:M134"/>
    <mergeCell ref="K135:M135"/>
    <mergeCell ref="K124:M124"/>
    <mergeCell ref="K125:M125"/>
    <mergeCell ref="K126:M126"/>
    <mergeCell ref="K127:M127"/>
    <mergeCell ref="K128:M128"/>
    <mergeCell ref="K129:M129"/>
    <mergeCell ref="H137:J137"/>
    <mergeCell ref="H138:J138"/>
    <mergeCell ref="H139:J139"/>
    <mergeCell ref="H140:J140"/>
    <mergeCell ref="H141:J141"/>
    <mergeCell ref="H131:J131"/>
    <mergeCell ref="H132:J132"/>
    <mergeCell ref="H133:J133"/>
    <mergeCell ref="H134:J134"/>
    <mergeCell ref="H135:J135"/>
    <mergeCell ref="H136:J136"/>
    <mergeCell ref="H125:J125"/>
    <mergeCell ref="H126:J126"/>
    <mergeCell ref="K154:M154"/>
    <mergeCell ref="K155:M155"/>
    <mergeCell ref="K156:M156"/>
    <mergeCell ref="K157:M157"/>
    <mergeCell ref="K158:M158"/>
    <mergeCell ref="K159:M159"/>
    <mergeCell ref="K148:M148"/>
    <mergeCell ref="K149:M149"/>
    <mergeCell ref="K150:M150"/>
    <mergeCell ref="K151:M151"/>
    <mergeCell ref="K152:M152"/>
    <mergeCell ref="K153:M153"/>
    <mergeCell ref="K143:M143"/>
    <mergeCell ref="K144:M144"/>
    <mergeCell ref="K145:M145"/>
    <mergeCell ref="K146:M146"/>
    <mergeCell ref="K147:M147"/>
    <mergeCell ref="K172:M172"/>
    <mergeCell ref="K173:M173"/>
    <mergeCell ref="K174:M174"/>
    <mergeCell ref="K175:M175"/>
    <mergeCell ref="K176:M176"/>
    <mergeCell ref="K177:M177"/>
    <mergeCell ref="K166:M166"/>
    <mergeCell ref="K167:M167"/>
    <mergeCell ref="K168:M168"/>
    <mergeCell ref="K169:M169"/>
    <mergeCell ref="K170:M170"/>
    <mergeCell ref="K171:M171"/>
    <mergeCell ref="K160:M160"/>
    <mergeCell ref="K161:M161"/>
    <mergeCell ref="K162:M162"/>
    <mergeCell ref="K163:M163"/>
    <mergeCell ref="K164:M164"/>
    <mergeCell ref="K165:M165"/>
    <mergeCell ref="K190:M190"/>
    <mergeCell ref="K191:M191"/>
    <mergeCell ref="K192:M192"/>
    <mergeCell ref="K193:M193"/>
    <mergeCell ref="K194:M194"/>
    <mergeCell ref="K195:M195"/>
    <mergeCell ref="K184:M184"/>
    <mergeCell ref="K185:M185"/>
    <mergeCell ref="K186:M186"/>
    <mergeCell ref="K187:M187"/>
    <mergeCell ref="K188:M188"/>
    <mergeCell ref="K189:M189"/>
    <mergeCell ref="K178:M178"/>
    <mergeCell ref="K179:M179"/>
    <mergeCell ref="K180:M180"/>
    <mergeCell ref="K181:M181"/>
    <mergeCell ref="K182:M182"/>
    <mergeCell ref="K183:M183"/>
    <mergeCell ref="K216:M216"/>
    <mergeCell ref="K217:M217"/>
    <mergeCell ref="K218:M218"/>
    <mergeCell ref="K219:M219"/>
    <mergeCell ref="K208:M208"/>
    <mergeCell ref="K209:M209"/>
    <mergeCell ref="K210:M210"/>
    <mergeCell ref="K211:M211"/>
    <mergeCell ref="K212:M212"/>
    <mergeCell ref="K213:M213"/>
    <mergeCell ref="K202:M202"/>
    <mergeCell ref="K203:M203"/>
    <mergeCell ref="K204:M204"/>
    <mergeCell ref="K205:M205"/>
    <mergeCell ref="K206:M206"/>
    <mergeCell ref="K207:M207"/>
    <mergeCell ref="K196:M196"/>
    <mergeCell ref="K197:M197"/>
    <mergeCell ref="K198:M198"/>
    <mergeCell ref="K199:M199"/>
    <mergeCell ref="K200:M200"/>
    <mergeCell ref="K201:M201"/>
    <mergeCell ref="N83:P83"/>
    <mergeCell ref="N84:P84"/>
    <mergeCell ref="N85:P85"/>
    <mergeCell ref="N86:P86"/>
    <mergeCell ref="N87:P87"/>
    <mergeCell ref="N88:P88"/>
    <mergeCell ref="K238:M238"/>
    <mergeCell ref="K239:M239"/>
    <mergeCell ref="K240:M240"/>
    <mergeCell ref="K241:M241"/>
    <mergeCell ref="K242:M242"/>
    <mergeCell ref="K243:M243"/>
    <mergeCell ref="K232:M232"/>
    <mergeCell ref="K233:M233"/>
    <mergeCell ref="K234:M234"/>
    <mergeCell ref="K235:M235"/>
    <mergeCell ref="K236:M236"/>
    <mergeCell ref="K237:M237"/>
    <mergeCell ref="K226:M226"/>
    <mergeCell ref="K227:M227"/>
    <mergeCell ref="K228:M228"/>
    <mergeCell ref="K229:M229"/>
    <mergeCell ref="K230:M230"/>
    <mergeCell ref="K231:M231"/>
    <mergeCell ref="K220:M220"/>
    <mergeCell ref="K221:M221"/>
    <mergeCell ref="K222:M222"/>
    <mergeCell ref="K223:M223"/>
    <mergeCell ref="K224:M224"/>
    <mergeCell ref="K225:M225"/>
    <mergeCell ref="K214:M214"/>
    <mergeCell ref="K215:M215"/>
    <mergeCell ref="N102:P102"/>
    <mergeCell ref="N103:P103"/>
    <mergeCell ref="N104:P104"/>
    <mergeCell ref="N105:P105"/>
    <mergeCell ref="N106:P106"/>
    <mergeCell ref="N95:P95"/>
    <mergeCell ref="N96:P96"/>
    <mergeCell ref="N97:P97"/>
    <mergeCell ref="N98:P98"/>
    <mergeCell ref="N99:P99"/>
    <mergeCell ref="N100:P100"/>
    <mergeCell ref="N89:P89"/>
    <mergeCell ref="N90:P90"/>
    <mergeCell ref="N91:P91"/>
    <mergeCell ref="N92:P92"/>
    <mergeCell ref="N93:P93"/>
    <mergeCell ref="N94:P94"/>
    <mergeCell ref="N119:P119"/>
    <mergeCell ref="N120:P120"/>
    <mergeCell ref="N121:P121"/>
    <mergeCell ref="N122:P122"/>
    <mergeCell ref="N123:P123"/>
    <mergeCell ref="N124:P124"/>
    <mergeCell ref="N113:P113"/>
    <mergeCell ref="N114:P114"/>
    <mergeCell ref="N115:P115"/>
    <mergeCell ref="N116:P116"/>
    <mergeCell ref="N117:P117"/>
    <mergeCell ref="N118:P118"/>
    <mergeCell ref="N107:P107"/>
    <mergeCell ref="N108:P108"/>
    <mergeCell ref="N109:P109"/>
    <mergeCell ref="N110:P110"/>
    <mergeCell ref="N111:P111"/>
    <mergeCell ref="N112:P112"/>
    <mergeCell ref="N137:P137"/>
    <mergeCell ref="N138:P138"/>
    <mergeCell ref="N139:P139"/>
    <mergeCell ref="N140:P140"/>
    <mergeCell ref="N141:P141"/>
    <mergeCell ref="N142:P142"/>
    <mergeCell ref="N131:P131"/>
    <mergeCell ref="N132:P132"/>
    <mergeCell ref="N133:P133"/>
    <mergeCell ref="N134:P134"/>
    <mergeCell ref="N135:P135"/>
    <mergeCell ref="N136:P136"/>
    <mergeCell ref="N125:P125"/>
    <mergeCell ref="N126:P126"/>
    <mergeCell ref="N127:P127"/>
    <mergeCell ref="N128:P128"/>
    <mergeCell ref="N129:P129"/>
    <mergeCell ref="N130:P130"/>
    <mergeCell ref="N155:P155"/>
    <mergeCell ref="N156:P156"/>
    <mergeCell ref="N157:P157"/>
    <mergeCell ref="N158:P158"/>
    <mergeCell ref="N159:P159"/>
    <mergeCell ref="N160:P160"/>
    <mergeCell ref="N149:P149"/>
    <mergeCell ref="N150:P150"/>
    <mergeCell ref="N151:P151"/>
    <mergeCell ref="N152:P152"/>
    <mergeCell ref="N153:P153"/>
    <mergeCell ref="N154:P154"/>
    <mergeCell ref="N143:P143"/>
    <mergeCell ref="N144:P144"/>
    <mergeCell ref="N145:P145"/>
    <mergeCell ref="N146:P146"/>
    <mergeCell ref="N147:P147"/>
    <mergeCell ref="N148:P148"/>
    <mergeCell ref="N173:P173"/>
    <mergeCell ref="N174:P174"/>
    <mergeCell ref="N175:P175"/>
    <mergeCell ref="N176:P176"/>
    <mergeCell ref="N177:P177"/>
    <mergeCell ref="N178:P178"/>
    <mergeCell ref="N167:P167"/>
    <mergeCell ref="N168:P168"/>
    <mergeCell ref="N169:P169"/>
    <mergeCell ref="N170:P170"/>
    <mergeCell ref="N171:P171"/>
    <mergeCell ref="N172:P172"/>
    <mergeCell ref="N161:P161"/>
    <mergeCell ref="N162:P162"/>
    <mergeCell ref="N163:P163"/>
    <mergeCell ref="N164:P164"/>
    <mergeCell ref="N165:P165"/>
    <mergeCell ref="N166:P166"/>
    <mergeCell ref="N191:P191"/>
    <mergeCell ref="N192:P192"/>
    <mergeCell ref="N193:P193"/>
    <mergeCell ref="N194:P194"/>
    <mergeCell ref="N195:P195"/>
    <mergeCell ref="N196:P196"/>
    <mergeCell ref="N185:P185"/>
    <mergeCell ref="N186:P186"/>
    <mergeCell ref="N187:P187"/>
    <mergeCell ref="N188:P188"/>
    <mergeCell ref="N189:P189"/>
    <mergeCell ref="N190:P190"/>
    <mergeCell ref="N179:P179"/>
    <mergeCell ref="N180:P180"/>
    <mergeCell ref="N181:P181"/>
    <mergeCell ref="N182:P182"/>
    <mergeCell ref="N183:P183"/>
    <mergeCell ref="N184:P184"/>
    <mergeCell ref="Q83:S83"/>
    <mergeCell ref="Q84:S84"/>
    <mergeCell ref="Q85:S85"/>
    <mergeCell ref="Q86:S86"/>
    <mergeCell ref="Q87:S87"/>
    <mergeCell ref="N233:P233"/>
    <mergeCell ref="N234:P234"/>
    <mergeCell ref="N235:P235"/>
    <mergeCell ref="N236:P236"/>
    <mergeCell ref="N237:P237"/>
    <mergeCell ref="N238:P238"/>
    <mergeCell ref="N227:P227"/>
    <mergeCell ref="N228:P228"/>
    <mergeCell ref="N229:P229"/>
    <mergeCell ref="N230:P230"/>
    <mergeCell ref="N231:P231"/>
    <mergeCell ref="N232:P232"/>
    <mergeCell ref="N221:P221"/>
    <mergeCell ref="N222:P222"/>
    <mergeCell ref="N223:P223"/>
    <mergeCell ref="N224:P224"/>
    <mergeCell ref="N225:P225"/>
    <mergeCell ref="N226:P226"/>
    <mergeCell ref="N215:P215"/>
    <mergeCell ref="N216:P216"/>
    <mergeCell ref="N217:P217"/>
    <mergeCell ref="N218:P218"/>
    <mergeCell ref="N219:P219"/>
    <mergeCell ref="N220:P220"/>
    <mergeCell ref="N209:P209"/>
    <mergeCell ref="N210:P210"/>
    <mergeCell ref="N211:P211"/>
    <mergeCell ref="Q94:S94"/>
    <mergeCell ref="Q95:S95"/>
    <mergeCell ref="Q96:S96"/>
    <mergeCell ref="Q97:S97"/>
    <mergeCell ref="Q98:S98"/>
    <mergeCell ref="Q99:S99"/>
    <mergeCell ref="Q88:S88"/>
    <mergeCell ref="Q89:S89"/>
    <mergeCell ref="Q90:S90"/>
    <mergeCell ref="Q91:S91"/>
    <mergeCell ref="Q92:S92"/>
    <mergeCell ref="Q93:S93"/>
    <mergeCell ref="N239:P239"/>
    <mergeCell ref="N240:P240"/>
    <mergeCell ref="N241:P241"/>
    <mergeCell ref="N242:P242"/>
    <mergeCell ref="N243:P243"/>
    <mergeCell ref="N212:P212"/>
    <mergeCell ref="N213:P213"/>
    <mergeCell ref="N214:P214"/>
    <mergeCell ref="N203:P203"/>
    <mergeCell ref="N204:P204"/>
    <mergeCell ref="N205:P205"/>
    <mergeCell ref="N206:P206"/>
    <mergeCell ref="N207:P207"/>
    <mergeCell ref="N208:P208"/>
    <mergeCell ref="N197:P197"/>
    <mergeCell ref="N198:P198"/>
    <mergeCell ref="N199:P199"/>
    <mergeCell ref="N200:P200"/>
    <mergeCell ref="N201:P201"/>
    <mergeCell ref="N202:P202"/>
    <mergeCell ref="Q112:S112"/>
    <mergeCell ref="Q113:S113"/>
    <mergeCell ref="Q114:S114"/>
    <mergeCell ref="Q115:S115"/>
    <mergeCell ref="Q116:S116"/>
    <mergeCell ref="Q117:S117"/>
    <mergeCell ref="Q106:S106"/>
    <mergeCell ref="Q107:S107"/>
    <mergeCell ref="Q108:S108"/>
    <mergeCell ref="Q109:S109"/>
    <mergeCell ref="Q110:S110"/>
    <mergeCell ref="Q111:S111"/>
    <mergeCell ref="Q100:S100"/>
    <mergeCell ref="Q102:S102"/>
    <mergeCell ref="Q103:S103"/>
    <mergeCell ref="Q104:S104"/>
    <mergeCell ref="Q105:S105"/>
    <mergeCell ref="Q130:S130"/>
    <mergeCell ref="Q131:S131"/>
    <mergeCell ref="Q132:S132"/>
    <mergeCell ref="Q133:S133"/>
    <mergeCell ref="Q134:S134"/>
    <mergeCell ref="Q135:S135"/>
    <mergeCell ref="Q124:S124"/>
    <mergeCell ref="Q125:S125"/>
    <mergeCell ref="Q126:S126"/>
    <mergeCell ref="Q127:S127"/>
    <mergeCell ref="Q128:S128"/>
    <mergeCell ref="Q129:S129"/>
    <mergeCell ref="Q118:S118"/>
    <mergeCell ref="Q119:S119"/>
    <mergeCell ref="Q120:S120"/>
    <mergeCell ref="Q121:S121"/>
    <mergeCell ref="Q122:S122"/>
    <mergeCell ref="Q123:S123"/>
    <mergeCell ref="Q148:S148"/>
    <mergeCell ref="Q149:S149"/>
    <mergeCell ref="Q150:S150"/>
    <mergeCell ref="Q151:S151"/>
    <mergeCell ref="Q152:S152"/>
    <mergeCell ref="Q153:S153"/>
    <mergeCell ref="Q142:S142"/>
    <mergeCell ref="Q143:S143"/>
    <mergeCell ref="Q144:S144"/>
    <mergeCell ref="Q145:S145"/>
    <mergeCell ref="Q146:S146"/>
    <mergeCell ref="Q147:S147"/>
    <mergeCell ref="Q136:S136"/>
    <mergeCell ref="Q137:S137"/>
    <mergeCell ref="Q138:S138"/>
    <mergeCell ref="Q139:S139"/>
    <mergeCell ref="Q140:S140"/>
    <mergeCell ref="Q141:S141"/>
    <mergeCell ref="Q166:S166"/>
    <mergeCell ref="Q167:S167"/>
    <mergeCell ref="Q168:S168"/>
    <mergeCell ref="Q169:S169"/>
    <mergeCell ref="Q170:S170"/>
    <mergeCell ref="Q171:S171"/>
    <mergeCell ref="Q160:S160"/>
    <mergeCell ref="Q161:S161"/>
    <mergeCell ref="Q162:S162"/>
    <mergeCell ref="Q163:S163"/>
    <mergeCell ref="Q164:S164"/>
    <mergeCell ref="Q165:S165"/>
    <mergeCell ref="Q154:S154"/>
    <mergeCell ref="Q155:S155"/>
    <mergeCell ref="Q156:S156"/>
    <mergeCell ref="Q157:S157"/>
    <mergeCell ref="Q158:S158"/>
    <mergeCell ref="Q159:S159"/>
    <mergeCell ref="Q184:S184"/>
    <mergeCell ref="Q185:S185"/>
    <mergeCell ref="Q186:S186"/>
    <mergeCell ref="Q187:S187"/>
    <mergeCell ref="Q188:S188"/>
    <mergeCell ref="Q189:S189"/>
    <mergeCell ref="Q178:S178"/>
    <mergeCell ref="Q179:S179"/>
    <mergeCell ref="Q180:S180"/>
    <mergeCell ref="Q181:S181"/>
    <mergeCell ref="Q182:S182"/>
    <mergeCell ref="Q183:S183"/>
    <mergeCell ref="Q172:S172"/>
    <mergeCell ref="Q173:S173"/>
    <mergeCell ref="Q174:S174"/>
    <mergeCell ref="Q175:S175"/>
    <mergeCell ref="Q176:S176"/>
    <mergeCell ref="Q177:S177"/>
    <mergeCell ref="Q202:S202"/>
    <mergeCell ref="Q203:S203"/>
    <mergeCell ref="Q204:S204"/>
    <mergeCell ref="Q205:S205"/>
    <mergeCell ref="Q206:S206"/>
    <mergeCell ref="Q207:S207"/>
    <mergeCell ref="Q196:S196"/>
    <mergeCell ref="Q197:S197"/>
    <mergeCell ref="Q198:S198"/>
    <mergeCell ref="Q199:S199"/>
    <mergeCell ref="Q200:S200"/>
    <mergeCell ref="Q201:S201"/>
    <mergeCell ref="Q190:S190"/>
    <mergeCell ref="Q191:S191"/>
    <mergeCell ref="Q192:S192"/>
    <mergeCell ref="Q193:S193"/>
    <mergeCell ref="Q194:S194"/>
    <mergeCell ref="Q195:S195"/>
    <mergeCell ref="Q220:S220"/>
    <mergeCell ref="Q221:S221"/>
    <mergeCell ref="Q222:S222"/>
    <mergeCell ref="Q223:S223"/>
    <mergeCell ref="Q224:S224"/>
    <mergeCell ref="Q225:S225"/>
    <mergeCell ref="Q214:S214"/>
    <mergeCell ref="Q215:S215"/>
    <mergeCell ref="Q216:S216"/>
    <mergeCell ref="Q217:S217"/>
    <mergeCell ref="Q218:S218"/>
    <mergeCell ref="Q219:S219"/>
    <mergeCell ref="Q208:S208"/>
    <mergeCell ref="Q209:S209"/>
    <mergeCell ref="Q210:S210"/>
    <mergeCell ref="Q211:S211"/>
    <mergeCell ref="Q212:S212"/>
    <mergeCell ref="Q213:S213"/>
    <mergeCell ref="Q238:S238"/>
    <mergeCell ref="Q239:S239"/>
    <mergeCell ref="Q240:S240"/>
    <mergeCell ref="Q241:S241"/>
    <mergeCell ref="Q242:S242"/>
    <mergeCell ref="Q243:S243"/>
    <mergeCell ref="Q232:S232"/>
    <mergeCell ref="Q233:S233"/>
    <mergeCell ref="Q234:S234"/>
    <mergeCell ref="Q235:S235"/>
    <mergeCell ref="Q236:S236"/>
    <mergeCell ref="Q237:S237"/>
    <mergeCell ref="Q226:S226"/>
    <mergeCell ref="Q227:S227"/>
    <mergeCell ref="Q228:S228"/>
    <mergeCell ref="Q229:S229"/>
    <mergeCell ref="Q230:S230"/>
    <mergeCell ref="Q231:S231"/>
    <mergeCell ref="T95:V95"/>
    <mergeCell ref="T96:V96"/>
    <mergeCell ref="T97:V97"/>
    <mergeCell ref="T98:V98"/>
    <mergeCell ref="T99:V99"/>
    <mergeCell ref="T100:V100"/>
    <mergeCell ref="T89:V89"/>
    <mergeCell ref="T90:V90"/>
    <mergeCell ref="T91:V91"/>
    <mergeCell ref="T92:V92"/>
    <mergeCell ref="T93:V93"/>
    <mergeCell ref="T94:V94"/>
    <mergeCell ref="T83:V83"/>
    <mergeCell ref="T84:V84"/>
    <mergeCell ref="T85:V85"/>
    <mergeCell ref="T86:V86"/>
    <mergeCell ref="T87:V87"/>
    <mergeCell ref="T88:V88"/>
    <mergeCell ref="T113:V113"/>
    <mergeCell ref="T114:V114"/>
    <mergeCell ref="T115:V115"/>
    <mergeCell ref="T116:V116"/>
    <mergeCell ref="T117:V117"/>
    <mergeCell ref="T118:V118"/>
    <mergeCell ref="T107:V107"/>
    <mergeCell ref="T108:V108"/>
    <mergeCell ref="T109:V109"/>
    <mergeCell ref="T110:V110"/>
    <mergeCell ref="T111:V111"/>
    <mergeCell ref="T112:V112"/>
    <mergeCell ref="T101:V101"/>
    <mergeCell ref="T102:V102"/>
    <mergeCell ref="T103:V103"/>
    <mergeCell ref="T104:V104"/>
    <mergeCell ref="T105:V105"/>
    <mergeCell ref="T106:V106"/>
    <mergeCell ref="T131:V131"/>
    <mergeCell ref="T132:V132"/>
    <mergeCell ref="T133:V133"/>
    <mergeCell ref="T134:V134"/>
    <mergeCell ref="T135:V135"/>
    <mergeCell ref="T136:V136"/>
    <mergeCell ref="T125:V125"/>
    <mergeCell ref="T126:V126"/>
    <mergeCell ref="T127:V127"/>
    <mergeCell ref="T128:V128"/>
    <mergeCell ref="T129:V129"/>
    <mergeCell ref="T130:V130"/>
    <mergeCell ref="T119:V119"/>
    <mergeCell ref="T120:V120"/>
    <mergeCell ref="T121:V121"/>
    <mergeCell ref="T122:V122"/>
    <mergeCell ref="T123:V123"/>
    <mergeCell ref="T124:V124"/>
    <mergeCell ref="T149:V149"/>
    <mergeCell ref="T150:V150"/>
    <mergeCell ref="T151:V151"/>
    <mergeCell ref="T152:V152"/>
    <mergeCell ref="T153:V153"/>
    <mergeCell ref="T154:V154"/>
    <mergeCell ref="T143:V143"/>
    <mergeCell ref="T144:V144"/>
    <mergeCell ref="T145:V145"/>
    <mergeCell ref="T146:V146"/>
    <mergeCell ref="T147:V147"/>
    <mergeCell ref="T148:V148"/>
    <mergeCell ref="T137:V137"/>
    <mergeCell ref="T138:V138"/>
    <mergeCell ref="T139:V139"/>
    <mergeCell ref="T140:V140"/>
    <mergeCell ref="T141:V141"/>
    <mergeCell ref="T142:V142"/>
    <mergeCell ref="T167:V167"/>
    <mergeCell ref="T168:V168"/>
    <mergeCell ref="T169:V169"/>
    <mergeCell ref="T170:V170"/>
    <mergeCell ref="T171:V171"/>
    <mergeCell ref="T172:V172"/>
    <mergeCell ref="T161:V161"/>
    <mergeCell ref="T162:V162"/>
    <mergeCell ref="T163:V163"/>
    <mergeCell ref="T164:V164"/>
    <mergeCell ref="T165:V165"/>
    <mergeCell ref="T166:V166"/>
    <mergeCell ref="T155:V155"/>
    <mergeCell ref="T156:V156"/>
    <mergeCell ref="T157:V157"/>
    <mergeCell ref="T158:V158"/>
    <mergeCell ref="T159:V159"/>
    <mergeCell ref="T160:V160"/>
    <mergeCell ref="T185:V185"/>
    <mergeCell ref="T186:V186"/>
    <mergeCell ref="T187:V187"/>
    <mergeCell ref="T188:V188"/>
    <mergeCell ref="T189:V189"/>
    <mergeCell ref="T190:V190"/>
    <mergeCell ref="T179:V179"/>
    <mergeCell ref="T180:V180"/>
    <mergeCell ref="T181:V181"/>
    <mergeCell ref="T182:V182"/>
    <mergeCell ref="T183:V183"/>
    <mergeCell ref="T184:V184"/>
    <mergeCell ref="T173:V173"/>
    <mergeCell ref="T174:V174"/>
    <mergeCell ref="T175:V175"/>
    <mergeCell ref="T176:V176"/>
    <mergeCell ref="T177:V177"/>
    <mergeCell ref="T178:V178"/>
    <mergeCell ref="T211:V211"/>
    <mergeCell ref="T212:V212"/>
    <mergeCell ref="T213:V213"/>
    <mergeCell ref="T214:V214"/>
    <mergeCell ref="T203:V203"/>
    <mergeCell ref="T204:V204"/>
    <mergeCell ref="T205:V205"/>
    <mergeCell ref="T206:V206"/>
    <mergeCell ref="T207:V207"/>
    <mergeCell ref="T208:V208"/>
    <mergeCell ref="T197:V197"/>
    <mergeCell ref="T198:V198"/>
    <mergeCell ref="T199:V199"/>
    <mergeCell ref="T200:V200"/>
    <mergeCell ref="T201:V201"/>
    <mergeCell ref="T202:V202"/>
    <mergeCell ref="T191:V191"/>
    <mergeCell ref="T192:V192"/>
    <mergeCell ref="T193:V193"/>
    <mergeCell ref="T194:V194"/>
    <mergeCell ref="T195:V195"/>
    <mergeCell ref="T196:V196"/>
    <mergeCell ref="T239:V239"/>
    <mergeCell ref="T240:V240"/>
    <mergeCell ref="T241:V241"/>
    <mergeCell ref="T242:V242"/>
    <mergeCell ref="T243:V243"/>
    <mergeCell ref="D101:S101"/>
    <mergeCell ref="T233:V233"/>
    <mergeCell ref="T234:V234"/>
    <mergeCell ref="T235:V235"/>
    <mergeCell ref="T236:V236"/>
    <mergeCell ref="T237:V237"/>
    <mergeCell ref="T238:V238"/>
    <mergeCell ref="T227:V227"/>
    <mergeCell ref="T228:V228"/>
    <mergeCell ref="T229:V229"/>
    <mergeCell ref="T230:V230"/>
    <mergeCell ref="T231:V231"/>
    <mergeCell ref="T232:V232"/>
    <mergeCell ref="T221:V221"/>
    <mergeCell ref="T222:V222"/>
    <mergeCell ref="T223:V223"/>
    <mergeCell ref="T224:V224"/>
    <mergeCell ref="T225:V225"/>
    <mergeCell ref="T226:V226"/>
    <mergeCell ref="T215:V215"/>
    <mergeCell ref="T216:V216"/>
    <mergeCell ref="T217:V217"/>
    <mergeCell ref="T218:V218"/>
    <mergeCell ref="T219:V219"/>
    <mergeCell ref="T220:V220"/>
    <mergeCell ref="T209:V209"/>
    <mergeCell ref="T210:V210"/>
    <mergeCell ref="D244:G244"/>
    <mergeCell ref="D245:G245"/>
    <mergeCell ref="D246:G246"/>
    <mergeCell ref="D247:G247"/>
    <mergeCell ref="D248:G248"/>
    <mergeCell ref="D249:G249"/>
    <mergeCell ref="D250:G250"/>
    <mergeCell ref="D251:G251"/>
    <mergeCell ref="D252:G252"/>
    <mergeCell ref="D253:G253"/>
    <mergeCell ref="D254:G254"/>
    <mergeCell ref="D255:G255"/>
    <mergeCell ref="D256:G256"/>
    <mergeCell ref="D257:G257"/>
    <mergeCell ref="D258:G258"/>
    <mergeCell ref="D259:G259"/>
    <mergeCell ref="D260:G260"/>
    <mergeCell ref="D261:G261"/>
    <mergeCell ref="D262:G262"/>
    <mergeCell ref="D263:G263"/>
    <mergeCell ref="D264:G264"/>
    <mergeCell ref="D266:G266"/>
    <mergeCell ref="D267:G267"/>
    <mergeCell ref="D268:G268"/>
    <mergeCell ref="D269:G269"/>
    <mergeCell ref="D270:G270"/>
    <mergeCell ref="D271:G271"/>
    <mergeCell ref="D272:G272"/>
    <mergeCell ref="D273:G273"/>
    <mergeCell ref="H244:J244"/>
    <mergeCell ref="H245:J245"/>
    <mergeCell ref="H246:J246"/>
    <mergeCell ref="H247:J247"/>
    <mergeCell ref="H248:J248"/>
    <mergeCell ref="H249:J249"/>
    <mergeCell ref="H250:J250"/>
    <mergeCell ref="H251:J251"/>
    <mergeCell ref="H252:J252"/>
    <mergeCell ref="H253:J253"/>
    <mergeCell ref="H254:J254"/>
    <mergeCell ref="H255:J255"/>
    <mergeCell ref="H256:J256"/>
    <mergeCell ref="H257:J257"/>
    <mergeCell ref="H258:J258"/>
    <mergeCell ref="H259:J259"/>
    <mergeCell ref="H260:J260"/>
    <mergeCell ref="H261:J261"/>
    <mergeCell ref="H262:J262"/>
    <mergeCell ref="H263:J263"/>
    <mergeCell ref="H264:J264"/>
    <mergeCell ref="H266:J266"/>
    <mergeCell ref="H267:J267"/>
    <mergeCell ref="H268:J268"/>
    <mergeCell ref="H269:J269"/>
    <mergeCell ref="H270:J270"/>
    <mergeCell ref="H271:J271"/>
    <mergeCell ref="H272:J272"/>
    <mergeCell ref="H273:J273"/>
    <mergeCell ref="K244:M244"/>
    <mergeCell ref="K245:M245"/>
    <mergeCell ref="K246:M246"/>
    <mergeCell ref="K247:M247"/>
    <mergeCell ref="K248:M248"/>
    <mergeCell ref="K249:M249"/>
    <mergeCell ref="K250:M250"/>
    <mergeCell ref="K251:M251"/>
    <mergeCell ref="K252:M252"/>
    <mergeCell ref="K253:M253"/>
    <mergeCell ref="K254:M254"/>
    <mergeCell ref="K255:M255"/>
    <mergeCell ref="K256:M256"/>
    <mergeCell ref="K257:M257"/>
    <mergeCell ref="K258:M258"/>
    <mergeCell ref="K259:M259"/>
    <mergeCell ref="K260:M260"/>
    <mergeCell ref="K261:M261"/>
    <mergeCell ref="K262:M262"/>
    <mergeCell ref="K263:M263"/>
    <mergeCell ref="K264:M264"/>
    <mergeCell ref="K266:M266"/>
    <mergeCell ref="K267:M267"/>
    <mergeCell ref="N244:P244"/>
    <mergeCell ref="N245:P245"/>
    <mergeCell ref="N246:P246"/>
    <mergeCell ref="N247:P247"/>
    <mergeCell ref="N248:P248"/>
    <mergeCell ref="N249:P249"/>
    <mergeCell ref="N250:P250"/>
    <mergeCell ref="N251:P251"/>
    <mergeCell ref="N252:P252"/>
    <mergeCell ref="N253:P253"/>
    <mergeCell ref="N254:P254"/>
    <mergeCell ref="N255:P255"/>
    <mergeCell ref="N256:P256"/>
    <mergeCell ref="N257:P257"/>
    <mergeCell ref="N258:P258"/>
    <mergeCell ref="N259:P259"/>
    <mergeCell ref="N260:P260"/>
    <mergeCell ref="N261:P261"/>
    <mergeCell ref="N262:P262"/>
    <mergeCell ref="N263:P263"/>
    <mergeCell ref="N264:P264"/>
    <mergeCell ref="N266:P266"/>
    <mergeCell ref="N267:P267"/>
    <mergeCell ref="N268:P268"/>
    <mergeCell ref="N269:P269"/>
    <mergeCell ref="N270:P270"/>
    <mergeCell ref="N271:P271"/>
    <mergeCell ref="N272:P272"/>
    <mergeCell ref="N273:P273"/>
    <mergeCell ref="Q244:S244"/>
    <mergeCell ref="Q245:S245"/>
    <mergeCell ref="Q246:S246"/>
    <mergeCell ref="Q247:S247"/>
    <mergeCell ref="Q248:S248"/>
    <mergeCell ref="Q249:S249"/>
    <mergeCell ref="Q250:S250"/>
    <mergeCell ref="Q251:S251"/>
    <mergeCell ref="Q252:S252"/>
    <mergeCell ref="Q253:S253"/>
    <mergeCell ref="Q254:S254"/>
    <mergeCell ref="Q255:S255"/>
    <mergeCell ref="Q256:S256"/>
    <mergeCell ref="Q257:S257"/>
    <mergeCell ref="Q258:S258"/>
    <mergeCell ref="Q259:S259"/>
    <mergeCell ref="Q260:S260"/>
    <mergeCell ref="Q261:S261"/>
    <mergeCell ref="Q262:S262"/>
    <mergeCell ref="Q263:S263"/>
    <mergeCell ref="Q264:S264"/>
    <mergeCell ref="Q266:S266"/>
    <mergeCell ref="Q267:S267"/>
    <mergeCell ref="Q268:S268"/>
    <mergeCell ref="Q269:S269"/>
    <mergeCell ref="Q270:S270"/>
    <mergeCell ref="Q271:S271"/>
    <mergeCell ref="Q272:S272"/>
    <mergeCell ref="Q273:S273"/>
    <mergeCell ref="T261:V261"/>
    <mergeCell ref="T262:V262"/>
    <mergeCell ref="T263:V263"/>
    <mergeCell ref="T264:V264"/>
    <mergeCell ref="T266:V266"/>
    <mergeCell ref="T267:V267"/>
    <mergeCell ref="T268:V268"/>
    <mergeCell ref="T269:V269"/>
    <mergeCell ref="T270:V270"/>
    <mergeCell ref="T271:V271"/>
    <mergeCell ref="T272:V272"/>
    <mergeCell ref="T273:V273"/>
    <mergeCell ref="T244:V244"/>
    <mergeCell ref="T245:V245"/>
    <mergeCell ref="T246:V246"/>
    <mergeCell ref="T247:V247"/>
    <mergeCell ref="T248:V248"/>
    <mergeCell ref="T249:V249"/>
    <mergeCell ref="T250:V250"/>
    <mergeCell ref="T251:V251"/>
    <mergeCell ref="T252:V252"/>
    <mergeCell ref="T253:V253"/>
    <mergeCell ref="T254:V254"/>
    <mergeCell ref="T255:V255"/>
    <mergeCell ref="T256:V256"/>
    <mergeCell ref="T257:V257"/>
    <mergeCell ref="T258:V258"/>
    <mergeCell ref="T259:V259"/>
    <mergeCell ref="T260:V260"/>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29772-E65B-4950-B81A-8A3050733C34}">
  <dimension ref="B2:V41"/>
  <sheetViews>
    <sheetView topLeftCell="A13" workbookViewId="0">
      <selection activeCell="T20" sqref="T20:V20"/>
    </sheetView>
  </sheetViews>
  <sheetFormatPr defaultRowHeight="14.4" x14ac:dyDescent="0.3"/>
  <sheetData>
    <row r="2" spans="2:22" x14ac:dyDescent="0.3">
      <c r="B2" s="297" t="s">
        <v>389</v>
      </c>
      <c r="C2" s="297"/>
      <c r="D2" s="291" t="s">
        <v>388</v>
      </c>
      <c r="E2" s="291"/>
      <c r="F2" s="291"/>
      <c r="G2" s="291"/>
      <c r="H2" s="291" t="s">
        <v>300</v>
      </c>
      <c r="I2" s="291"/>
      <c r="J2" s="291"/>
      <c r="K2" s="291" t="s">
        <v>129</v>
      </c>
      <c r="L2" s="291"/>
      <c r="M2" s="291"/>
      <c r="N2" s="291" t="s">
        <v>301</v>
      </c>
      <c r="O2" s="291"/>
      <c r="P2" s="291"/>
      <c r="Q2" s="291" t="s">
        <v>302</v>
      </c>
      <c r="R2" s="291"/>
      <c r="S2" s="291"/>
      <c r="T2" s="291" t="s">
        <v>334</v>
      </c>
      <c r="U2" s="291"/>
      <c r="V2" s="291"/>
    </row>
    <row r="3" spans="2:22" x14ac:dyDescent="0.3">
      <c r="D3" s="274" t="s">
        <v>216</v>
      </c>
      <c r="E3" s="286"/>
      <c r="F3" s="286"/>
      <c r="G3" s="286"/>
      <c r="H3" s="286"/>
      <c r="I3" s="286"/>
      <c r="J3" s="286"/>
      <c r="K3" s="286"/>
      <c r="L3" s="286"/>
      <c r="M3" s="286"/>
      <c r="N3" s="286"/>
      <c r="O3" s="286"/>
      <c r="P3" s="286"/>
      <c r="Q3" s="286"/>
      <c r="R3" s="286"/>
      <c r="S3" s="286"/>
      <c r="T3" s="287"/>
      <c r="U3" s="287"/>
      <c r="V3" s="287"/>
    </row>
    <row r="4" spans="2:22" x14ac:dyDescent="0.3">
      <c r="D4" s="286" t="s">
        <v>1533</v>
      </c>
      <c r="E4" s="286"/>
      <c r="F4" s="286"/>
      <c r="G4" s="286"/>
      <c r="H4" s="286" t="s">
        <v>1534</v>
      </c>
      <c r="I4" s="286"/>
      <c r="J4" s="286"/>
      <c r="K4" s="286" t="s">
        <v>132</v>
      </c>
      <c r="L4" s="286"/>
      <c r="M4" s="286"/>
      <c r="N4" s="286" t="s">
        <v>436</v>
      </c>
      <c r="O4" s="286"/>
      <c r="P4" s="286"/>
      <c r="Q4" s="357">
        <v>0.6</v>
      </c>
      <c r="R4" s="286"/>
      <c r="S4" s="286"/>
      <c r="T4" s="287"/>
      <c r="U4" s="287"/>
      <c r="V4" s="287"/>
    </row>
    <row r="5" spans="2:22" x14ac:dyDescent="0.3">
      <c r="D5" s="286" t="s">
        <v>1535</v>
      </c>
      <c r="E5" s="286"/>
      <c r="F5" s="286"/>
      <c r="G5" s="286"/>
      <c r="H5" s="286" t="s">
        <v>1536</v>
      </c>
      <c r="I5" s="286"/>
      <c r="J5" s="286"/>
      <c r="K5" s="286" t="s">
        <v>782</v>
      </c>
      <c r="L5" s="286"/>
      <c r="M5" s="286"/>
      <c r="N5" s="286" t="s">
        <v>436</v>
      </c>
      <c r="O5" s="286"/>
      <c r="P5" s="286"/>
      <c r="Q5" s="286">
        <v>0.86</v>
      </c>
      <c r="R5" s="286"/>
      <c r="S5" s="286"/>
      <c r="T5" s="287"/>
      <c r="U5" s="287"/>
      <c r="V5" s="287"/>
    </row>
    <row r="6" spans="2:22" x14ac:dyDescent="0.3">
      <c r="D6" s="286" t="s">
        <v>1537</v>
      </c>
      <c r="E6" s="286"/>
      <c r="F6" s="286"/>
      <c r="G6" s="286"/>
      <c r="H6" s="286" t="s">
        <v>1538</v>
      </c>
      <c r="I6" s="286"/>
      <c r="J6" s="286"/>
      <c r="K6" s="286" t="s">
        <v>132</v>
      </c>
      <c r="L6" s="286"/>
      <c r="M6" s="286"/>
      <c r="N6" s="286" t="s">
        <v>436</v>
      </c>
      <c r="O6" s="286"/>
      <c r="P6" s="286"/>
      <c r="Q6" s="357">
        <v>0.05</v>
      </c>
      <c r="R6" s="286"/>
      <c r="S6" s="286"/>
      <c r="T6" s="287"/>
      <c r="U6" s="287"/>
      <c r="V6" s="287"/>
    </row>
    <row r="7" spans="2:22" x14ac:dyDescent="0.3">
      <c r="D7" s="286" t="s">
        <v>1539</v>
      </c>
      <c r="E7" s="286"/>
      <c r="F7" s="286"/>
      <c r="G7" s="286"/>
      <c r="H7" s="286" t="s">
        <v>1540</v>
      </c>
      <c r="I7" s="286"/>
      <c r="J7" s="286"/>
      <c r="K7" s="286" t="s">
        <v>781</v>
      </c>
      <c r="L7" s="286"/>
      <c r="M7" s="286"/>
      <c r="N7" s="286" t="s">
        <v>436</v>
      </c>
      <c r="O7" s="286"/>
      <c r="P7" s="286"/>
      <c r="Q7" s="286">
        <v>1.2</v>
      </c>
      <c r="R7" s="286"/>
      <c r="S7" s="286"/>
      <c r="T7" s="287"/>
      <c r="U7" s="287"/>
      <c r="V7" s="287"/>
    </row>
    <row r="8" spans="2:22" x14ac:dyDescent="0.3">
      <c r="D8" s="286" t="s">
        <v>1541</v>
      </c>
      <c r="E8" s="286"/>
      <c r="F8" s="286"/>
      <c r="G8" s="286"/>
      <c r="H8" s="286" t="s">
        <v>1542</v>
      </c>
      <c r="I8" s="286"/>
      <c r="J8" s="286"/>
      <c r="K8" s="286" t="s">
        <v>781</v>
      </c>
      <c r="L8" s="286"/>
      <c r="M8" s="286"/>
      <c r="N8" s="286" t="s">
        <v>1378</v>
      </c>
      <c r="O8" s="286"/>
      <c r="P8" s="286"/>
      <c r="Q8" s="286">
        <v>0.4</v>
      </c>
      <c r="R8" s="286"/>
      <c r="S8" s="286"/>
      <c r="T8" s="287"/>
      <c r="U8" s="287"/>
      <c r="V8" s="287"/>
    </row>
    <row r="9" spans="2:22" x14ac:dyDescent="0.3">
      <c r="D9" s="286" t="s">
        <v>1543</v>
      </c>
      <c r="E9" s="286"/>
      <c r="F9" s="286"/>
      <c r="G9" s="286"/>
      <c r="H9" s="286" t="s">
        <v>1544</v>
      </c>
      <c r="I9" s="286"/>
      <c r="J9" s="286"/>
      <c r="K9" s="286" t="s">
        <v>781</v>
      </c>
      <c r="L9" s="286"/>
      <c r="M9" s="286"/>
      <c r="N9" s="286" t="s">
        <v>1545</v>
      </c>
      <c r="O9" s="286"/>
      <c r="P9" s="286"/>
      <c r="Q9" s="286">
        <f>Q7+Q8</f>
        <v>1.6</v>
      </c>
      <c r="R9" s="286"/>
      <c r="S9" s="286"/>
      <c r="T9" s="287"/>
      <c r="U9" s="287"/>
      <c r="V9" s="287"/>
    </row>
    <row r="10" spans="2:22" x14ac:dyDescent="0.3">
      <c r="D10" s="286" t="s">
        <v>1546</v>
      </c>
      <c r="E10" s="286"/>
      <c r="F10" s="286"/>
      <c r="G10" s="286"/>
      <c r="H10" s="286" t="s">
        <v>401</v>
      </c>
      <c r="I10" s="286"/>
      <c r="J10" s="286"/>
      <c r="K10" s="286" t="s">
        <v>186</v>
      </c>
      <c r="L10" s="286"/>
      <c r="M10" s="286"/>
      <c r="N10" s="286" t="s">
        <v>403</v>
      </c>
      <c r="O10" s="286"/>
      <c r="P10" s="286"/>
      <c r="Q10" s="294">
        <f>'Kebutuhan Air Total'!G26</f>
        <v>0.68287864897272743</v>
      </c>
      <c r="R10" s="294"/>
      <c r="S10" s="294"/>
      <c r="T10" s="287"/>
      <c r="U10" s="287"/>
      <c r="V10" s="287"/>
    </row>
    <row r="11" spans="2:22" x14ac:dyDescent="0.3">
      <c r="D11" s="286"/>
      <c r="E11" s="286"/>
      <c r="F11" s="286"/>
      <c r="G11" s="286"/>
      <c r="H11" s="286"/>
      <c r="I11" s="286"/>
      <c r="J11" s="286"/>
      <c r="K11" s="286" t="s">
        <v>373</v>
      </c>
      <c r="L11" s="286"/>
      <c r="M11" s="286"/>
      <c r="N11" s="286" t="s">
        <v>1547</v>
      </c>
      <c r="O11" s="286"/>
      <c r="P11" s="286"/>
      <c r="Q11" s="293">
        <f>Q10*1000</f>
        <v>682.87864897272743</v>
      </c>
      <c r="R11" s="293"/>
      <c r="S11" s="293"/>
      <c r="T11" s="287"/>
      <c r="U11" s="287"/>
      <c r="V11" s="287"/>
    </row>
    <row r="12" spans="2:22" x14ac:dyDescent="0.3">
      <c r="D12" s="286" t="s">
        <v>1548</v>
      </c>
      <c r="E12" s="286"/>
      <c r="F12" s="286"/>
      <c r="G12" s="286"/>
      <c r="H12" s="286" t="s">
        <v>1549</v>
      </c>
      <c r="I12" s="286"/>
      <c r="J12" s="286"/>
      <c r="K12" s="286" t="s">
        <v>786</v>
      </c>
      <c r="L12" s="286"/>
      <c r="M12" s="286"/>
      <c r="N12" s="286" t="s">
        <v>1550</v>
      </c>
      <c r="O12" s="286"/>
      <c r="P12" s="286"/>
      <c r="Q12" s="294">
        <f>(100/60)*Q9*Q11</f>
        <v>1821.00973059394</v>
      </c>
      <c r="R12" s="294"/>
      <c r="S12" s="294"/>
      <c r="T12" s="287"/>
      <c r="U12" s="287"/>
      <c r="V12" s="287"/>
    </row>
    <row r="13" spans="2:22" x14ac:dyDescent="0.3">
      <c r="D13" s="286"/>
      <c r="E13" s="286"/>
      <c r="F13" s="286"/>
      <c r="G13" s="286"/>
      <c r="H13" s="286"/>
      <c r="I13" s="286"/>
      <c r="J13" s="286"/>
      <c r="K13" s="286" t="s">
        <v>1551</v>
      </c>
      <c r="L13" s="286"/>
      <c r="M13" s="286"/>
      <c r="N13" s="286" t="s">
        <v>1410</v>
      </c>
      <c r="O13" s="286"/>
      <c r="P13" s="286"/>
      <c r="Q13" s="294">
        <f>Q12/11.574</f>
        <v>157.33624767530154</v>
      </c>
      <c r="R13" s="294"/>
      <c r="S13" s="294"/>
      <c r="T13" s="287"/>
      <c r="U13" s="287"/>
      <c r="V13" s="287"/>
    </row>
    <row r="14" spans="2:22" x14ac:dyDescent="0.3">
      <c r="D14" s="286" t="s">
        <v>1552</v>
      </c>
      <c r="E14" s="286"/>
      <c r="F14" s="286"/>
      <c r="G14" s="286"/>
      <c r="H14" s="286" t="s">
        <v>1553</v>
      </c>
      <c r="I14" s="286"/>
      <c r="J14" s="286"/>
      <c r="K14" s="286" t="s">
        <v>148</v>
      </c>
      <c r="L14" s="286"/>
      <c r="M14" s="286"/>
      <c r="N14" s="286" t="s">
        <v>1554</v>
      </c>
      <c r="O14" s="286"/>
      <c r="P14" s="286"/>
      <c r="Q14" s="294">
        <f>Q13*Q5</f>
        <v>135.30917300075933</v>
      </c>
      <c r="R14" s="294"/>
      <c r="S14" s="294"/>
      <c r="T14" s="287"/>
      <c r="U14" s="287"/>
      <c r="V14" s="287"/>
    </row>
    <row r="15" spans="2:22" x14ac:dyDescent="0.3">
      <c r="D15" s="286" t="s">
        <v>793</v>
      </c>
      <c r="E15" s="286"/>
      <c r="F15" s="286"/>
      <c r="G15" s="286"/>
      <c r="H15" s="286" t="s">
        <v>1188</v>
      </c>
      <c r="I15" s="286"/>
      <c r="J15" s="286"/>
      <c r="K15" s="286" t="s">
        <v>148</v>
      </c>
      <c r="L15" s="286"/>
      <c r="M15" s="286"/>
      <c r="N15" s="286" t="s">
        <v>1555</v>
      </c>
      <c r="O15" s="286"/>
      <c r="P15" s="286"/>
      <c r="Q15" s="294">
        <f>(95%)/(5%)*Q14</f>
        <v>2570.874287014427</v>
      </c>
      <c r="R15" s="294"/>
      <c r="S15" s="294"/>
      <c r="T15" s="287"/>
      <c r="U15" s="287"/>
      <c r="V15" s="287"/>
    </row>
    <row r="16" spans="2:22" x14ac:dyDescent="0.3">
      <c r="D16" s="286" t="s">
        <v>1556</v>
      </c>
      <c r="E16" s="286"/>
      <c r="F16" s="286"/>
      <c r="G16" s="286"/>
      <c r="H16" s="286" t="s">
        <v>1557</v>
      </c>
      <c r="I16" s="286"/>
      <c r="J16" s="286"/>
      <c r="K16" s="286" t="s">
        <v>148</v>
      </c>
      <c r="L16" s="286"/>
      <c r="M16" s="286"/>
      <c r="N16" s="286" t="s">
        <v>1558</v>
      </c>
      <c r="O16" s="286"/>
      <c r="P16" s="286"/>
      <c r="Q16" s="294">
        <f>Q14+Q15</f>
        <v>2706.1834600151865</v>
      </c>
      <c r="R16" s="286"/>
      <c r="S16" s="286"/>
      <c r="T16" s="287"/>
      <c r="U16" s="287"/>
      <c r="V16" s="287"/>
    </row>
    <row r="17" spans="4:22" x14ac:dyDescent="0.3">
      <c r="D17" s="286"/>
      <c r="E17" s="286"/>
      <c r="F17" s="286"/>
      <c r="G17" s="286"/>
      <c r="H17" s="286"/>
      <c r="I17" s="286"/>
      <c r="J17" s="286"/>
      <c r="K17" s="286" t="s">
        <v>1559</v>
      </c>
      <c r="L17" s="286"/>
      <c r="M17" s="286"/>
      <c r="N17" s="286" t="s">
        <v>1547</v>
      </c>
      <c r="O17" s="286"/>
      <c r="P17" s="286"/>
      <c r="Q17" s="313">
        <f>Q16/1.44</f>
        <v>1879.2940694549907</v>
      </c>
      <c r="R17" s="313"/>
      <c r="S17" s="313"/>
      <c r="T17" s="287"/>
      <c r="U17" s="287"/>
      <c r="V17" s="287"/>
    </row>
    <row r="18" spans="4:22" x14ac:dyDescent="0.3">
      <c r="D18" s="274" t="s">
        <v>1560</v>
      </c>
      <c r="E18" s="286"/>
      <c r="F18" s="286"/>
      <c r="G18" s="286"/>
      <c r="H18" s="286"/>
      <c r="I18" s="286"/>
      <c r="J18" s="286"/>
      <c r="K18" s="286"/>
      <c r="L18" s="286"/>
      <c r="M18" s="286"/>
      <c r="N18" s="286"/>
      <c r="O18" s="286"/>
      <c r="P18" s="286"/>
      <c r="Q18" s="286"/>
      <c r="R18" s="286"/>
      <c r="S18" s="286"/>
      <c r="T18" s="287"/>
      <c r="U18" s="287"/>
      <c r="V18" s="287"/>
    </row>
    <row r="19" spans="4:22" x14ac:dyDescent="0.3">
      <c r="D19" s="286" t="s">
        <v>366</v>
      </c>
      <c r="E19" s="286"/>
      <c r="F19" s="286"/>
      <c r="G19" s="286"/>
      <c r="H19" s="286" t="s">
        <v>51</v>
      </c>
      <c r="I19" s="286"/>
      <c r="J19" s="286"/>
      <c r="K19" s="286" t="s">
        <v>372</v>
      </c>
      <c r="L19" s="286"/>
      <c r="M19" s="286"/>
      <c r="N19" s="286" t="s">
        <v>310</v>
      </c>
      <c r="O19" s="286"/>
      <c r="P19" s="286"/>
      <c r="Q19" s="286">
        <v>2</v>
      </c>
      <c r="R19" s="286"/>
      <c r="S19" s="286"/>
      <c r="T19" s="287"/>
      <c r="U19" s="287"/>
      <c r="V19" s="287"/>
    </row>
    <row r="20" spans="4:22" x14ac:dyDescent="0.3">
      <c r="D20" s="286" t="s">
        <v>371</v>
      </c>
      <c r="E20" s="286"/>
      <c r="F20" s="286"/>
      <c r="G20" s="286"/>
      <c r="H20" s="286" t="s">
        <v>415</v>
      </c>
      <c r="I20" s="286"/>
      <c r="J20" s="286"/>
      <c r="K20" s="286" t="s">
        <v>259</v>
      </c>
      <c r="L20" s="286"/>
      <c r="M20" s="286"/>
      <c r="N20" s="286" t="s">
        <v>310</v>
      </c>
      <c r="O20" s="286"/>
      <c r="P20" s="286"/>
      <c r="Q20" s="286">
        <v>0.5</v>
      </c>
      <c r="R20" s="286"/>
      <c r="S20" s="286"/>
      <c r="T20" s="287"/>
      <c r="U20" s="287"/>
      <c r="V20" s="287"/>
    </row>
    <row r="21" spans="4:22" x14ac:dyDescent="0.3">
      <c r="D21" s="286" t="s">
        <v>701</v>
      </c>
      <c r="E21" s="286"/>
      <c r="F21" s="286"/>
      <c r="G21" s="286"/>
      <c r="H21" s="286" t="s">
        <v>668</v>
      </c>
      <c r="I21" s="286"/>
      <c r="J21" s="286"/>
      <c r="K21" s="286" t="s">
        <v>259</v>
      </c>
      <c r="L21" s="286"/>
      <c r="M21" s="286"/>
      <c r="N21" s="286" t="s">
        <v>310</v>
      </c>
      <c r="O21" s="286"/>
      <c r="P21" s="286"/>
      <c r="Q21" s="286">
        <f>150/100</f>
        <v>1.5</v>
      </c>
      <c r="R21" s="286"/>
      <c r="S21" s="286"/>
      <c r="T21" s="287"/>
      <c r="U21" s="287"/>
      <c r="V21" s="287"/>
    </row>
    <row r="22" spans="4:22" x14ac:dyDescent="0.3">
      <c r="D22" s="286" t="s">
        <v>702</v>
      </c>
      <c r="E22" s="286"/>
      <c r="F22" s="286"/>
      <c r="G22" s="286"/>
      <c r="H22" s="286" t="s">
        <v>1261</v>
      </c>
      <c r="I22" s="286"/>
      <c r="J22" s="286"/>
      <c r="K22" s="286" t="s">
        <v>259</v>
      </c>
      <c r="L22" s="286"/>
      <c r="M22" s="286"/>
      <c r="N22" s="286" t="s">
        <v>310</v>
      </c>
      <c r="O22" s="286"/>
      <c r="P22" s="286"/>
      <c r="Q22" s="286">
        <f>100/100</f>
        <v>1</v>
      </c>
      <c r="R22" s="286"/>
      <c r="S22" s="286"/>
      <c r="T22" s="287"/>
      <c r="U22" s="287"/>
      <c r="V22" s="287"/>
    </row>
    <row r="23" spans="4:22" x14ac:dyDescent="0.3">
      <c r="D23" s="286" t="s">
        <v>416</v>
      </c>
      <c r="E23" s="286"/>
      <c r="F23" s="286"/>
      <c r="G23" s="286"/>
      <c r="H23" s="286" t="s">
        <v>345</v>
      </c>
      <c r="I23" s="286"/>
      <c r="J23" s="286"/>
      <c r="K23" s="286" t="s">
        <v>259</v>
      </c>
      <c r="L23" s="286"/>
      <c r="M23" s="286"/>
      <c r="N23" s="286" t="s">
        <v>310</v>
      </c>
      <c r="O23" s="286"/>
      <c r="P23" s="286"/>
      <c r="Q23" s="286">
        <f>20/100</f>
        <v>0.2</v>
      </c>
      <c r="R23" s="286"/>
      <c r="S23" s="286"/>
      <c r="T23" s="287"/>
      <c r="U23" s="287"/>
      <c r="V23" s="287"/>
    </row>
    <row r="24" spans="4:22" x14ac:dyDescent="0.3">
      <c r="D24" s="286" t="s">
        <v>1561</v>
      </c>
      <c r="E24" s="286"/>
      <c r="F24" s="286"/>
      <c r="G24" s="286"/>
      <c r="H24" s="286" t="s">
        <v>343</v>
      </c>
      <c r="I24" s="286"/>
      <c r="J24" s="286"/>
      <c r="K24" s="286" t="s">
        <v>350</v>
      </c>
      <c r="L24" s="286"/>
      <c r="M24" s="286"/>
      <c r="N24" s="286" t="s">
        <v>310</v>
      </c>
      <c r="O24" s="286"/>
      <c r="P24" s="286"/>
      <c r="Q24" s="286">
        <f>(Q20*Q21*Q22)</f>
        <v>0.75</v>
      </c>
      <c r="R24" s="286"/>
      <c r="S24" s="286"/>
      <c r="T24" s="287"/>
      <c r="U24" s="287"/>
      <c r="V24" s="287"/>
    </row>
    <row r="25" spans="4:22" x14ac:dyDescent="0.3">
      <c r="D25" s="286" t="s">
        <v>1562</v>
      </c>
      <c r="E25" s="286"/>
      <c r="F25" s="286"/>
      <c r="G25" s="286"/>
      <c r="H25" s="286" t="s">
        <v>1563</v>
      </c>
      <c r="I25" s="286"/>
      <c r="J25" s="286"/>
      <c r="K25" s="286" t="s">
        <v>1564</v>
      </c>
      <c r="L25" s="286"/>
      <c r="M25" s="286"/>
      <c r="N25" s="286" t="s">
        <v>1557</v>
      </c>
      <c r="O25" s="286"/>
      <c r="P25" s="286"/>
      <c r="Q25" s="313">
        <f>Q17</f>
        <v>1879.2940694549907</v>
      </c>
      <c r="R25" s="286"/>
      <c r="S25" s="286"/>
      <c r="T25" s="287"/>
      <c r="U25" s="287"/>
      <c r="V25" s="287"/>
    </row>
    <row r="26" spans="4:22" x14ac:dyDescent="0.3">
      <c r="D26" s="286"/>
      <c r="E26" s="286"/>
      <c r="F26" s="286"/>
      <c r="G26" s="286"/>
      <c r="H26" s="286"/>
      <c r="I26" s="286"/>
      <c r="J26" s="286"/>
      <c r="K26" s="286" t="s">
        <v>780</v>
      </c>
      <c r="L26" s="286"/>
      <c r="M26" s="286"/>
      <c r="N26" s="286" t="s">
        <v>1547</v>
      </c>
      <c r="O26" s="286"/>
      <c r="P26" s="286"/>
      <c r="Q26" s="340">
        <f>0.0000000179*Q25</f>
        <v>3.3639363843244339E-5</v>
      </c>
      <c r="R26" s="340"/>
      <c r="S26" s="340"/>
      <c r="T26" s="287"/>
      <c r="U26" s="287"/>
      <c r="V26" s="287"/>
    </row>
    <row r="27" spans="4:22" x14ac:dyDescent="0.3">
      <c r="D27" s="286" t="s">
        <v>323</v>
      </c>
      <c r="E27" s="286"/>
      <c r="F27" s="286"/>
      <c r="G27" s="286"/>
      <c r="H27" s="286" t="s">
        <v>420</v>
      </c>
      <c r="I27" s="286"/>
      <c r="J27" s="286"/>
      <c r="K27" s="286" t="s">
        <v>422</v>
      </c>
      <c r="L27" s="286"/>
      <c r="M27" s="286"/>
      <c r="N27" s="286" t="s">
        <v>1566</v>
      </c>
      <c r="O27" s="286"/>
      <c r="P27" s="286"/>
      <c r="Q27" s="286">
        <f>Q24/Q26</f>
        <v>22295.308659667757</v>
      </c>
      <c r="R27" s="286"/>
      <c r="S27" s="286"/>
      <c r="T27" s="287"/>
      <c r="U27" s="287"/>
      <c r="V27" s="287"/>
    </row>
    <row r="28" spans="4:22" x14ac:dyDescent="0.3">
      <c r="D28" s="286"/>
      <c r="E28" s="286"/>
      <c r="F28" s="286"/>
      <c r="G28" s="286"/>
      <c r="H28" s="286"/>
      <c r="I28" s="286"/>
      <c r="J28" s="286"/>
      <c r="K28" s="286" t="s">
        <v>1565</v>
      </c>
      <c r="L28" s="286"/>
      <c r="M28" s="286"/>
      <c r="N28" s="286" t="s">
        <v>1547</v>
      </c>
      <c r="O28" s="286"/>
      <c r="P28" s="286"/>
      <c r="Q28" s="296">
        <f>Q27/3600</f>
        <v>6.1931412943521549</v>
      </c>
      <c r="R28" s="296"/>
      <c r="S28" s="296"/>
      <c r="T28" s="287"/>
      <c r="U28" s="287"/>
      <c r="V28" s="287"/>
    </row>
    <row r="29" spans="4:22" x14ac:dyDescent="0.3">
      <c r="D29" s="274" t="s">
        <v>1584</v>
      </c>
      <c r="E29" s="286"/>
      <c r="F29" s="286"/>
      <c r="G29" s="286"/>
      <c r="H29" s="286"/>
      <c r="I29" s="286"/>
      <c r="J29" s="286"/>
      <c r="K29" s="286"/>
      <c r="L29" s="286"/>
      <c r="M29" s="286"/>
      <c r="N29" s="286"/>
      <c r="O29" s="286"/>
      <c r="P29" s="286"/>
      <c r="Q29" s="286"/>
      <c r="R29" s="286"/>
      <c r="S29" s="286"/>
      <c r="T29" s="287"/>
      <c r="U29" s="287"/>
      <c r="V29" s="287"/>
    </row>
    <row r="30" spans="4:22" x14ac:dyDescent="0.3">
      <c r="D30" s="286" t="s">
        <v>645</v>
      </c>
      <c r="E30" s="286"/>
      <c r="F30" s="286"/>
      <c r="G30" s="286"/>
      <c r="H30" s="286" t="s">
        <v>325</v>
      </c>
      <c r="I30" s="286"/>
      <c r="J30" s="286"/>
      <c r="K30" s="286" t="s">
        <v>186</v>
      </c>
      <c r="L30" s="286"/>
      <c r="M30" s="286"/>
      <c r="N30" s="286" t="s">
        <v>403</v>
      </c>
      <c r="O30" s="286"/>
      <c r="P30" s="286"/>
      <c r="Q30" s="294">
        <f>Q10</f>
        <v>0.68287864897272743</v>
      </c>
      <c r="R30" s="286"/>
      <c r="S30" s="286"/>
      <c r="T30" s="287"/>
      <c r="U30" s="287"/>
      <c r="V30" s="287"/>
    </row>
    <row r="31" spans="4:22" x14ac:dyDescent="0.3">
      <c r="D31" s="286" t="s">
        <v>1585</v>
      </c>
      <c r="E31" s="286"/>
      <c r="F31" s="286"/>
      <c r="G31" s="286"/>
      <c r="H31" s="286" t="s">
        <v>51</v>
      </c>
      <c r="I31" s="286"/>
      <c r="J31" s="286"/>
      <c r="K31" s="286" t="s">
        <v>372</v>
      </c>
      <c r="L31" s="286"/>
      <c r="M31" s="286"/>
      <c r="N31" s="286" t="s">
        <v>310</v>
      </c>
      <c r="O31" s="286"/>
      <c r="P31" s="286"/>
      <c r="Q31" s="286">
        <v>2</v>
      </c>
      <c r="R31" s="286"/>
      <c r="S31" s="286"/>
      <c r="T31" s="287"/>
      <c r="U31" s="287"/>
      <c r="V31" s="287"/>
    </row>
    <row r="32" spans="4:22" x14ac:dyDescent="0.3">
      <c r="D32" s="286" t="s">
        <v>1586</v>
      </c>
      <c r="E32" s="286"/>
      <c r="F32" s="286"/>
      <c r="G32" s="286"/>
      <c r="H32" s="286" t="s">
        <v>1578</v>
      </c>
      <c r="I32" s="286"/>
      <c r="J32" s="286"/>
      <c r="K32" s="286" t="s">
        <v>186</v>
      </c>
      <c r="L32" s="286"/>
      <c r="M32" s="286"/>
      <c r="N32" s="286" t="s">
        <v>1587</v>
      </c>
      <c r="O32" s="286"/>
      <c r="P32" s="286"/>
      <c r="Q32" s="294">
        <f>Q30/Q31</f>
        <v>0.34143932448636372</v>
      </c>
      <c r="R32" s="294"/>
      <c r="S32" s="294"/>
      <c r="T32" s="287"/>
      <c r="U32" s="287"/>
      <c r="V32" s="287"/>
    </row>
    <row r="33" spans="4:22" x14ac:dyDescent="0.3">
      <c r="D33" s="286" t="s">
        <v>323</v>
      </c>
      <c r="E33" s="286"/>
      <c r="F33" s="286"/>
      <c r="G33" s="286"/>
      <c r="H33" s="286" t="s">
        <v>420</v>
      </c>
      <c r="I33" s="286"/>
      <c r="J33" s="286"/>
      <c r="K33" s="286" t="s">
        <v>422</v>
      </c>
      <c r="L33" s="286"/>
      <c r="M33" s="286"/>
      <c r="N33" s="286" t="s">
        <v>310</v>
      </c>
      <c r="O33" s="286"/>
      <c r="P33" s="286"/>
      <c r="Q33" s="286">
        <v>600</v>
      </c>
      <c r="R33" s="286"/>
      <c r="S33" s="286"/>
      <c r="T33" s="287"/>
      <c r="U33" s="287"/>
      <c r="V33" s="287"/>
    </row>
    <row r="34" spans="4:22" x14ac:dyDescent="0.3">
      <c r="D34" s="286" t="s">
        <v>371</v>
      </c>
      <c r="E34" s="286"/>
      <c r="F34" s="286"/>
      <c r="G34" s="286"/>
      <c r="H34" s="286" t="s">
        <v>415</v>
      </c>
      <c r="I34" s="286"/>
      <c r="J34" s="286"/>
      <c r="K34" s="286" t="s">
        <v>259</v>
      </c>
      <c r="L34" s="286"/>
      <c r="M34" s="286"/>
      <c r="N34" s="286" t="s">
        <v>310</v>
      </c>
      <c r="O34" s="286"/>
      <c r="P34" s="286"/>
      <c r="Q34" s="286">
        <v>3</v>
      </c>
      <c r="R34" s="286"/>
      <c r="S34" s="286"/>
      <c r="T34" s="50"/>
      <c r="U34" s="50"/>
      <c r="V34" s="50"/>
    </row>
    <row r="35" spans="4:22" x14ac:dyDescent="0.3">
      <c r="D35" s="286" t="s">
        <v>416</v>
      </c>
      <c r="E35" s="286"/>
      <c r="F35" s="286"/>
      <c r="G35" s="286"/>
      <c r="H35" s="286" t="s">
        <v>345</v>
      </c>
      <c r="I35" s="286"/>
      <c r="J35" s="286"/>
      <c r="K35" s="286" t="s">
        <v>259</v>
      </c>
      <c r="L35" s="286"/>
      <c r="M35" s="286"/>
      <c r="N35" s="286" t="s">
        <v>310</v>
      </c>
      <c r="O35" s="286"/>
      <c r="P35" s="286"/>
      <c r="Q35" s="286">
        <v>0.5</v>
      </c>
      <c r="R35" s="286"/>
      <c r="S35" s="286"/>
      <c r="T35" s="287"/>
      <c r="U35" s="287"/>
      <c r="V35" s="287"/>
    </row>
    <row r="36" spans="4:22" x14ac:dyDescent="0.3">
      <c r="D36" s="286" t="s">
        <v>418</v>
      </c>
      <c r="E36" s="286"/>
      <c r="F36" s="286"/>
      <c r="G36" s="286"/>
      <c r="H36" s="286" t="s">
        <v>343</v>
      </c>
      <c r="I36" s="286"/>
      <c r="J36" s="286"/>
      <c r="K36" s="286" t="s">
        <v>350</v>
      </c>
      <c r="L36" s="286"/>
      <c r="M36" s="286"/>
      <c r="N36" s="286" t="s">
        <v>1588</v>
      </c>
      <c r="O36" s="286"/>
      <c r="P36" s="286"/>
      <c r="Q36" s="294">
        <f>Q32*Q33</f>
        <v>204.86359469181824</v>
      </c>
      <c r="R36" s="294"/>
      <c r="S36" s="294"/>
      <c r="T36" s="287"/>
      <c r="U36" s="287"/>
      <c r="V36" s="287"/>
    </row>
    <row r="37" spans="4:22" x14ac:dyDescent="0.3">
      <c r="D37" s="286" t="s">
        <v>1589</v>
      </c>
      <c r="E37" s="286"/>
      <c r="F37" s="286"/>
      <c r="G37" s="286"/>
      <c r="H37" s="286" t="s">
        <v>347</v>
      </c>
      <c r="I37" s="286"/>
      <c r="J37" s="286"/>
      <c r="K37" s="286" t="s">
        <v>320</v>
      </c>
      <c r="L37" s="286"/>
      <c r="M37" s="286"/>
      <c r="N37" s="286" t="s">
        <v>1590</v>
      </c>
      <c r="O37" s="286"/>
      <c r="P37" s="286"/>
      <c r="Q37" s="294">
        <f>Q36/Q34</f>
        <v>68.28786489727274</v>
      </c>
      <c r="R37" s="294"/>
      <c r="S37" s="294"/>
      <c r="T37" s="287"/>
      <c r="U37" s="287"/>
      <c r="V37" s="287"/>
    </row>
    <row r="38" spans="4:22" x14ac:dyDescent="0.3">
      <c r="D38" s="286" t="s">
        <v>702</v>
      </c>
      <c r="E38" s="286"/>
      <c r="F38" s="286"/>
      <c r="G38" s="286"/>
      <c r="H38" s="286" t="s">
        <v>1261</v>
      </c>
      <c r="I38" s="286"/>
      <c r="J38" s="286"/>
      <c r="K38" s="286" t="s">
        <v>259</v>
      </c>
      <c r="L38" s="286"/>
      <c r="M38" s="286"/>
      <c r="N38" s="286" t="s">
        <v>1591</v>
      </c>
      <c r="O38" s="286"/>
      <c r="P38" s="286"/>
      <c r="Q38" s="294">
        <f>(Q37/2)^0.5</f>
        <v>5.843280966087149</v>
      </c>
      <c r="R38" s="294"/>
      <c r="S38" s="294"/>
      <c r="T38" s="287"/>
      <c r="U38" s="287"/>
      <c r="V38" s="287"/>
    </row>
    <row r="39" spans="4:22" x14ac:dyDescent="0.3">
      <c r="D39" s="286" t="s">
        <v>701</v>
      </c>
      <c r="E39" s="286"/>
      <c r="F39" s="286"/>
      <c r="G39" s="286"/>
      <c r="H39" s="286" t="s">
        <v>412</v>
      </c>
      <c r="I39" s="286"/>
      <c r="J39" s="286"/>
      <c r="K39" s="286" t="s">
        <v>259</v>
      </c>
      <c r="L39" s="286"/>
      <c r="M39" s="286"/>
      <c r="N39" s="286" t="s">
        <v>1592</v>
      </c>
      <c r="O39" s="286"/>
      <c r="P39" s="286"/>
      <c r="Q39" s="294">
        <f>Q38*2</f>
        <v>11.686561932174298</v>
      </c>
      <c r="R39" s="294"/>
      <c r="S39" s="294"/>
      <c r="T39" s="287"/>
      <c r="U39" s="287"/>
      <c r="V39" s="287"/>
    </row>
    <row r="40" spans="4:22" x14ac:dyDescent="0.3">
      <c r="D40" s="286"/>
      <c r="E40" s="286"/>
      <c r="F40" s="286"/>
      <c r="G40" s="286"/>
      <c r="H40" s="286"/>
      <c r="I40" s="286"/>
      <c r="J40" s="286"/>
      <c r="K40" s="286"/>
      <c r="L40" s="286"/>
      <c r="M40" s="286"/>
      <c r="N40" s="286"/>
      <c r="O40" s="286"/>
      <c r="P40" s="286"/>
      <c r="Q40" s="286"/>
      <c r="R40" s="286"/>
      <c r="S40" s="286"/>
      <c r="T40" s="287"/>
      <c r="U40" s="287"/>
      <c r="V40" s="287"/>
    </row>
    <row r="41" spans="4:22" x14ac:dyDescent="0.3">
      <c r="D41" s="286"/>
      <c r="E41" s="286"/>
      <c r="F41" s="286"/>
      <c r="G41" s="286"/>
      <c r="H41" s="286"/>
      <c r="I41" s="286"/>
      <c r="J41" s="286"/>
      <c r="K41" s="286"/>
      <c r="L41" s="286"/>
      <c r="M41" s="286"/>
      <c r="N41" s="286"/>
      <c r="O41" s="286"/>
      <c r="P41" s="286"/>
      <c r="Q41" s="286"/>
      <c r="R41" s="286"/>
      <c r="S41" s="286"/>
      <c r="T41" s="287"/>
      <c r="U41" s="287"/>
      <c r="V41" s="287"/>
    </row>
  </sheetData>
  <mergeCells count="240">
    <mergeCell ref="Q3:S3"/>
    <mergeCell ref="T3:V3"/>
    <mergeCell ref="D4:G4"/>
    <mergeCell ref="H4:J4"/>
    <mergeCell ref="K4:M4"/>
    <mergeCell ref="N4:P4"/>
    <mergeCell ref="Q4:S4"/>
    <mergeCell ref="T4:V4"/>
    <mergeCell ref="B2:C2"/>
    <mergeCell ref="D2:G2"/>
    <mergeCell ref="H2:J2"/>
    <mergeCell ref="K2:M2"/>
    <mergeCell ref="N2:P2"/>
    <mergeCell ref="D3:G3"/>
    <mergeCell ref="H3:J3"/>
    <mergeCell ref="K3:M3"/>
    <mergeCell ref="N3:P3"/>
    <mergeCell ref="Q2:S2"/>
    <mergeCell ref="T2:V2"/>
    <mergeCell ref="D6:G6"/>
    <mergeCell ref="H6:J6"/>
    <mergeCell ref="K6:M6"/>
    <mergeCell ref="N6:P6"/>
    <mergeCell ref="Q6:S6"/>
    <mergeCell ref="T6:V6"/>
    <mergeCell ref="D5:G5"/>
    <mergeCell ref="H5:J5"/>
    <mergeCell ref="K5:M5"/>
    <mergeCell ref="N5:P5"/>
    <mergeCell ref="Q5:S5"/>
    <mergeCell ref="T5:V5"/>
    <mergeCell ref="D8:G8"/>
    <mergeCell ref="H8:J8"/>
    <mergeCell ref="K8:M8"/>
    <mergeCell ref="N8:P8"/>
    <mergeCell ref="Q8:S8"/>
    <mergeCell ref="T8:V8"/>
    <mergeCell ref="D7:G7"/>
    <mergeCell ref="H7:J7"/>
    <mergeCell ref="K7:M7"/>
    <mergeCell ref="N7:P7"/>
    <mergeCell ref="Q7:S7"/>
    <mergeCell ref="T7:V7"/>
    <mergeCell ref="D10:G10"/>
    <mergeCell ref="H10:J10"/>
    <mergeCell ref="K10:M10"/>
    <mergeCell ref="N10:P10"/>
    <mergeCell ref="Q10:S10"/>
    <mergeCell ref="T10:V10"/>
    <mergeCell ref="D9:G9"/>
    <mergeCell ref="H9:J9"/>
    <mergeCell ref="K9:M9"/>
    <mergeCell ref="N9:P9"/>
    <mergeCell ref="Q9:S9"/>
    <mergeCell ref="T9:V9"/>
    <mergeCell ref="D12:G12"/>
    <mergeCell ref="H12:J12"/>
    <mergeCell ref="K12:M12"/>
    <mergeCell ref="N12:P12"/>
    <mergeCell ref="Q12:S12"/>
    <mergeCell ref="T12:V12"/>
    <mergeCell ref="D11:G11"/>
    <mergeCell ref="H11:J11"/>
    <mergeCell ref="K11:M11"/>
    <mergeCell ref="N11:P11"/>
    <mergeCell ref="Q11:S11"/>
    <mergeCell ref="T11:V11"/>
    <mergeCell ref="D14:G14"/>
    <mergeCell ref="H14:J14"/>
    <mergeCell ref="K14:M14"/>
    <mergeCell ref="N14:P14"/>
    <mergeCell ref="Q14:S14"/>
    <mergeCell ref="T14:V14"/>
    <mergeCell ref="D13:G13"/>
    <mergeCell ref="H13:J13"/>
    <mergeCell ref="K13:M13"/>
    <mergeCell ref="N13:P13"/>
    <mergeCell ref="Q13:S13"/>
    <mergeCell ref="T13:V13"/>
    <mergeCell ref="D16:G16"/>
    <mergeCell ref="H16:J16"/>
    <mergeCell ref="K16:M16"/>
    <mergeCell ref="N16:P16"/>
    <mergeCell ref="Q16:S16"/>
    <mergeCell ref="T16:V16"/>
    <mergeCell ref="D15:G15"/>
    <mergeCell ref="H15:J15"/>
    <mergeCell ref="K15:M15"/>
    <mergeCell ref="N15:P15"/>
    <mergeCell ref="Q15:S15"/>
    <mergeCell ref="T15:V15"/>
    <mergeCell ref="D18:G18"/>
    <mergeCell ref="H18:J18"/>
    <mergeCell ref="K18:M18"/>
    <mergeCell ref="N18:P18"/>
    <mergeCell ref="Q18:S18"/>
    <mergeCell ref="T18:V18"/>
    <mergeCell ref="D17:G17"/>
    <mergeCell ref="H17:J17"/>
    <mergeCell ref="K17:M17"/>
    <mergeCell ref="N17:P17"/>
    <mergeCell ref="Q17:S17"/>
    <mergeCell ref="T17:V17"/>
    <mergeCell ref="D20:G20"/>
    <mergeCell ref="H20:J20"/>
    <mergeCell ref="K20:M20"/>
    <mergeCell ref="N20:P20"/>
    <mergeCell ref="Q20:S20"/>
    <mergeCell ref="T20:V20"/>
    <mergeCell ref="D19:G19"/>
    <mergeCell ref="H19:J19"/>
    <mergeCell ref="K19:M19"/>
    <mergeCell ref="N19:P19"/>
    <mergeCell ref="Q19:S19"/>
    <mergeCell ref="T19:V19"/>
    <mergeCell ref="D22:G22"/>
    <mergeCell ref="H22:J22"/>
    <mergeCell ref="K22:M22"/>
    <mergeCell ref="N22:P22"/>
    <mergeCell ref="Q22:S22"/>
    <mergeCell ref="T22:V22"/>
    <mergeCell ref="D21:G21"/>
    <mergeCell ref="H21:J21"/>
    <mergeCell ref="K21:M21"/>
    <mergeCell ref="N21:P21"/>
    <mergeCell ref="Q21:S21"/>
    <mergeCell ref="T21:V21"/>
    <mergeCell ref="D24:G24"/>
    <mergeCell ref="H24:J24"/>
    <mergeCell ref="K24:M24"/>
    <mergeCell ref="N24:P24"/>
    <mergeCell ref="Q24:S24"/>
    <mergeCell ref="T24:V24"/>
    <mergeCell ref="D23:G23"/>
    <mergeCell ref="H23:J23"/>
    <mergeCell ref="K23:M23"/>
    <mergeCell ref="N23:P23"/>
    <mergeCell ref="Q23:S23"/>
    <mergeCell ref="T23:V23"/>
    <mergeCell ref="D26:G26"/>
    <mergeCell ref="H26:J26"/>
    <mergeCell ref="K26:M26"/>
    <mergeCell ref="N26:P26"/>
    <mergeCell ref="Q26:S26"/>
    <mergeCell ref="T26:V26"/>
    <mergeCell ref="D25:G25"/>
    <mergeCell ref="H25:J25"/>
    <mergeCell ref="K25:M25"/>
    <mergeCell ref="N25:P25"/>
    <mergeCell ref="Q25:S25"/>
    <mergeCell ref="T25:V25"/>
    <mergeCell ref="D28:G28"/>
    <mergeCell ref="H28:J28"/>
    <mergeCell ref="K28:M28"/>
    <mergeCell ref="N28:P28"/>
    <mergeCell ref="Q28:S28"/>
    <mergeCell ref="T28:V28"/>
    <mergeCell ref="D27:G27"/>
    <mergeCell ref="H27:J27"/>
    <mergeCell ref="K27:M27"/>
    <mergeCell ref="N27:P27"/>
    <mergeCell ref="Q27:S27"/>
    <mergeCell ref="T27:V27"/>
    <mergeCell ref="D30:G30"/>
    <mergeCell ref="H30:J30"/>
    <mergeCell ref="K30:M30"/>
    <mergeCell ref="N30:P30"/>
    <mergeCell ref="Q30:S30"/>
    <mergeCell ref="T30:V30"/>
    <mergeCell ref="D29:G29"/>
    <mergeCell ref="H29:J29"/>
    <mergeCell ref="K29:M29"/>
    <mergeCell ref="N29:P29"/>
    <mergeCell ref="Q29:S29"/>
    <mergeCell ref="T29:V29"/>
    <mergeCell ref="D32:G32"/>
    <mergeCell ref="H32:J32"/>
    <mergeCell ref="K32:M32"/>
    <mergeCell ref="N32:P32"/>
    <mergeCell ref="Q32:S32"/>
    <mergeCell ref="T32:V32"/>
    <mergeCell ref="D31:G31"/>
    <mergeCell ref="H31:J31"/>
    <mergeCell ref="K31:M31"/>
    <mergeCell ref="N31:P31"/>
    <mergeCell ref="Q31:S31"/>
    <mergeCell ref="T31:V31"/>
    <mergeCell ref="D35:G35"/>
    <mergeCell ref="H35:J35"/>
    <mergeCell ref="K35:M35"/>
    <mergeCell ref="N35:P35"/>
    <mergeCell ref="Q35:S35"/>
    <mergeCell ref="T35:V35"/>
    <mergeCell ref="D33:G33"/>
    <mergeCell ref="H33:J33"/>
    <mergeCell ref="K33:M33"/>
    <mergeCell ref="N33:P33"/>
    <mergeCell ref="Q33:S33"/>
    <mergeCell ref="T33:V33"/>
    <mergeCell ref="D34:G34"/>
    <mergeCell ref="H34:J34"/>
    <mergeCell ref="K34:M34"/>
    <mergeCell ref="N34:P34"/>
    <mergeCell ref="Q34:S34"/>
    <mergeCell ref="D37:G37"/>
    <mergeCell ref="H37:J37"/>
    <mergeCell ref="K37:M37"/>
    <mergeCell ref="N37:P37"/>
    <mergeCell ref="Q37:S37"/>
    <mergeCell ref="T37:V37"/>
    <mergeCell ref="D36:G36"/>
    <mergeCell ref="H36:J36"/>
    <mergeCell ref="K36:M36"/>
    <mergeCell ref="N36:P36"/>
    <mergeCell ref="Q36:S36"/>
    <mergeCell ref="T36:V36"/>
    <mergeCell ref="D39:G39"/>
    <mergeCell ref="H39:J39"/>
    <mergeCell ref="K39:M39"/>
    <mergeCell ref="N39:P39"/>
    <mergeCell ref="Q39:S39"/>
    <mergeCell ref="T39:V39"/>
    <mergeCell ref="D38:G38"/>
    <mergeCell ref="H38:J38"/>
    <mergeCell ref="K38:M38"/>
    <mergeCell ref="N38:P38"/>
    <mergeCell ref="Q38:S38"/>
    <mergeCell ref="T38:V38"/>
    <mergeCell ref="D41:G41"/>
    <mergeCell ref="H41:J41"/>
    <mergeCell ref="K41:M41"/>
    <mergeCell ref="N41:P41"/>
    <mergeCell ref="Q41:S41"/>
    <mergeCell ref="T41:V41"/>
    <mergeCell ref="D40:G40"/>
    <mergeCell ref="H40:J40"/>
    <mergeCell ref="K40:M40"/>
    <mergeCell ref="N40:P40"/>
    <mergeCell ref="Q40:S40"/>
    <mergeCell ref="T40:V40"/>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AFBE7-6531-449B-99C0-6B188018C8E4}">
  <dimension ref="B3:V30"/>
  <sheetViews>
    <sheetView topLeftCell="D1" zoomScale="80" zoomScaleNormal="80" workbookViewId="0">
      <selection activeCell="Q24" sqref="Q24:S24"/>
    </sheetView>
  </sheetViews>
  <sheetFormatPr defaultRowHeight="14.4" x14ac:dyDescent="0.3"/>
  <sheetData>
    <row r="3" spans="2:22" x14ac:dyDescent="0.3">
      <c r="D3" s="285" t="s">
        <v>94</v>
      </c>
      <c r="E3" s="285"/>
      <c r="F3" s="285"/>
      <c r="G3" s="285"/>
      <c r="H3" s="285"/>
      <c r="I3" s="285" t="s">
        <v>129</v>
      </c>
      <c r="J3" s="285"/>
      <c r="K3" s="285"/>
      <c r="L3" s="285" t="s">
        <v>1570</v>
      </c>
      <c r="M3" s="285"/>
      <c r="N3" s="285"/>
      <c r="O3" s="285" t="s">
        <v>1099</v>
      </c>
      <c r="P3" s="285"/>
      <c r="Q3" s="285"/>
      <c r="R3" s="285" t="s">
        <v>376</v>
      </c>
      <c r="S3" s="285"/>
      <c r="T3" s="285"/>
    </row>
    <row r="4" spans="2:22" x14ac:dyDescent="0.3">
      <c r="D4" s="286" t="s">
        <v>323</v>
      </c>
      <c r="E4" s="286"/>
      <c r="F4" s="286"/>
      <c r="G4" s="286"/>
      <c r="H4" s="286"/>
      <c r="I4" s="287" t="s">
        <v>275</v>
      </c>
      <c r="J4" s="287"/>
      <c r="K4" s="287"/>
      <c r="L4" s="287">
        <v>30</v>
      </c>
      <c r="M4" s="287"/>
      <c r="N4" s="287"/>
      <c r="O4" s="287"/>
      <c r="P4" s="287"/>
      <c r="Q4" s="287"/>
      <c r="R4" s="287"/>
      <c r="S4" s="287"/>
      <c r="T4" s="287"/>
    </row>
    <row r="5" spans="2:22" x14ac:dyDescent="0.3">
      <c r="D5" s="286" t="s">
        <v>1567</v>
      </c>
      <c r="E5" s="286"/>
      <c r="F5" s="286"/>
      <c r="G5" s="286"/>
      <c r="H5" s="286"/>
      <c r="I5" s="287" t="s">
        <v>516</v>
      </c>
      <c r="J5" s="287"/>
      <c r="K5" s="287"/>
      <c r="L5" s="287">
        <v>30</v>
      </c>
      <c r="M5" s="287"/>
      <c r="N5" s="287"/>
      <c r="O5" s="287"/>
      <c r="P5" s="287"/>
      <c r="Q5" s="287"/>
      <c r="R5" s="287"/>
      <c r="S5" s="287"/>
      <c r="T5" s="287"/>
    </row>
    <row r="6" spans="2:22" x14ac:dyDescent="0.3">
      <c r="D6" s="286" t="s">
        <v>1568</v>
      </c>
      <c r="E6" s="286"/>
      <c r="F6" s="286"/>
      <c r="G6" s="286"/>
      <c r="H6" s="286"/>
      <c r="I6" s="287"/>
      <c r="J6" s="287"/>
      <c r="K6" s="287"/>
      <c r="L6" s="287" t="s">
        <v>1571</v>
      </c>
      <c r="M6" s="287"/>
      <c r="N6" s="287"/>
      <c r="O6" s="287"/>
      <c r="P6" s="287"/>
      <c r="Q6" s="287"/>
      <c r="R6" s="287"/>
      <c r="S6" s="287"/>
      <c r="T6" s="287"/>
    </row>
    <row r="7" spans="2:22" x14ac:dyDescent="0.3">
      <c r="D7" s="286"/>
      <c r="E7" s="286"/>
      <c r="F7" s="286"/>
      <c r="G7" s="286"/>
      <c r="H7" s="286"/>
      <c r="I7" s="287"/>
      <c r="J7" s="287"/>
      <c r="K7" s="287"/>
      <c r="L7" s="287" t="s">
        <v>1572</v>
      </c>
      <c r="M7" s="287"/>
      <c r="N7" s="287"/>
      <c r="O7" s="287"/>
      <c r="P7" s="287"/>
      <c r="Q7" s="287"/>
      <c r="R7" s="287"/>
      <c r="S7" s="287"/>
      <c r="T7" s="287"/>
    </row>
    <row r="8" spans="2:22" x14ac:dyDescent="0.3">
      <c r="D8" s="286"/>
      <c r="E8" s="286"/>
      <c r="F8" s="286"/>
      <c r="G8" s="286"/>
      <c r="H8" s="286"/>
      <c r="I8" s="287"/>
      <c r="J8" s="287"/>
      <c r="K8" s="287"/>
      <c r="L8" s="287" t="s">
        <v>1573</v>
      </c>
      <c r="M8" s="287"/>
      <c r="N8" s="287"/>
      <c r="O8" s="287"/>
      <c r="P8" s="287"/>
      <c r="Q8" s="287"/>
      <c r="R8" s="287"/>
      <c r="S8" s="287"/>
      <c r="T8" s="287"/>
    </row>
    <row r="9" spans="2:22" x14ac:dyDescent="0.3">
      <c r="D9" s="286" t="s">
        <v>416</v>
      </c>
      <c r="E9" s="286"/>
      <c r="F9" s="286"/>
      <c r="G9" s="286"/>
      <c r="H9" s="286"/>
      <c r="I9" s="287" t="s">
        <v>516</v>
      </c>
      <c r="J9" s="287"/>
      <c r="K9" s="287"/>
      <c r="L9" s="287" t="s">
        <v>1574</v>
      </c>
      <c r="M9" s="287"/>
      <c r="N9" s="287"/>
      <c r="O9" s="287"/>
      <c r="P9" s="287"/>
      <c r="Q9" s="287"/>
      <c r="R9" s="287"/>
      <c r="S9" s="287"/>
      <c r="T9" s="287"/>
    </row>
    <row r="10" spans="2:22" x14ac:dyDescent="0.3">
      <c r="D10" s="286" t="s">
        <v>1569</v>
      </c>
      <c r="E10" s="286"/>
      <c r="F10" s="286"/>
      <c r="G10" s="286"/>
      <c r="H10" s="286"/>
      <c r="I10" s="287" t="s">
        <v>259</v>
      </c>
      <c r="J10" s="287"/>
      <c r="K10" s="287"/>
      <c r="L10" s="322" t="s">
        <v>1575</v>
      </c>
      <c r="M10" s="287"/>
      <c r="N10" s="287"/>
      <c r="O10" s="287"/>
      <c r="P10" s="287"/>
      <c r="Q10" s="287"/>
      <c r="R10" s="287"/>
      <c r="S10" s="287"/>
      <c r="T10" s="287"/>
    </row>
    <row r="13" spans="2:22" x14ac:dyDescent="0.3">
      <c r="B13" s="297" t="s">
        <v>389</v>
      </c>
      <c r="C13" s="297"/>
      <c r="D13" s="291" t="s">
        <v>388</v>
      </c>
      <c r="E13" s="291"/>
      <c r="F13" s="291"/>
      <c r="G13" s="291"/>
      <c r="H13" s="291" t="s">
        <v>300</v>
      </c>
      <c r="I13" s="291"/>
      <c r="J13" s="291"/>
      <c r="K13" s="291" t="s">
        <v>129</v>
      </c>
      <c r="L13" s="291"/>
      <c r="M13" s="291"/>
      <c r="N13" s="291" t="s">
        <v>301</v>
      </c>
      <c r="O13" s="291"/>
      <c r="P13" s="291"/>
      <c r="Q13" s="291" t="s">
        <v>302</v>
      </c>
      <c r="R13" s="291"/>
      <c r="S13" s="291"/>
      <c r="T13" s="291" t="s">
        <v>334</v>
      </c>
      <c r="U13" s="291"/>
      <c r="V13" s="291"/>
    </row>
    <row r="14" spans="2:22" x14ac:dyDescent="0.3">
      <c r="D14" s="286" t="s">
        <v>1576</v>
      </c>
      <c r="E14" s="286"/>
      <c r="F14" s="286"/>
      <c r="G14" s="286"/>
      <c r="H14" s="286" t="s">
        <v>325</v>
      </c>
      <c r="I14" s="286"/>
      <c r="J14" s="286"/>
      <c r="K14" s="286" t="s">
        <v>186</v>
      </c>
      <c r="L14" s="286"/>
      <c r="M14" s="286"/>
      <c r="N14" s="286" t="s">
        <v>403</v>
      </c>
      <c r="O14" s="286"/>
      <c r="P14" s="286"/>
      <c r="Q14" s="294">
        <f>'Kebutuhan Air Total'!G26</f>
        <v>0.68287864897272743</v>
      </c>
      <c r="R14" s="294"/>
      <c r="S14" s="294"/>
      <c r="T14" s="286"/>
      <c r="U14" s="286"/>
      <c r="V14" s="286"/>
    </row>
    <row r="15" spans="2:22" x14ac:dyDescent="0.3">
      <c r="D15" s="286" t="s">
        <v>1577</v>
      </c>
      <c r="E15" s="286"/>
      <c r="F15" s="286"/>
      <c r="G15" s="286"/>
      <c r="H15" s="286" t="s">
        <v>51</v>
      </c>
      <c r="I15" s="286"/>
      <c r="J15" s="286"/>
      <c r="K15" s="286" t="s">
        <v>372</v>
      </c>
      <c r="L15" s="286"/>
      <c r="M15" s="286"/>
      <c r="N15" s="286" t="s">
        <v>310</v>
      </c>
      <c r="O15" s="286"/>
      <c r="P15" s="286"/>
      <c r="Q15" s="286">
        <v>3</v>
      </c>
      <c r="R15" s="286"/>
      <c r="S15" s="286"/>
      <c r="T15" s="286"/>
      <c r="U15" s="286"/>
      <c r="V15" s="286"/>
    </row>
    <row r="16" spans="2:22" x14ac:dyDescent="0.3">
      <c r="D16" s="286" t="s">
        <v>1562</v>
      </c>
      <c r="E16" s="286"/>
      <c r="F16" s="286"/>
      <c r="G16" s="286"/>
      <c r="H16" s="286" t="s">
        <v>1578</v>
      </c>
      <c r="I16" s="286"/>
      <c r="J16" s="286"/>
      <c r="K16" s="286" t="s">
        <v>186</v>
      </c>
      <c r="L16" s="286"/>
      <c r="M16" s="286"/>
      <c r="N16" s="286" t="s">
        <v>859</v>
      </c>
      <c r="O16" s="286"/>
      <c r="P16" s="286"/>
      <c r="Q16" s="296">
        <f>Q14/Q15</f>
        <v>0.22762621632424249</v>
      </c>
      <c r="R16" s="296"/>
      <c r="S16" s="296"/>
      <c r="T16" s="286"/>
      <c r="U16" s="286"/>
      <c r="V16" s="286"/>
    </row>
    <row r="17" spans="4:22" x14ac:dyDescent="0.3">
      <c r="D17" s="286" t="s">
        <v>323</v>
      </c>
      <c r="E17" s="286"/>
      <c r="F17" s="286"/>
      <c r="G17" s="286"/>
      <c r="H17" s="286" t="s">
        <v>420</v>
      </c>
      <c r="I17" s="286"/>
      <c r="J17" s="286"/>
      <c r="K17" s="286" t="s">
        <v>275</v>
      </c>
      <c r="L17" s="286"/>
      <c r="M17" s="286"/>
      <c r="N17" s="286" t="s">
        <v>309</v>
      </c>
      <c r="O17" s="286"/>
      <c r="P17" s="286"/>
      <c r="Q17" s="286">
        <v>30</v>
      </c>
      <c r="R17" s="286"/>
      <c r="S17" s="286"/>
      <c r="T17" s="286"/>
      <c r="U17" s="286"/>
      <c r="V17" s="286"/>
    </row>
    <row r="18" spans="4:22" x14ac:dyDescent="0.3">
      <c r="D18" s="286"/>
      <c r="E18" s="286"/>
      <c r="F18" s="286"/>
      <c r="G18" s="286"/>
      <c r="H18" s="286"/>
      <c r="I18" s="286"/>
      <c r="J18" s="286"/>
      <c r="K18" s="286" t="s">
        <v>422</v>
      </c>
      <c r="L18" s="286"/>
      <c r="M18" s="286"/>
      <c r="N18" s="286" t="s">
        <v>1547</v>
      </c>
      <c r="O18" s="286"/>
      <c r="P18" s="286"/>
      <c r="Q18" s="286">
        <f>Q17*60</f>
        <v>1800</v>
      </c>
      <c r="R18" s="286"/>
      <c r="S18" s="286"/>
      <c r="T18" s="286"/>
      <c r="U18" s="286"/>
      <c r="V18" s="286"/>
    </row>
    <row r="19" spans="4:22" x14ac:dyDescent="0.3">
      <c r="D19" s="286" t="s">
        <v>1579</v>
      </c>
      <c r="E19" s="286"/>
      <c r="F19" s="286"/>
      <c r="G19" s="286"/>
      <c r="H19" s="286" t="s">
        <v>1580</v>
      </c>
      <c r="I19" s="286"/>
      <c r="J19" s="286"/>
      <c r="K19" s="286"/>
      <c r="L19" s="286"/>
      <c r="M19" s="286"/>
      <c r="N19" s="286" t="s">
        <v>1581</v>
      </c>
      <c r="O19" s="286"/>
      <c r="P19" s="286"/>
      <c r="Q19" s="296">
        <f>12%*(Q16*Q18)</f>
        <v>49.167262726036377</v>
      </c>
      <c r="R19" s="296"/>
      <c r="S19" s="296"/>
      <c r="T19" s="286"/>
      <c r="U19" s="286"/>
      <c r="V19" s="286"/>
    </row>
    <row r="20" spans="4:22" x14ac:dyDescent="0.3">
      <c r="D20" s="286" t="s">
        <v>1582</v>
      </c>
      <c r="E20" s="286"/>
      <c r="F20" s="286"/>
      <c r="G20" s="286"/>
      <c r="H20" s="286" t="s">
        <v>415</v>
      </c>
      <c r="I20" s="286"/>
      <c r="J20" s="286"/>
      <c r="K20" s="286" t="s">
        <v>259</v>
      </c>
      <c r="L20" s="286"/>
      <c r="M20" s="286"/>
      <c r="N20" s="286" t="s">
        <v>310</v>
      </c>
      <c r="O20" s="286"/>
      <c r="P20" s="286"/>
      <c r="Q20" s="286">
        <v>3</v>
      </c>
      <c r="R20" s="286"/>
      <c r="S20" s="286"/>
      <c r="T20" s="286"/>
      <c r="U20" s="286"/>
      <c r="V20" s="286"/>
    </row>
    <row r="21" spans="4:22" x14ac:dyDescent="0.3">
      <c r="D21" s="286" t="s">
        <v>702</v>
      </c>
      <c r="E21" s="286"/>
      <c r="F21" s="286"/>
      <c r="G21" s="286"/>
      <c r="H21" s="286" t="s">
        <v>306</v>
      </c>
      <c r="I21" s="286"/>
      <c r="J21" s="286"/>
      <c r="K21" s="286" t="s">
        <v>259</v>
      </c>
      <c r="L21" s="286"/>
      <c r="M21" s="286"/>
      <c r="N21" s="286" t="s">
        <v>1583</v>
      </c>
      <c r="O21" s="286"/>
      <c r="P21" s="286"/>
      <c r="Q21" s="293">
        <f>(Q19/Q20)^0.5</f>
        <v>4.0483438064652386</v>
      </c>
      <c r="R21" s="293"/>
      <c r="S21" s="293"/>
      <c r="T21" s="286"/>
      <c r="U21" s="286"/>
      <c r="V21" s="286"/>
    </row>
    <row r="22" spans="4:22" x14ac:dyDescent="0.3">
      <c r="D22" s="286" t="s">
        <v>701</v>
      </c>
      <c r="E22" s="286"/>
      <c r="F22" s="286"/>
      <c r="G22" s="286"/>
      <c r="H22" s="286" t="s">
        <v>412</v>
      </c>
      <c r="I22" s="286"/>
      <c r="J22" s="286"/>
      <c r="K22" s="286" t="s">
        <v>259</v>
      </c>
      <c r="L22" s="286"/>
      <c r="M22" s="286"/>
      <c r="N22" s="286" t="s">
        <v>306</v>
      </c>
      <c r="O22" s="286"/>
      <c r="P22" s="286"/>
      <c r="Q22" s="293">
        <f>Q21</f>
        <v>4.0483438064652386</v>
      </c>
      <c r="R22" s="293"/>
      <c r="S22" s="293"/>
      <c r="T22" s="286"/>
      <c r="U22" s="286"/>
      <c r="V22" s="286"/>
    </row>
    <row r="23" spans="4:22" x14ac:dyDescent="0.3">
      <c r="D23" s="286"/>
      <c r="E23" s="286"/>
      <c r="F23" s="286"/>
      <c r="G23" s="286"/>
      <c r="H23" s="286"/>
      <c r="I23" s="286"/>
      <c r="J23" s="286"/>
      <c r="K23" s="286"/>
      <c r="L23" s="286"/>
      <c r="M23" s="286"/>
      <c r="N23" s="286"/>
      <c r="O23" s="286"/>
      <c r="P23" s="286"/>
      <c r="Q23" s="286"/>
      <c r="R23" s="286"/>
      <c r="S23" s="286"/>
      <c r="T23" s="286"/>
      <c r="U23" s="286"/>
      <c r="V23" s="286"/>
    </row>
    <row r="24" spans="4:22" x14ac:dyDescent="0.3">
      <c r="D24" s="286"/>
      <c r="E24" s="286"/>
      <c r="F24" s="286"/>
      <c r="G24" s="286"/>
      <c r="H24" s="286"/>
      <c r="I24" s="286"/>
      <c r="J24" s="286"/>
      <c r="K24" s="286"/>
      <c r="L24" s="286"/>
      <c r="M24" s="286"/>
      <c r="N24" s="286"/>
      <c r="O24" s="286"/>
      <c r="P24" s="286"/>
      <c r="Q24" s="286"/>
      <c r="R24" s="286"/>
      <c r="S24" s="286"/>
      <c r="T24" s="286"/>
      <c r="U24" s="286"/>
      <c r="V24" s="286"/>
    </row>
    <row r="25" spans="4:22" x14ac:dyDescent="0.3">
      <c r="D25" s="286"/>
      <c r="E25" s="286"/>
      <c r="F25" s="286"/>
      <c r="G25" s="286"/>
      <c r="H25" s="286"/>
      <c r="I25" s="286"/>
      <c r="J25" s="286"/>
      <c r="K25" s="286"/>
      <c r="L25" s="286"/>
      <c r="M25" s="286"/>
      <c r="N25" s="286"/>
      <c r="O25" s="286"/>
      <c r="P25" s="286"/>
      <c r="Q25" s="286"/>
      <c r="R25" s="286"/>
      <c r="S25" s="286"/>
      <c r="T25" s="286"/>
      <c r="U25" s="286"/>
      <c r="V25" s="286"/>
    </row>
    <row r="26" spans="4:22" x14ac:dyDescent="0.3">
      <c r="D26" s="286"/>
      <c r="E26" s="286"/>
      <c r="F26" s="286"/>
      <c r="G26" s="286"/>
      <c r="H26" s="286"/>
      <c r="I26" s="286"/>
      <c r="J26" s="286"/>
      <c r="K26" s="286"/>
      <c r="L26" s="286"/>
      <c r="M26" s="286"/>
      <c r="N26" s="286"/>
      <c r="O26" s="286"/>
      <c r="P26" s="286"/>
      <c r="Q26" s="286"/>
      <c r="R26" s="286"/>
      <c r="S26" s="286"/>
      <c r="T26" s="286"/>
      <c r="U26" s="286"/>
      <c r="V26" s="286"/>
    </row>
    <row r="27" spans="4:22" x14ac:dyDescent="0.3">
      <c r="D27" s="286"/>
      <c r="E27" s="286"/>
      <c r="F27" s="286"/>
      <c r="G27" s="286"/>
      <c r="H27" s="286"/>
      <c r="I27" s="286"/>
      <c r="J27" s="286"/>
      <c r="K27" s="286"/>
      <c r="L27" s="286"/>
      <c r="M27" s="286"/>
      <c r="N27" s="286"/>
      <c r="O27" s="286"/>
      <c r="P27" s="286"/>
      <c r="Q27" s="286"/>
      <c r="R27" s="286"/>
      <c r="S27" s="286"/>
      <c r="T27" s="286"/>
      <c r="U27" s="286"/>
      <c r="V27" s="286"/>
    </row>
    <row r="28" spans="4:22" x14ac:dyDescent="0.3">
      <c r="D28" s="286"/>
      <c r="E28" s="286"/>
      <c r="F28" s="286"/>
      <c r="G28" s="286"/>
      <c r="H28" s="286"/>
      <c r="I28" s="286"/>
      <c r="J28" s="286"/>
      <c r="K28" s="286"/>
      <c r="L28" s="286"/>
      <c r="M28" s="286"/>
      <c r="N28" s="286"/>
      <c r="O28" s="286"/>
      <c r="P28" s="286"/>
      <c r="Q28" s="286"/>
      <c r="R28" s="286"/>
      <c r="S28" s="286"/>
      <c r="T28" s="286"/>
      <c r="U28" s="286"/>
      <c r="V28" s="286"/>
    </row>
    <row r="29" spans="4:22" x14ac:dyDescent="0.3">
      <c r="D29" s="286"/>
      <c r="E29" s="286"/>
      <c r="F29" s="286"/>
      <c r="G29" s="286"/>
      <c r="H29" s="286"/>
      <c r="I29" s="286"/>
      <c r="J29" s="286"/>
      <c r="K29" s="286"/>
      <c r="L29" s="286"/>
      <c r="M29" s="286"/>
      <c r="N29" s="286"/>
      <c r="O29" s="286"/>
      <c r="P29" s="286"/>
      <c r="Q29" s="286"/>
      <c r="R29" s="286"/>
      <c r="S29" s="286"/>
      <c r="T29" s="286"/>
      <c r="U29" s="286"/>
      <c r="V29" s="286"/>
    </row>
    <row r="30" spans="4:22" x14ac:dyDescent="0.3">
      <c r="D30" s="286"/>
      <c r="E30" s="286"/>
      <c r="F30" s="286"/>
      <c r="G30" s="286"/>
      <c r="H30" s="286"/>
      <c r="I30" s="286"/>
      <c r="J30" s="286"/>
      <c r="K30" s="286"/>
      <c r="L30" s="286"/>
      <c r="M30" s="286"/>
      <c r="N30" s="286"/>
      <c r="O30" s="286"/>
      <c r="P30" s="286"/>
      <c r="Q30" s="286"/>
      <c r="R30" s="286"/>
      <c r="S30" s="286"/>
      <c r="T30" s="286"/>
      <c r="U30" s="286"/>
      <c r="V30" s="286"/>
    </row>
  </sheetData>
  <mergeCells count="149">
    <mergeCell ref="D30:G30"/>
    <mergeCell ref="H30:J30"/>
    <mergeCell ref="K30:M30"/>
    <mergeCell ref="N30:P30"/>
    <mergeCell ref="Q30:S30"/>
    <mergeCell ref="T30:V30"/>
    <mergeCell ref="D29:G29"/>
    <mergeCell ref="H29:J29"/>
    <mergeCell ref="K29:M29"/>
    <mergeCell ref="N29:P29"/>
    <mergeCell ref="Q29:S29"/>
    <mergeCell ref="T29:V29"/>
    <mergeCell ref="D28:G28"/>
    <mergeCell ref="H28:J28"/>
    <mergeCell ref="K28:M28"/>
    <mergeCell ref="N28:P28"/>
    <mergeCell ref="Q28:S28"/>
    <mergeCell ref="T28:V28"/>
    <mergeCell ref="D27:G27"/>
    <mergeCell ref="H27:J27"/>
    <mergeCell ref="K27:M27"/>
    <mergeCell ref="N27:P27"/>
    <mergeCell ref="Q27:S27"/>
    <mergeCell ref="T27:V27"/>
    <mergeCell ref="D26:G26"/>
    <mergeCell ref="H26:J26"/>
    <mergeCell ref="K26:M26"/>
    <mergeCell ref="N26:P26"/>
    <mergeCell ref="Q26:S26"/>
    <mergeCell ref="T26:V26"/>
    <mergeCell ref="D25:G25"/>
    <mergeCell ref="H25:J25"/>
    <mergeCell ref="K25:M25"/>
    <mergeCell ref="N25:P25"/>
    <mergeCell ref="Q25:S25"/>
    <mergeCell ref="T25:V25"/>
    <mergeCell ref="D24:G24"/>
    <mergeCell ref="H24:J24"/>
    <mergeCell ref="K24:M24"/>
    <mergeCell ref="N24:P24"/>
    <mergeCell ref="Q24:S24"/>
    <mergeCell ref="T24:V24"/>
    <mergeCell ref="D23:G23"/>
    <mergeCell ref="H23:J23"/>
    <mergeCell ref="K23:M23"/>
    <mergeCell ref="N23:P23"/>
    <mergeCell ref="Q23:S23"/>
    <mergeCell ref="T23:V23"/>
    <mergeCell ref="D22:G22"/>
    <mergeCell ref="H22:J22"/>
    <mergeCell ref="K22:M22"/>
    <mergeCell ref="N22:P22"/>
    <mergeCell ref="Q22:S22"/>
    <mergeCell ref="T22:V22"/>
    <mergeCell ref="D21:G21"/>
    <mergeCell ref="H21:J21"/>
    <mergeCell ref="K21:M21"/>
    <mergeCell ref="N21:P21"/>
    <mergeCell ref="Q21:S21"/>
    <mergeCell ref="T21:V21"/>
    <mergeCell ref="D20:G20"/>
    <mergeCell ref="H20:J20"/>
    <mergeCell ref="K20:M20"/>
    <mergeCell ref="N20:P20"/>
    <mergeCell ref="Q20:S20"/>
    <mergeCell ref="T20:V20"/>
    <mergeCell ref="D19:G19"/>
    <mergeCell ref="H19:J19"/>
    <mergeCell ref="K19:M19"/>
    <mergeCell ref="N19:P19"/>
    <mergeCell ref="Q19:S19"/>
    <mergeCell ref="T19:V19"/>
    <mergeCell ref="D18:G18"/>
    <mergeCell ref="H18:J18"/>
    <mergeCell ref="K18:M18"/>
    <mergeCell ref="N18:P18"/>
    <mergeCell ref="Q18:S18"/>
    <mergeCell ref="T18:V18"/>
    <mergeCell ref="D17:G17"/>
    <mergeCell ref="H17:J17"/>
    <mergeCell ref="K17:M17"/>
    <mergeCell ref="N17:P17"/>
    <mergeCell ref="Q17:S17"/>
    <mergeCell ref="T17:V17"/>
    <mergeCell ref="D10:H10"/>
    <mergeCell ref="I10:K10"/>
    <mergeCell ref="L10:N10"/>
    <mergeCell ref="O10:Q10"/>
    <mergeCell ref="R10:T10"/>
    <mergeCell ref="D16:G16"/>
    <mergeCell ref="H16:J16"/>
    <mergeCell ref="K16:M16"/>
    <mergeCell ref="N16:P16"/>
    <mergeCell ref="Q16:S16"/>
    <mergeCell ref="T16:V16"/>
    <mergeCell ref="D15:G15"/>
    <mergeCell ref="H15:J15"/>
    <mergeCell ref="K15:M15"/>
    <mergeCell ref="N15:P15"/>
    <mergeCell ref="Q15:S15"/>
    <mergeCell ref="T15:V15"/>
    <mergeCell ref="D14:G14"/>
    <mergeCell ref="H14:J14"/>
    <mergeCell ref="K14:M14"/>
    <mergeCell ref="N14:P14"/>
    <mergeCell ref="Q14:S14"/>
    <mergeCell ref="T14:V14"/>
    <mergeCell ref="B13:C13"/>
    <mergeCell ref="D13:G13"/>
    <mergeCell ref="T13:V13"/>
    <mergeCell ref="H13:J13"/>
    <mergeCell ref="K13:M13"/>
    <mergeCell ref="N13:P13"/>
    <mergeCell ref="Q13:S13"/>
    <mergeCell ref="D6:H6"/>
    <mergeCell ref="I6:K6"/>
    <mergeCell ref="L6:N6"/>
    <mergeCell ref="O6:Q6"/>
    <mergeCell ref="R6:T6"/>
    <mergeCell ref="D9:H9"/>
    <mergeCell ref="I9:K9"/>
    <mergeCell ref="L9:N9"/>
    <mergeCell ref="O9:Q9"/>
    <mergeCell ref="R9:T9"/>
    <mergeCell ref="L8:N8"/>
    <mergeCell ref="O7:Q7"/>
    <mergeCell ref="O8:Q8"/>
    <mergeCell ref="R7:T7"/>
    <mergeCell ref="R8:T8"/>
    <mergeCell ref="D7:H7"/>
    <mergeCell ref="D8:H8"/>
    <mergeCell ref="I7:K7"/>
    <mergeCell ref="I8:K8"/>
    <mergeCell ref="L7:N7"/>
    <mergeCell ref="R4:T4"/>
    <mergeCell ref="D5:H5"/>
    <mergeCell ref="I5:K5"/>
    <mergeCell ref="L5:N5"/>
    <mergeCell ref="O5:Q5"/>
    <mergeCell ref="R5:T5"/>
    <mergeCell ref="D3:H3"/>
    <mergeCell ref="I3:K3"/>
    <mergeCell ref="L3:N3"/>
    <mergeCell ref="O3:Q3"/>
    <mergeCell ref="R3:T3"/>
    <mergeCell ref="D4:H4"/>
    <mergeCell ref="I4:K4"/>
    <mergeCell ref="L4:N4"/>
    <mergeCell ref="O4:Q4"/>
  </mergeCells>
  <phoneticPr fontId="1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9BD5E-BE73-40AB-9DFC-0C4F0FB8F4B8}">
  <dimension ref="C4:AC77"/>
  <sheetViews>
    <sheetView workbookViewId="0">
      <selection activeCell="B2" sqref="B2"/>
    </sheetView>
  </sheetViews>
  <sheetFormatPr defaultRowHeight="13.8" x14ac:dyDescent="0.25"/>
  <cols>
    <col min="1" max="2" width="8.88671875" style="9"/>
    <col min="3" max="3" width="19.6640625" style="9" customWidth="1"/>
    <col min="4" max="4" width="16.109375" style="139" customWidth="1"/>
    <col min="5" max="5" width="19" style="139" customWidth="1"/>
    <col min="6" max="6" width="14" style="139" customWidth="1"/>
    <col min="7" max="7" width="15.44140625" style="139" customWidth="1"/>
    <col min="8" max="8" width="14" style="9" customWidth="1"/>
    <col min="9" max="9" width="12.5546875" style="9" customWidth="1"/>
    <col min="10" max="11" width="13.109375" style="9" customWidth="1"/>
    <col min="12" max="12" width="18.88671875" style="9" customWidth="1"/>
    <col min="13" max="13" width="19.44140625" style="9" customWidth="1"/>
    <col min="14" max="16384" width="8.88671875" style="9"/>
  </cols>
  <sheetData>
    <row r="4" spans="3:10" x14ac:dyDescent="0.25">
      <c r="C4" s="364" t="s">
        <v>1593</v>
      </c>
      <c r="D4" s="364"/>
      <c r="E4" s="364"/>
      <c r="F4" s="364"/>
      <c r="G4" s="364"/>
      <c r="H4" s="364"/>
      <c r="I4" s="364"/>
      <c r="J4" s="364"/>
    </row>
    <row r="5" spans="3:10" x14ac:dyDescent="0.25">
      <c r="C5" s="186" t="s">
        <v>1732</v>
      </c>
      <c r="D5" s="138" t="s">
        <v>1594</v>
      </c>
      <c r="E5" s="138" t="s">
        <v>1595</v>
      </c>
      <c r="F5" s="138" t="s">
        <v>1596</v>
      </c>
      <c r="G5" s="138" t="s">
        <v>1597</v>
      </c>
      <c r="H5" s="120" t="s">
        <v>1598</v>
      </c>
      <c r="I5" s="363" t="s">
        <v>1599</v>
      </c>
      <c r="J5" s="363"/>
    </row>
    <row r="6" spans="3:10" x14ac:dyDescent="0.25">
      <c r="C6" s="186"/>
      <c r="D6" s="138" t="s">
        <v>1600</v>
      </c>
      <c r="E6" s="138" t="s">
        <v>1601</v>
      </c>
      <c r="F6" s="138" t="s">
        <v>1601</v>
      </c>
      <c r="G6" s="138" t="s">
        <v>1600</v>
      </c>
      <c r="H6" s="120" t="s">
        <v>1600</v>
      </c>
      <c r="I6" s="363"/>
      <c r="J6" s="363"/>
    </row>
    <row r="7" spans="3:10" x14ac:dyDescent="0.25">
      <c r="C7" s="120" t="s">
        <v>1602</v>
      </c>
      <c r="D7" s="138" t="s">
        <v>1603</v>
      </c>
      <c r="E7" s="138" t="s">
        <v>1604</v>
      </c>
      <c r="F7" s="138" t="s">
        <v>1605</v>
      </c>
      <c r="G7" s="138" t="s">
        <v>1606</v>
      </c>
      <c r="H7" s="120" t="s">
        <v>1607</v>
      </c>
      <c r="I7" s="120" t="s">
        <v>1608</v>
      </c>
      <c r="J7" s="120"/>
    </row>
    <row r="8" spans="3:10" x14ac:dyDescent="0.25">
      <c r="C8" s="120" t="s">
        <v>1609</v>
      </c>
      <c r="D8" s="138" t="s">
        <v>1610</v>
      </c>
      <c r="E8" s="138">
        <v>34</v>
      </c>
      <c r="F8" s="138" t="s">
        <v>1611</v>
      </c>
      <c r="G8" s="138" t="s">
        <v>1612</v>
      </c>
      <c r="H8" s="120" t="s">
        <v>1613</v>
      </c>
      <c r="I8" s="120" t="s">
        <v>1608</v>
      </c>
      <c r="J8" s="120"/>
    </row>
    <row r="9" spans="3:10" x14ac:dyDescent="0.25">
      <c r="C9" s="120" t="s">
        <v>1614</v>
      </c>
      <c r="D9" s="138" t="s">
        <v>1615</v>
      </c>
      <c r="E9" s="138" t="s">
        <v>1616</v>
      </c>
      <c r="F9" s="138" t="s">
        <v>1617</v>
      </c>
      <c r="G9" s="138" t="s">
        <v>1618</v>
      </c>
      <c r="H9" s="120" t="s">
        <v>1619</v>
      </c>
      <c r="I9" s="120" t="s">
        <v>1608</v>
      </c>
      <c r="J9" s="120"/>
    </row>
    <row r="10" spans="3:10" x14ac:dyDescent="0.25">
      <c r="C10" s="120" t="s">
        <v>1620</v>
      </c>
      <c r="D10" s="138" t="s">
        <v>1621</v>
      </c>
      <c r="E10" s="138" t="s">
        <v>1604</v>
      </c>
      <c r="F10" s="138" t="s">
        <v>1605</v>
      </c>
      <c r="G10" s="138" t="s">
        <v>1622</v>
      </c>
      <c r="H10" s="120" t="s">
        <v>1623</v>
      </c>
      <c r="I10" s="120" t="s">
        <v>1608</v>
      </c>
      <c r="J10" s="120"/>
    </row>
    <row r="11" spans="3:10" x14ac:dyDescent="0.25">
      <c r="C11" s="120" t="s">
        <v>1624</v>
      </c>
      <c r="D11" s="138" t="s">
        <v>1625</v>
      </c>
      <c r="E11" s="138" t="s">
        <v>1604</v>
      </c>
      <c r="F11" s="138" t="s">
        <v>1605</v>
      </c>
      <c r="G11" s="138" t="s">
        <v>1626</v>
      </c>
      <c r="H11" s="120" t="s">
        <v>1627</v>
      </c>
      <c r="I11" s="120" t="s">
        <v>1608</v>
      </c>
      <c r="J11" s="120"/>
    </row>
    <row r="12" spans="3:10" x14ac:dyDescent="0.25">
      <c r="C12" s="120" t="s">
        <v>1628</v>
      </c>
      <c r="D12" s="138" t="s">
        <v>1629</v>
      </c>
      <c r="E12" s="138" t="s">
        <v>1604</v>
      </c>
      <c r="F12" s="138" t="s">
        <v>1605</v>
      </c>
      <c r="G12" s="138" t="s">
        <v>1630</v>
      </c>
      <c r="H12" s="120" t="s">
        <v>1631</v>
      </c>
      <c r="I12" s="120" t="s">
        <v>1608</v>
      </c>
      <c r="J12" s="120"/>
    </row>
    <row r="13" spans="3:10" x14ac:dyDescent="0.25">
      <c r="C13" s="120" t="s">
        <v>1632</v>
      </c>
      <c r="D13" s="138" t="s">
        <v>1633</v>
      </c>
      <c r="E13" s="138" t="s">
        <v>1604</v>
      </c>
      <c r="F13" s="138" t="s">
        <v>1605</v>
      </c>
      <c r="G13" s="138" t="s">
        <v>1634</v>
      </c>
      <c r="H13" s="120" t="s">
        <v>1635</v>
      </c>
      <c r="I13" s="120" t="s">
        <v>1608</v>
      </c>
      <c r="J13" s="120"/>
    </row>
    <row r="14" spans="3:10" x14ac:dyDescent="0.25">
      <c r="C14" s="120" t="s">
        <v>1636</v>
      </c>
      <c r="D14" s="138" t="s">
        <v>1637</v>
      </c>
      <c r="E14" s="138" t="s">
        <v>1604</v>
      </c>
      <c r="F14" s="138" t="s">
        <v>1605</v>
      </c>
      <c r="G14" s="138" t="s">
        <v>1638</v>
      </c>
      <c r="H14" s="120" t="s">
        <v>1639</v>
      </c>
      <c r="I14" s="120" t="s">
        <v>1608</v>
      </c>
      <c r="J14" s="120"/>
    </row>
    <row r="15" spans="3:10" x14ac:dyDescent="0.25">
      <c r="C15" s="120" t="s">
        <v>1640</v>
      </c>
      <c r="D15" s="138">
        <v>370</v>
      </c>
      <c r="E15" s="138" t="s">
        <v>1641</v>
      </c>
      <c r="F15" s="138" t="s">
        <v>1642</v>
      </c>
      <c r="G15" s="138" t="s">
        <v>1643</v>
      </c>
      <c r="H15" s="120" t="s">
        <v>1644</v>
      </c>
      <c r="I15" s="120" t="s">
        <v>1608</v>
      </c>
      <c r="J15" s="120"/>
    </row>
    <row r="16" spans="3:10" x14ac:dyDescent="0.25">
      <c r="C16" s="120" t="s">
        <v>1645</v>
      </c>
      <c r="D16" s="138">
        <v>372</v>
      </c>
      <c r="E16" s="138" t="s">
        <v>1616</v>
      </c>
      <c r="F16" s="138" t="s">
        <v>1617</v>
      </c>
      <c r="G16" s="138" t="s">
        <v>1646</v>
      </c>
      <c r="H16" s="120" t="s">
        <v>1647</v>
      </c>
      <c r="I16" s="120" t="s">
        <v>1608</v>
      </c>
      <c r="J16" s="120"/>
    </row>
    <row r="17" spans="3:10" x14ac:dyDescent="0.25">
      <c r="C17" s="120" t="s">
        <v>1648</v>
      </c>
      <c r="D17" s="138" t="s">
        <v>1649</v>
      </c>
      <c r="E17" s="138" t="s">
        <v>1616</v>
      </c>
      <c r="F17" s="138" t="s">
        <v>1617</v>
      </c>
      <c r="G17" s="138" t="s">
        <v>1650</v>
      </c>
      <c r="H17" s="120" t="s">
        <v>1651</v>
      </c>
      <c r="I17" s="120" t="s">
        <v>1608</v>
      </c>
      <c r="J17" s="120"/>
    </row>
    <row r="18" spans="3:10" x14ac:dyDescent="0.25">
      <c r="C18" s="120" t="s">
        <v>1652</v>
      </c>
      <c r="D18" s="138" t="s">
        <v>1653</v>
      </c>
      <c r="E18" s="138" t="s">
        <v>1641</v>
      </c>
      <c r="F18" s="138" t="s">
        <v>1642</v>
      </c>
      <c r="G18" s="138" t="s">
        <v>1654</v>
      </c>
      <c r="H18" s="120" t="s">
        <v>1655</v>
      </c>
      <c r="I18" s="120" t="s">
        <v>1608</v>
      </c>
      <c r="J18" s="120"/>
    </row>
    <row r="19" spans="3:10" x14ac:dyDescent="0.25">
      <c r="C19" s="120" t="s">
        <v>1656</v>
      </c>
      <c r="D19" s="138" t="s">
        <v>1657</v>
      </c>
      <c r="E19" s="138" t="s">
        <v>1616</v>
      </c>
      <c r="F19" s="138" t="s">
        <v>1617</v>
      </c>
      <c r="G19" s="138" t="s">
        <v>1658</v>
      </c>
      <c r="H19" s="120" t="s">
        <v>1659</v>
      </c>
      <c r="I19" s="120" t="s">
        <v>1608</v>
      </c>
      <c r="J19" s="120"/>
    </row>
    <row r="20" spans="3:10" x14ac:dyDescent="0.25">
      <c r="C20" s="120" t="s">
        <v>1660</v>
      </c>
      <c r="D20" s="138" t="s">
        <v>1661</v>
      </c>
      <c r="E20" s="138" t="s">
        <v>1604</v>
      </c>
      <c r="F20" s="138" t="s">
        <v>1605</v>
      </c>
      <c r="G20" s="138" t="s">
        <v>1662</v>
      </c>
      <c r="H20" s="120" t="s">
        <v>1663</v>
      </c>
      <c r="I20" s="120" t="s">
        <v>1608</v>
      </c>
      <c r="J20" s="120"/>
    </row>
    <row r="21" spans="3:10" x14ac:dyDescent="0.25">
      <c r="C21" s="120" t="s">
        <v>1664</v>
      </c>
      <c r="D21" s="138" t="s">
        <v>1665</v>
      </c>
      <c r="E21" s="138" t="s">
        <v>1641</v>
      </c>
      <c r="F21" s="138" t="s">
        <v>1642</v>
      </c>
      <c r="G21" s="138" t="s">
        <v>1666</v>
      </c>
      <c r="H21" s="120" t="s">
        <v>1667</v>
      </c>
      <c r="I21" s="120" t="s">
        <v>1608</v>
      </c>
      <c r="J21" s="120"/>
    </row>
    <row r="22" spans="3:10" x14ac:dyDescent="0.25">
      <c r="C22" s="120" t="s">
        <v>1668</v>
      </c>
      <c r="D22" s="138" t="s">
        <v>1669</v>
      </c>
      <c r="E22" s="138" t="s">
        <v>1604</v>
      </c>
      <c r="F22" s="138" t="s">
        <v>1605</v>
      </c>
      <c r="G22" s="138" t="s">
        <v>1670</v>
      </c>
      <c r="H22" s="120" t="s">
        <v>1671</v>
      </c>
      <c r="I22" s="120" t="s">
        <v>1608</v>
      </c>
      <c r="J22" s="120"/>
    </row>
    <row r="23" spans="3:10" x14ac:dyDescent="0.25">
      <c r="C23" s="120" t="s">
        <v>1672</v>
      </c>
      <c r="D23" s="138" t="s">
        <v>1673</v>
      </c>
      <c r="E23" s="138" t="s">
        <v>1604</v>
      </c>
      <c r="F23" s="138" t="s">
        <v>1605</v>
      </c>
      <c r="G23" s="138" t="s">
        <v>1674</v>
      </c>
      <c r="H23" s="120" t="s">
        <v>1675</v>
      </c>
      <c r="I23" s="120" t="s">
        <v>1608</v>
      </c>
      <c r="J23" s="120"/>
    </row>
    <row r="24" spans="3:10" x14ac:dyDescent="0.25">
      <c r="C24" s="120" t="s">
        <v>1676</v>
      </c>
      <c r="D24" s="138" t="s">
        <v>1677</v>
      </c>
      <c r="E24" s="138">
        <v>34</v>
      </c>
      <c r="F24" s="138" t="s">
        <v>1611</v>
      </c>
      <c r="G24" s="138" t="s">
        <v>1678</v>
      </c>
      <c r="H24" s="120" t="s">
        <v>1679</v>
      </c>
      <c r="I24" s="120" t="s">
        <v>1608</v>
      </c>
      <c r="J24" s="120"/>
    </row>
    <row r="25" spans="3:10" x14ac:dyDescent="0.25">
      <c r="C25" s="120" t="s">
        <v>1680</v>
      </c>
      <c r="D25" s="138" t="s">
        <v>1681</v>
      </c>
      <c r="E25" s="138" t="s">
        <v>1682</v>
      </c>
      <c r="F25" s="138" t="s">
        <v>1683</v>
      </c>
      <c r="G25" s="138" t="s">
        <v>1684</v>
      </c>
      <c r="H25" s="120" t="s">
        <v>1685</v>
      </c>
      <c r="I25" s="120" t="s">
        <v>1608</v>
      </c>
      <c r="J25" s="120"/>
    </row>
    <row r="26" spans="3:10" x14ac:dyDescent="0.25">
      <c r="C26" s="120" t="s">
        <v>1686</v>
      </c>
      <c r="D26" s="138" t="s">
        <v>1687</v>
      </c>
      <c r="E26" s="138">
        <v>34</v>
      </c>
      <c r="F26" s="138" t="s">
        <v>1611</v>
      </c>
      <c r="G26" s="138" t="s">
        <v>1688</v>
      </c>
      <c r="H26" s="120" t="s">
        <v>1689</v>
      </c>
      <c r="I26" s="120" t="s">
        <v>1608</v>
      </c>
      <c r="J26" s="120"/>
    </row>
    <row r="27" spans="3:10" x14ac:dyDescent="0.25">
      <c r="C27" s="120" t="s">
        <v>1690</v>
      </c>
      <c r="D27" s="138" t="s">
        <v>1691</v>
      </c>
      <c r="E27" s="138">
        <v>34</v>
      </c>
      <c r="F27" s="138" t="s">
        <v>1611</v>
      </c>
      <c r="G27" s="138" t="s">
        <v>1692</v>
      </c>
      <c r="H27" s="120" t="s">
        <v>1693</v>
      </c>
      <c r="I27" s="120" t="s">
        <v>1608</v>
      </c>
      <c r="J27" s="120"/>
    </row>
    <row r="28" spans="3:10" x14ac:dyDescent="0.25">
      <c r="C28" s="120" t="s">
        <v>1694</v>
      </c>
      <c r="D28" s="138" t="s">
        <v>1695</v>
      </c>
      <c r="E28" s="138">
        <v>34</v>
      </c>
      <c r="F28" s="138" t="s">
        <v>1611</v>
      </c>
      <c r="G28" s="138" t="s">
        <v>1696</v>
      </c>
      <c r="H28" s="120" t="s">
        <v>1697</v>
      </c>
      <c r="I28" s="120" t="s">
        <v>1608</v>
      </c>
      <c r="J28" s="120"/>
    </row>
    <row r="29" spans="3:10" x14ac:dyDescent="0.25">
      <c r="C29" s="120" t="s">
        <v>1698</v>
      </c>
      <c r="D29" s="138" t="s">
        <v>1699</v>
      </c>
      <c r="E29" s="138" t="s">
        <v>1604</v>
      </c>
      <c r="F29" s="138" t="s">
        <v>1605</v>
      </c>
      <c r="G29" s="138" t="s">
        <v>1700</v>
      </c>
      <c r="H29" s="120" t="s">
        <v>1701</v>
      </c>
      <c r="I29" s="120" t="s">
        <v>1608</v>
      </c>
      <c r="J29" s="120"/>
    </row>
    <row r="30" spans="3:10" x14ac:dyDescent="0.25">
      <c r="C30" s="120" t="s">
        <v>1702</v>
      </c>
      <c r="D30" s="138" t="s">
        <v>1703</v>
      </c>
      <c r="E30" s="138">
        <v>34</v>
      </c>
      <c r="F30" s="138" t="s">
        <v>1611</v>
      </c>
      <c r="G30" s="138" t="s">
        <v>1704</v>
      </c>
      <c r="H30" s="120" t="s">
        <v>1705</v>
      </c>
      <c r="I30" s="120" t="s">
        <v>1608</v>
      </c>
      <c r="J30" s="120"/>
    </row>
    <row r="31" spans="3:10" x14ac:dyDescent="0.25">
      <c r="C31" s="120" t="s">
        <v>1706</v>
      </c>
      <c r="D31" s="138" t="s">
        <v>1707</v>
      </c>
      <c r="E31" s="138" t="s">
        <v>1604</v>
      </c>
      <c r="F31" s="138" t="s">
        <v>1605</v>
      </c>
      <c r="G31" s="138" t="s">
        <v>1708</v>
      </c>
      <c r="H31" s="120" t="s">
        <v>1709</v>
      </c>
      <c r="I31" s="120" t="s">
        <v>1608</v>
      </c>
      <c r="J31" s="120"/>
    </row>
    <row r="32" spans="3:10" x14ac:dyDescent="0.25">
      <c r="C32" s="120" t="s">
        <v>1710</v>
      </c>
      <c r="D32" s="138" t="s">
        <v>1711</v>
      </c>
      <c r="E32" s="138" t="s">
        <v>1682</v>
      </c>
      <c r="F32" s="138" t="s">
        <v>1683</v>
      </c>
      <c r="G32" s="138" t="s">
        <v>1712</v>
      </c>
      <c r="H32" s="120" t="s">
        <v>1713</v>
      </c>
      <c r="I32" s="120" t="s">
        <v>1608</v>
      </c>
      <c r="J32" s="120"/>
    </row>
    <row r="33" spans="3:29" x14ac:dyDescent="0.25">
      <c r="C33" s="120" t="s">
        <v>1714</v>
      </c>
      <c r="D33" s="138">
        <v>347</v>
      </c>
      <c r="E33" s="138">
        <v>0</v>
      </c>
      <c r="F33" s="138" t="s">
        <v>1608</v>
      </c>
      <c r="G33" s="138" t="s">
        <v>1715</v>
      </c>
      <c r="H33" s="120" t="s">
        <v>1716</v>
      </c>
      <c r="I33" s="120" t="s">
        <v>1608</v>
      </c>
      <c r="J33" s="120"/>
    </row>
    <row r="34" spans="3:29" x14ac:dyDescent="0.25">
      <c r="C34" s="120" t="s">
        <v>1717</v>
      </c>
      <c r="D34" s="138">
        <v>313</v>
      </c>
      <c r="E34" s="138">
        <v>0</v>
      </c>
      <c r="F34" s="138" t="s">
        <v>1608</v>
      </c>
      <c r="G34" s="138" t="s">
        <v>1718</v>
      </c>
      <c r="H34" s="120" t="s">
        <v>1719</v>
      </c>
      <c r="I34" s="120" t="s">
        <v>1608</v>
      </c>
      <c r="J34" s="120"/>
    </row>
    <row r="35" spans="3:29" x14ac:dyDescent="0.25">
      <c r="C35" s="120" t="s">
        <v>1720</v>
      </c>
      <c r="D35" s="138" t="s">
        <v>1633</v>
      </c>
      <c r="E35" s="138">
        <v>0</v>
      </c>
      <c r="F35" s="138" t="s">
        <v>1608</v>
      </c>
      <c r="G35" s="138" t="s">
        <v>1721</v>
      </c>
      <c r="H35" s="120" t="s">
        <v>1722</v>
      </c>
      <c r="I35" s="120" t="s">
        <v>1608</v>
      </c>
      <c r="J35" s="120"/>
    </row>
    <row r="36" spans="3:29" x14ac:dyDescent="0.25">
      <c r="C36" s="120" t="s">
        <v>1723</v>
      </c>
      <c r="D36" s="138">
        <v>313</v>
      </c>
      <c r="E36" s="138" t="s">
        <v>1724</v>
      </c>
      <c r="F36" s="138" t="s">
        <v>1725</v>
      </c>
      <c r="G36" s="138" t="s">
        <v>1726</v>
      </c>
      <c r="H36" s="120" t="s">
        <v>1608</v>
      </c>
      <c r="I36" s="120" t="s">
        <v>1608</v>
      </c>
      <c r="J36" s="120"/>
    </row>
    <row r="37" spans="3:29" x14ac:dyDescent="0.25">
      <c r="C37" s="120" t="s">
        <v>1727</v>
      </c>
      <c r="D37" s="138">
        <v>347</v>
      </c>
      <c r="E37" s="138" t="s">
        <v>1724</v>
      </c>
      <c r="F37" s="138" t="s">
        <v>1728</v>
      </c>
      <c r="G37" s="138" t="s">
        <v>1729</v>
      </c>
      <c r="H37" s="120" t="s">
        <v>1608</v>
      </c>
      <c r="I37" s="120" t="s">
        <v>1608</v>
      </c>
      <c r="J37" s="120"/>
    </row>
    <row r="38" spans="3:29" x14ac:dyDescent="0.25">
      <c r="C38" s="120" t="s">
        <v>1730</v>
      </c>
      <c r="D38" s="138">
        <v>524</v>
      </c>
      <c r="E38" s="138" t="s">
        <v>1724</v>
      </c>
      <c r="F38" s="138" t="s">
        <v>1725</v>
      </c>
      <c r="G38" s="138" t="s">
        <v>1731</v>
      </c>
      <c r="H38" s="120" t="s">
        <v>1608</v>
      </c>
      <c r="I38" s="120" t="s">
        <v>1608</v>
      </c>
      <c r="J38" s="120"/>
    </row>
    <row r="42" spans="3:29" ht="14.4" x14ac:dyDescent="0.3">
      <c r="C42" s="360" t="s">
        <v>1733</v>
      </c>
      <c r="D42" s="361"/>
      <c r="E42" s="361"/>
      <c r="F42" s="361"/>
      <c r="G42" s="361"/>
      <c r="H42" s="361"/>
      <c r="I42" s="361"/>
      <c r="J42" s="361"/>
      <c r="K42" s="362"/>
      <c r="L42"/>
      <c r="M42"/>
      <c r="N42"/>
      <c r="O42"/>
      <c r="P42"/>
      <c r="Q42"/>
      <c r="R42"/>
      <c r="S42"/>
      <c r="T42"/>
    </row>
    <row r="43" spans="3:29" ht="14.4" x14ac:dyDescent="0.3">
      <c r="C43" s="186" t="s">
        <v>1856</v>
      </c>
      <c r="D43" s="138" t="s">
        <v>1734</v>
      </c>
      <c r="E43" s="138" t="s">
        <v>1735</v>
      </c>
      <c r="F43" s="186" t="s">
        <v>1736</v>
      </c>
      <c r="G43" s="120" t="s">
        <v>1737</v>
      </c>
      <c r="H43" s="120" t="s">
        <v>1738</v>
      </c>
      <c r="I43" s="120" t="s">
        <v>1739</v>
      </c>
      <c r="J43" s="186" t="s">
        <v>1740</v>
      </c>
      <c r="K43" s="358" t="s">
        <v>1741</v>
      </c>
      <c r="L43"/>
      <c r="M43"/>
      <c r="N43"/>
      <c r="O43"/>
      <c r="P43"/>
      <c r="Q43"/>
      <c r="R43"/>
      <c r="S43"/>
      <c r="T43"/>
      <c r="U43"/>
      <c r="V43"/>
      <c r="W43"/>
      <c r="X43"/>
      <c r="Y43"/>
      <c r="Z43"/>
      <c r="AA43"/>
      <c r="AB43"/>
      <c r="AC43"/>
    </row>
    <row r="44" spans="3:29" ht="14.4" x14ac:dyDescent="0.3">
      <c r="C44" s="186"/>
      <c r="D44" s="138" t="s">
        <v>1600</v>
      </c>
      <c r="E44" s="138" t="s">
        <v>1742</v>
      </c>
      <c r="F44" s="186"/>
      <c r="G44" s="120" t="s">
        <v>1601</v>
      </c>
      <c r="H44" s="120" t="s">
        <v>1743</v>
      </c>
      <c r="I44" s="120" t="s">
        <v>1744</v>
      </c>
      <c r="J44" s="186"/>
      <c r="K44" s="359"/>
      <c r="L44"/>
      <c r="M44"/>
      <c r="N44"/>
      <c r="O44"/>
      <c r="P44"/>
      <c r="Q44"/>
      <c r="R44"/>
      <c r="S44"/>
      <c r="T44"/>
      <c r="U44"/>
      <c r="V44"/>
      <c r="W44"/>
      <c r="X44"/>
      <c r="Y44"/>
      <c r="Z44"/>
      <c r="AA44"/>
      <c r="AB44"/>
      <c r="AC44"/>
    </row>
    <row r="45" spans="3:29" ht="14.4" x14ac:dyDescent="0.3">
      <c r="C45" s="120" t="s">
        <v>1745</v>
      </c>
      <c r="D45" s="138">
        <v>2870</v>
      </c>
      <c r="E45" s="138">
        <v>560</v>
      </c>
      <c r="F45" s="138">
        <v>140</v>
      </c>
      <c r="G45" s="120" t="s">
        <v>1746</v>
      </c>
      <c r="H45" s="120" t="s">
        <v>1747</v>
      </c>
      <c r="I45" s="120" t="s">
        <v>1748</v>
      </c>
      <c r="J45" s="120" t="s">
        <v>1749</v>
      </c>
      <c r="K45" s="120" t="s">
        <v>1750</v>
      </c>
      <c r="L45"/>
      <c r="M45"/>
      <c r="N45"/>
      <c r="O45"/>
      <c r="P45"/>
      <c r="Q45"/>
      <c r="R45"/>
      <c r="S45"/>
      <c r="T45"/>
      <c r="U45"/>
      <c r="V45"/>
      <c r="W45"/>
      <c r="X45"/>
      <c r="Y45"/>
      <c r="Z45"/>
      <c r="AA45"/>
      <c r="AB45"/>
      <c r="AC45"/>
    </row>
    <row r="46" spans="3:29" ht="14.4" x14ac:dyDescent="0.3">
      <c r="C46" s="120" t="s">
        <v>1751</v>
      </c>
      <c r="D46" s="138">
        <v>2745</v>
      </c>
      <c r="E46" s="138">
        <v>450</v>
      </c>
      <c r="F46" s="138">
        <v>140</v>
      </c>
      <c r="G46" s="120" t="s">
        <v>1752</v>
      </c>
      <c r="H46" s="120" t="s">
        <v>1753</v>
      </c>
      <c r="I46" s="120" t="s">
        <v>1754</v>
      </c>
      <c r="J46" s="120" t="s">
        <v>1755</v>
      </c>
      <c r="K46" s="120" t="s">
        <v>1750</v>
      </c>
      <c r="L46"/>
      <c r="M46"/>
      <c r="N46"/>
      <c r="O46"/>
      <c r="P46"/>
      <c r="Q46"/>
      <c r="R46"/>
      <c r="S46"/>
      <c r="T46"/>
      <c r="U46"/>
      <c r="V46"/>
      <c r="W46"/>
      <c r="X46"/>
      <c r="Y46"/>
      <c r="Z46"/>
      <c r="AA46"/>
      <c r="AB46"/>
      <c r="AC46"/>
    </row>
    <row r="47" spans="3:29" ht="14.4" x14ac:dyDescent="0.3">
      <c r="C47" s="120" t="s">
        <v>1756</v>
      </c>
      <c r="D47" s="138">
        <v>1703</v>
      </c>
      <c r="E47" s="138">
        <v>355</v>
      </c>
      <c r="F47" s="138">
        <v>140</v>
      </c>
      <c r="G47" s="120" t="s">
        <v>1757</v>
      </c>
      <c r="H47" s="120" t="s">
        <v>1758</v>
      </c>
      <c r="I47" s="120" t="s">
        <v>1759</v>
      </c>
      <c r="J47" s="120" t="s">
        <v>1760</v>
      </c>
      <c r="K47" s="120" t="s">
        <v>1750</v>
      </c>
      <c r="L47"/>
      <c r="M47"/>
      <c r="N47"/>
      <c r="O47"/>
      <c r="P47"/>
      <c r="Q47"/>
      <c r="R47"/>
      <c r="S47"/>
      <c r="T47"/>
      <c r="U47"/>
      <c r="V47"/>
      <c r="W47"/>
      <c r="X47"/>
      <c r="Y47"/>
      <c r="Z47"/>
      <c r="AA47"/>
      <c r="AB47"/>
      <c r="AC47"/>
    </row>
    <row r="48" spans="3:29" ht="14.4" x14ac:dyDescent="0.3">
      <c r="C48" s="120" t="s">
        <v>1761</v>
      </c>
      <c r="D48" s="138">
        <v>2950</v>
      </c>
      <c r="E48" s="138">
        <v>400</v>
      </c>
      <c r="F48" s="138">
        <v>140</v>
      </c>
      <c r="G48" s="120" t="s">
        <v>1762</v>
      </c>
      <c r="H48" s="120" t="s">
        <v>1763</v>
      </c>
      <c r="I48" s="120" t="s">
        <v>1764</v>
      </c>
      <c r="J48" s="120" t="s">
        <v>1749</v>
      </c>
      <c r="K48" s="120" t="s">
        <v>1750</v>
      </c>
      <c r="L48"/>
      <c r="M48"/>
      <c r="N48"/>
      <c r="O48"/>
      <c r="P48"/>
      <c r="Q48"/>
      <c r="R48"/>
      <c r="S48"/>
      <c r="T48"/>
      <c r="U48"/>
      <c r="V48"/>
      <c r="W48"/>
      <c r="X48"/>
      <c r="Y48"/>
      <c r="Z48"/>
      <c r="AA48"/>
      <c r="AB48"/>
      <c r="AC48"/>
    </row>
    <row r="49" spans="3:29" ht="14.4" x14ac:dyDescent="0.3">
      <c r="C49" s="120" t="s">
        <v>1765</v>
      </c>
      <c r="D49" s="138">
        <v>1626</v>
      </c>
      <c r="E49" s="138">
        <v>400</v>
      </c>
      <c r="F49" s="138">
        <v>140</v>
      </c>
      <c r="G49" s="120" t="s">
        <v>1766</v>
      </c>
      <c r="H49" s="120" t="s">
        <v>1767</v>
      </c>
      <c r="I49" s="120" t="s">
        <v>1768</v>
      </c>
      <c r="J49" s="120" t="s">
        <v>1749</v>
      </c>
      <c r="K49" s="120" t="s">
        <v>1750</v>
      </c>
      <c r="L49"/>
      <c r="M49"/>
      <c r="N49"/>
      <c r="O49"/>
      <c r="P49"/>
      <c r="Q49"/>
      <c r="R49"/>
      <c r="S49"/>
      <c r="T49"/>
      <c r="U49"/>
      <c r="V49"/>
      <c r="W49"/>
      <c r="X49"/>
      <c r="Y49"/>
      <c r="Z49"/>
      <c r="AA49"/>
      <c r="AB49"/>
      <c r="AC49"/>
    </row>
    <row r="50" spans="3:29" ht="14.4" x14ac:dyDescent="0.3">
      <c r="C50" s="120" t="s">
        <v>1769</v>
      </c>
      <c r="D50" s="138">
        <v>2087</v>
      </c>
      <c r="E50" s="138">
        <v>355</v>
      </c>
      <c r="F50" s="138">
        <v>140</v>
      </c>
      <c r="G50" s="120" t="s">
        <v>1770</v>
      </c>
      <c r="H50" s="120" t="s">
        <v>1771</v>
      </c>
      <c r="I50" s="120" t="s">
        <v>1772</v>
      </c>
      <c r="J50" s="120" t="s">
        <v>1773</v>
      </c>
      <c r="K50" s="120" t="s">
        <v>1750</v>
      </c>
      <c r="L50"/>
      <c r="M50"/>
      <c r="N50"/>
      <c r="O50"/>
      <c r="P50"/>
      <c r="Q50"/>
      <c r="R50"/>
      <c r="S50"/>
      <c r="T50"/>
      <c r="U50"/>
      <c r="V50"/>
      <c r="W50"/>
      <c r="X50"/>
      <c r="Y50"/>
      <c r="Z50"/>
      <c r="AA50"/>
      <c r="AB50"/>
      <c r="AC50"/>
    </row>
    <row r="51" spans="3:29" ht="14.4" x14ac:dyDescent="0.3">
      <c r="C51" s="120" t="s">
        <v>1774</v>
      </c>
      <c r="D51" s="138">
        <v>2455</v>
      </c>
      <c r="E51" s="138">
        <v>180</v>
      </c>
      <c r="F51" s="138">
        <v>140</v>
      </c>
      <c r="G51" s="120" t="s">
        <v>1775</v>
      </c>
      <c r="H51" s="120" t="s">
        <v>1776</v>
      </c>
      <c r="I51" s="120" t="s">
        <v>1777</v>
      </c>
      <c r="J51" s="120" t="s">
        <v>1778</v>
      </c>
      <c r="K51" s="120" t="s">
        <v>1750</v>
      </c>
      <c r="L51"/>
      <c r="M51"/>
      <c r="N51"/>
      <c r="O51"/>
      <c r="P51"/>
      <c r="Q51"/>
      <c r="R51"/>
      <c r="S51"/>
      <c r="T51"/>
      <c r="U51"/>
      <c r="V51"/>
      <c r="W51"/>
      <c r="X51"/>
      <c r="Y51"/>
      <c r="Z51"/>
      <c r="AA51"/>
      <c r="AB51"/>
      <c r="AC51"/>
    </row>
    <row r="52" spans="3:29" ht="14.4" x14ac:dyDescent="0.3">
      <c r="C52" s="120" t="s">
        <v>1779</v>
      </c>
      <c r="D52" s="138">
        <v>4472</v>
      </c>
      <c r="E52" s="138">
        <v>355</v>
      </c>
      <c r="F52" s="138">
        <v>140</v>
      </c>
      <c r="G52" s="120" t="s">
        <v>1780</v>
      </c>
      <c r="H52" s="120" t="s">
        <v>1781</v>
      </c>
      <c r="I52" s="120" t="s">
        <v>1759</v>
      </c>
      <c r="J52" s="120" t="s">
        <v>1760</v>
      </c>
      <c r="K52" s="120" t="s">
        <v>1750</v>
      </c>
      <c r="L52"/>
      <c r="M52"/>
      <c r="N52"/>
      <c r="O52"/>
      <c r="P52"/>
      <c r="Q52"/>
      <c r="R52"/>
      <c r="S52"/>
      <c r="T52"/>
      <c r="U52"/>
      <c r="V52"/>
      <c r="W52"/>
      <c r="X52"/>
      <c r="Y52"/>
      <c r="Z52"/>
      <c r="AA52"/>
      <c r="AB52"/>
      <c r="AC52"/>
    </row>
    <row r="53" spans="3:29" ht="14.4" x14ac:dyDescent="0.3">
      <c r="C53" s="120" t="s">
        <v>1782</v>
      </c>
      <c r="D53" s="138">
        <v>2533</v>
      </c>
      <c r="E53" s="138">
        <v>500</v>
      </c>
      <c r="F53" s="138">
        <v>140</v>
      </c>
      <c r="G53" s="120" t="s">
        <v>1783</v>
      </c>
      <c r="H53" s="120" t="s">
        <v>1784</v>
      </c>
      <c r="I53" s="120" t="s">
        <v>1785</v>
      </c>
      <c r="J53" s="120" t="s">
        <v>1755</v>
      </c>
      <c r="K53" s="120" t="s">
        <v>1750</v>
      </c>
      <c r="L53"/>
      <c r="M53"/>
      <c r="N53"/>
      <c r="O53"/>
      <c r="P53"/>
      <c r="Q53"/>
      <c r="R53"/>
      <c r="S53"/>
      <c r="T53"/>
      <c r="U53"/>
      <c r="V53"/>
      <c r="W53"/>
      <c r="X53"/>
      <c r="Y53"/>
      <c r="Z53"/>
      <c r="AA53"/>
      <c r="AB53"/>
      <c r="AC53"/>
    </row>
    <row r="54" spans="3:29" ht="14.4" x14ac:dyDescent="0.3">
      <c r="C54" s="120" t="s">
        <v>1786</v>
      </c>
      <c r="D54" s="138">
        <v>500</v>
      </c>
      <c r="E54" s="138">
        <v>355</v>
      </c>
      <c r="F54" s="138">
        <v>140</v>
      </c>
      <c r="G54" s="120" t="s">
        <v>1787</v>
      </c>
      <c r="H54" s="120" t="s">
        <v>1781</v>
      </c>
      <c r="I54" s="120" t="s">
        <v>1759</v>
      </c>
      <c r="J54" s="120" t="s">
        <v>1760</v>
      </c>
      <c r="K54" s="120" t="s">
        <v>1750</v>
      </c>
      <c r="L54"/>
      <c r="M54"/>
      <c r="N54"/>
      <c r="O54"/>
      <c r="P54"/>
      <c r="Q54"/>
      <c r="R54"/>
      <c r="S54"/>
      <c r="T54"/>
      <c r="U54"/>
      <c r="V54"/>
      <c r="W54"/>
      <c r="X54"/>
      <c r="Y54"/>
      <c r="Z54"/>
      <c r="AA54"/>
      <c r="AB54"/>
      <c r="AC54"/>
    </row>
    <row r="55" spans="3:29" ht="14.4" x14ac:dyDescent="0.3">
      <c r="C55" s="120" t="s">
        <v>1788</v>
      </c>
      <c r="D55" s="138">
        <v>3884</v>
      </c>
      <c r="E55" s="138">
        <v>315</v>
      </c>
      <c r="F55" s="138">
        <v>140</v>
      </c>
      <c r="G55" s="120" t="s">
        <v>1789</v>
      </c>
      <c r="H55" s="120" t="s">
        <v>1790</v>
      </c>
      <c r="I55" s="120" t="s">
        <v>1791</v>
      </c>
      <c r="J55" s="120" t="s">
        <v>1760</v>
      </c>
      <c r="K55" s="120" t="s">
        <v>1750</v>
      </c>
      <c r="L55"/>
      <c r="M55"/>
      <c r="N55"/>
      <c r="O55"/>
      <c r="P55"/>
      <c r="Q55"/>
      <c r="R55"/>
      <c r="S55"/>
      <c r="T55"/>
      <c r="U55"/>
      <c r="V55"/>
      <c r="W55"/>
      <c r="X55"/>
      <c r="Y55"/>
      <c r="Z55"/>
      <c r="AA55"/>
      <c r="AB55"/>
      <c r="AC55"/>
    </row>
    <row r="56" spans="3:29" ht="14.4" x14ac:dyDescent="0.3">
      <c r="C56" s="120" t="s">
        <v>1792</v>
      </c>
      <c r="D56" s="138">
        <v>1752</v>
      </c>
      <c r="E56" s="138">
        <v>400</v>
      </c>
      <c r="F56" s="138">
        <v>140</v>
      </c>
      <c r="G56" s="120" t="s">
        <v>1793</v>
      </c>
      <c r="H56" s="120" t="s">
        <v>1794</v>
      </c>
      <c r="I56" s="120" t="s">
        <v>1795</v>
      </c>
      <c r="J56" s="120" t="s">
        <v>1749</v>
      </c>
      <c r="K56" s="120" t="s">
        <v>1750</v>
      </c>
      <c r="L56"/>
      <c r="M56"/>
      <c r="N56"/>
      <c r="O56"/>
      <c r="P56"/>
      <c r="Q56"/>
      <c r="R56"/>
      <c r="S56"/>
      <c r="T56"/>
      <c r="U56"/>
      <c r="V56"/>
      <c r="W56"/>
      <c r="X56"/>
      <c r="Y56"/>
      <c r="Z56"/>
      <c r="AA56"/>
      <c r="AB56"/>
      <c r="AC56"/>
    </row>
    <row r="57" spans="3:29" ht="14.4" x14ac:dyDescent="0.3">
      <c r="C57" s="120" t="s">
        <v>1796</v>
      </c>
      <c r="D57" s="138">
        <v>1199</v>
      </c>
      <c r="E57" s="138">
        <v>355</v>
      </c>
      <c r="F57" s="138">
        <v>140</v>
      </c>
      <c r="G57" s="120" t="s">
        <v>1797</v>
      </c>
      <c r="H57" s="120" t="s">
        <v>1798</v>
      </c>
      <c r="I57" s="120" t="s">
        <v>1799</v>
      </c>
      <c r="J57" s="120" t="s">
        <v>1749</v>
      </c>
      <c r="K57" s="120" t="s">
        <v>1750</v>
      </c>
      <c r="L57"/>
      <c r="M57"/>
      <c r="N57"/>
      <c r="O57"/>
      <c r="P57"/>
      <c r="Q57"/>
      <c r="R57"/>
      <c r="S57"/>
      <c r="T57"/>
      <c r="U57"/>
      <c r="V57"/>
      <c r="W57"/>
      <c r="X57"/>
      <c r="Y57"/>
      <c r="Z57"/>
      <c r="AA57"/>
      <c r="AB57"/>
      <c r="AC57"/>
    </row>
    <row r="58" spans="3:29" ht="14.4" x14ac:dyDescent="0.3">
      <c r="C58" s="120" t="s">
        <v>1800</v>
      </c>
      <c r="D58" s="138">
        <v>1799</v>
      </c>
      <c r="E58" s="138">
        <v>355</v>
      </c>
      <c r="F58" s="138">
        <v>140</v>
      </c>
      <c r="G58" s="120" t="s">
        <v>1801</v>
      </c>
      <c r="H58" s="120" t="s">
        <v>1802</v>
      </c>
      <c r="I58" s="120" t="s">
        <v>1803</v>
      </c>
      <c r="J58" s="120" t="s">
        <v>1755</v>
      </c>
      <c r="K58" s="120" t="s">
        <v>1750</v>
      </c>
      <c r="L58"/>
      <c r="M58"/>
      <c r="N58"/>
      <c r="O58"/>
      <c r="P58"/>
      <c r="Q58"/>
      <c r="R58"/>
      <c r="S58"/>
      <c r="T58"/>
      <c r="U58"/>
      <c r="V58"/>
      <c r="W58"/>
      <c r="X58"/>
      <c r="Y58"/>
      <c r="Z58"/>
      <c r="AA58"/>
      <c r="AB58"/>
      <c r="AC58"/>
    </row>
    <row r="59" spans="3:29" ht="14.4" x14ac:dyDescent="0.3">
      <c r="C59" s="120" t="s">
        <v>1804</v>
      </c>
      <c r="D59" s="138">
        <v>857</v>
      </c>
      <c r="E59" s="138">
        <v>280</v>
      </c>
      <c r="F59" s="138">
        <v>140</v>
      </c>
      <c r="G59" s="120" t="s">
        <v>1605</v>
      </c>
      <c r="H59" s="120" t="s">
        <v>1781</v>
      </c>
      <c r="I59" s="120" t="s">
        <v>1772</v>
      </c>
      <c r="J59" s="120" t="s">
        <v>1760</v>
      </c>
      <c r="K59" s="120" t="s">
        <v>1750</v>
      </c>
      <c r="L59"/>
      <c r="M59"/>
      <c r="N59"/>
      <c r="O59"/>
      <c r="P59"/>
      <c r="Q59"/>
      <c r="R59"/>
      <c r="S59"/>
      <c r="T59"/>
      <c r="U59"/>
      <c r="V59"/>
      <c r="W59"/>
      <c r="X59"/>
      <c r="Y59"/>
      <c r="Z59"/>
      <c r="AA59"/>
      <c r="AB59"/>
      <c r="AC59"/>
    </row>
    <row r="60" spans="3:29" ht="14.4" x14ac:dyDescent="0.3">
      <c r="C60" s="120" t="s">
        <v>1805</v>
      </c>
      <c r="D60" s="138">
        <v>981</v>
      </c>
      <c r="E60" s="138">
        <v>280</v>
      </c>
      <c r="F60" s="138">
        <v>140</v>
      </c>
      <c r="G60" s="120" t="s">
        <v>1605</v>
      </c>
      <c r="H60" s="120" t="s">
        <v>1781</v>
      </c>
      <c r="I60" s="120" t="s">
        <v>1772</v>
      </c>
      <c r="J60" s="120" t="s">
        <v>1760</v>
      </c>
      <c r="K60" s="120" t="s">
        <v>1750</v>
      </c>
      <c r="L60"/>
      <c r="M60"/>
      <c r="N60"/>
      <c r="O60"/>
      <c r="P60"/>
      <c r="Q60"/>
      <c r="R60"/>
      <c r="S60"/>
      <c r="T60"/>
      <c r="U60"/>
      <c r="V60"/>
      <c r="W60"/>
      <c r="X60"/>
      <c r="Y60"/>
      <c r="Z60"/>
      <c r="AA60"/>
      <c r="AB60"/>
      <c r="AC60"/>
    </row>
    <row r="61" spans="3:29" ht="14.4" x14ac:dyDescent="0.3">
      <c r="C61" s="120" t="s">
        <v>1806</v>
      </c>
      <c r="D61" s="138">
        <v>2634</v>
      </c>
      <c r="E61" s="138">
        <v>560</v>
      </c>
      <c r="F61" s="138">
        <v>140</v>
      </c>
      <c r="G61" s="120" t="s">
        <v>1807</v>
      </c>
      <c r="H61" s="120" t="s">
        <v>1808</v>
      </c>
      <c r="I61" s="120" t="s">
        <v>1809</v>
      </c>
      <c r="J61" s="120" t="s">
        <v>1810</v>
      </c>
      <c r="K61" s="120" t="s">
        <v>1750</v>
      </c>
      <c r="L61"/>
      <c r="M61"/>
      <c r="N61"/>
      <c r="O61"/>
      <c r="P61"/>
      <c r="Q61"/>
      <c r="R61"/>
      <c r="S61"/>
      <c r="T61"/>
      <c r="U61"/>
      <c r="V61"/>
      <c r="W61"/>
      <c r="X61"/>
      <c r="Y61"/>
      <c r="Z61"/>
      <c r="AA61"/>
      <c r="AB61"/>
      <c r="AC61"/>
    </row>
    <row r="62" spans="3:29" ht="14.4" x14ac:dyDescent="0.3">
      <c r="C62" s="120" t="s">
        <v>1811</v>
      </c>
      <c r="D62" s="138">
        <v>1038</v>
      </c>
      <c r="E62" s="138">
        <v>90</v>
      </c>
      <c r="F62" s="138">
        <v>140</v>
      </c>
      <c r="G62" s="120" t="s">
        <v>1683</v>
      </c>
      <c r="H62" s="120" t="s">
        <v>1812</v>
      </c>
      <c r="I62" s="120" t="s">
        <v>1813</v>
      </c>
      <c r="J62" s="120" t="s">
        <v>1814</v>
      </c>
      <c r="K62" s="120" t="s">
        <v>1750</v>
      </c>
      <c r="L62"/>
      <c r="M62"/>
      <c r="N62"/>
      <c r="O62"/>
      <c r="P62"/>
      <c r="Q62"/>
      <c r="R62"/>
      <c r="S62"/>
      <c r="T62"/>
      <c r="U62"/>
      <c r="V62"/>
      <c r="W62"/>
      <c r="X62"/>
      <c r="Y62"/>
      <c r="Z62"/>
      <c r="AA62"/>
      <c r="AB62"/>
      <c r="AC62"/>
    </row>
    <row r="63" spans="3:29" ht="14.4" x14ac:dyDescent="0.3">
      <c r="C63" s="120" t="s">
        <v>1815</v>
      </c>
      <c r="D63" s="138">
        <v>865</v>
      </c>
      <c r="E63" s="138">
        <v>500</v>
      </c>
      <c r="F63" s="138">
        <v>140</v>
      </c>
      <c r="G63" s="120" t="s">
        <v>1816</v>
      </c>
      <c r="H63" s="120" t="s">
        <v>1817</v>
      </c>
      <c r="I63" s="120" t="s">
        <v>1818</v>
      </c>
      <c r="J63" s="120" t="s">
        <v>1810</v>
      </c>
      <c r="K63" s="120" t="s">
        <v>1750</v>
      </c>
      <c r="L63"/>
      <c r="M63"/>
      <c r="N63"/>
      <c r="O63"/>
      <c r="P63"/>
      <c r="Q63"/>
      <c r="R63"/>
      <c r="S63"/>
      <c r="T63"/>
      <c r="U63"/>
      <c r="V63"/>
      <c r="W63"/>
      <c r="X63"/>
      <c r="Y63"/>
      <c r="Z63"/>
      <c r="AA63"/>
      <c r="AB63"/>
      <c r="AC63"/>
    </row>
    <row r="64" spans="3:29" ht="14.4" x14ac:dyDescent="0.3">
      <c r="C64" s="120" t="s">
        <v>1819</v>
      </c>
      <c r="D64" s="138">
        <v>1258</v>
      </c>
      <c r="E64" s="138">
        <v>450</v>
      </c>
      <c r="F64" s="138">
        <v>140</v>
      </c>
      <c r="G64" s="120" t="s">
        <v>1820</v>
      </c>
      <c r="H64" s="120" t="s">
        <v>1771</v>
      </c>
      <c r="I64" s="120" t="s">
        <v>1759</v>
      </c>
      <c r="J64" s="120" t="s">
        <v>1755</v>
      </c>
      <c r="K64" s="120" t="s">
        <v>1750</v>
      </c>
      <c r="L64"/>
      <c r="M64"/>
      <c r="N64"/>
      <c r="O64"/>
      <c r="P64"/>
      <c r="Q64"/>
      <c r="R64"/>
      <c r="S64"/>
      <c r="T64"/>
      <c r="U64"/>
      <c r="V64"/>
      <c r="W64"/>
      <c r="X64"/>
      <c r="Y64"/>
      <c r="Z64"/>
      <c r="AA64"/>
      <c r="AB64"/>
      <c r="AC64"/>
    </row>
    <row r="65" spans="3:29" ht="14.4" x14ac:dyDescent="0.3">
      <c r="C65" s="120" t="s">
        <v>1821</v>
      </c>
      <c r="D65" s="138">
        <v>1407</v>
      </c>
      <c r="E65" s="138">
        <v>315</v>
      </c>
      <c r="F65" s="138">
        <v>140</v>
      </c>
      <c r="G65" s="120" t="s">
        <v>1822</v>
      </c>
      <c r="H65" s="120" t="s">
        <v>1823</v>
      </c>
      <c r="I65" s="120" t="s">
        <v>1824</v>
      </c>
      <c r="J65" s="120" t="s">
        <v>1773</v>
      </c>
      <c r="K65" s="120" t="s">
        <v>1750</v>
      </c>
      <c r="L65"/>
      <c r="M65"/>
      <c r="N65"/>
      <c r="O65"/>
      <c r="P65"/>
      <c r="Q65"/>
      <c r="R65"/>
      <c r="S65"/>
      <c r="T65"/>
      <c r="U65"/>
      <c r="V65"/>
      <c r="W65"/>
      <c r="X65"/>
      <c r="Y65"/>
      <c r="Z65"/>
      <c r="AA65"/>
      <c r="AB65"/>
      <c r="AC65"/>
    </row>
    <row r="66" spans="3:29" ht="14.4" x14ac:dyDescent="0.3">
      <c r="C66" s="120" t="s">
        <v>1825</v>
      </c>
      <c r="D66" s="138">
        <v>1404</v>
      </c>
      <c r="E66" s="138">
        <v>180</v>
      </c>
      <c r="F66" s="138">
        <v>180</v>
      </c>
      <c r="G66" s="120" t="s">
        <v>1826</v>
      </c>
      <c r="H66" s="120" t="s">
        <v>1827</v>
      </c>
      <c r="I66" s="120" t="s">
        <v>1767</v>
      </c>
      <c r="J66" s="120" t="s">
        <v>1828</v>
      </c>
      <c r="K66" s="120" t="s">
        <v>1750</v>
      </c>
      <c r="L66"/>
      <c r="M66"/>
      <c r="N66"/>
      <c r="O66"/>
      <c r="P66"/>
      <c r="Q66"/>
      <c r="R66"/>
      <c r="S66"/>
      <c r="T66"/>
      <c r="U66"/>
      <c r="V66"/>
      <c r="W66"/>
      <c r="X66"/>
      <c r="Y66"/>
      <c r="Z66"/>
      <c r="AA66"/>
      <c r="AB66"/>
      <c r="AC66"/>
    </row>
    <row r="67" spans="3:29" ht="14.4" x14ac:dyDescent="0.3">
      <c r="C67" s="120" t="s">
        <v>1829</v>
      </c>
      <c r="D67" s="138">
        <v>1947</v>
      </c>
      <c r="E67" s="138">
        <v>250</v>
      </c>
      <c r="F67" s="138">
        <v>140</v>
      </c>
      <c r="G67" s="120" t="s">
        <v>1830</v>
      </c>
      <c r="H67" s="120" t="s">
        <v>1802</v>
      </c>
      <c r="I67" s="120" t="s">
        <v>1831</v>
      </c>
      <c r="J67" s="120" t="s">
        <v>1773</v>
      </c>
      <c r="K67" s="120" t="s">
        <v>1750</v>
      </c>
      <c r="L67"/>
      <c r="M67"/>
      <c r="N67"/>
      <c r="O67"/>
      <c r="P67"/>
      <c r="Q67"/>
      <c r="R67"/>
      <c r="S67"/>
      <c r="T67"/>
      <c r="U67"/>
      <c r="V67"/>
      <c r="W67"/>
      <c r="X67"/>
      <c r="Y67"/>
      <c r="Z67"/>
      <c r="AA67"/>
      <c r="AB67"/>
      <c r="AC67"/>
    </row>
    <row r="68" spans="3:29" ht="14.4" x14ac:dyDescent="0.3">
      <c r="C68" s="120" t="s">
        <v>1832</v>
      </c>
      <c r="D68" s="138">
        <v>1363</v>
      </c>
      <c r="E68" s="138">
        <v>400</v>
      </c>
      <c r="F68" s="138">
        <v>140</v>
      </c>
      <c r="G68" s="120" t="s">
        <v>1801</v>
      </c>
      <c r="H68" s="120" t="s">
        <v>1833</v>
      </c>
      <c r="I68" s="120" t="s">
        <v>1834</v>
      </c>
      <c r="J68" s="120" t="s">
        <v>1773</v>
      </c>
      <c r="K68" s="120" t="s">
        <v>1750</v>
      </c>
      <c r="L68"/>
      <c r="M68"/>
      <c r="N68"/>
      <c r="O68"/>
      <c r="P68"/>
      <c r="Q68"/>
      <c r="R68"/>
      <c r="S68"/>
      <c r="T68"/>
      <c r="U68"/>
      <c r="V68"/>
      <c r="W68"/>
      <c r="X68"/>
      <c r="Y68"/>
      <c r="Z68"/>
      <c r="AA68"/>
      <c r="AB68"/>
      <c r="AC68"/>
    </row>
    <row r="69" spans="3:29" ht="14.4" x14ac:dyDescent="0.3">
      <c r="C69" s="120" t="s">
        <v>1835</v>
      </c>
      <c r="D69" s="138">
        <v>553</v>
      </c>
      <c r="E69" s="138">
        <v>250</v>
      </c>
      <c r="F69" s="138">
        <v>140</v>
      </c>
      <c r="G69" s="120" t="s">
        <v>1605</v>
      </c>
      <c r="H69" s="120" t="s">
        <v>1827</v>
      </c>
      <c r="I69" s="120" t="s">
        <v>1836</v>
      </c>
      <c r="J69" s="120" t="s">
        <v>1760</v>
      </c>
      <c r="K69" s="120" t="s">
        <v>1750</v>
      </c>
      <c r="L69"/>
      <c r="M69"/>
      <c r="N69"/>
      <c r="O69"/>
      <c r="P69"/>
      <c r="Q69"/>
      <c r="R69"/>
      <c r="S69"/>
      <c r="T69"/>
      <c r="U69"/>
      <c r="V69"/>
      <c r="W69"/>
      <c r="X69"/>
      <c r="Y69"/>
      <c r="Z69"/>
      <c r="AA69"/>
      <c r="AB69"/>
      <c r="AC69"/>
    </row>
    <row r="70" spans="3:29" ht="14.4" x14ac:dyDescent="0.3">
      <c r="C70" s="120" t="s">
        <v>1837</v>
      </c>
      <c r="D70" s="138">
        <v>884</v>
      </c>
      <c r="E70" s="138">
        <v>140</v>
      </c>
      <c r="F70" s="138">
        <v>140</v>
      </c>
      <c r="G70" s="120" t="s">
        <v>1683</v>
      </c>
      <c r="H70" s="120" t="s">
        <v>1781</v>
      </c>
      <c r="I70" s="120" t="s">
        <v>1838</v>
      </c>
      <c r="J70" s="120" t="s">
        <v>1839</v>
      </c>
      <c r="K70" s="120" t="s">
        <v>1750</v>
      </c>
      <c r="L70"/>
      <c r="M70"/>
      <c r="N70"/>
      <c r="O70"/>
      <c r="P70"/>
      <c r="Q70"/>
      <c r="R70"/>
      <c r="S70"/>
      <c r="T70"/>
      <c r="U70"/>
      <c r="V70"/>
      <c r="W70"/>
      <c r="X70"/>
      <c r="Y70"/>
      <c r="Z70"/>
      <c r="AA70"/>
      <c r="AB70"/>
      <c r="AC70"/>
    </row>
    <row r="71" spans="3:29" ht="14.4" x14ac:dyDescent="0.3">
      <c r="C71" s="120" t="s">
        <v>1840</v>
      </c>
      <c r="D71" s="138">
        <v>3187</v>
      </c>
      <c r="E71" s="138">
        <v>560</v>
      </c>
      <c r="F71" s="138">
        <v>140</v>
      </c>
      <c r="G71" s="120" t="s">
        <v>1841</v>
      </c>
      <c r="H71" s="120" t="s">
        <v>1808</v>
      </c>
      <c r="I71" s="120" t="s">
        <v>1809</v>
      </c>
      <c r="J71" s="120" t="s">
        <v>1810</v>
      </c>
      <c r="K71" s="120" t="s">
        <v>1750</v>
      </c>
      <c r="L71"/>
      <c r="M71"/>
      <c r="N71"/>
      <c r="O71"/>
      <c r="P71"/>
      <c r="Q71"/>
      <c r="R71"/>
      <c r="S71"/>
      <c r="T71"/>
      <c r="U71"/>
      <c r="V71"/>
      <c r="W71"/>
      <c r="X71"/>
      <c r="Y71"/>
      <c r="Z71"/>
      <c r="AA71"/>
      <c r="AB71"/>
      <c r="AC71"/>
    </row>
    <row r="72" spans="3:29" ht="14.4" x14ac:dyDescent="0.3">
      <c r="C72" s="120" t="s">
        <v>1842</v>
      </c>
      <c r="D72" s="138">
        <v>1525</v>
      </c>
      <c r="E72" s="138">
        <v>560</v>
      </c>
      <c r="F72" s="138">
        <v>140</v>
      </c>
      <c r="G72" s="120" t="s">
        <v>1807</v>
      </c>
      <c r="H72" s="120" t="s">
        <v>1808</v>
      </c>
      <c r="I72" s="120" t="s">
        <v>1809</v>
      </c>
      <c r="J72" s="120" t="s">
        <v>1810</v>
      </c>
      <c r="K72" s="120" t="s">
        <v>1750</v>
      </c>
      <c r="L72"/>
      <c r="M72"/>
      <c r="N72"/>
      <c r="O72"/>
      <c r="P72"/>
      <c r="Q72"/>
      <c r="R72"/>
      <c r="S72"/>
      <c r="T72"/>
      <c r="U72"/>
      <c r="V72"/>
      <c r="W72"/>
      <c r="X72"/>
      <c r="Y72"/>
      <c r="Z72"/>
      <c r="AA72"/>
      <c r="AB72"/>
      <c r="AC72"/>
    </row>
    <row r="73" spans="3:29" ht="14.4" x14ac:dyDescent="0.3">
      <c r="C73" s="120" t="s">
        <v>1843</v>
      </c>
      <c r="D73" s="138">
        <v>1567</v>
      </c>
      <c r="E73" s="138">
        <v>180</v>
      </c>
      <c r="F73" s="138">
        <v>140</v>
      </c>
      <c r="G73" s="120" t="s">
        <v>1844</v>
      </c>
      <c r="H73" s="120" t="s">
        <v>1845</v>
      </c>
      <c r="I73" s="120" t="s">
        <v>1846</v>
      </c>
      <c r="J73" s="120" t="s">
        <v>1760</v>
      </c>
      <c r="K73" s="120" t="s">
        <v>1750</v>
      </c>
      <c r="L73"/>
      <c r="M73"/>
      <c r="N73"/>
      <c r="O73"/>
      <c r="P73"/>
      <c r="Q73"/>
      <c r="R73"/>
      <c r="S73"/>
      <c r="T73"/>
      <c r="U73"/>
      <c r="V73"/>
      <c r="W73"/>
      <c r="X73"/>
      <c r="Y73"/>
      <c r="Z73"/>
      <c r="AA73"/>
      <c r="AB73"/>
      <c r="AC73"/>
    </row>
    <row r="74" spans="3:29" ht="14.4" x14ac:dyDescent="0.3">
      <c r="C74" s="120" t="s">
        <v>1847</v>
      </c>
      <c r="D74" s="138">
        <v>2334</v>
      </c>
      <c r="E74" s="138">
        <v>160</v>
      </c>
      <c r="F74" s="138">
        <v>140</v>
      </c>
      <c r="G74" s="120" t="s">
        <v>1642</v>
      </c>
      <c r="H74" s="120" t="s">
        <v>1776</v>
      </c>
      <c r="I74" s="120" t="s">
        <v>1848</v>
      </c>
      <c r="J74" s="120" t="s">
        <v>1778</v>
      </c>
      <c r="K74" s="120" t="s">
        <v>1750</v>
      </c>
      <c r="L74"/>
      <c r="M74"/>
      <c r="N74"/>
      <c r="O74"/>
      <c r="P74"/>
      <c r="Q74"/>
      <c r="R74"/>
      <c r="S74"/>
      <c r="T74"/>
      <c r="U74"/>
      <c r="V74"/>
      <c r="W74"/>
      <c r="X74"/>
      <c r="Y74"/>
      <c r="Z74"/>
      <c r="AA74"/>
      <c r="AB74"/>
      <c r="AC74"/>
    </row>
    <row r="75" spans="3:29" ht="14.4" x14ac:dyDescent="0.3">
      <c r="C75" s="120" t="s">
        <v>1849</v>
      </c>
      <c r="D75" s="138" t="s">
        <v>1724</v>
      </c>
      <c r="E75" s="138" t="s">
        <v>1724</v>
      </c>
      <c r="F75" s="138" t="s">
        <v>1724</v>
      </c>
      <c r="G75" s="120" t="s">
        <v>1841</v>
      </c>
      <c r="H75" s="120" t="s">
        <v>1608</v>
      </c>
      <c r="I75" s="120" t="s">
        <v>1850</v>
      </c>
      <c r="J75" s="120" t="s">
        <v>1851</v>
      </c>
      <c r="K75" s="120" t="s">
        <v>1750</v>
      </c>
      <c r="L75"/>
      <c r="M75"/>
      <c r="N75"/>
      <c r="O75"/>
      <c r="P75"/>
      <c r="Q75"/>
      <c r="R75"/>
      <c r="S75"/>
      <c r="T75"/>
      <c r="U75"/>
      <c r="V75"/>
      <c r="W75"/>
      <c r="X75"/>
      <c r="Y75"/>
      <c r="Z75"/>
      <c r="AA75"/>
      <c r="AB75"/>
      <c r="AC75"/>
    </row>
    <row r="76" spans="3:29" ht="14.4" x14ac:dyDescent="0.3">
      <c r="C76" s="120" t="s">
        <v>1852</v>
      </c>
      <c r="D76" s="138" t="s">
        <v>1724</v>
      </c>
      <c r="E76" s="138" t="s">
        <v>1724</v>
      </c>
      <c r="F76" s="138" t="s">
        <v>1724</v>
      </c>
      <c r="G76" s="120" t="s">
        <v>1807</v>
      </c>
      <c r="H76" s="120" t="s">
        <v>1608</v>
      </c>
      <c r="I76" s="120" t="s">
        <v>1853</v>
      </c>
      <c r="J76" s="120" t="s">
        <v>1851</v>
      </c>
      <c r="K76" s="120" t="s">
        <v>1750</v>
      </c>
      <c r="L76"/>
      <c r="M76"/>
      <c r="N76"/>
      <c r="O76"/>
      <c r="P76"/>
      <c r="Q76"/>
      <c r="R76"/>
      <c r="S76"/>
      <c r="T76"/>
      <c r="U76"/>
      <c r="V76"/>
      <c r="W76"/>
      <c r="X76"/>
      <c r="Y76"/>
      <c r="Z76"/>
      <c r="AA76"/>
      <c r="AB76"/>
      <c r="AC76"/>
    </row>
    <row r="77" spans="3:29" ht="14.4" x14ac:dyDescent="0.3">
      <c r="C77" s="120" t="s">
        <v>1854</v>
      </c>
      <c r="D77" s="138" t="s">
        <v>1724</v>
      </c>
      <c r="E77" s="138" t="s">
        <v>1724</v>
      </c>
      <c r="F77" s="138" t="s">
        <v>1724</v>
      </c>
      <c r="G77" s="120" t="s">
        <v>1642</v>
      </c>
      <c r="H77" s="120" t="s">
        <v>1608</v>
      </c>
      <c r="I77" s="120" t="s">
        <v>1855</v>
      </c>
      <c r="J77" s="120" t="s">
        <v>1851</v>
      </c>
      <c r="K77" s="120" t="s">
        <v>1750</v>
      </c>
      <c r="L77"/>
      <c r="M77"/>
      <c r="N77"/>
      <c r="O77"/>
      <c r="P77"/>
      <c r="Q77"/>
      <c r="R77"/>
      <c r="S77"/>
      <c r="T77"/>
      <c r="U77"/>
      <c r="V77"/>
      <c r="W77"/>
      <c r="X77"/>
      <c r="Y77"/>
      <c r="Z77"/>
      <c r="AA77"/>
      <c r="AB77"/>
      <c r="AC77"/>
    </row>
  </sheetData>
  <mergeCells count="8">
    <mergeCell ref="K43:K44"/>
    <mergeCell ref="C42:K42"/>
    <mergeCell ref="I5:J6"/>
    <mergeCell ref="C4:J4"/>
    <mergeCell ref="C5:C6"/>
    <mergeCell ref="C43:C44"/>
    <mergeCell ref="F43:F44"/>
    <mergeCell ref="J43:J4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0041B-44F3-4B01-9A97-4A5FD8A1B9FF}">
  <dimension ref="C3:W54"/>
  <sheetViews>
    <sheetView workbookViewId="0">
      <selection activeCell="T19" sqref="T19:W54"/>
    </sheetView>
  </sheetViews>
  <sheetFormatPr defaultRowHeight="13.8" x14ac:dyDescent="0.25"/>
  <cols>
    <col min="1" max="2" width="8.88671875" style="130"/>
    <col min="3" max="3" width="16.33203125" style="130" customWidth="1"/>
    <col min="4" max="4" width="11.5546875" style="130" bestFit="1" customWidth="1"/>
    <col min="5" max="5" width="22.77734375" style="130" customWidth="1"/>
    <col min="6" max="6" width="16.21875" style="130" customWidth="1"/>
    <col min="7" max="7" width="14.6640625" style="130" customWidth="1"/>
    <col min="8" max="8" width="16.109375" style="130" customWidth="1"/>
    <col min="9" max="9" width="11.5546875" style="130" bestFit="1" customWidth="1"/>
    <col min="10" max="11" width="9" style="130" bestFit="1" customWidth="1"/>
    <col min="12" max="13" width="8.88671875" style="130"/>
    <col min="14" max="14" width="11.109375" style="130" customWidth="1"/>
    <col min="15" max="15" width="11.5546875" style="130" bestFit="1" customWidth="1"/>
    <col min="16" max="17" width="9" style="130" bestFit="1" customWidth="1"/>
    <col min="18" max="19" width="8.88671875" style="130"/>
    <col min="20" max="20" width="12.5546875" style="130" customWidth="1"/>
    <col min="21" max="21" width="11.5546875" style="130" bestFit="1" customWidth="1"/>
    <col min="22" max="23" width="9" style="130" bestFit="1" customWidth="1"/>
    <col min="24" max="16384" width="8.88671875" style="130"/>
  </cols>
  <sheetData>
    <row r="3" spans="3:8" x14ac:dyDescent="0.25">
      <c r="C3" s="366" t="s">
        <v>1869</v>
      </c>
      <c r="D3" s="366"/>
      <c r="E3" s="366"/>
      <c r="F3" s="366"/>
      <c r="G3" s="366"/>
      <c r="H3" s="366"/>
    </row>
    <row r="4" spans="3:8" x14ac:dyDescent="0.25">
      <c r="C4" s="367" t="s">
        <v>1864</v>
      </c>
      <c r="D4" s="367"/>
      <c r="E4" s="367" t="s">
        <v>1867</v>
      </c>
      <c r="F4" s="367" t="s">
        <v>1868</v>
      </c>
      <c r="G4" s="367" t="s">
        <v>1870</v>
      </c>
      <c r="H4" s="367" t="s">
        <v>1871</v>
      </c>
    </row>
    <row r="5" spans="3:8" x14ac:dyDescent="0.25">
      <c r="C5" s="131" t="s">
        <v>1865</v>
      </c>
      <c r="D5" s="131" t="s">
        <v>1866</v>
      </c>
      <c r="E5" s="367"/>
      <c r="F5" s="367"/>
      <c r="G5" s="367"/>
      <c r="H5" s="367"/>
    </row>
    <row r="6" spans="3:8" x14ac:dyDescent="0.25">
      <c r="C6" s="129">
        <v>234</v>
      </c>
      <c r="D6" s="129">
        <v>230</v>
      </c>
      <c r="E6" s="129">
        <v>454</v>
      </c>
      <c r="F6" s="129">
        <f>(C6-D6)/E6</f>
        <v>8.8105726872246704E-3</v>
      </c>
      <c r="G6" s="129">
        <f>(Intake!$P$30/(0.2785*120*('Jalur Transmisi '!F6^0.54)))^(1/2.63)</f>
        <v>0.60183983954543396</v>
      </c>
      <c r="H6" s="129">
        <f>0.68/((1/4)*(3.14)*G6)</f>
        <v>1.4393231908190525</v>
      </c>
    </row>
    <row r="11" spans="3:8" x14ac:dyDescent="0.25">
      <c r="C11" s="366" t="s">
        <v>1872</v>
      </c>
      <c r="D11" s="366"/>
      <c r="E11" s="366"/>
      <c r="F11" s="366"/>
      <c r="G11" s="366"/>
      <c r="H11" s="366"/>
    </row>
    <row r="12" spans="3:8" x14ac:dyDescent="0.25">
      <c r="C12" s="367" t="s">
        <v>1864</v>
      </c>
      <c r="D12" s="367"/>
      <c r="E12" s="367" t="s">
        <v>1895</v>
      </c>
      <c r="F12" s="367" t="s">
        <v>1868</v>
      </c>
      <c r="G12" s="367" t="s">
        <v>1870</v>
      </c>
      <c r="H12" s="367" t="s">
        <v>1871</v>
      </c>
    </row>
    <row r="13" spans="3:8" x14ac:dyDescent="0.25">
      <c r="C13" s="131" t="s">
        <v>1896</v>
      </c>
      <c r="D13" s="131" t="s">
        <v>1866</v>
      </c>
      <c r="E13" s="367"/>
      <c r="F13" s="367"/>
      <c r="G13" s="367"/>
      <c r="H13" s="367"/>
    </row>
    <row r="14" spans="3:8" x14ac:dyDescent="0.25">
      <c r="C14" s="129">
        <f>230+I54</f>
        <v>380</v>
      </c>
      <c r="D14" s="129">
        <v>303</v>
      </c>
      <c r="E14" s="129">
        <v>6709</v>
      </c>
      <c r="F14" s="129">
        <f>(C14-D14)/E14</f>
        <v>1.1477120286182739E-2</v>
      </c>
      <c r="G14" s="129">
        <f>(Intake!$P$30/(0.2785*120*(F14^0.54)))^(1/2.63)</f>
        <v>0.57003814496610672</v>
      </c>
      <c r="H14" s="129">
        <f>0.68/((1/4)*(3.14)*G14)</f>
        <v>1.5196211795055672</v>
      </c>
    </row>
    <row r="15" spans="3:8" x14ac:dyDescent="0.25">
      <c r="C15" s="129">
        <f>230+160</f>
        <v>390</v>
      </c>
      <c r="D15" s="129">
        <v>337</v>
      </c>
      <c r="E15" s="129">
        <v>10268</v>
      </c>
      <c r="F15" s="129">
        <f t="shared" ref="F15:F16" si="0">(C15-D15)/E15</f>
        <v>5.1616673159329959E-3</v>
      </c>
      <c r="G15" s="129">
        <f>(Intake!$P$30/(0.2785*120*(F15^0.54)))^(1/2.63)</f>
        <v>0.67167607587648404</v>
      </c>
      <c r="H15" s="129">
        <f t="shared" ref="H15:H16" si="1">0.68/((1/4)*(3.14)*G15)</f>
        <v>1.2896723127828891</v>
      </c>
    </row>
    <row r="16" spans="3:8" x14ac:dyDescent="0.25">
      <c r="C16" s="129">
        <f>230+370</f>
        <v>600</v>
      </c>
      <c r="D16" s="129">
        <v>524</v>
      </c>
      <c r="E16" s="129">
        <v>14906</v>
      </c>
      <c r="F16" s="129">
        <f t="shared" si="0"/>
        <v>5.0986180061720109E-3</v>
      </c>
      <c r="G16" s="129">
        <f>(Intake!$P$30/(0.2785*120*(F16^0.54)))^(1/2.63)</f>
        <v>0.67337315592065128</v>
      </c>
      <c r="H16" s="129">
        <f t="shared" si="1"/>
        <v>1.2864219944025159</v>
      </c>
    </row>
    <row r="19" spans="3:23" x14ac:dyDescent="0.25">
      <c r="C19" s="366" t="s">
        <v>1891</v>
      </c>
      <c r="D19" s="366"/>
      <c r="E19" s="366"/>
      <c r="F19" s="366"/>
      <c r="H19" s="366" t="s">
        <v>1892</v>
      </c>
      <c r="I19" s="366"/>
      <c r="J19" s="366"/>
      <c r="K19" s="366"/>
      <c r="N19" s="366" t="s">
        <v>1893</v>
      </c>
      <c r="O19" s="366"/>
      <c r="P19" s="366"/>
      <c r="Q19" s="366"/>
      <c r="T19" s="366" t="s">
        <v>1894</v>
      </c>
      <c r="U19" s="366"/>
      <c r="V19" s="366"/>
      <c r="W19" s="366"/>
    </row>
    <row r="21" spans="3:23" x14ac:dyDescent="0.25">
      <c r="C21" s="129" t="s">
        <v>325</v>
      </c>
      <c r="D21" s="132">
        <v>0.68</v>
      </c>
      <c r="E21" s="129" t="s">
        <v>186</v>
      </c>
      <c r="H21" s="129" t="s">
        <v>325</v>
      </c>
      <c r="I21" s="132">
        <v>0.68</v>
      </c>
      <c r="J21" s="129" t="s">
        <v>186</v>
      </c>
      <c r="N21" s="129" t="s">
        <v>325</v>
      </c>
      <c r="O21" s="132">
        <v>0.68</v>
      </c>
      <c r="P21" s="129" t="s">
        <v>186</v>
      </c>
      <c r="T21" s="129" t="s">
        <v>325</v>
      </c>
      <c r="U21" s="132">
        <v>0.68</v>
      </c>
      <c r="V21" s="129" t="s">
        <v>186</v>
      </c>
    </row>
    <row r="22" spans="3:23" x14ac:dyDescent="0.25">
      <c r="C22" s="129" t="s">
        <v>332</v>
      </c>
      <c r="D22" s="132">
        <v>2</v>
      </c>
      <c r="E22" s="129" t="s">
        <v>258</v>
      </c>
      <c r="H22" s="129" t="s">
        <v>332</v>
      </c>
      <c r="I22" s="132">
        <v>2</v>
      </c>
      <c r="J22" s="129" t="s">
        <v>258</v>
      </c>
      <c r="N22" s="129" t="s">
        <v>332</v>
      </c>
      <c r="O22" s="132">
        <v>2</v>
      </c>
      <c r="P22" s="129" t="s">
        <v>258</v>
      </c>
      <c r="T22" s="129" t="s">
        <v>332</v>
      </c>
      <c r="U22" s="132">
        <v>2</v>
      </c>
      <c r="V22" s="129" t="s">
        <v>258</v>
      </c>
    </row>
    <row r="23" spans="3:23" x14ac:dyDescent="0.25">
      <c r="C23" s="129" t="s">
        <v>560</v>
      </c>
      <c r="D23" s="132">
        <f>SQRT((D21*4)/(D22*3.14))</f>
        <v>0.65811930461602497</v>
      </c>
      <c r="E23" s="129" t="s">
        <v>259</v>
      </c>
      <c r="H23" s="129" t="s">
        <v>560</v>
      </c>
      <c r="I23" s="132">
        <f>SQRT((I21*4)/(I22*3.14))</f>
        <v>0.65811930461602497</v>
      </c>
      <c r="J23" s="129" t="s">
        <v>259</v>
      </c>
      <c r="N23" s="129" t="s">
        <v>560</v>
      </c>
      <c r="O23" s="132">
        <f>SQRT((O21*4)/(O22*3.14))</f>
        <v>0.65811930461602497</v>
      </c>
      <c r="P23" s="129" t="s">
        <v>259</v>
      </c>
      <c r="T23" s="129" t="s">
        <v>560</v>
      </c>
      <c r="U23" s="132">
        <f>SQRT((U21*4)/(U22*3.14))</f>
        <v>0.65811930461602497</v>
      </c>
      <c r="V23" s="129" t="s">
        <v>259</v>
      </c>
    </row>
    <row r="24" spans="3:23" x14ac:dyDescent="0.25">
      <c r="C24" s="129"/>
      <c r="D24" s="132">
        <f>D23*1000</f>
        <v>658.11930461602492</v>
      </c>
      <c r="E24" s="129" t="s">
        <v>644</v>
      </c>
      <c r="H24" s="129"/>
      <c r="I24" s="132">
        <f>I23*1000</f>
        <v>658.11930461602492</v>
      </c>
      <c r="J24" s="129" t="s">
        <v>644</v>
      </c>
      <c r="N24" s="129"/>
      <c r="O24" s="132">
        <f>O23*1000</f>
        <v>658.11930461602492</v>
      </c>
      <c r="P24" s="129" t="s">
        <v>644</v>
      </c>
      <c r="T24" s="129"/>
      <c r="U24" s="132">
        <f>U23*1000</f>
        <v>658.11930461602492</v>
      </c>
      <c r="V24" s="129" t="s">
        <v>644</v>
      </c>
    </row>
    <row r="25" spans="3:23" x14ac:dyDescent="0.25">
      <c r="C25" s="129" t="s">
        <v>1873</v>
      </c>
      <c r="D25" s="132">
        <v>710</v>
      </c>
      <c r="E25" s="129" t="s">
        <v>644</v>
      </c>
      <c r="H25" s="129" t="s">
        <v>1873</v>
      </c>
      <c r="I25" s="132">
        <v>710</v>
      </c>
      <c r="J25" s="129" t="s">
        <v>644</v>
      </c>
      <c r="N25" s="129" t="s">
        <v>1873</v>
      </c>
      <c r="O25" s="132">
        <v>710</v>
      </c>
      <c r="P25" s="129" t="s">
        <v>644</v>
      </c>
      <c r="T25" s="129" t="s">
        <v>1873</v>
      </c>
      <c r="U25" s="132">
        <v>710</v>
      </c>
      <c r="V25" s="129" t="s">
        <v>644</v>
      </c>
    </row>
    <row r="26" spans="3:23" x14ac:dyDescent="0.25">
      <c r="D26" s="133"/>
      <c r="I26" s="133"/>
      <c r="O26" s="133"/>
      <c r="U26" s="133"/>
    </row>
    <row r="27" spans="3:23" x14ac:dyDescent="0.25">
      <c r="C27" s="371" t="s">
        <v>1874</v>
      </c>
      <c r="D27" s="371"/>
      <c r="E27" s="371"/>
      <c r="F27" s="371"/>
      <c r="H27" s="371" t="s">
        <v>1874</v>
      </c>
      <c r="I27" s="371"/>
      <c r="J27" s="371"/>
      <c r="K27" s="371"/>
      <c r="N27" s="371" t="s">
        <v>1874</v>
      </c>
      <c r="O27" s="371"/>
      <c r="P27" s="371"/>
      <c r="Q27" s="371"/>
      <c r="T27" s="371" t="s">
        <v>1874</v>
      </c>
      <c r="U27" s="371"/>
      <c r="V27" s="371"/>
      <c r="W27" s="371"/>
    </row>
    <row r="28" spans="3:23" x14ac:dyDescent="0.25">
      <c r="C28" s="367" t="s">
        <v>1875</v>
      </c>
      <c r="D28" s="367"/>
      <c r="E28" s="367"/>
      <c r="F28" s="367"/>
      <c r="H28" s="367" t="s">
        <v>1875</v>
      </c>
      <c r="I28" s="367"/>
      <c r="J28" s="367"/>
      <c r="K28" s="367"/>
      <c r="N28" s="367" t="s">
        <v>1875</v>
      </c>
      <c r="O28" s="367"/>
      <c r="P28" s="367"/>
      <c r="Q28" s="367"/>
      <c r="T28" s="367" t="s">
        <v>1875</v>
      </c>
      <c r="U28" s="367"/>
      <c r="V28" s="367"/>
      <c r="W28" s="367"/>
    </row>
    <row r="29" spans="3:23" x14ac:dyDescent="0.25">
      <c r="C29" s="129" t="s">
        <v>325</v>
      </c>
      <c r="D29" s="366">
        <f>D21</f>
        <v>0.68</v>
      </c>
      <c r="E29" s="366"/>
      <c r="F29" s="129" t="s">
        <v>186</v>
      </c>
      <c r="H29" s="129" t="s">
        <v>325</v>
      </c>
      <c r="I29" s="366">
        <f>I21</f>
        <v>0.68</v>
      </c>
      <c r="J29" s="366"/>
      <c r="K29" s="129" t="s">
        <v>186</v>
      </c>
      <c r="N29" s="129" t="s">
        <v>325</v>
      </c>
      <c r="O29" s="366">
        <f>O21</f>
        <v>0.68</v>
      </c>
      <c r="P29" s="366"/>
      <c r="Q29" s="129" t="s">
        <v>186</v>
      </c>
      <c r="T29" s="129" t="s">
        <v>325</v>
      </c>
      <c r="U29" s="366">
        <f>U21</f>
        <v>0.68</v>
      </c>
      <c r="V29" s="366"/>
      <c r="W29" s="129" t="s">
        <v>186</v>
      </c>
    </row>
    <row r="30" spans="3:23" x14ac:dyDescent="0.25">
      <c r="C30" s="131" t="s">
        <v>1475</v>
      </c>
      <c r="D30" s="367">
        <v>150</v>
      </c>
      <c r="E30" s="367"/>
      <c r="F30" s="131"/>
      <c r="H30" s="131" t="s">
        <v>1475</v>
      </c>
      <c r="I30" s="367">
        <v>150</v>
      </c>
      <c r="J30" s="367"/>
      <c r="K30" s="131"/>
      <c r="N30" s="131" t="s">
        <v>1475</v>
      </c>
      <c r="O30" s="367">
        <v>150</v>
      </c>
      <c r="P30" s="367"/>
      <c r="Q30" s="131"/>
      <c r="T30" s="131" t="s">
        <v>1475</v>
      </c>
      <c r="U30" s="367">
        <v>150</v>
      </c>
      <c r="V30" s="367"/>
      <c r="W30" s="131"/>
    </row>
    <row r="31" spans="3:23" x14ac:dyDescent="0.25">
      <c r="C31" s="129" t="s">
        <v>560</v>
      </c>
      <c r="D31" s="366">
        <f>D23</f>
        <v>0.65811930461602497</v>
      </c>
      <c r="E31" s="366"/>
      <c r="F31" s="129" t="s">
        <v>259</v>
      </c>
      <c r="H31" s="129" t="s">
        <v>560</v>
      </c>
      <c r="I31" s="366">
        <f>I23</f>
        <v>0.65811930461602497</v>
      </c>
      <c r="J31" s="366"/>
      <c r="K31" s="129" t="s">
        <v>259</v>
      </c>
      <c r="N31" s="129" t="s">
        <v>560</v>
      </c>
      <c r="O31" s="366">
        <f>O23</f>
        <v>0.65811930461602497</v>
      </c>
      <c r="P31" s="366"/>
      <c r="Q31" s="129" t="s">
        <v>259</v>
      </c>
      <c r="T31" s="129" t="s">
        <v>560</v>
      </c>
      <c r="U31" s="366">
        <f>U23</f>
        <v>0.65811930461602497</v>
      </c>
      <c r="V31" s="366"/>
      <c r="W31" s="129" t="s">
        <v>259</v>
      </c>
    </row>
    <row r="32" spans="3:23" x14ac:dyDescent="0.25">
      <c r="C32" s="129" t="s">
        <v>306</v>
      </c>
      <c r="D32" s="366">
        <f>454+8</f>
        <v>462</v>
      </c>
      <c r="E32" s="366"/>
      <c r="F32" s="129" t="s">
        <v>259</v>
      </c>
      <c r="H32" s="129" t="s">
        <v>306</v>
      </c>
      <c r="I32" s="366">
        <f>E14</f>
        <v>6709</v>
      </c>
      <c r="J32" s="366"/>
      <c r="K32" s="129" t="s">
        <v>259</v>
      </c>
      <c r="N32" s="129" t="s">
        <v>306</v>
      </c>
      <c r="O32" s="366">
        <f>E15</f>
        <v>10268</v>
      </c>
      <c r="P32" s="366"/>
      <c r="Q32" s="129" t="s">
        <v>259</v>
      </c>
      <c r="T32" s="129" t="s">
        <v>306</v>
      </c>
      <c r="U32" s="366">
        <f>E16</f>
        <v>14906</v>
      </c>
      <c r="V32" s="366"/>
      <c r="W32" s="129" t="s">
        <v>259</v>
      </c>
    </row>
    <row r="33" spans="3:23" x14ac:dyDescent="0.25">
      <c r="C33" s="129" t="s">
        <v>509</v>
      </c>
      <c r="D33" s="372">
        <f>(((10.67)*(D29^1.85))/((D30^1.85)*(D31^4.87)))*D32</f>
        <v>1.7459648871006528</v>
      </c>
      <c r="E33" s="372"/>
      <c r="F33" s="129" t="s">
        <v>259</v>
      </c>
      <c r="H33" s="129" t="s">
        <v>509</v>
      </c>
      <c r="I33" s="372">
        <f>(((10.67)*(I29^1.85))/((I30^1.85)*(I31^4.87)))*I32</f>
        <v>25.354282310732209</v>
      </c>
      <c r="J33" s="372"/>
      <c r="K33" s="129" t="s">
        <v>259</v>
      </c>
      <c r="N33" s="129" t="s">
        <v>509</v>
      </c>
      <c r="O33" s="372">
        <f>(((10.67)*(O29^1.85))/((O30^1.85)*(O31^4.87)))*O32</f>
        <v>38.804258573050873</v>
      </c>
      <c r="P33" s="372"/>
      <c r="Q33" s="129" t="s">
        <v>259</v>
      </c>
      <c r="T33" s="129" t="s">
        <v>509</v>
      </c>
      <c r="U33" s="372">
        <f>(((10.67)*(U29^1.85))/((U30^1.85)*(U31^4.87)))*U32</f>
        <v>56.331932050048337</v>
      </c>
      <c r="V33" s="372"/>
      <c r="W33" s="129" t="s">
        <v>259</v>
      </c>
    </row>
    <row r="34" spans="3:23" x14ac:dyDescent="0.25">
      <c r="C34" s="366" t="s">
        <v>1876</v>
      </c>
      <c r="D34" s="366"/>
      <c r="E34" s="366"/>
      <c r="F34" s="366"/>
      <c r="H34" s="366" t="s">
        <v>1876</v>
      </c>
      <c r="I34" s="366"/>
      <c r="J34" s="366"/>
      <c r="K34" s="366"/>
      <c r="N34" s="366" t="s">
        <v>1876</v>
      </c>
      <c r="O34" s="366"/>
      <c r="P34" s="366"/>
      <c r="Q34" s="366"/>
      <c r="T34" s="366" t="s">
        <v>1876</v>
      </c>
      <c r="U34" s="366"/>
      <c r="V34" s="366"/>
      <c r="W34" s="366"/>
    </row>
    <row r="35" spans="3:23" x14ac:dyDescent="0.25">
      <c r="C35" s="129" t="s">
        <v>1877</v>
      </c>
      <c r="D35" s="129" t="s">
        <v>64</v>
      </c>
      <c r="E35" s="129" t="s">
        <v>1878</v>
      </c>
      <c r="F35" s="129" t="s">
        <v>1879</v>
      </c>
      <c r="H35" s="129" t="s">
        <v>1877</v>
      </c>
      <c r="I35" s="129" t="s">
        <v>64</v>
      </c>
      <c r="J35" s="129" t="s">
        <v>1878</v>
      </c>
      <c r="K35" s="129" t="s">
        <v>1879</v>
      </c>
      <c r="N35" s="129" t="s">
        <v>1877</v>
      </c>
      <c r="O35" s="129" t="s">
        <v>64</v>
      </c>
      <c r="P35" s="129" t="s">
        <v>1878</v>
      </c>
      <c r="Q35" s="129" t="s">
        <v>1879</v>
      </c>
      <c r="T35" s="129" t="s">
        <v>1877</v>
      </c>
      <c r="U35" s="129" t="s">
        <v>64</v>
      </c>
      <c r="V35" s="129" t="s">
        <v>1878</v>
      </c>
      <c r="W35" s="129" t="s">
        <v>1879</v>
      </c>
    </row>
    <row r="36" spans="3:23" x14ac:dyDescent="0.25">
      <c r="C36" s="129" t="s">
        <v>1880</v>
      </c>
      <c r="D36" s="129">
        <v>3</v>
      </c>
      <c r="E36" s="129">
        <v>0.7</v>
      </c>
      <c r="F36" s="129">
        <f>D36*E36</f>
        <v>2.0999999999999996</v>
      </c>
      <c r="H36" s="129" t="s">
        <v>1880</v>
      </c>
      <c r="I36" s="129">
        <v>9</v>
      </c>
      <c r="J36" s="129">
        <v>0.7</v>
      </c>
      <c r="K36" s="129">
        <f>I36*J36</f>
        <v>6.3</v>
      </c>
      <c r="N36" s="129" t="s">
        <v>1880</v>
      </c>
      <c r="O36" s="129">
        <v>15</v>
      </c>
      <c r="P36" s="129">
        <v>0.7</v>
      </c>
      <c r="Q36" s="129">
        <f>O36*P36</f>
        <v>10.5</v>
      </c>
      <c r="T36" s="129" t="s">
        <v>1880</v>
      </c>
      <c r="U36" s="129">
        <v>16</v>
      </c>
      <c r="V36" s="129">
        <v>0.7</v>
      </c>
      <c r="W36" s="129">
        <f>U36*V36</f>
        <v>11.2</v>
      </c>
    </row>
    <row r="37" spans="3:23" x14ac:dyDescent="0.25">
      <c r="C37" s="134"/>
      <c r="D37" s="134"/>
      <c r="E37" s="134"/>
      <c r="F37" s="134"/>
      <c r="H37" s="134"/>
      <c r="I37" s="134"/>
      <c r="J37" s="134"/>
      <c r="K37" s="134"/>
      <c r="N37" s="134"/>
      <c r="O37" s="134"/>
      <c r="P37" s="134"/>
      <c r="Q37" s="134"/>
      <c r="T37" s="134"/>
      <c r="U37" s="134"/>
      <c r="V37" s="134"/>
      <c r="W37" s="134"/>
    </row>
    <row r="38" spans="3:23" x14ac:dyDescent="0.25">
      <c r="C38" s="366" t="s">
        <v>1881</v>
      </c>
      <c r="D38" s="366"/>
      <c r="E38" s="366"/>
      <c r="F38" s="129">
        <f>SUM(F36:F37)</f>
        <v>2.0999999999999996</v>
      </c>
      <c r="H38" s="366" t="s">
        <v>1881</v>
      </c>
      <c r="I38" s="366"/>
      <c r="J38" s="366"/>
      <c r="K38" s="129">
        <f>SUM(K36:K37)</f>
        <v>6.3</v>
      </c>
      <c r="N38" s="366" t="s">
        <v>1881</v>
      </c>
      <c r="O38" s="366"/>
      <c r="P38" s="366"/>
      <c r="Q38" s="129">
        <f>SUM(Q36:Q37)</f>
        <v>10.5</v>
      </c>
      <c r="T38" s="366" t="s">
        <v>1881</v>
      </c>
      <c r="U38" s="366"/>
      <c r="V38" s="366"/>
      <c r="W38" s="129">
        <f>SUM(W36:W37)</f>
        <v>11.2</v>
      </c>
    </row>
    <row r="39" spans="3:23" x14ac:dyDescent="0.25">
      <c r="C39" s="366"/>
      <c r="D39" s="366"/>
      <c r="E39" s="366"/>
      <c r="F39" s="366"/>
      <c r="H39" s="366"/>
      <c r="I39" s="366"/>
      <c r="J39" s="366"/>
      <c r="K39" s="366"/>
      <c r="N39" s="366"/>
      <c r="O39" s="366"/>
      <c r="P39" s="366"/>
      <c r="Q39" s="366"/>
      <c r="T39" s="366"/>
      <c r="U39" s="366"/>
      <c r="V39" s="366"/>
      <c r="W39" s="366"/>
    </row>
    <row r="40" spans="3:23" x14ac:dyDescent="0.25">
      <c r="C40" s="129" t="s">
        <v>332</v>
      </c>
      <c r="D40" s="367">
        <f>D22</f>
        <v>2</v>
      </c>
      <c r="E40" s="367"/>
      <c r="F40" s="129" t="s">
        <v>258</v>
      </c>
      <c r="H40" s="129" t="s">
        <v>332</v>
      </c>
      <c r="I40" s="367">
        <f>I22</f>
        <v>2</v>
      </c>
      <c r="J40" s="367"/>
      <c r="K40" s="129" t="s">
        <v>258</v>
      </c>
      <c r="N40" s="129" t="s">
        <v>332</v>
      </c>
      <c r="O40" s="367">
        <f>O22</f>
        <v>2</v>
      </c>
      <c r="P40" s="367"/>
      <c r="Q40" s="129" t="s">
        <v>258</v>
      </c>
      <c r="T40" s="129" t="s">
        <v>332</v>
      </c>
      <c r="U40" s="367">
        <f>U22</f>
        <v>2</v>
      </c>
      <c r="V40" s="367"/>
      <c r="W40" s="129" t="s">
        <v>258</v>
      </c>
    </row>
    <row r="41" spans="3:23" x14ac:dyDescent="0.25">
      <c r="C41" s="129" t="s">
        <v>1882</v>
      </c>
      <c r="D41" s="367">
        <f>D40^2</f>
        <v>4</v>
      </c>
      <c r="E41" s="367"/>
      <c r="F41" s="129" t="s">
        <v>1883</v>
      </c>
      <c r="H41" s="129" t="s">
        <v>1882</v>
      </c>
      <c r="I41" s="367">
        <f>I40^2</f>
        <v>4</v>
      </c>
      <c r="J41" s="367"/>
      <c r="K41" s="129" t="s">
        <v>1883</v>
      </c>
      <c r="N41" s="129" t="s">
        <v>1882</v>
      </c>
      <c r="O41" s="367">
        <f>O40^2</f>
        <v>4</v>
      </c>
      <c r="P41" s="367"/>
      <c r="Q41" s="129" t="s">
        <v>1883</v>
      </c>
      <c r="T41" s="129" t="s">
        <v>1882</v>
      </c>
      <c r="U41" s="367">
        <f>U40^2</f>
        <v>4</v>
      </c>
      <c r="V41" s="367"/>
      <c r="W41" s="129" t="s">
        <v>1883</v>
      </c>
    </row>
    <row r="42" spans="3:23" x14ac:dyDescent="0.25">
      <c r="C42" s="129" t="s">
        <v>1884</v>
      </c>
      <c r="D42" s="367">
        <v>9.81</v>
      </c>
      <c r="E42" s="367"/>
      <c r="F42" s="129" t="s">
        <v>1885</v>
      </c>
      <c r="H42" s="129" t="s">
        <v>1884</v>
      </c>
      <c r="I42" s="367">
        <v>9.81</v>
      </c>
      <c r="J42" s="367"/>
      <c r="K42" s="129" t="s">
        <v>1885</v>
      </c>
      <c r="N42" s="129" t="s">
        <v>1884</v>
      </c>
      <c r="O42" s="367">
        <v>9.81</v>
      </c>
      <c r="P42" s="367"/>
      <c r="Q42" s="129" t="s">
        <v>1885</v>
      </c>
      <c r="T42" s="129" t="s">
        <v>1884</v>
      </c>
      <c r="U42" s="367">
        <v>9.81</v>
      </c>
      <c r="V42" s="367"/>
      <c r="W42" s="129" t="s">
        <v>1885</v>
      </c>
    </row>
    <row r="43" spans="3:23" x14ac:dyDescent="0.25">
      <c r="C43" s="129" t="s">
        <v>1886</v>
      </c>
      <c r="D43" s="366">
        <f>D42*2</f>
        <v>19.62</v>
      </c>
      <c r="E43" s="366"/>
      <c r="F43" s="129" t="s">
        <v>1885</v>
      </c>
      <c r="H43" s="129" t="s">
        <v>1886</v>
      </c>
      <c r="I43" s="366">
        <f>I42*2</f>
        <v>19.62</v>
      </c>
      <c r="J43" s="366"/>
      <c r="K43" s="129" t="s">
        <v>1885</v>
      </c>
      <c r="N43" s="129" t="s">
        <v>1886</v>
      </c>
      <c r="O43" s="366">
        <f>O42*2</f>
        <v>19.62</v>
      </c>
      <c r="P43" s="366"/>
      <c r="Q43" s="129" t="s">
        <v>1885</v>
      </c>
      <c r="T43" s="129" t="s">
        <v>1886</v>
      </c>
      <c r="U43" s="366">
        <f>U42*2</f>
        <v>19.62</v>
      </c>
      <c r="V43" s="366"/>
      <c r="W43" s="129" t="s">
        <v>1885</v>
      </c>
    </row>
    <row r="44" spans="3:23" x14ac:dyDescent="0.25">
      <c r="C44" s="129" t="s">
        <v>509</v>
      </c>
      <c r="D44" s="370">
        <f>(F38)*(D41/D43)</f>
        <v>0.42813455657492344</v>
      </c>
      <c r="E44" s="370"/>
      <c r="F44" s="129" t="s">
        <v>259</v>
      </c>
      <c r="H44" s="129" t="s">
        <v>509</v>
      </c>
      <c r="I44" s="370">
        <f>(K38)*(I41/I43)</f>
        <v>1.2844036697247705</v>
      </c>
      <c r="J44" s="370"/>
      <c r="K44" s="129" t="s">
        <v>259</v>
      </c>
      <c r="N44" s="129" t="s">
        <v>509</v>
      </c>
      <c r="O44" s="370">
        <f>(Q38)*(O41/O43)</f>
        <v>2.1406727828746175</v>
      </c>
      <c r="P44" s="370"/>
      <c r="Q44" s="129" t="s">
        <v>259</v>
      </c>
      <c r="T44" s="129" t="s">
        <v>509</v>
      </c>
      <c r="U44" s="370">
        <f>(W38)*(U41/U43)</f>
        <v>2.2833843017329252</v>
      </c>
      <c r="V44" s="370"/>
      <c r="W44" s="129" t="s">
        <v>259</v>
      </c>
    </row>
    <row r="45" spans="3:23" x14ac:dyDescent="0.25">
      <c r="C45" s="371" t="s">
        <v>1887</v>
      </c>
      <c r="D45" s="371"/>
      <c r="E45" s="371"/>
      <c r="F45" s="371"/>
      <c r="H45" s="371" t="s">
        <v>1887</v>
      </c>
      <c r="I45" s="371"/>
      <c r="J45" s="371"/>
      <c r="K45" s="371"/>
      <c r="N45" s="371" t="s">
        <v>1887</v>
      </c>
      <c r="O45" s="371"/>
      <c r="P45" s="371"/>
      <c r="Q45" s="371"/>
      <c r="T45" s="371" t="s">
        <v>1887</v>
      </c>
      <c r="U45" s="371"/>
      <c r="V45" s="371"/>
      <c r="W45" s="371"/>
    </row>
    <row r="46" spans="3:23" x14ac:dyDescent="0.25">
      <c r="C46" s="366" t="s">
        <v>1888</v>
      </c>
      <c r="D46" s="366"/>
      <c r="E46" s="129">
        <v>8</v>
      </c>
      <c r="F46" s="129" t="s">
        <v>259</v>
      </c>
      <c r="H46" s="366" t="s">
        <v>1888</v>
      </c>
      <c r="I46" s="366"/>
      <c r="J46" s="129">
        <f>ABS(D15-C15)</f>
        <v>53</v>
      </c>
      <c r="K46" s="129" t="s">
        <v>259</v>
      </c>
      <c r="N46" s="366" t="s">
        <v>1888</v>
      </c>
      <c r="O46" s="366"/>
      <c r="P46" s="129">
        <f>ABS(C15-D15)</f>
        <v>53</v>
      </c>
      <c r="Q46" s="129" t="s">
        <v>259</v>
      </c>
      <c r="T46" s="366" t="s">
        <v>1888</v>
      </c>
      <c r="U46" s="366"/>
      <c r="V46" s="129">
        <f>ABS(D16-C16)</f>
        <v>76</v>
      </c>
      <c r="W46" s="129" t="s">
        <v>259</v>
      </c>
    </row>
    <row r="47" spans="3:23" x14ac:dyDescent="0.25">
      <c r="C47" s="365" t="s">
        <v>1889</v>
      </c>
      <c r="D47" s="365"/>
      <c r="E47" s="365"/>
      <c r="F47" s="365"/>
      <c r="H47" s="365" t="s">
        <v>1889</v>
      </c>
      <c r="I47" s="365"/>
      <c r="J47" s="365"/>
      <c r="K47" s="365"/>
      <c r="N47" s="365" t="s">
        <v>1889</v>
      </c>
      <c r="O47" s="365"/>
      <c r="P47" s="365"/>
      <c r="Q47" s="365"/>
      <c r="T47" s="365" t="s">
        <v>1889</v>
      </c>
      <c r="U47" s="365"/>
      <c r="V47" s="365"/>
      <c r="W47" s="365"/>
    </row>
    <row r="48" spans="3:23" x14ac:dyDescent="0.25">
      <c r="C48" s="129" t="s">
        <v>332</v>
      </c>
      <c r="D48" s="129">
        <f>D22</f>
        <v>2</v>
      </c>
      <c r="E48" s="366" t="s">
        <v>258</v>
      </c>
      <c r="F48" s="366"/>
      <c r="H48" s="129" t="s">
        <v>332</v>
      </c>
      <c r="I48" s="129">
        <f>I22</f>
        <v>2</v>
      </c>
      <c r="J48" s="366" t="s">
        <v>258</v>
      </c>
      <c r="K48" s="366"/>
      <c r="N48" s="129" t="s">
        <v>332</v>
      </c>
      <c r="O48" s="129">
        <f>O22</f>
        <v>2</v>
      </c>
      <c r="P48" s="366" t="s">
        <v>258</v>
      </c>
      <c r="Q48" s="366"/>
      <c r="T48" s="129" t="s">
        <v>332</v>
      </c>
      <c r="U48" s="129">
        <f>U22</f>
        <v>2</v>
      </c>
      <c r="V48" s="366" t="s">
        <v>258</v>
      </c>
      <c r="W48" s="366"/>
    </row>
    <row r="49" spans="3:23" x14ac:dyDescent="0.25">
      <c r="C49" s="129" t="s">
        <v>1882</v>
      </c>
      <c r="D49" s="129">
        <f>D48^2</f>
        <v>4</v>
      </c>
      <c r="E49" s="366" t="s">
        <v>1883</v>
      </c>
      <c r="F49" s="366"/>
      <c r="H49" s="129" t="s">
        <v>1882</v>
      </c>
      <c r="I49" s="129">
        <f>I48^2</f>
        <v>4</v>
      </c>
      <c r="J49" s="366" t="s">
        <v>1883</v>
      </c>
      <c r="K49" s="366"/>
      <c r="N49" s="129" t="s">
        <v>1882</v>
      </c>
      <c r="O49" s="129">
        <f>O48^2</f>
        <v>4</v>
      </c>
      <c r="P49" s="366" t="s">
        <v>1883</v>
      </c>
      <c r="Q49" s="366"/>
      <c r="T49" s="129" t="s">
        <v>1882</v>
      </c>
      <c r="U49" s="129">
        <f>U48^2</f>
        <v>4</v>
      </c>
      <c r="V49" s="366" t="s">
        <v>1883</v>
      </c>
      <c r="W49" s="366"/>
    </row>
    <row r="50" spans="3:23" x14ac:dyDescent="0.25">
      <c r="C50" s="129" t="s">
        <v>1884</v>
      </c>
      <c r="D50" s="129">
        <v>9.81</v>
      </c>
      <c r="E50" s="366" t="s">
        <v>1885</v>
      </c>
      <c r="F50" s="366"/>
      <c r="H50" s="129" t="s">
        <v>1884</v>
      </c>
      <c r="I50" s="129">
        <v>9.81</v>
      </c>
      <c r="J50" s="366" t="s">
        <v>1885</v>
      </c>
      <c r="K50" s="366"/>
      <c r="N50" s="129" t="s">
        <v>1884</v>
      </c>
      <c r="O50" s="129">
        <v>9.81</v>
      </c>
      <c r="P50" s="366" t="s">
        <v>1885</v>
      </c>
      <c r="Q50" s="366"/>
      <c r="T50" s="129" t="s">
        <v>1884</v>
      </c>
      <c r="U50" s="129">
        <v>9.81</v>
      </c>
      <c r="V50" s="366" t="s">
        <v>1885</v>
      </c>
      <c r="W50" s="366"/>
    </row>
    <row r="51" spans="3:23" ht="27.6" x14ac:dyDescent="0.25">
      <c r="C51" s="132" t="s">
        <v>1889</v>
      </c>
      <c r="D51" s="136">
        <f>(D49/(2*D50))</f>
        <v>0.2038735983690112</v>
      </c>
      <c r="E51" s="367" t="s">
        <v>259</v>
      </c>
      <c r="F51" s="367"/>
      <c r="H51" s="132" t="s">
        <v>1889</v>
      </c>
      <c r="I51" s="136">
        <f>(I49/(2*I50))</f>
        <v>0.2038735983690112</v>
      </c>
      <c r="J51" s="367" t="s">
        <v>259</v>
      </c>
      <c r="K51" s="367"/>
      <c r="N51" s="132" t="s">
        <v>1889</v>
      </c>
      <c r="O51" s="136">
        <f>(O49/(2*O50))</f>
        <v>0.2038735983690112</v>
      </c>
      <c r="P51" s="367" t="s">
        <v>259</v>
      </c>
      <c r="Q51" s="367"/>
      <c r="T51" s="132" t="s">
        <v>1889</v>
      </c>
      <c r="U51" s="136">
        <f>(U49/(2*U50))</f>
        <v>0.2038735983690112</v>
      </c>
      <c r="V51" s="367" t="s">
        <v>259</v>
      </c>
      <c r="W51" s="367"/>
    </row>
    <row r="53" spans="3:23" x14ac:dyDescent="0.25">
      <c r="C53" s="137" t="s">
        <v>1890</v>
      </c>
      <c r="D53" s="128">
        <f>D33+F38+E46+D51</f>
        <v>12.049838485469664</v>
      </c>
      <c r="E53" s="368" t="s">
        <v>259</v>
      </c>
      <c r="H53" s="137" t="s">
        <v>1890</v>
      </c>
      <c r="I53" s="128">
        <f>I33+K38+J46+I51</f>
        <v>84.858155909101228</v>
      </c>
      <c r="J53" s="368" t="s">
        <v>259</v>
      </c>
      <c r="N53" s="137" t="s">
        <v>1890</v>
      </c>
      <c r="O53" s="128">
        <f>O33+Q38+P46+O51</f>
        <v>102.50813217141989</v>
      </c>
      <c r="P53" s="368" t="s">
        <v>259</v>
      </c>
      <c r="T53" s="137" t="s">
        <v>1890</v>
      </c>
      <c r="U53" s="128">
        <f>U33+W38+V46+U51</f>
        <v>143.73580564841734</v>
      </c>
      <c r="V53" s="368" t="s">
        <v>259</v>
      </c>
    </row>
    <row r="54" spans="3:23" x14ac:dyDescent="0.25">
      <c r="D54" s="129">
        <f xml:space="preserve"> 15</f>
        <v>15</v>
      </c>
      <c r="E54" s="369"/>
      <c r="I54" s="129">
        <v>150</v>
      </c>
      <c r="J54" s="369"/>
      <c r="O54" s="129">
        <v>160</v>
      </c>
      <c r="P54" s="369"/>
      <c r="U54" s="129">
        <v>150</v>
      </c>
      <c r="V54" s="369"/>
    </row>
  </sheetData>
  <mergeCells count="108">
    <mergeCell ref="C11:H11"/>
    <mergeCell ref="C12:D12"/>
    <mergeCell ref="E12:E13"/>
    <mergeCell ref="F12:F13"/>
    <mergeCell ref="G12:G13"/>
    <mergeCell ref="H12:H13"/>
    <mergeCell ref="E4:E5"/>
    <mergeCell ref="C4:D4"/>
    <mergeCell ref="C3:H3"/>
    <mergeCell ref="F4:F5"/>
    <mergeCell ref="G4:G5"/>
    <mergeCell ref="H4:H5"/>
    <mergeCell ref="E48:F48"/>
    <mergeCell ref="E49:F49"/>
    <mergeCell ref="E50:F50"/>
    <mergeCell ref="E51:F51"/>
    <mergeCell ref="E53:E54"/>
    <mergeCell ref="C19:F19"/>
    <mergeCell ref="D42:E42"/>
    <mergeCell ref="D43:E43"/>
    <mergeCell ref="D44:E44"/>
    <mergeCell ref="C45:F45"/>
    <mergeCell ref="C46:D46"/>
    <mergeCell ref="C47:F47"/>
    <mergeCell ref="D33:E33"/>
    <mergeCell ref="C34:F34"/>
    <mergeCell ref="C38:E38"/>
    <mergeCell ref="C39:F39"/>
    <mergeCell ref="D40:E40"/>
    <mergeCell ref="D41:E41"/>
    <mergeCell ref="C27:F27"/>
    <mergeCell ref="C28:F28"/>
    <mergeCell ref="D29:E29"/>
    <mergeCell ref="D30:E30"/>
    <mergeCell ref="D31:E31"/>
    <mergeCell ref="D32:E32"/>
    <mergeCell ref="I32:J32"/>
    <mergeCell ref="I33:J33"/>
    <mergeCell ref="H34:K34"/>
    <mergeCell ref="H38:J38"/>
    <mergeCell ref="H39:K39"/>
    <mergeCell ref="I40:J40"/>
    <mergeCell ref="H19:K19"/>
    <mergeCell ref="H27:K27"/>
    <mergeCell ref="H28:K28"/>
    <mergeCell ref="I29:J29"/>
    <mergeCell ref="I30:J30"/>
    <mergeCell ref="I31:J31"/>
    <mergeCell ref="H47:K47"/>
    <mergeCell ref="J48:K48"/>
    <mergeCell ref="J49:K49"/>
    <mergeCell ref="J50:K50"/>
    <mergeCell ref="J51:K51"/>
    <mergeCell ref="J53:J54"/>
    <mergeCell ref="I41:J41"/>
    <mergeCell ref="I42:J42"/>
    <mergeCell ref="I43:J43"/>
    <mergeCell ref="I44:J44"/>
    <mergeCell ref="H45:K45"/>
    <mergeCell ref="H46:I46"/>
    <mergeCell ref="O32:P32"/>
    <mergeCell ref="O33:P33"/>
    <mergeCell ref="N34:Q34"/>
    <mergeCell ref="N38:P38"/>
    <mergeCell ref="N39:Q39"/>
    <mergeCell ref="O40:P40"/>
    <mergeCell ref="N19:Q19"/>
    <mergeCell ref="N27:Q27"/>
    <mergeCell ref="N28:Q28"/>
    <mergeCell ref="O29:P29"/>
    <mergeCell ref="O30:P30"/>
    <mergeCell ref="O31:P31"/>
    <mergeCell ref="N47:Q47"/>
    <mergeCell ref="P48:Q48"/>
    <mergeCell ref="P49:Q49"/>
    <mergeCell ref="P50:Q50"/>
    <mergeCell ref="P51:Q51"/>
    <mergeCell ref="P53:P54"/>
    <mergeCell ref="O41:P41"/>
    <mergeCell ref="O42:P42"/>
    <mergeCell ref="O43:P43"/>
    <mergeCell ref="O44:P44"/>
    <mergeCell ref="N45:Q45"/>
    <mergeCell ref="N46:O46"/>
    <mergeCell ref="U32:V32"/>
    <mergeCell ref="U33:V33"/>
    <mergeCell ref="T34:W34"/>
    <mergeCell ref="T38:V38"/>
    <mergeCell ref="T39:W39"/>
    <mergeCell ref="U40:V40"/>
    <mergeCell ref="T19:W19"/>
    <mergeCell ref="T27:W27"/>
    <mergeCell ref="T28:W28"/>
    <mergeCell ref="U29:V29"/>
    <mergeCell ref="U30:V30"/>
    <mergeCell ref="U31:V31"/>
    <mergeCell ref="T47:W47"/>
    <mergeCell ref="V48:W48"/>
    <mergeCell ref="V49:W49"/>
    <mergeCell ref="V50:W50"/>
    <mergeCell ref="V51:W51"/>
    <mergeCell ref="V53:V54"/>
    <mergeCell ref="U41:V41"/>
    <mergeCell ref="U42:V42"/>
    <mergeCell ref="U43:V43"/>
    <mergeCell ref="U44:V44"/>
    <mergeCell ref="T45:W45"/>
    <mergeCell ref="T46:U46"/>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27D7F-E9E2-4E4A-AF76-8550259C4831}">
  <dimension ref="C4:X173"/>
  <sheetViews>
    <sheetView topLeftCell="A19" zoomScale="68" zoomScaleNormal="68" workbookViewId="0">
      <selection activeCell="N44" sqref="N44"/>
    </sheetView>
  </sheetViews>
  <sheetFormatPr defaultRowHeight="13.8" x14ac:dyDescent="0.25"/>
  <cols>
    <col min="1" max="2" width="8.88671875" style="9"/>
    <col min="3" max="3" width="18.44140625" style="9" customWidth="1"/>
    <col min="4" max="4" width="19.21875" style="9" customWidth="1"/>
    <col min="5" max="5" width="21.88671875" style="9" customWidth="1"/>
    <col min="6" max="6" width="22.21875" style="9" customWidth="1"/>
    <col min="7" max="7" width="21.77734375" style="9" customWidth="1"/>
    <col min="8" max="8" width="13.88671875" style="9" customWidth="1"/>
    <col min="9" max="9" width="14.5546875" style="9" customWidth="1"/>
    <col min="10" max="10" width="18.44140625" style="9" customWidth="1"/>
    <col min="11" max="11" width="18.6640625" style="9" customWidth="1"/>
    <col min="12" max="12" width="13.109375" style="9" customWidth="1"/>
    <col min="13" max="13" width="23.44140625" style="9" customWidth="1"/>
    <col min="14" max="14" width="20.88671875" style="9" customWidth="1"/>
    <col min="15" max="15" width="22.5546875" style="9" customWidth="1"/>
    <col min="16" max="16" width="18.88671875" style="9" customWidth="1"/>
    <col min="17" max="17" width="18.5546875" style="9" customWidth="1"/>
    <col min="18" max="18" width="13.44140625" style="9" customWidth="1"/>
    <col min="19" max="19" width="15.88671875" style="9" customWidth="1"/>
    <col min="20" max="20" width="12.77734375" style="9" customWidth="1"/>
    <col min="21" max="21" width="13" style="9" customWidth="1"/>
    <col min="22" max="23" width="15.5546875" style="9" customWidth="1"/>
    <col min="24" max="24" width="17.44140625" style="9" customWidth="1"/>
    <col min="25" max="16384" width="8.88671875" style="9"/>
  </cols>
  <sheetData>
    <row r="4" spans="3:14" ht="15.6" x14ac:dyDescent="0.3">
      <c r="C4" s="373" t="s">
        <v>1898</v>
      </c>
      <c r="D4" s="373"/>
      <c r="E4" s="373"/>
      <c r="F4" s="373"/>
      <c r="G4" s="373"/>
      <c r="K4" s="18" t="s">
        <v>1899</v>
      </c>
      <c r="L4" s="18" t="s">
        <v>1867</v>
      </c>
      <c r="M4" s="18" t="s">
        <v>1901</v>
      </c>
      <c r="N4" s="18" t="s">
        <v>1940</v>
      </c>
    </row>
    <row r="5" spans="3:14" ht="18" customHeight="1" x14ac:dyDescent="0.25">
      <c r="C5" s="108" t="s">
        <v>1897</v>
      </c>
      <c r="D5" s="108" t="s">
        <v>1899</v>
      </c>
      <c r="E5" s="108" t="s">
        <v>1900</v>
      </c>
      <c r="F5" s="108" t="s">
        <v>1901</v>
      </c>
      <c r="G5" s="108" t="s">
        <v>1940</v>
      </c>
      <c r="K5" s="18">
        <f>D6</f>
        <v>710</v>
      </c>
      <c r="L5" s="18">
        <f>SUM(E6:E9)</f>
        <v>32337</v>
      </c>
      <c r="M5" s="18">
        <v>6</v>
      </c>
      <c r="N5" s="14">
        <f>L5/M5</f>
        <v>5389.5</v>
      </c>
    </row>
    <row r="6" spans="3:14" x14ac:dyDescent="0.25">
      <c r="C6" s="18" t="s">
        <v>1869</v>
      </c>
      <c r="D6" s="18">
        <f>'Jalur Transmisi '!D25</f>
        <v>710</v>
      </c>
      <c r="E6" s="18">
        <f>'Jalur Transmisi '!E6</f>
        <v>454</v>
      </c>
      <c r="F6" s="18">
        <v>6</v>
      </c>
      <c r="G6" s="14">
        <f>E6/F6</f>
        <v>75.666666666666671</v>
      </c>
      <c r="K6" s="18">
        <f>G25</f>
        <v>560</v>
      </c>
      <c r="L6" s="18">
        <f>SUM(F25,F26,F36,F45)</f>
        <v>10216</v>
      </c>
      <c r="M6" s="18">
        <v>6</v>
      </c>
      <c r="N6" s="14">
        <f t="shared" ref="N6:N18" si="0">L6/M6</f>
        <v>1702.6666666666667</v>
      </c>
    </row>
    <row r="7" spans="3:14" x14ac:dyDescent="0.25">
      <c r="C7" s="18" t="s">
        <v>1902</v>
      </c>
      <c r="D7" s="18">
        <v>710</v>
      </c>
      <c r="E7" s="18">
        <f>'Jalur Transmisi '!E14</f>
        <v>6709</v>
      </c>
      <c r="F7" s="18">
        <v>6</v>
      </c>
      <c r="G7" s="14">
        <f t="shared" ref="G7:G9" si="1">E7/F7</f>
        <v>1118.1666666666667</v>
      </c>
      <c r="K7" s="18">
        <f>G37</f>
        <v>500</v>
      </c>
      <c r="L7" s="18">
        <f>SUM(F37,F47)</f>
        <v>3398</v>
      </c>
      <c r="M7" s="18">
        <v>6</v>
      </c>
      <c r="N7" s="14">
        <f t="shared" si="0"/>
        <v>566.33333333333337</v>
      </c>
    </row>
    <row r="8" spans="3:14" x14ac:dyDescent="0.25">
      <c r="C8" s="18" t="s">
        <v>1903</v>
      </c>
      <c r="D8" s="18">
        <v>710</v>
      </c>
      <c r="E8" s="18">
        <f>'Jalur Transmisi '!E15</f>
        <v>10268</v>
      </c>
      <c r="F8" s="18">
        <v>6</v>
      </c>
      <c r="G8" s="14">
        <f t="shared" si="1"/>
        <v>1711.3333333333333</v>
      </c>
      <c r="K8" s="18">
        <f>G50</f>
        <v>450</v>
      </c>
      <c r="L8" s="18">
        <f>SUM(F28,F50)</f>
        <v>4003</v>
      </c>
      <c r="M8" s="18">
        <v>6</v>
      </c>
      <c r="N8" s="14">
        <f t="shared" si="0"/>
        <v>667.16666666666663</v>
      </c>
    </row>
    <row r="9" spans="3:14" x14ac:dyDescent="0.25">
      <c r="C9" s="18" t="s">
        <v>1904</v>
      </c>
      <c r="D9" s="18">
        <v>710</v>
      </c>
      <c r="E9" s="18">
        <f>'Jalur Transmisi '!E16</f>
        <v>14906</v>
      </c>
      <c r="F9" s="18">
        <v>6</v>
      </c>
      <c r="G9" s="14">
        <f t="shared" si="1"/>
        <v>2484.3333333333335</v>
      </c>
      <c r="K9" s="18">
        <f>G27</f>
        <v>400</v>
      </c>
      <c r="L9" s="18">
        <f>SUM(F27,F30,F40,F48)</f>
        <v>7691</v>
      </c>
      <c r="M9" s="18">
        <v>6</v>
      </c>
      <c r="N9" s="14">
        <f t="shared" si="0"/>
        <v>1281.8333333333333</v>
      </c>
    </row>
    <row r="10" spans="3:14" x14ac:dyDescent="0.25">
      <c r="C10" s="195" t="s">
        <v>64</v>
      </c>
      <c r="D10" s="195"/>
      <c r="E10" s="195"/>
      <c r="F10" s="195"/>
      <c r="G10" s="14">
        <f>SUM(G6:G9)</f>
        <v>5389.5</v>
      </c>
      <c r="K10" s="18">
        <f>G31</f>
        <v>355</v>
      </c>
      <c r="L10" s="18">
        <f>SUM(F31,F32,F38,F41,)</f>
        <v>8258</v>
      </c>
      <c r="M10" s="18">
        <v>6</v>
      </c>
      <c r="N10" s="14">
        <f t="shared" si="0"/>
        <v>1376.3333333333333</v>
      </c>
    </row>
    <row r="11" spans="3:14" x14ac:dyDescent="0.25">
      <c r="C11" s="93"/>
      <c r="D11" s="93"/>
      <c r="E11" s="93"/>
      <c r="F11" s="93"/>
      <c r="G11" s="140"/>
      <c r="K11" s="18">
        <f>G29</f>
        <v>335</v>
      </c>
      <c r="L11" s="18">
        <f>SUM(F29)</f>
        <v>1703</v>
      </c>
      <c r="M11" s="18">
        <v>6</v>
      </c>
      <c r="N11" s="14">
        <f t="shared" si="0"/>
        <v>283.83333333333331</v>
      </c>
    </row>
    <row r="12" spans="3:14" x14ac:dyDescent="0.25">
      <c r="C12" s="93"/>
      <c r="D12" s="93"/>
      <c r="E12" s="93"/>
      <c r="F12" s="93"/>
      <c r="G12" s="140"/>
      <c r="K12" s="18">
        <f>G39</f>
        <v>315</v>
      </c>
      <c r="L12" s="18">
        <f>SUM(F39,F52)</f>
        <v>5291</v>
      </c>
      <c r="M12" s="18">
        <v>6</v>
      </c>
      <c r="N12" s="14">
        <f t="shared" si="0"/>
        <v>881.83333333333337</v>
      </c>
    </row>
    <row r="13" spans="3:14" x14ac:dyDescent="0.25">
      <c r="C13" s="93"/>
      <c r="D13" s="93"/>
      <c r="E13" s="93"/>
      <c r="F13" s="93"/>
      <c r="G13" s="140"/>
      <c r="K13" s="18">
        <f>G43</f>
        <v>280</v>
      </c>
      <c r="L13" s="18">
        <f>SUM(F43,F44)</f>
        <v>1838</v>
      </c>
      <c r="M13" s="18">
        <v>6</v>
      </c>
      <c r="N13" s="14">
        <f t="shared" si="0"/>
        <v>306.33333333333331</v>
      </c>
    </row>
    <row r="14" spans="3:14" x14ac:dyDescent="0.25">
      <c r="C14" s="93"/>
      <c r="D14" s="93"/>
      <c r="E14" s="93"/>
      <c r="F14" s="93"/>
      <c r="G14" s="140"/>
      <c r="K14" s="18">
        <f>G49</f>
        <v>250</v>
      </c>
      <c r="L14" s="18">
        <f>SUM(F49)</f>
        <v>553</v>
      </c>
      <c r="M14" s="18">
        <v>6</v>
      </c>
      <c r="N14" s="14">
        <f t="shared" si="0"/>
        <v>92.166666666666671</v>
      </c>
    </row>
    <row r="15" spans="3:14" x14ac:dyDescent="0.25">
      <c r="C15" s="93"/>
      <c r="D15" s="93"/>
      <c r="E15" s="93"/>
      <c r="F15" s="93"/>
      <c r="G15" s="140"/>
      <c r="K15" s="18">
        <f>G33</f>
        <v>180</v>
      </c>
      <c r="L15" s="18">
        <f>SUM(F33,F34,F53)</f>
        <v>5426</v>
      </c>
      <c r="M15" s="18">
        <v>6</v>
      </c>
      <c r="N15" s="14">
        <f t="shared" si="0"/>
        <v>904.33333333333337</v>
      </c>
    </row>
    <row r="16" spans="3:14" x14ac:dyDescent="0.25">
      <c r="C16" s="93"/>
      <c r="D16" s="93"/>
      <c r="E16" s="93"/>
      <c r="F16" s="93"/>
      <c r="G16" s="140"/>
      <c r="K16" s="18">
        <f>G35</f>
        <v>160</v>
      </c>
      <c r="L16" s="18">
        <f>SUM(F35,)</f>
        <v>2334</v>
      </c>
      <c r="M16" s="18">
        <v>6</v>
      </c>
      <c r="N16" s="14">
        <f t="shared" si="0"/>
        <v>389</v>
      </c>
    </row>
    <row r="17" spans="3:24" x14ac:dyDescent="0.25">
      <c r="C17" s="93"/>
      <c r="D17" s="93"/>
      <c r="E17" s="93"/>
      <c r="F17" s="93"/>
      <c r="G17" s="140"/>
      <c r="K17" s="18">
        <f>G54</f>
        <v>140</v>
      </c>
      <c r="L17" s="18">
        <f>SUM(F54)</f>
        <v>884</v>
      </c>
      <c r="M17" s="18">
        <v>6</v>
      </c>
      <c r="N17" s="14">
        <f t="shared" si="0"/>
        <v>147.33333333333334</v>
      </c>
    </row>
    <row r="18" spans="3:24" x14ac:dyDescent="0.25">
      <c r="C18" s="93"/>
      <c r="D18" s="93"/>
      <c r="E18" s="93"/>
      <c r="F18" s="93"/>
      <c r="G18" s="140"/>
      <c r="K18" s="18">
        <f>G46</f>
        <v>90</v>
      </c>
      <c r="L18" s="18">
        <f>F46</f>
        <v>1038</v>
      </c>
      <c r="M18" s="18">
        <v>6</v>
      </c>
      <c r="N18" s="14">
        <f t="shared" si="0"/>
        <v>173</v>
      </c>
    </row>
    <row r="19" spans="3:24" x14ac:dyDescent="0.25">
      <c r="C19" s="93"/>
      <c r="D19" s="93"/>
      <c r="E19" s="93"/>
      <c r="F19" s="93"/>
      <c r="G19" s="140"/>
    </row>
    <row r="20" spans="3:24" x14ac:dyDescent="0.25">
      <c r="C20" s="93"/>
      <c r="D20" s="93"/>
      <c r="E20" s="93"/>
      <c r="F20" s="93"/>
      <c r="G20" s="140"/>
    </row>
    <row r="22" spans="3:24" x14ac:dyDescent="0.25">
      <c r="C22" s="186" t="s">
        <v>1909</v>
      </c>
      <c r="D22" s="186"/>
      <c r="E22" s="186"/>
      <c r="F22" s="186"/>
      <c r="G22" s="186"/>
      <c r="H22" s="186"/>
      <c r="I22" s="186"/>
      <c r="J22" s="186"/>
      <c r="K22" s="186"/>
      <c r="L22" s="186"/>
      <c r="M22" s="186"/>
      <c r="O22" s="365" t="s">
        <v>1980</v>
      </c>
      <c r="P22" s="365"/>
      <c r="Q22" s="365"/>
      <c r="R22" s="365"/>
      <c r="S22" s="365"/>
      <c r="T22" s="365"/>
      <c r="U22" s="365"/>
      <c r="V22" s="365"/>
      <c r="W22" s="365"/>
      <c r="X22" s="365"/>
    </row>
    <row r="23" spans="3:24" x14ac:dyDescent="0.25">
      <c r="C23" s="358" t="s">
        <v>1905</v>
      </c>
      <c r="D23" s="181" t="s">
        <v>1905</v>
      </c>
      <c r="E23" s="182"/>
      <c r="F23" s="188" t="s">
        <v>1906</v>
      </c>
      <c r="G23" s="188" t="s">
        <v>1899</v>
      </c>
      <c r="H23" s="188" t="s">
        <v>1908</v>
      </c>
      <c r="I23" s="188" t="s">
        <v>1907</v>
      </c>
      <c r="J23" s="196" t="s">
        <v>1941</v>
      </c>
      <c r="K23" s="198"/>
      <c r="L23" s="196" t="s">
        <v>1942</v>
      </c>
      <c r="M23" s="198"/>
      <c r="O23" s="376" t="s">
        <v>1981</v>
      </c>
      <c r="P23" s="377"/>
      <c r="Q23" s="374" t="s">
        <v>1867</v>
      </c>
      <c r="R23" s="374" t="s">
        <v>1899</v>
      </c>
      <c r="S23" s="250" t="s">
        <v>1908</v>
      </c>
      <c r="T23" s="250" t="s">
        <v>1907</v>
      </c>
      <c r="U23" s="374" t="s">
        <v>1982</v>
      </c>
      <c r="V23" s="374" t="s">
        <v>1983</v>
      </c>
      <c r="W23" s="374" t="s">
        <v>1984</v>
      </c>
      <c r="X23" s="374" t="s">
        <v>1985</v>
      </c>
    </row>
    <row r="24" spans="3:24" x14ac:dyDescent="0.25">
      <c r="C24" s="359"/>
      <c r="D24" s="11" t="s">
        <v>1865</v>
      </c>
      <c r="E24" s="11" t="s">
        <v>1866</v>
      </c>
      <c r="F24" s="189"/>
      <c r="G24" s="189"/>
      <c r="H24" s="189"/>
      <c r="I24" s="189"/>
      <c r="J24" s="18" t="s">
        <v>1865</v>
      </c>
      <c r="K24" s="18" t="s">
        <v>1866</v>
      </c>
      <c r="L24" s="18" t="s">
        <v>1865</v>
      </c>
      <c r="M24" s="18" t="s">
        <v>1866</v>
      </c>
      <c r="O24" s="135" t="s">
        <v>1986</v>
      </c>
      <c r="P24" s="135" t="s">
        <v>1987</v>
      </c>
      <c r="Q24" s="375"/>
      <c r="R24" s="375"/>
      <c r="S24" s="393"/>
      <c r="T24" s="393"/>
      <c r="U24" s="375"/>
      <c r="V24" s="375"/>
      <c r="W24" s="375"/>
      <c r="X24" s="375"/>
    </row>
    <row r="25" spans="3:24" x14ac:dyDescent="0.25">
      <c r="C25" s="18">
        <v>1</v>
      </c>
      <c r="D25" s="18" t="s">
        <v>1939</v>
      </c>
      <c r="E25" s="18" t="s">
        <v>1910</v>
      </c>
      <c r="F25" s="18">
        <v>1525</v>
      </c>
      <c r="G25" s="18">
        <v>560</v>
      </c>
      <c r="H25" s="18">
        <v>6</v>
      </c>
      <c r="I25" s="14">
        <f>F25/H25</f>
        <v>254.16666666666666</v>
      </c>
      <c r="J25" s="120">
        <v>313</v>
      </c>
      <c r="K25" s="120">
        <v>281</v>
      </c>
      <c r="L25" s="120"/>
      <c r="M25" s="120"/>
      <c r="O25" s="18" t="s">
        <v>1939</v>
      </c>
      <c r="P25" s="18" t="s">
        <v>1910</v>
      </c>
      <c r="Q25" s="18">
        <v>1525</v>
      </c>
      <c r="R25" s="18">
        <v>560</v>
      </c>
      <c r="S25" s="18">
        <v>6</v>
      </c>
      <c r="T25" s="14">
        <f>Q25/S25</f>
        <v>254.16666666666666</v>
      </c>
      <c r="U25" s="141">
        <f>J82*Q25</f>
        <v>3308.6399999999994</v>
      </c>
      <c r="V25" s="141">
        <f>J84*Q25</f>
        <v>737.22159999999997</v>
      </c>
      <c r="W25" s="141">
        <f>J86*Q25</f>
        <v>2196</v>
      </c>
      <c r="X25" s="141">
        <f>J89*U25</f>
        <v>0</v>
      </c>
    </row>
    <row r="26" spans="3:24" x14ac:dyDescent="0.25">
      <c r="C26" s="18">
        <v>2</v>
      </c>
      <c r="D26" s="18" t="s">
        <v>1910</v>
      </c>
      <c r="E26" s="18" t="s">
        <v>1911</v>
      </c>
      <c r="F26" s="18">
        <v>2870</v>
      </c>
      <c r="G26" s="18">
        <v>560</v>
      </c>
      <c r="H26" s="18">
        <v>6</v>
      </c>
      <c r="I26" s="14">
        <f t="shared" ref="I26:I54" si="2">F26/H26</f>
        <v>478.33333333333331</v>
      </c>
      <c r="J26" s="120">
        <v>281</v>
      </c>
      <c r="K26" s="120">
        <v>258</v>
      </c>
      <c r="L26" s="120"/>
      <c r="M26" s="120"/>
      <c r="O26" s="18" t="s">
        <v>1910</v>
      </c>
      <c r="P26" s="18" t="s">
        <v>1911</v>
      </c>
      <c r="Q26" s="18">
        <v>2870</v>
      </c>
      <c r="R26" s="18">
        <v>560</v>
      </c>
      <c r="S26" s="18">
        <v>6</v>
      </c>
      <c r="T26" s="14">
        <f t="shared" ref="T26:T54" si="3">Q26/S26</f>
        <v>478.33333333333331</v>
      </c>
      <c r="U26" s="141">
        <f>J82*Q26</f>
        <v>6226.7519999999986</v>
      </c>
      <c r="V26" s="141">
        <f>J84*Q26</f>
        <v>1387.42688</v>
      </c>
      <c r="W26" s="141">
        <f>J86*Q26</f>
        <v>4132.8</v>
      </c>
      <c r="X26" s="141">
        <f>J89*Q26</f>
        <v>0</v>
      </c>
    </row>
    <row r="27" spans="3:24" x14ac:dyDescent="0.25">
      <c r="C27" s="18">
        <v>3</v>
      </c>
      <c r="D27" s="18" t="s">
        <v>1910</v>
      </c>
      <c r="E27" s="18" t="s">
        <v>1912</v>
      </c>
      <c r="F27" s="18">
        <v>2950</v>
      </c>
      <c r="G27" s="18">
        <v>400</v>
      </c>
      <c r="H27" s="18">
        <v>6</v>
      </c>
      <c r="I27" s="14">
        <f t="shared" si="2"/>
        <v>491.66666666666669</v>
      </c>
      <c r="J27" s="120">
        <v>281</v>
      </c>
      <c r="K27" s="120">
        <v>294</v>
      </c>
      <c r="L27" s="120"/>
      <c r="M27" s="120"/>
      <c r="O27" s="18" t="s">
        <v>1910</v>
      </c>
      <c r="P27" s="18" t="s">
        <v>1912</v>
      </c>
      <c r="Q27" s="18">
        <v>2950</v>
      </c>
      <c r="R27" s="18">
        <v>400</v>
      </c>
      <c r="S27" s="18">
        <v>6</v>
      </c>
      <c r="T27" s="14">
        <f t="shared" si="3"/>
        <v>491.66666666666669</v>
      </c>
      <c r="U27" s="141">
        <f>O82*Q27</f>
        <v>3776.0000000000009</v>
      </c>
      <c r="V27" s="141">
        <f>O84*Q27</f>
        <v>1045.4799999999998</v>
      </c>
      <c r="W27" s="141">
        <f>O86*Q27</f>
        <v>2360</v>
      </c>
      <c r="X27" s="141">
        <f>O89*Q27</f>
        <v>0</v>
      </c>
    </row>
    <row r="28" spans="3:24" x14ac:dyDescent="0.25">
      <c r="C28" s="18">
        <v>4</v>
      </c>
      <c r="D28" s="18" t="s">
        <v>1911</v>
      </c>
      <c r="E28" s="18" t="s">
        <v>1914</v>
      </c>
      <c r="F28" s="18">
        <v>2745</v>
      </c>
      <c r="G28" s="18">
        <v>450</v>
      </c>
      <c r="H28" s="18">
        <v>6</v>
      </c>
      <c r="I28" s="14">
        <f t="shared" si="2"/>
        <v>457.5</v>
      </c>
      <c r="J28" s="120">
        <v>258</v>
      </c>
      <c r="K28" s="120">
        <v>279</v>
      </c>
      <c r="L28" s="120"/>
      <c r="M28" s="120"/>
      <c r="O28" s="18" t="s">
        <v>1911</v>
      </c>
      <c r="P28" s="18" t="s">
        <v>1914</v>
      </c>
      <c r="Q28" s="18">
        <v>2745</v>
      </c>
      <c r="R28" s="18">
        <v>450</v>
      </c>
      <c r="S28" s="18">
        <v>6</v>
      </c>
      <c r="T28" s="14">
        <f t="shared" si="3"/>
        <v>457.5</v>
      </c>
      <c r="U28" s="141">
        <f>J103*Q28</f>
        <v>0</v>
      </c>
      <c r="V28" s="141">
        <f>J105*Q28</f>
        <v>0</v>
      </c>
      <c r="W28" s="141">
        <f>J107*Q28</f>
        <v>0</v>
      </c>
      <c r="X28" s="141">
        <f>J110*Q28</f>
        <v>0</v>
      </c>
    </row>
    <row r="29" spans="3:24" x14ac:dyDescent="0.25">
      <c r="C29" s="18">
        <v>5</v>
      </c>
      <c r="D29" s="18" t="s">
        <v>1913</v>
      </c>
      <c r="E29" s="18" t="s">
        <v>1912</v>
      </c>
      <c r="F29" s="18">
        <v>1703</v>
      </c>
      <c r="G29" s="18">
        <v>335</v>
      </c>
      <c r="H29" s="18">
        <v>6</v>
      </c>
      <c r="I29" s="14">
        <f t="shared" si="2"/>
        <v>283.83333333333331</v>
      </c>
      <c r="J29" s="120">
        <v>279</v>
      </c>
      <c r="K29" s="120">
        <v>294</v>
      </c>
      <c r="L29" s="120"/>
      <c r="M29" s="120"/>
      <c r="O29" s="18" t="s">
        <v>1913</v>
      </c>
      <c r="P29" s="18" t="s">
        <v>1912</v>
      </c>
      <c r="Q29" s="18">
        <v>1703</v>
      </c>
      <c r="R29" s="18">
        <v>335</v>
      </c>
      <c r="S29" s="18">
        <v>6</v>
      </c>
      <c r="T29" s="14">
        <f t="shared" si="3"/>
        <v>283.83333333333331</v>
      </c>
      <c r="U29" s="141">
        <f>O103*Q29</f>
        <v>0</v>
      </c>
      <c r="V29" s="141">
        <f>O105*Q29</f>
        <v>0</v>
      </c>
      <c r="W29" s="141">
        <f>O107*Q29</f>
        <v>0</v>
      </c>
      <c r="X29" s="141">
        <f>O131*Q29</f>
        <v>0</v>
      </c>
    </row>
    <row r="30" spans="3:24" x14ac:dyDescent="0.25">
      <c r="C30" s="18">
        <v>6</v>
      </c>
      <c r="D30" s="18" t="s">
        <v>1912</v>
      </c>
      <c r="E30" s="18" t="s">
        <v>1915</v>
      </c>
      <c r="F30" s="18">
        <v>1626</v>
      </c>
      <c r="G30" s="18">
        <v>400</v>
      </c>
      <c r="H30" s="18">
        <v>6</v>
      </c>
      <c r="I30" s="14">
        <f t="shared" si="2"/>
        <v>271</v>
      </c>
      <c r="J30" s="120">
        <v>294</v>
      </c>
      <c r="K30" s="120">
        <v>301</v>
      </c>
      <c r="L30" s="120"/>
      <c r="M30" s="120"/>
      <c r="O30" s="18" t="s">
        <v>1912</v>
      </c>
      <c r="P30" s="18" t="s">
        <v>1915</v>
      </c>
      <c r="Q30" s="18">
        <v>1626</v>
      </c>
      <c r="R30" s="18">
        <v>400</v>
      </c>
      <c r="S30" s="18">
        <v>6</v>
      </c>
      <c r="T30" s="14">
        <f t="shared" si="3"/>
        <v>271</v>
      </c>
      <c r="U30" s="141">
        <f>O82*Q30</f>
        <v>2081.2800000000002</v>
      </c>
      <c r="V30" s="141">
        <f>O84*Q30</f>
        <v>576.25439999999992</v>
      </c>
      <c r="W30" s="141">
        <f>O86*Q30</f>
        <v>1300.8000000000002</v>
      </c>
      <c r="X30" s="141">
        <f>O89*Q30</f>
        <v>0</v>
      </c>
    </row>
    <row r="31" spans="3:24" x14ac:dyDescent="0.25">
      <c r="C31" s="18">
        <v>7</v>
      </c>
      <c r="D31" s="18" t="s">
        <v>1915</v>
      </c>
      <c r="E31" s="18" t="s">
        <v>1916</v>
      </c>
      <c r="F31" s="18">
        <v>2087</v>
      </c>
      <c r="G31" s="18">
        <v>355</v>
      </c>
      <c r="H31" s="18">
        <v>6</v>
      </c>
      <c r="I31" s="14">
        <f t="shared" si="2"/>
        <v>347.83333333333331</v>
      </c>
      <c r="J31" s="120">
        <f>K30</f>
        <v>301</v>
      </c>
      <c r="K31" s="120">
        <v>320</v>
      </c>
      <c r="L31" s="120"/>
      <c r="M31" s="120"/>
      <c r="O31" s="18" t="s">
        <v>1915</v>
      </c>
      <c r="P31" s="18" t="s">
        <v>1916</v>
      </c>
      <c r="Q31" s="18">
        <v>2087</v>
      </c>
      <c r="R31" s="18">
        <v>355</v>
      </c>
      <c r="S31" s="18">
        <v>6</v>
      </c>
      <c r="T31" s="14">
        <f t="shared" si="3"/>
        <v>347.83333333333331</v>
      </c>
      <c r="U31" s="141">
        <f>O103*Q31</f>
        <v>0</v>
      </c>
      <c r="V31" s="141">
        <f>$O$84*Q31</f>
        <v>739.63279999999986</v>
      </c>
      <c r="W31" s="141">
        <f>$O$107*Q31</f>
        <v>0</v>
      </c>
      <c r="X31" s="141">
        <f>$O$110*Q31</f>
        <v>0</v>
      </c>
    </row>
    <row r="32" spans="3:24" x14ac:dyDescent="0.25">
      <c r="C32" s="18">
        <v>8</v>
      </c>
      <c r="D32" s="18" t="s">
        <v>1915</v>
      </c>
      <c r="E32" s="18" t="s">
        <v>1917</v>
      </c>
      <c r="F32" s="18">
        <v>4472</v>
      </c>
      <c r="G32" s="18">
        <v>355</v>
      </c>
      <c r="H32" s="18">
        <v>6</v>
      </c>
      <c r="I32" s="14">
        <f t="shared" si="2"/>
        <v>745.33333333333337</v>
      </c>
      <c r="J32" s="120">
        <v>301</v>
      </c>
      <c r="K32" s="120">
        <v>326</v>
      </c>
      <c r="L32" s="120"/>
      <c r="M32" s="120"/>
      <c r="O32" s="18" t="s">
        <v>1915</v>
      </c>
      <c r="P32" s="18" t="s">
        <v>1917</v>
      </c>
      <c r="Q32" s="18">
        <v>4472</v>
      </c>
      <c r="R32" s="18">
        <v>355</v>
      </c>
      <c r="S32" s="18">
        <v>6</v>
      </c>
      <c r="T32" s="14">
        <f t="shared" si="3"/>
        <v>745.33333333333337</v>
      </c>
      <c r="U32" s="141">
        <f>O82*Q32</f>
        <v>5724.1600000000008</v>
      </c>
      <c r="V32" s="141">
        <f>$O$84*Q32</f>
        <v>1584.8767999999998</v>
      </c>
      <c r="W32" s="141">
        <f>$O$107*Q32</f>
        <v>0</v>
      </c>
      <c r="X32" s="141">
        <f>$O$110*Q32</f>
        <v>0</v>
      </c>
    </row>
    <row r="33" spans="3:24" x14ac:dyDescent="0.25">
      <c r="C33" s="18">
        <v>9</v>
      </c>
      <c r="D33" s="18" t="s">
        <v>1917</v>
      </c>
      <c r="E33" s="18" t="s">
        <v>1918</v>
      </c>
      <c r="F33" s="18">
        <v>2455</v>
      </c>
      <c r="G33" s="18">
        <v>180</v>
      </c>
      <c r="H33" s="18">
        <v>6</v>
      </c>
      <c r="I33" s="14">
        <f t="shared" si="2"/>
        <v>409.16666666666669</v>
      </c>
      <c r="J33" s="120">
        <f>K32</f>
        <v>326</v>
      </c>
      <c r="K33" s="120">
        <f>335</f>
        <v>335</v>
      </c>
      <c r="L33" s="120"/>
      <c r="M33" s="120"/>
      <c r="O33" s="18" t="s">
        <v>1917</v>
      </c>
      <c r="P33" s="18" t="s">
        <v>1918</v>
      </c>
      <c r="Q33" s="18">
        <v>2455</v>
      </c>
      <c r="R33" s="18">
        <v>180</v>
      </c>
      <c r="S33" s="18">
        <v>6</v>
      </c>
      <c r="T33" s="14">
        <f t="shared" si="3"/>
        <v>409.16666666666669</v>
      </c>
      <c r="U33" s="141">
        <f>$J$145*Q33</f>
        <v>0</v>
      </c>
      <c r="V33" s="141">
        <f>$J$147*Q33</f>
        <v>-62.440469999999998</v>
      </c>
      <c r="W33" s="141">
        <f>$J$149*Q33</f>
        <v>0</v>
      </c>
      <c r="X33" s="141">
        <f>$J$152*Q33</f>
        <v>0</v>
      </c>
    </row>
    <row r="34" spans="3:24" x14ac:dyDescent="0.25">
      <c r="C34" s="18">
        <v>10</v>
      </c>
      <c r="D34" s="18" t="s">
        <v>1916</v>
      </c>
      <c r="E34" s="18" t="s">
        <v>1918</v>
      </c>
      <c r="F34" s="18">
        <v>1567</v>
      </c>
      <c r="G34" s="18">
        <v>180</v>
      </c>
      <c r="H34" s="18">
        <v>6</v>
      </c>
      <c r="I34" s="14">
        <f t="shared" si="2"/>
        <v>261.16666666666669</v>
      </c>
      <c r="J34" s="120">
        <v>320</v>
      </c>
      <c r="K34" s="120">
        <v>335</v>
      </c>
      <c r="L34" s="120"/>
      <c r="M34" s="120"/>
      <c r="O34" s="18" t="s">
        <v>1916</v>
      </c>
      <c r="P34" s="18" t="s">
        <v>1918</v>
      </c>
      <c r="Q34" s="18">
        <v>1567</v>
      </c>
      <c r="R34" s="18">
        <v>180</v>
      </c>
      <c r="S34" s="18">
        <v>6</v>
      </c>
      <c r="T34" s="14">
        <f t="shared" si="3"/>
        <v>261.16666666666669</v>
      </c>
      <c r="U34" s="141">
        <f>$J$145*Q34</f>
        <v>0</v>
      </c>
      <c r="V34" s="141">
        <f>$J$147*Q34</f>
        <v>-39.855077999999999</v>
      </c>
      <c r="W34" s="141">
        <f>$J$149*Q34</f>
        <v>0</v>
      </c>
      <c r="X34" s="141">
        <f>$J$152*Q34</f>
        <v>0</v>
      </c>
    </row>
    <row r="35" spans="3:24" x14ac:dyDescent="0.25">
      <c r="C35" s="18">
        <v>11</v>
      </c>
      <c r="D35" s="18" t="s">
        <v>1918</v>
      </c>
      <c r="E35" s="18" t="s">
        <v>1919</v>
      </c>
      <c r="F35" s="18">
        <v>2334</v>
      </c>
      <c r="G35" s="18">
        <v>160</v>
      </c>
      <c r="H35" s="18">
        <v>6</v>
      </c>
      <c r="I35" s="14">
        <f t="shared" si="2"/>
        <v>389</v>
      </c>
      <c r="J35" s="120">
        <f>K34</f>
        <v>335</v>
      </c>
      <c r="K35" s="120">
        <v>370</v>
      </c>
      <c r="L35" s="120"/>
      <c r="M35" s="120"/>
      <c r="O35" s="18" t="s">
        <v>1918</v>
      </c>
      <c r="P35" s="18" t="s">
        <v>1919</v>
      </c>
      <c r="Q35" s="18">
        <v>2334</v>
      </c>
      <c r="R35" s="18">
        <v>160</v>
      </c>
      <c r="S35" s="18">
        <v>6</v>
      </c>
      <c r="T35" s="14">
        <f t="shared" si="3"/>
        <v>389</v>
      </c>
      <c r="U35" s="141">
        <f>O145*Q35</f>
        <v>0</v>
      </c>
      <c r="V35" s="141">
        <f>O147*Q35</f>
        <v>-46.904064000000005</v>
      </c>
      <c r="W35" s="141">
        <f>O149*Q35</f>
        <v>0</v>
      </c>
      <c r="X35" s="141">
        <f>O152*Q35</f>
        <v>0</v>
      </c>
    </row>
    <row r="36" spans="3:24" x14ac:dyDescent="0.25">
      <c r="C36" s="18">
        <v>12</v>
      </c>
      <c r="D36" s="18" t="s">
        <v>1920</v>
      </c>
      <c r="E36" s="18" t="s">
        <v>1921</v>
      </c>
      <c r="F36" s="18">
        <v>3187</v>
      </c>
      <c r="G36" s="18">
        <v>560</v>
      </c>
      <c r="H36" s="18">
        <v>6</v>
      </c>
      <c r="I36" s="14">
        <f t="shared" si="2"/>
        <v>531.16666666666663</v>
      </c>
      <c r="J36" s="120">
        <v>347</v>
      </c>
      <c r="K36" s="120">
        <v>372</v>
      </c>
      <c r="L36" s="120"/>
      <c r="M36" s="120"/>
      <c r="O36" s="18" t="s">
        <v>1920</v>
      </c>
      <c r="P36" s="18" t="s">
        <v>1921</v>
      </c>
      <c r="Q36" s="18">
        <v>3187</v>
      </c>
      <c r="R36" s="18">
        <v>560</v>
      </c>
      <c r="S36" s="18">
        <v>6</v>
      </c>
      <c r="T36" s="14">
        <f t="shared" si="3"/>
        <v>531.16666666666663</v>
      </c>
      <c r="U36" s="141">
        <f>$J$82*Q36</f>
        <v>6914.5151999999989</v>
      </c>
      <c r="V36" s="141">
        <f>$J$84*Q36</f>
        <v>1540.672288</v>
      </c>
      <c r="W36" s="141">
        <f>$J$86*Q36</f>
        <v>4589.28</v>
      </c>
      <c r="X36" s="141">
        <f>$J$89*Q36</f>
        <v>0</v>
      </c>
    </row>
    <row r="37" spans="3:24" x14ac:dyDescent="0.25">
      <c r="C37" s="18">
        <v>13</v>
      </c>
      <c r="D37" s="18" t="s">
        <v>1921</v>
      </c>
      <c r="E37" s="18" t="s">
        <v>1922</v>
      </c>
      <c r="F37" s="18">
        <v>2533</v>
      </c>
      <c r="G37" s="18">
        <v>500</v>
      </c>
      <c r="H37" s="18">
        <v>6</v>
      </c>
      <c r="I37" s="14">
        <f t="shared" si="2"/>
        <v>422.16666666666669</v>
      </c>
      <c r="J37" s="120">
        <v>372</v>
      </c>
      <c r="K37" s="120">
        <v>324</v>
      </c>
      <c r="L37" s="120"/>
      <c r="M37" s="120"/>
      <c r="O37" s="18" t="s">
        <v>1921</v>
      </c>
      <c r="P37" s="18" t="s">
        <v>1922</v>
      </c>
      <c r="Q37" s="18">
        <v>2533</v>
      </c>
      <c r="R37" s="18">
        <v>500</v>
      </c>
      <c r="S37" s="18">
        <v>6</v>
      </c>
      <c r="T37" s="14">
        <f t="shared" si="3"/>
        <v>422.16666666666669</v>
      </c>
      <c r="U37" s="141">
        <f>$E$103*Q37</f>
        <v>0</v>
      </c>
      <c r="V37" s="141">
        <f>$E$105*Q37</f>
        <v>0</v>
      </c>
      <c r="W37" s="141">
        <f>$E$107*Q37</f>
        <v>0</v>
      </c>
      <c r="X37" s="141">
        <f>$E$110*Q37</f>
        <v>0</v>
      </c>
    </row>
    <row r="38" spans="3:24" x14ac:dyDescent="0.25">
      <c r="C38" s="18">
        <v>14</v>
      </c>
      <c r="D38" s="18" t="s">
        <v>1922</v>
      </c>
      <c r="E38" s="18" t="s">
        <v>1923</v>
      </c>
      <c r="F38" s="18">
        <v>500</v>
      </c>
      <c r="G38" s="18">
        <v>355</v>
      </c>
      <c r="H38" s="18">
        <v>6</v>
      </c>
      <c r="I38" s="14">
        <f t="shared" si="2"/>
        <v>83.333333333333329</v>
      </c>
      <c r="J38" s="120">
        <f>K37</f>
        <v>324</v>
      </c>
      <c r="K38" s="120">
        <v>323</v>
      </c>
      <c r="L38" s="120"/>
      <c r="M38" s="120"/>
      <c r="O38" s="18" t="s">
        <v>1922</v>
      </c>
      <c r="P38" s="18" t="s">
        <v>1923</v>
      </c>
      <c r="Q38" s="18">
        <v>500</v>
      </c>
      <c r="R38" s="18">
        <v>355</v>
      </c>
      <c r="S38" s="18">
        <v>6</v>
      </c>
      <c r="T38" s="14">
        <f t="shared" si="3"/>
        <v>83.333333333333329</v>
      </c>
      <c r="U38" s="141">
        <f>O82*Q38</f>
        <v>640.00000000000011</v>
      </c>
      <c r="V38" s="141">
        <f>$O$84*Q38</f>
        <v>177.19999999999996</v>
      </c>
      <c r="W38" s="141">
        <f>$O$107*Q38</f>
        <v>0</v>
      </c>
      <c r="X38" s="141">
        <f>$O$110*Q38</f>
        <v>0</v>
      </c>
    </row>
    <row r="39" spans="3:24" x14ac:dyDescent="0.25">
      <c r="C39" s="18">
        <v>15</v>
      </c>
      <c r="D39" s="18" t="s">
        <v>1923</v>
      </c>
      <c r="E39" s="18" t="s">
        <v>1924</v>
      </c>
      <c r="F39" s="18">
        <v>3884</v>
      </c>
      <c r="G39" s="18">
        <v>315</v>
      </c>
      <c r="H39" s="18">
        <v>6</v>
      </c>
      <c r="I39" s="14">
        <f t="shared" si="2"/>
        <v>647.33333333333337</v>
      </c>
      <c r="J39" s="120">
        <f>K38</f>
        <v>323</v>
      </c>
      <c r="K39" s="120">
        <v>372</v>
      </c>
      <c r="L39" s="120"/>
      <c r="M39" s="120"/>
      <c r="O39" s="18" t="s">
        <v>1923</v>
      </c>
      <c r="P39" s="18" t="s">
        <v>1924</v>
      </c>
      <c r="Q39" s="18">
        <v>3884</v>
      </c>
      <c r="R39" s="18">
        <v>315</v>
      </c>
      <c r="S39" s="18">
        <v>6</v>
      </c>
      <c r="T39" s="14">
        <f t="shared" si="3"/>
        <v>647.33333333333337</v>
      </c>
      <c r="U39" s="141">
        <f>$J$124*Q39</f>
        <v>0</v>
      </c>
      <c r="V39" s="141">
        <f>$J$126*Q39</f>
        <v>-302.5310715</v>
      </c>
      <c r="W39" s="141">
        <f>$J$128*Q39</f>
        <v>0</v>
      </c>
      <c r="X39" s="141">
        <f>$J$131*Q39</f>
        <v>0</v>
      </c>
    </row>
    <row r="40" spans="3:24" x14ac:dyDescent="0.25">
      <c r="C40" s="18">
        <v>16</v>
      </c>
      <c r="D40" s="18" t="s">
        <v>1921</v>
      </c>
      <c r="E40" s="18" t="s">
        <v>1924</v>
      </c>
      <c r="F40" s="18">
        <v>1752</v>
      </c>
      <c r="G40" s="18">
        <v>400</v>
      </c>
      <c r="H40" s="18">
        <v>6</v>
      </c>
      <c r="I40" s="14">
        <f t="shared" si="2"/>
        <v>292</v>
      </c>
      <c r="J40" s="120">
        <v>372</v>
      </c>
      <c r="K40" s="120">
        <v>372.65</v>
      </c>
      <c r="L40" s="120"/>
      <c r="M40" s="120"/>
      <c r="O40" s="18" t="s">
        <v>1921</v>
      </c>
      <c r="P40" s="18" t="s">
        <v>1924</v>
      </c>
      <c r="Q40" s="18">
        <v>1752</v>
      </c>
      <c r="R40" s="18">
        <v>400</v>
      </c>
      <c r="S40" s="18">
        <v>6</v>
      </c>
      <c r="T40" s="14">
        <f t="shared" si="3"/>
        <v>292</v>
      </c>
      <c r="U40" s="141">
        <f>O82*Q40</f>
        <v>2242.5600000000004</v>
      </c>
      <c r="V40" s="141">
        <f>O84*Q40</f>
        <v>620.90879999999993</v>
      </c>
      <c r="W40" s="141">
        <f>O86*Q40</f>
        <v>1401.6000000000001</v>
      </c>
      <c r="X40" s="141">
        <f>O89*Q40</f>
        <v>0</v>
      </c>
    </row>
    <row r="41" spans="3:24" x14ac:dyDescent="0.25">
      <c r="C41" s="18">
        <v>17</v>
      </c>
      <c r="D41" s="18" t="s">
        <v>1924</v>
      </c>
      <c r="E41" s="18" t="s">
        <v>1925</v>
      </c>
      <c r="F41" s="18">
        <v>1199</v>
      </c>
      <c r="G41" s="18">
        <v>355</v>
      </c>
      <c r="H41" s="18">
        <v>6</v>
      </c>
      <c r="I41" s="14">
        <f t="shared" si="2"/>
        <v>199.83333333333334</v>
      </c>
      <c r="J41" s="120">
        <f>K40</f>
        <v>372.65</v>
      </c>
      <c r="K41" s="120">
        <v>371</v>
      </c>
      <c r="L41" s="120"/>
      <c r="M41" s="120"/>
      <c r="O41" s="18" t="s">
        <v>1924</v>
      </c>
      <c r="P41" s="18" t="s">
        <v>1925</v>
      </c>
      <c r="Q41" s="18">
        <v>1199</v>
      </c>
      <c r="R41" s="18">
        <v>355</v>
      </c>
      <c r="S41" s="18">
        <v>6</v>
      </c>
      <c r="T41" s="14">
        <f t="shared" si="3"/>
        <v>199.83333333333334</v>
      </c>
      <c r="U41" s="141">
        <f>O82*Q41</f>
        <v>1534.7200000000003</v>
      </c>
      <c r="V41" s="141">
        <f>$O$84*Q41</f>
        <v>424.92559999999992</v>
      </c>
      <c r="W41" s="141">
        <f>$O$107*Q41</f>
        <v>0</v>
      </c>
      <c r="X41" s="141">
        <f>$O$110*Q41</f>
        <v>0</v>
      </c>
    </row>
    <row r="42" spans="3:24" x14ac:dyDescent="0.25">
      <c r="C42" s="18">
        <v>18</v>
      </c>
      <c r="D42" s="18" t="s">
        <v>1925</v>
      </c>
      <c r="E42" s="18" t="s">
        <v>1926</v>
      </c>
      <c r="F42" s="18">
        <v>1799</v>
      </c>
      <c r="G42" s="18">
        <v>355</v>
      </c>
      <c r="H42" s="18">
        <v>6</v>
      </c>
      <c r="I42" s="14">
        <f t="shared" si="2"/>
        <v>299.83333333333331</v>
      </c>
      <c r="J42" s="120">
        <v>371</v>
      </c>
      <c r="K42" s="120">
        <v>336</v>
      </c>
      <c r="L42" s="120"/>
      <c r="M42" s="120"/>
      <c r="O42" s="18" t="s">
        <v>1925</v>
      </c>
      <c r="P42" s="18" t="s">
        <v>1926</v>
      </c>
      <c r="Q42" s="18">
        <v>1799</v>
      </c>
      <c r="R42" s="18">
        <v>355</v>
      </c>
      <c r="S42" s="18">
        <v>6</v>
      </c>
      <c r="T42" s="14">
        <f t="shared" si="3"/>
        <v>299.83333333333331</v>
      </c>
      <c r="U42" s="141">
        <f>O82*Q42</f>
        <v>2302.7200000000003</v>
      </c>
      <c r="V42" s="141">
        <f>$O$84*Q42</f>
        <v>637.5655999999999</v>
      </c>
      <c r="W42" s="141">
        <f>$O$107*Q42</f>
        <v>0</v>
      </c>
      <c r="X42" s="141">
        <f>$O$110*Q42</f>
        <v>0</v>
      </c>
    </row>
    <row r="43" spans="3:24" x14ac:dyDescent="0.25">
      <c r="C43" s="18">
        <v>19</v>
      </c>
      <c r="D43" s="18" t="s">
        <v>1926</v>
      </c>
      <c r="E43" s="18" t="s">
        <v>1927</v>
      </c>
      <c r="F43" s="18">
        <v>857</v>
      </c>
      <c r="G43" s="18">
        <v>280</v>
      </c>
      <c r="H43" s="18">
        <v>6</v>
      </c>
      <c r="I43" s="14">
        <f t="shared" si="2"/>
        <v>142.83333333333334</v>
      </c>
      <c r="J43" s="120">
        <f>K42</f>
        <v>336</v>
      </c>
      <c r="K43" s="120">
        <v>334</v>
      </c>
      <c r="L43" s="120"/>
      <c r="M43" s="120"/>
      <c r="O43" s="18" t="s">
        <v>1926</v>
      </c>
      <c r="P43" s="18" t="s">
        <v>1927</v>
      </c>
      <c r="Q43" s="18">
        <v>857</v>
      </c>
      <c r="R43" s="18">
        <v>280</v>
      </c>
      <c r="S43" s="18">
        <v>6</v>
      </c>
      <c r="T43" s="14">
        <f t="shared" si="3"/>
        <v>142.83333333333334</v>
      </c>
      <c r="U43" s="141">
        <f>$E$124*Q43</f>
        <v>0</v>
      </c>
      <c r="V43" s="141">
        <f>$E$126*Q43</f>
        <v>-52.74320800000001</v>
      </c>
      <c r="W43" s="141">
        <f>$E$128*Q43</f>
        <v>0</v>
      </c>
      <c r="X43" s="141">
        <f>$E$131*Q43</f>
        <v>0</v>
      </c>
    </row>
    <row r="44" spans="3:24" x14ac:dyDescent="0.25">
      <c r="C44" s="18">
        <v>20</v>
      </c>
      <c r="D44" s="18" t="s">
        <v>1926</v>
      </c>
      <c r="E44" s="18" t="s">
        <v>1928</v>
      </c>
      <c r="F44" s="18">
        <v>981</v>
      </c>
      <c r="G44" s="18">
        <v>280</v>
      </c>
      <c r="H44" s="18">
        <v>6</v>
      </c>
      <c r="I44" s="14">
        <f t="shared" si="2"/>
        <v>163.5</v>
      </c>
      <c r="J44" s="120">
        <v>336</v>
      </c>
      <c r="K44" s="120">
        <v>338</v>
      </c>
      <c r="L44" s="120"/>
      <c r="M44" s="120"/>
      <c r="O44" s="18" t="s">
        <v>1926</v>
      </c>
      <c r="P44" s="18" t="s">
        <v>1928</v>
      </c>
      <c r="Q44" s="18">
        <v>981</v>
      </c>
      <c r="R44" s="18">
        <v>280</v>
      </c>
      <c r="S44" s="18">
        <v>6</v>
      </c>
      <c r="T44" s="14">
        <f t="shared" si="3"/>
        <v>163.5</v>
      </c>
      <c r="U44" s="141">
        <f>$E$124*Q44</f>
        <v>0</v>
      </c>
      <c r="V44" s="141">
        <f>$E$126*Q44</f>
        <v>-60.37466400000001</v>
      </c>
      <c r="W44" s="141">
        <f>$E$128*Q44</f>
        <v>0</v>
      </c>
      <c r="X44" s="141">
        <f>$E$131*Q44</f>
        <v>0</v>
      </c>
    </row>
    <row r="45" spans="3:24" x14ac:dyDescent="0.25">
      <c r="C45" s="18">
        <v>21</v>
      </c>
      <c r="D45" s="18" t="s">
        <v>1929</v>
      </c>
      <c r="E45" s="18" t="s">
        <v>1930</v>
      </c>
      <c r="F45" s="18">
        <v>2634</v>
      </c>
      <c r="G45" s="18">
        <v>560</v>
      </c>
      <c r="H45" s="18">
        <v>6</v>
      </c>
      <c r="I45" s="14">
        <f t="shared" si="2"/>
        <v>439</v>
      </c>
      <c r="J45" s="120">
        <v>524</v>
      </c>
      <c r="K45" s="120">
        <v>443</v>
      </c>
      <c r="L45" s="120"/>
      <c r="M45" s="120"/>
      <c r="O45" s="18" t="s">
        <v>1929</v>
      </c>
      <c r="P45" s="18" t="s">
        <v>1930</v>
      </c>
      <c r="Q45" s="18">
        <v>2634</v>
      </c>
      <c r="R45" s="18">
        <v>560</v>
      </c>
      <c r="S45" s="18">
        <v>6</v>
      </c>
      <c r="T45" s="14">
        <f t="shared" si="3"/>
        <v>439</v>
      </c>
      <c r="U45" s="141">
        <f>$J$82*Q45</f>
        <v>5714.7263999999986</v>
      </c>
      <c r="V45" s="141">
        <f>$J$84*Q45</f>
        <v>1273.338816</v>
      </c>
      <c r="W45" s="141">
        <f>$J$86*Q45</f>
        <v>3792.96</v>
      </c>
      <c r="X45" s="141">
        <f>$J$89*Q45</f>
        <v>0</v>
      </c>
    </row>
    <row r="46" spans="3:24" x14ac:dyDescent="0.25">
      <c r="C46" s="18">
        <v>22</v>
      </c>
      <c r="D46" s="18" t="s">
        <v>1930</v>
      </c>
      <c r="E46" s="18" t="s">
        <v>1931</v>
      </c>
      <c r="F46" s="18">
        <v>1038</v>
      </c>
      <c r="G46" s="18">
        <v>90</v>
      </c>
      <c r="H46" s="18">
        <v>6</v>
      </c>
      <c r="I46" s="14">
        <f t="shared" si="2"/>
        <v>173</v>
      </c>
      <c r="J46" s="120">
        <v>443</v>
      </c>
      <c r="K46" s="120">
        <v>414</v>
      </c>
      <c r="L46" s="120"/>
      <c r="M46" s="120"/>
      <c r="O46" s="18" t="s">
        <v>1930</v>
      </c>
      <c r="P46" s="18" t="s">
        <v>1931</v>
      </c>
      <c r="Q46" s="18">
        <v>1038</v>
      </c>
      <c r="R46" s="18">
        <v>90</v>
      </c>
      <c r="S46" s="18">
        <v>6</v>
      </c>
      <c r="T46" s="14">
        <f t="shared" si="3"/>
        <v>173</v>
      </c>
      <c r="U46" s="141">
        <f>J166*Q46</f>
        <v>0</v>
      </c>
      <c r="V46" s="141">
        <f>J168*Q46</f>
        <v>-6.600123</v>
      </c>
      <c r="W46" s="141">
        <f>J170*Q46</f>
        <v>0</v>
      </c>
      <c r="X46" s="141">
        <f>J173*Q46</f>
        <v>0</v>
      </c>
    </row>
    <row r="47" spans="3:24" x14ac:dyDescent="0.25">
      <c r="C47" s="18">
        <v>23</v>
      </c>
      <c r="D47" s="18" t="s">
        <v>1930</v>
      </c>
      <c r="E47" s="18" t="s">
        <v>1932</v>
      </c>
      <c r="F47" s="18">
        <v>865</v>
      </c>
      <c r="G47" s="18">
        <v>500</v>
      </c>
      <c r="H47" s="18">
        <v>6</v>
      </c>
      <c r="I47" s="14">
        <f t="shared" si="2"/>
        <v>144.16666666666666</v>
      </c>
      <c r="J47" s="120">
        <f>J46</f>
        <v>443</v>
      </c>
      <c r="K47" s="120">
        <v>448</v>
      </c>
      <c r="L47" s="120"/>
      <c r="M47" s="120"/>
      <c r="O47" s="18" t="s">
        <v>1930</v>
      </c>
      <c r="P47" s="18" t="s">
        <v>1932</v>
      </c>
      <c r="Q47" s="18">
        <v>865</v>
      </c>
      <c r="R47" s="18">
        <v>500</v>
      </c>
      <c r="S47" s="18">
        <v>6</v>
      </c>
      <c r="T47" s="14">
        <f t="shared" si="3"/>
        <v>144.16666666666666</v>
      </c>
      <c r="U47" s="141">
        <f>$E$103*Q47</f>
        <v>0</v>
      </c>
      <c r="V47" s="141">
        <f>$E$105*Q47</f>
        <v>0</v>
      </c>
      <c r="W47" s="141">
        <f>$E$107*Q47</f>
        <v>0</v>
      </c>
      <c r="X47" s="141">
        <f>$E$110*Q47</f>
        <v>0</v>
      </c>
    </row>
    <row r="48" spans="3:24" x14ac:dyDescent="0.25">
      <c r="C48" s="18">
        <v>24</v>
      </c>
      <c r="D48" s="18" t="s">
        <v>1932</v>
      </c>
      <c r="E48" s="18" t="s">
        <v>1933</v>
      </c>
      <c r="F48" s="18">
        <v>1363</v>
      </c>
      <c r="G48" s="18">
        <v>400</v>
      </c>
      <c r="H48" s="18">
        <v>6</v>
      </c>
      <c r="I48" s="14">
        <f t="shared" si="2"/>
        <v>227.16666666666666</v>
      </c>
      <c r="J48" s="120">
        <v>448</v>
      </c>
      <c r="K48" s="120">
        <v>433</v>
      </c>
      <c r="L48" s="120"/>
      <c r="M48" s="120"/>
      <c r="O48" s="18" t="s">
        <v>1932</v>
      </c>
      <c r="P48" s="18" t="s">
        <v>1933</v>
      </c>
      <c r="Q48" s="18">
        <v>1363</v>
      </c>
      <c r="R48" s="18">
        <v>400</v>
      </c>
      <c r="S48" s="18">
        <v>6</v>
      </c>
      <c r="T48" s="14">
        <f t="shared" si="3"/>
        <v>227.16666666666666</v>
      </c>
      <c r="U48" s="141">
        <f>O82*Q48</f>
        <v>1744.6400000000003</v>
      </c>
      <c r="V48" s="141">
        <f>O84*Q48</f>
        <v>483.04719999999992</v>
      </c>
      <c r="W48" s="141">
        <f>O86*Q48</f>
        <v>1090.4000000000001</v>
      </c>
      <c r="X48" s="141">
        <f>O89*Q48</f>
        <v>0</v>
      </c>
    </row>
    <row r="49" spans="3:24" x14ac:dyDescent="0.25">
      <c r="C49" s="18">
        <v>25</v>
      </c>
      <c r="D49" s="18" t="s">
        <v>1933</v>
      </c>
      <c r="E49" s="18" t="s">
        <v>1934</v>
      </c>
      <c r="F49" s="18">
        <v>553</v>
      </c>
      <c r="G49" s="18">
        <v>250</v>
      </c>
      <c r="H49" s="18">
        <v>6</v>
      </c>
      <c r="I49" s="14">
        <f t="shared" si="2"/>
        <v>92.166666666666671</v>
      </c>
      <c r="J49" s="120">
        <v>433</v>
      </c>
      <c r="K49" s="120">
        <v>423</v>
      </c>
      <c r="L49" s="120"/>
      <c r="M49" s="120"/>
      <c r="O49" s="18" t="s">
        <v>1933</v>
      </c>
      <c r="P49" s="18" t="s">
        <v>1934</v>
      </c>
      <c r="Q49" s="18">
        <v>553</v>
      </c>
      <c r="R49" s="18">
        <v>250</v>
      </c>
      <c r="S49" s="18">
        <v>6</v>
      </c>
      <c r="T49" s="14">
        <f t="shared" si="3"/>
        <v>92.166666666666671</v>
      </c>
      <c r="U49" s="141">
        <f>$E$145*Q49</f>
        <v>0</v>
      </c>
      <c r="V49" s="141">
        <f>$E$147*Q49</f>
        <v>-27.131562500000001</v>
      </c>
      <c r="W49" s="141">
        <f>$E$149*Q49</f>
        <v>0</v>
      </c>
      <c r="X49" s="141">
        <f>$E$152*Q49</f>
        <v>0</v>
      </c>
    </row>
    <row r="50" spans="3:24" x14ac:dyDescent="0.25">
      <c r="C50" s="18">
        <v>26</v>
      </c>
      <c r="D50" s="18" t="s">
        <v>1932</v>
      </c>
      <c r="E50" s="18" t="s">
        <v>1935</v>
      </c>
      <c r="F50" s="18">
        <v>1258</v>
      </c>
      <c r="G50" s="18">
        <v>450</v>
      </c>
      <c r="H50" s="18">
        <v>6</v>
      </c>
      <c r="I50" s="14">
        <f t="shared" si="2"/>
        <v>209.66666666666666</v>
      </c>
      <c r="J50" s="120">
        <v>448</v>
      </c>
      <c r="K50" s="120">
        <v>486</v>
      </c>
      <c r="L50" s="120"/>
      <c r="M50" s="120"/>
      <c r="O50" s="18" t="s">
        <v>1932</v>
      </c>
      <c r="P50" s="18" t="s">
        <v>1935</v>
      </c>
      <c r="Q50" s="18">
        <v>1258</v>
      </c>
      <c r="R50" s="18">
        <v>450</v>
      </c>
      <c r="S50" s="18">
        <v>6</v>
      </c>
      <c r="T50" s="14">
        <f t="shared" si="3"/>
        <v>209.66666666666666</v>
      </c>
      <c r="U50" s="141">
        <f>J103*Q50</f>
        <v>0</v>
      </c>
      <c r="V50" s="141">
        <f>J105*Q50</f>
        <v>0</v>
      </c>
      <c r="W50" s="141">
        <f>J107*Q50</f>
        <v>0</v>
      </c>
      <c r="X50" s="141">
        <f>J110*Q50</f>
        <v>0</v>
      </c>
    </row>
    <row r="51" spans="3:24" x14ac:dyDescent="0.25">
      <c r="C51" s="18">
        <v>27</v>
      </c>
      <c r="D51" s="18" t="s">
        <v>1932</v>
      </c>
      <c r="E51" s="18" t="s">
        <v>1936</v>
      </c>
      <c r="F51" s="18">
        <v>1947</v>
      </c>
      <c r="G51" s="18">
        <v>250</v>
      </c>
      <c r="H51" s="18">
        <v>6</v>
      </c>
      <c r="I51" s="14">
        <f t="shared" si="2"/>
        <v>324.5</v>
      </c>
      <c r="J51" s="120">
        <v>448</v>
      </c>
      <c r="K51" s="120">
        <v>451</v>
      </c>
      <c r="L51" s="120"/>
      <c r="M51" s="120"/>
      <c r="O51" s="18" t="s">
        <v>1932</v>
      </c>
      <c r="P51" s="18" t="s">
        <v>1936</v>
      </c>
      <c r="Q51" s="18">
        <v>1947</v>
      </c>
      <c r="R51" s="18">
        <v>250</v>
      </c>
      <c r="S51" s="18">
        <v>6</v>
      </c>
      <c r="T51" s="14">
        <f t="shared" si="3"/>
        <v>324.5</v>
      </c>
      <c r="U51" s="141">
        <f>$E$145*Q51</f>
        <v>0</v>
      </c>
      <c r="V51" s="141">
        <f>$E$147*Q51</f>
        <v>-95.524687499999999</v>
      </c>
      <c r="W51" s="141">
        <f>$E$149*Q51</f>
        <v>0</v>
      </c>
      <c r="X51" s="141">
        <f>$E$152*Q51</f>
        <v>0</v>
      </c>
    </row>
    <row r="52" spans="3:24" x14ac:dyDescent="0.25">
      <c r="C52" s="18">
        <v>28</v>
      </c>
      <c r="D52" s="18" t="s">
        <v>1935</v>
      </c>
      <c r="E52" s="18" t="s">
        <v>1937</v>
      </c>
      <c r="F52" s="18">
        <v>1407</v>
      </c>
      <c r="G52" s="18">
        <v>315</v>
      </c>
      <c r="H52" s="18">
        <v>6</v>
      </c>
      <c r="I52" s="14">
        <f t="shared" si="2"/>
        <v>234.5</v>
      </c>
      <c r="J52" s="120">
        <v>486</v>
      </c>
      <c r="K52" s="120">
        <v>492</v>
      </c>
      <c r="L52" s="120"/>
      <c r="M52" s="120"/>
      <c r="O52" s="18" t="s">
        <v>1935</v>
      </c>
      <c r="P52" s="18" t="s">
        <v>1937</v>
      </c>
      <c r="Q52" s="18">
        <v>1407</v>
      </c>
      <c r="R52" s="18">
        <v>315</v>
      </c>
      <c r="S52" s="18">
        <v>6</v>
      </c>
      <c r="T52" s="14">
        <f t="shared" si="3"/>
        <v>234.5</v>
      </c>
      <c r="U52" s="141">
        <f>$J$124*Q52</f>
        <v>0</v>
      </c>
      <c r="V52" s="141">
        <f>$J$126*Q52</f>
        <v>-109.59351637500001</v>
      </c>
      <c r="W52" s="141">
        <f>$J$128*Q52</f>
        <v>0</v>
      </c>
      <c r="X52" s="141">
        <f>$J$131*Q52</f>
        <v>0</v>
      </c>
    </row>
    <row r="53" spans="3:24" x14ac:dyDescent="0.25">
      <c r="C53" s="18">
        <v>29</v>
      </c>
      <c r="D53" s="18" t="s">
        <v>1937</v>
      </c>
      <c r="E53" s="18" t="s">
        <v>1936</v>
      </c>
      <c r="F53" s="18">
        <v>1404</v>
      </c>
      <c r="G53" s="18">
        <v>180</v>
      </c>
      <c r="H53" s="18">
        <v>6</v>
      </c>
      <c r="I53" s="14">
        <f t="shared" si="2"/>
        <v>234</v>
      </c>
      <c r="J53" s="120">
        <v>492</v>
      </c>
      <c r="K53" s="120">
        <v>451</v>
      </c>
      <c r="L53" s="120"/>
      <c r="M53" s="120"/>
      <c r="O53" s="18" t="s">
        <v>1937</v>
      </c>
      <c r="P53" s="18" t="s">
        <v>1936</v>
      </c>
      <c r="Q53" s="18">
        <v>1404</v>
      </c>
      <c r="R53" s="18">
        <v>180</v>
      </c>
      <c r="S53" s="18">
        <v>6</v>
      </c>
      <c r="T53" s="14">
        <f t="shared" si="3"/>
        <v>234</v>
      </c>
      <c r="U53" s="141">
        <f>$J$145*Q53</f>
        <v>0</v>
      </c>
      <c r="V53" s="141">
        <f>$J$147*Q53</f>
        <v>-35.709336</v>
      </c>
      <c r="W53" s="141">
        <f>$J$149*Q53</f>
        <v>0</v>
      </c>
      <c r="X53" s="141">
        <f>$J$152*Q53</f>
        <v>0</v>
      </c>
    </row>
    <row r="54" spans="3:24" x14ac:dyDescent="0.25">
      <c r="C54" s="18">
        <v>30</v>
      </c>
      <c r="D54" s="18" t="s">
        <v>1936</v>
      </c>
      <c r="E54" s="18" t="s">
        <v>1938</v>
      </c>
      <c r="F54" s="18">
        <v>884</v>
      </c>
      <c r="G54" s="18">
        <v>140</v>
      </c>
      <c r="H54" s="18">
        <v>6</v>
      </c>
      <c r="I54" s="14">
        <f t="shared" si="2"/>
        <v>147.33333333333334</v>
      </c>
      <c r="J54" s="120">
        <v>451</v>
      </c>
      <c r="K54" s="120">
        <v>453</v>
      </c>
      <c r="L54" s="120"/>
      <c r="M54" s="120"/>
      <c r="O54" s="18" t="s">
        <v>1936</v>
      </c>
      <c r="P54" s="18" t="s">
        <v>1938</v>
      </c>
      <c r="Q54" s="18">
        <v>884</v>
      </c>
      <c r="R54" s="18">
        <v>140</v>
      </c>
      <c r="S54" s="18">
        <v>6</v>
      </c>
      <c r="T54" s="14">
        <f t="shared" si="3"/>
        <v>147.33333333333334</v>
      </c>
      <c r="U54" s="141">
        <f>E166*Q54</f>
        <v>0</v>
      </c>
      <c r="V54" s="141">
        <f>E168*Q54</f>
        <v>-13.601224000000002</v>
      </c>
      <c r="W54" s="141">
        <f>E170*Q54</f>
        <v>0</v>
      </c>
      <c r="X54" s="141">
        <f>E173*Q54</f>
        <v>0</v>
      </c>
    </row>
    <row r="55" spans="3:24" x14ac:dyDescent="0.25">
      <c r="O55" s="360" t="s">
        <v>2041</v>
      </c>
      <c r="P55" s="362"/>
      <c r="Q55" s="18">
        <f>SUM(Q25:Q54)</f>
        <v>56379</v>
      </c>
      <c r="R55" s="361"/>
      <c r="S55" s="361"/>
      <c r="T55" s="362"/>
      <c r="U55" s="141">
        <f>SUM(U25:U54)</f>
        <v>42210.713600000003</v>
      </c>
      <c r="V55" s="141">
        <f>SUM(V25:V54)</f>
        <v>10375.541779124997</v>
      </c>
      <c r="W55" s="141">
        <f>SUM(W25:W54)</f>
        <v>20863.84</v>
      </c>
      <c r="X55" s="141">
        <f>SUM(X25:X54)</f>
        <v>0</v>
      </c>
    </row>
    <row r="71" spans="3:16" ht="14.4" customHeight="1" x14ac:dyDescent="0.25">
      <c r="C71" s="384" t="s">
        <v>1958</v>
      </c>
      <c r="D71" s="142">
        <v>0.71</v>
      </c>
      <c r="E71" s="143" t="s">
        <v>259</v>
      </c>
      <c r="F71" s="142"/>
      <c r="H71" s="384" t="s">
        <v>1961</v>
      </c>
      <c r="I71" s="142">
        <f>0.56</f>
        <v>0.56000000000000005</v>
      </c>
      <c r="J71" s="143" t="s">
        <v>259</v>
      </c>
      <c r="K71" s="142"/>
      <c r="M71" s="384" t="s">
        <v>1962</v>
      </c>
      <c r="N71" s="142">
        <f>0.4</f>
        <v>0.4</v>
      </c>
      <c r="O71" s="143" t="s">
        <v>259</v>
      </c>
      <c r="P71" s="142"/>
    </row>
    <row r="72" spans="3:16" x14ac:dyDescent="0.25">
      <c r="C72" s="385"/>
      <c r="D72" s="142">
        <f>D71*100</f>
        <v>71</v>
      </c>
      <c r="E72" s="143" t="s">
        <v>516</v>
      </c>
      <c r="F72" s="142"/>
      <c r="H72" s="385"/>
      <c r="I72" s="142">
        <f>I71*100</f>
        <v>56.000000000000007</v>
      </c>
      <c r="J72" s="143" t="s">
        <v>516</v>
      </c>
      <c r="K72" s="142"/>
      <c r="M72" s="385"/>
      <c r="N72" s="142">
        <f>N71*100</f>
        <v>40</v>
      </c>
      <c r="O72" s="143" t="s">
        <v>516</v>
      </c>
      <c r="P72" s="142"/>
    </row>
    <row r="73" spans="3:16" x14ac:dyDescent="0.25">
      <c r="C73" s="386" t="s">
        <v>1943</v>
      </c>
      <c r="D73" s="387"/>
      <c r="E73" s="144">
        <v>1.7</v>
      </c>
      <c r="F73" s="142" t="s">
        <v>259</v>
      </c>
      <c r="H73" s="386" t="s">
        <v>1943</v>
      </c>
      <c r="I73" s="387"/>
      <c r="J73" s="144">
        <v>1.5</v>
      </c>
      <c r="K73" s="142" t="s">
        <v>259</v>
      </c>
      <c r="M73" s="386" t="s">
        <v>1943</v>
      </c>
      <c r="N73" s="387"/>
      <c r="O73" s="144">
        <f>1</f>
        <v>1</v>
      </c>
      <c r="P73" s="142" t="s">
        <v>259</v>
      </c>
    </row>
    <row r="74" spans="3:16" ht="14.4" customHeight="1" x14ac:dyDescent="0.25">
      <c r="C74" s="378" t="s">
        <v>1944</v>
      </c>
      <c r="D74" s="379"/>
      <c r="E74" s="144" t="s">
        <v>1945</v>
      </c>
      <c r="F74" s="142" t="s">
        <v>259</v>
      </c>
      <c r="H74" s="378" t="s">
        <v>1944</v>
      </c>
      <c r="I74" s="379"/>
      <c r="J74" s="144" t="s">
        <v>1945</v>
      </c>
      <c r="K74" s="142" t="s">
        <v>259</v>
      </c>
      <c r="M74" s="378" t="s">
        <v>1944</v>
      </c>
      <c r="N74" s="379"/>
      <c r="O74" s="144" t="s">
        <v>1945</v>
      </c>
      <c r="P74" s="142" t="s">
        <v>259</v>
      </c>
    </row>
    <row r="75" spans="3:16" x14ac:dyDescent="0.25">
      <c r="C75" s="380"/>
      <c r="D75" s="381"/>
      <c r="E75" s="144" t="s">
        <v>1959</v>
      </c>
      <c r="F75" s="142" t="s">
        <v>259</v>
      </c>
      <c r="H75" s="380"/>
      <c r="I75" s="381"/>
      <c r="J75" s="144" t="s">
        <v>1960</v>
      </c>
      <c r="K75" s="142" t="s">
        <v>259</v>
      </c>
      <c r="M75" s="380"/>
      <c r="N75" s="381"/>
      <c r="O75" s="144" t="s">
        <v>1963</v>
      </c>
      <c r="P75" s="142" t="s">
        <v>259</v>
      </c>
    </row>
    <row r="76" spans="3:16" x14ac:dyDescent="0.25">
      <c r="C76" s="382"/>
      <c r="D76" s="383"/>
      <c r="E76" s="144">
        <f>D71+0.1+0.1</f>
        <v>0.90999999999999992</v>
      </c>
      <c r="F76" s="142" t="s">
        <v>259</v>
      </c>
      <c r="H76" s="382"/>
      <c r="I76" s="383"/>
      <c r="J76" s="144">
        <f>I71+0.1+0.1</f>
        <v>0.76</v>
      </c>
      <c r="K76" s="142" t="s">
        <v>259</v>
      </c>
      <c r="M76" s="382"/>
      <c r="N76" s="383"/>
      <c r="O76" s="144">
        <f>N71+0.1+0.1</f>
        <v>0.6</v>
      </c>
      <c r="P76" s="142" t="s">
        <v>259</v>
      </c>
    </row>
    <row r="77" spans="3:16" ht="14.4" customHeight="1" x14ac:dyDescent="0.25">
      <c r="C77" s="378" t="s">
        <v>1946</v>
      </c>
      <c r="D77" s="379"/>
      <c r="E77" s="144" t="s">
        <v>1947</v>
      </c>
      <c r="F77" s="142" t="s">
        <v>259</v>
      </c>
      <c r="H77" s="378" t="s">
        <v>1946</v>
      </c>
      <c r="I77" s="379"/>
      <c r="J77" s="144" t="s">
        <v>1947</v>
      </c>
      <c r="K77" s="142" t="s">
        <v>259</v>
      </c>
      <c r="M77" s="378" t="s">
        <v>1946</v>
      </c>
      <c r="N77" s="379"/>
      <c r="O77" s="144" t="s">
        <v>1947</v>
      </c>
      <c r="P77" s="142" t="s">
        <v>259</v>
      </c>
    </row>
    <row r="78" spans="3:16" x14ac:dyDescent="0.25">
      <c r="C78" s="382"/>
      <c r="D78" s="383"/>
      <c r="E78" s="144">
        <f>E73+E76</f>
        <v>2.61</v>
      </c>
      <c r="F78" s="142" t="s">
        <v>259</v>
      </c>
      <c r="H78" s="382"/>
      <c r="I78" s="383"/>
      <c r="J78" s="144">
        <f>J73+J76</f>
        <v>2.2599999999999998</v>
      </c>
      <c r="K78" s="142" t="s">
        <v>259</v>
      </c>
      <c r="M78" s="382"/>
      <c r="N78" s="383"/>
      <c r="O78" s="144">
        <f>O73+O76</f>
        <v>1.6</v>
      </c>
      <c r="P78" s="142" t="s">
        <v>259</v>
      </c>
    </row>
    <row r="79" spans="3:16" ht="14.4" customHeight="1" x14ac:dyDescent="0.25">
      <c r="C79" s="378" t="s">
        <v>1948</v>
      </c>
      <c r="D79" s="379"/>
      <c r="E79" s="144">
        <f>20+20+D72</f>
        <v>111</v>
      </c>
      <c r="F79" s="142" t="s">
        <v>516</v>
      </c>
      <c r="H79" s="378" t="s">
        <v>1948</v>
      </c>
      <c r="I79" s="379"/>
      <c r="J79" s="144">
        <f>20+20+I72</f>
        <v>96</v>
      </c>
      <c r="K79" s="142" t="s">
        <v>516</v>
      </c>
      <c r="M79" s="378" t="s">
        <v>1948</v>
      </c>
      <c r="N79" s="379"/>
      <c r="O79" s="144">
        <f>20+20+N72</f>
        <v>80</v>
      </c>
      <c r="P79" s="142" t="s">
        <v>516</v>
      </c>
    </row>
    <row r="80" spans="3:16" x14ac:dyDescent="0.25">
      <c r="C80" s="382"/>
      <c r="D80" s="383"/>
      <c r="E80" s="144">
        <f>E79/100</f>
        <v>1.1100000000000001</v>
      </c>
      <c r="F80" s="142" t="s">
        <v>259</v>
      </c>
      <c r="H80" s="382"/>
      <c r="I80" s="383"/>
      <c r="J80" s="144">
        <f>J79/100</f>
        <v>0.96</v>
      </c>
      <c r="K80" s="142" t="s">
        <v>259</v>
      </c>
      <c r="M80" s="382"/>
      <c r="N80" s="383"/>
      <c r="O80" s="144">
        <f>O79/100</f>
        <v>0.8</v>
      </c>
      <c r="P80" s="142" t="s">
        <v>259</v>
      </c>
    </row>
    <row r="81" spans="3:16" x14ac:dyDescent="0.25">
      <c r="C81" s="378" t="s">
        <v>1949</v>
      </c>
      <c r="D81" s="379"/>
      <c r="E81" s="144" t="s">
        <v>1950</v>
      </c>
      <c r="F81" s="142" t="s">
        <v>259</v>
      </c>
      <c r="H81" s="378" t="s">
        <v>1949</v>
      </c>
      <c r="I81" s="379"/>
      <c r="J81" s="144" t="s">
        <v>1950</v>
      </c>
      <c r="K81" s="142" t="s">
        <v>259</v>
      </c>
      <c r="M81" s="378" t="s">
        <v>1949</v>
      </c>
      <c r="N81" s="379"/>
      <c r="O81" s="144" t="s">
        <v>1950</v>
      </c>
      <c r="P81" s="142" t="s">
        <v>259</v>
      </c>
    </row>
    <row r="82" spans="3:16" x14ac:dyDescent="0.25">
      <c r="C82" s="382"/>
      <c r="D82" s="383"/>
      <c r="E82" s="144">
        <f>E78*E80*1</f>
        <v>2.8971</v>
      </c>
      <c r="F82" s="142" t="s">
        <v>1951</v>
      </c>
      <c r="H82" s="382"/>
      <c r="I82" s="383"/>
      <c r="J82" s="144">
        <f>J78*J80*1</f>
        <v>2.1695999999999995</v>
      </c>
      <c r="K82" s="142" t="s">
        <v>1951</v>
      </c>
      <c r="M82" s="382"/>
      <c r="N82" s="383"/>
      <c r="O82" s="144">
        <f>O78*O80*1</f>
        <v>1.2800000000000002</v>
      </c>
      <c r="P82" s="142" t="s">
        <v>1951</v>
      </c>
    </row>
    <row r="83" spans="3:16" ht="14.4" customHeight="1" x14ac:dyDescent="0.25">
      <c r="C83" s="378" t="s">
        <v>1952</v>
      </c>
      <c r="D83" s="379"/>
      <c r="E83" s="144" t="s">
        <v>1953</v>
      </c>
      <c r="F83" s="142"/>
      <c r="H83" s="378" t="s">
        <v>1952</v>
      </c>
      <c r="I83" s="379"/>
      <c r="J83" s="144" t="s">
        <v>1953</v>
      </c>
      <c r="K83" s="142"/>
      <c r="M83" s="378" t="s">
        <v>1952</v>
      </c>
      <c r="N83" s="379"/>
      <c r="O83" s="144" t="s">
        <v>1953</v>
      </c>
      <c r="P83" s="142"/>
    </row>
    <row r="84" spans="3:16" x14ac:dyDescent="0.25">
      <c r="C84" s="382"/>
      <c r="D84" s="383"/>
      <c r="E84" s="144">
        <f>(E80*E76*1)-(1/4*3.14*(D71^2)*1)</f>
        <v>0.61438149999999991</v>
      </c>
      <c r="F84" s="142" t="s">
        <v>1951</v>
      </c>
      <c r="H84" s="382"/>
      <c r="I84" s="383"/>
      <c r="J84" s="144">
        <f>(J80*J76*1)-(1/4*3.14*(I71^2)*1)</f>
        <v>0.48342399999999996</v>
      </c>
      <c r="K84" s="142" t="s">
        <v>1951</v>
      </c>
      <c r="M84" s="382"/>
      <c r="N84" s="383"/>
      <c r="O84" s="144">
        <f>(O80*O76*1)-(1/4*3.14*(N71^2)*1)</f>
        <v>0.35439999999999994</v>
      </c>
      <c r="P84" s="142" t="s">
        <v>1951</v>
      </c>
    </row>
    <row r="85" spans="3:16" x14ac:dyDescent="0.25">
      <c r="C85" s="391" t="s">
        <v>1954</v>
      </c>
      <c r="D85" s="379"/>
      <c r="E85" s="144" t="s">
        <v>1955</v>
      </c>
      <c r="F85" s="142" t="s">
        <v>259</v>
      </c>
      <c r="H85" s="391" t="s">
        <v>1954</v>
      </c>
      <c r="I85" s="379"/>
      <c r="J85" s="144" t="s">
        <v>1955</v>
      </c>
      <c r="K85" s="142" t="s">
        <v>259</v>
      </c>
      <c r="M85" s="391" t="s">
        <v>1954</v>
      </c>
      <c r="N85" s="379"/>
      <c r="O85" s="144" t="s">
        <v>1955</v>
      </c>
      <c r="P85" s="142" t="s">
        <v>259</v>
      </c>
    </row>
    <row r="86" spans="3:16" x14ac:dyDescent="0.25">
      <c r="C86" s="382"/>
      <c r="D86" s="383"/>
      <c r="E86" s="144">
        <f>E73*E80*1</f>
        <v>1.887</v>
      </c>
      <c r="F86" s="142" t="s">
        <v>1951</v>
      </c>
      <c r="H86" s="382"/>
      <c r="I86" s="383"/>
      <c r="J86" s="144">
        <f>J73*J80*1</f>
        <v>1.44</v>
      </c>
      <c r="K86" s="142" t="s">
        <v>1951</v>
      </c>
      <c r="M86" s="382"/>
      <c r="N86" s="383"/>
      <c r="O86" s="144">
        <f>O73*O80*1</f>
        <v>0.8</v>
      </c>
      <c r="P86" s="142" t="s">
        <v>1951</v>
      </c>
    </row>
    <row r="87" spans="3:16" ht="14.4" customHeight="1" x14ac:dyDescent="0.25">
      <c r="C87" s="378" t="s">
        <v>1956</v>
      </c>
      <c r="D87" s="379"/>
      <c r="E87" s="388" t="s">
        <v>1957</v>
      </c>
      <c r="F87" s="390" t="s">
        <v>1951</v>
      </c>
      <c r="H87" s="378" t="s">
        <v>1956</v>
      </c>
      <c r="I87" s="379"/>
      <c r="J87" s="388" t="s">
        <v>1957</v>
      </c>
      <c r="K87" s="390" t="s">
        <v>1951</v>
      </c>
      <c r="M87" s="378" t="s">
        <v>1956</v>
      </c>
      <c r="N87" s="379"/>
      <c r="O87" s="388" t="s">
        <v>1957</v>
      </c>
      <c r="P87" s="390" t="s">
        <v>1951</v>
      </c>
    </row>
    <row r="88" spans="3:16" x14ac:dyDescent="0.25">
      <c r="C88" s="389"/>
      <c r="D88" s="389"/>
      <c r="E88" s="389"/>
      <c r="F88" s="389"/>
      <c r="H88" s="389"/>
      <c r="I88" s="389"/>
      <c r="J88" s="389"/>
      <c r="K88" s="389"/>
      <c r="M88" s="389"/>
      <c r="N88" s="389"/>
      <c r="O88" s="389"/>
      <c r="P88" s="389"/>
    </row>
    <row r="89" spans="3:16" x14ac:dyDescent="0.25">
      <c r="C89" s="389"/>
      <c r="D89" s="389"/>
      <c r="F89" s="389"/>
      <c r="H89" s="389"/>
      <c r="I89" s="389"/>
      <c r="K89" s="389"/>
      <c r="M89" s="389"/>
      <c r="N89" s="389"/>
      <c r="P89" s="389"/>
    </row>
    <row r="92" spans="3:16" x14ac:dyDescent="0.25">
      <c r="C92" s="389"/>
      <c r="H92" s="389"/>
      <c r="M92" s="389"/>
    </row>
    <row r="93" spans="3:16" x14ac:dyDescent="0.25">
      <c r="C93" s="389"/>
      <c r="H93" s="389"/>
      <c r="M93" s="389"/>
    </row>
    <row r="94" spans="3:16" x14ac:dyDescent="0.25">
      <c r="C94" s="389"/>
      <c r="D94" s="389"/>
      <c r="H94" s="389"/>
      <c r="I94" s="389"/>
      <c r="M94" s="389"/>
      <c r="N94" s="389"/>
    </row>
    <row r="95" spans="3:16" x14ac:dyDescent="0.25">
      <c r="C95" s="389"/>
      <c r="D95" s="389"/>
      <c r="H95" s="389"/>
      <c r="I95" s="389"/>
      <c r="M95" s="389"/>
      <c r="N95" s="389"/>
    </row>
    <row r="96" spans="3:16" x14ac:dyDescent="0.25">
      <c r="C96" s="389"/>
      <c r="D96" s="389"/>
      <c r="H96" s="389"/>
      <c r="I96" s="389"/>
      <c r="M96" s="389"/>
      <c r="N96" s="389"/>
    </row>
    <row r="97" spans="3:16" x14ac:dyDescent="0.25">
      <c r="C97" s="389"/>
      <c r="D97" s="389"/>
      <c r="H97" s="389"/>
      <c r="I97" s="389"/>
      <c r="M97" s="389"/>
      <c r="N97" s="389"/>
    </row>
    <row r="98" spans="3:16" x14ac:dyDescent="0.25">
      <c r="C98" s="389"/>
      <c r="D98" s="389"/>
      <c r="H98" s="389"/>
      <c r="I98" s="389"/>
      <c r="M98" s="389"/>
      <c r="N98" s="389"/>
    </row>
    <row r="99" spans="3:16" x14ac:dyDescent="0.25">
      <c r="C99" s="389"/>
      <c r="D99" s="389"/>
      <c r="H99" s="389"/>
      <c r="I99" s="389"/>
      <c r="M99" s="389"/>
      <c r="N99" s="389"/>
    </row>
    <row r="100" spans="3:16" x14ac:dyDescent="0.25">
      <c r="C100" s="389"/>
      <c r="D100" s="389"/>
      <c r="H100" s="389"/>
      <c r="I100" s="389"/>
      <c r="M100" s="389"/>
      <c r="N100" s="389"/>
    </row>
    <row r="101" spans="3:16" x14ac:dyDescent="0.25">
      <c r="C101" s="389"/>
      <c r="D101" s="389"/>
      <c r="H101" s="389"/>
      <c r="I101" s="389"/>
      <c r="M101" s="389"/>
      <c r="N101" s="389"/>
    </row>
    <row r="102" spans="3:16" x14ac:dyDescent="0.25">
      <c r="C102" s="389"/>
      <c r="D102" s="389"/>
      <c r="H102" s="389"/>
      <c r="I102" s="389"/>
      <c r="M102" s="389"/>
      <c r="N102" s="389"/>
    </row>
    <row r="103" spans="3:16" x14ac:dyDescent="0.25">
      <c r="C103" s="382"/>
      <c r="D103" s="383"/>
      <c r="E103" s="144">
        <f>E99*E101*1</f>
        <v>0</v>
      </c>
      <c r="F103" s="142" t="s">
        <v>1951</v>
      </c>
      <c r="H103" s="382"/>
      <c r="I103" s="383"/>
      <c r="J103" s="144">
        <f>J99*J101*1</f>
        <v>0</v>
      </c>
      <c r="K103" s="142" t="s">
        <v>1951</v>
      </c>
      <c r="M103" s="382"/>
      <c r="N103" s="383"/>
      <c r="O103" s="144">
        <f>O99*O101*1</f>
        <v>0</v>
      </c>
      <c r="P103" s="142" t="s">
        <v>1951</v>
      </c>
    </row>
    <row r="104" spans="3:16" x14ac:dyDescent="0.25">
      <c r="C104" s="378" t="s">
        <v>1952</v>
      </c>
      <c r="D104" s="379"/>
      <c r="E104" s="144" t="s">
        <v>1953</v>
      </c>
      <c r="F104" s="142"/>
      <c r="H104" s="378" t="s">
        <v>1952</v>
      </c>
      <c r="I104" s="379"/>
      <c r="J104" s="144" t="s">
        <v>1953</v>
      </c>
      <c r="K104" s="142"/>
      <c r="M104" s="378" t="s">
        <v>1952</v>
      </c>
      <c r="N104" s="379"/>
      <c r="O104" s="144" t="s">
        <v>1953</v>
      </c>
      <c r="P104" s="142"/>
    </row>
    <row r="105" spans="3:16" x14ac:dyDescent="0.25">
      <c r="C105" s="382"/>
      <c r="D105" s="383"/>
      <c r="E105" s="144">
        <f>(E101*E97*1)-(1/4*3.14*(D92^2)*1)</f>
        <v>0</v>
      </c>
      <c r="F105" s="142" t="s">
        <v>1951</v>
      </c>
      <c r="H105" s="382"/>
      <c r="I105" s="383"/>
      <c r="J105" s="144">
        <f>(J101*J97*1)-(1/4*3.14*(I92^2)*1)</f>
        <v>0</v>
      </c>
      <c r="K105" s="142" t="s">
        <v>1951</v>
      </c>
      <c r="M105" s="382"/>
      <c r="N105" s="383"/>
      <c r="O105" s="144">
        <f>(O101*O97*1)-(1/4*3.14*(N92^2)*1)</f>
        <v>0</v>
      </c>
      <c r="P105" s="142" t="s">
        <v>1951</v>
      </c>
    </row>
    <row r="106" spans="3:16" x14ac:dyDescent="0.25">
      <c r="C106" s="391" t="s">
        <v>1954</v>
      </c>
      <c r="D106" s="379"/>
      <c r="E106" s="144" t="s">
        <v>1955</v>
      </c>
      <c r="F106" s="142" t="s">
        <v>259</v>
      </c>
      <c r="H106" s="391" t="s">
        <v>1954</v>
      </c>
      <c r="I106" s="379"/>
      <c r="J106" s="144" t="s">
        <v>1955</v>
      </c>
      <c r="K106" s="142" t="s">
        <v>259</v>
      </c>
      <c r="M106" s="391" t="s">
        <v>1954</v>
      </c>
      <c r="N106" s="379"/>
      <c r="O106" s="144" t="s">
        <v>1955</v>
      </c>
      <c r="P106" s="142" t="s">
        <v>259</v>
      </c>
    </row>
    <row r="107" spans="3:16" x14ac:dyDescent="0.25">
      <c r="C107" s="382"/>
      <c r="D107" s="383"/>
      <c r="E107" s="144">
        <f>E94*E101*1</f>
        <v>0</v>
      </c>
      <c r="F107" s="142" t="s">
        <v>1951</v>
      </c>
      <c r="H107" s="382"/>
      <c r="I107" s="383"/>
      <c r="J107" s="144">
        <f>J94*J101*1</f>
        <v>0</v>
      </c>
      <c r="K107" s="142" t="s">
        <v>1951</v>
      </c>
      <c r="M107" s="382"/>
      <c r="N107" s="383"/>
      <c r="O107" s="144">
        <f>O94*O101*1</f>
        <v>0</v>
      </c>
      <c r="P107" s="142" t="s">
        <v>1951</v>
      </c>
    </row>
    <row r="108" spans="3:16" x14ac:dyDescent="0.25">
      <c r="C108" s="378" t="s">
        <v>1956</v>
      </c>
      <c r="D108" s="379"/>
      <c r="E108" s="388" t="s">
        <v>1957</v>
      </c>
      <c r="F108" s="390" t="s">
        <v>1951</v>
      </c>
      <c r="H108" s="378" t="s">
        <v>1956</v>
      </c>
      <c r="I108" s="379"/>
      <c r="J108" s="388" t="s">
        <v>1957</v>
      </c>
      <c r="K108" s="390" t="s">
        <v>1951</v>
      </c>
      <c r="M108" s="378" t="s">
        <v>1956</v>
      </c>
      <c r="N108" s="379"/>
      <c r="O108" s="388" t="s">
        <v>1957</v>
      </c>
      <c r="P108" s="390" t="s">
        <v>1951</v>
      </c>
    </row>
    <row r="109" spans="3:16" x14ac:dyDescent="0.25">
      <c r="C109" s="380"/>
      <c r="D109" s="381"/>
      <c r="E109" s="385"/>
      <c r="F109" s="392"/>
      <c r="H109" s="380"/>
      <c r="I109" s="381"/>
      <c r="J109" s="385"/>
      <c r="K109" s="392"/>
      <c r="M109" s="380"/>
      <c r="N109" s="381"/>
      <c r="O109" s="385"/>
      <c r="P109" s="392"/>
    </row>
    <row r="110" spans="3:16" x14ac:dyDescent="0.25">
      <c r="C110" s="382"/>
      <c r="D110" s="383"/>
      <c r="E110" s="144">
        <f>E103-E107</f>
        <v>0</v>
      </c>
      <c r="F110" s="385"/>
      <c r="H110" s="382"/>
      <c r="I110" s="383"/>
      <c r="J110" s="144">
        <f>J103-J107</f>
        <v>0</v>
      </c>
      <c r="K110" s="385"/>
      <c r="M110" s="382"/>
      <c r="N110" s="383"/>
      <c r="O110" s="144">
        <f>O103-O107</f>
        <v>0</v>
      </c>
      <c r="P110" s="385"/>
    </row>
    <row r="113" spans="3:16" x14ac:dyDescent="0.25">
      <c r="C113" s="384" t="s">
        <v>1968</v>
      </c>
      <c r="D113" s="142">
        <f>0.28</f>
        <v>0.28000000000000003</v>
      </c>
      <c r="E113" s="143" t="s">
        <v>259</v>
      </c>
      <c r="F113" s="142"/>
      <c r="H113" s="384" t="s">
        <v>1966</v>
      </c>
      <c r="I113" s="142">
        <f>0.315</f>
        <v>0.315</v>
      </c>
      <c r="J113" s="143" t="s">
        <v>259</v>
      </c>
      <c r="K113" s="142"/>
      <c r="M113" s="384" t="s">
        <v>1964</v>
      </c>
      <c r="N113" s="142">
        <f>0.335</f>
        <v>0.33500000000000002</v>
      </c>
      <c r="O113" s="143" t="s">
        <v>259</v>
      </c>
      <c r="P113" s="142"/>
    </row>
    <row r="114" spans="3:16" x14ac:dyDescent="0.25">
      <c r="C114" s="385"/>
      <c r="D114" s="142">
        <f>D113*100</f>
        <v>28.000000000000004</v>
      </c>
      <c r="E114" s="143" t="s">
        <v>516</v>
      </c>
      <c r="F114" s="142"/>
      <c r="H114" s="385"/>
      <c r="I114" s="142">
        <f>I113*100</f>
        <v>31.5</v>
      </c>
      <c r="J114" s="143" t="s">
        <v>516</v>
      </c>
      <c r="K114" s="142"/>
      <c r="M114" s="385"/>
      <c r="N114" s="142">
        <f>N113*100</f>
        <v>33.5</v>
      </c>
      <c r="O114" s="143" t="s">
        <v>516</v>
      </c>
      <c r="P114" s="142"/>
    </row>
    <row r="115" spans="3:16" x14ac:dyDescent="0.25">
      <c r="C115" s="386" t="s">
        <v>1943</v>
      </c>
      <c r="D115" s="387"/>
      <c r="E115" s="144">
        <f>1</f>
        <v>1</v>
      </c>
      <c r="F115" s="142" t="s">
        <v>259</v>
      </c>
      <c r="H115" s="386" t="s">
        <v>1943</v>
      </c>
      <c r="I115" s="387"/>
      <c r="J115" s="144">
        <f>1</f>
        <v>1</v>
      </c>
      <c r="K115" s="142" t="s">
        <v>259</v>
      </c>
      <c r="M115" s="386" t="s">
        <v>1943</v>
      </c>
      <c r="N115" s="387"/>
      <c r="O115" s="144">
        <f>1</f>
        <v>1</v>
      </c>
      <c r="P115" s="142" t="s">
        <v>259</v>
      </c>
    </row>
    <row r="116" spans="3:16" x14ac:dyDescent="0.25">
      <c r="C116" s="378" t="s">
        <v>1944</v>
      </c>
      <c r="D116" s="379"/>
      <c r="E116" s="144" t="s">
        <v>1945</v>
      </c>
      <c r="F116" s="142" t="s">
        <v>259</v>
      </c>
      <c r="H116" s="378" t="s">
        <v>1944</v>
      </c>
      <c r="I116" s="379"/>
      <c r="J116" s="144" t="s">
        <v>1945</v>
      </c>
      <c r="K116" s="142" t="s">
        <v>259</v>
      </c>
      <c r="M116" s="378" t="s">
        <v>1944</v>
      </c>
      <c r="N116" s="379"/>
      <c r="O116" s="144" t="s">
        <v>1945</v>
      </c>
      <c r="P116" s="142" t="s">
        <v>259</v>
      </c>
    </row>
    <row r="117" spans="3:16" x14ac:dyDescent="0.25">
      <c r="C117" s="380"/>
      <c r="D117" s="381"/>
      <c r="E117" s="144" t="s">
        <v>1969</v>
      </c>
      <c r="F117" s="142" t="s">
        <v>259</v>
      </c>
      <c r="H117" s="380"/>
      <c r="I117" s="381"/>
      <c r="J117" s="144" t="s">
        <v>1967</v>
      </c>
      <c r="K117" s="142" t="s">
        <v>259</v>
      </c>
      <c r="M117" s="380"/>
      <c r="N117" s="381"/>
      <c r="O117" s="144" t="s">
        <v>1965</v>
      </c>
      <c r="P117" s="142" t="s">
        <v>259</v>
      </c>
    </row>
    <row r="118" spans="3:16" x14ac:dyDescent="0.25">
      <c r="C118" s="382"/>
      <c r="D118" s="383"/>
      <c r="E118" s="144">
        <f>D113+0.1+0.1</f>
        <v>0.48</v>
      </c>
      <c r="F118" s="142" t="s">
        <v>259</v>
      </c>
      <c r="H118" s="382"/>
      <c r="I118" s="383"/>
      <c r="J118" s="144">
        <f>I113+0.1+0.1</f>
        <v>0.51500000000000001</v>
      </c>
      <c r="K118" s="142" t="s">
        <v>259</v>
      </c>
      <c r="M118" s="382"/>
      <c r="N118" s="383"/>
      <c r="O118" s="144">
        <f>N113+0.1+0.1</f>
        <v>0.53500000000000003</v>
      </c>
      <c r="P118" s="142" t="s">
        <v>259</v>
      </c>
    </row>
    <row r="119" spans="3:16" x14ac:dyDescent="0.25">
      <c r="C119" s="378" t="s">
        <v>1946</v>
      </c>
      <c r="D119" s="379"/>
      <c r="E119" s="144" t="s">
        <v>1947</v>
      </c>
      <c r="F119" s="142" t="s">
        <v>259</v>
      </c>
      <c r="H119" s="378" t="s">
        <v>1946</v>
      </c>
      <c r="I119" s="379"/>
      <c r="J119" s="144" t="s">
        <v>1947</v>
      </c>
      <c r="K119" s="142" t="s">
        <v>259</v>
      </c>
      <c r="M119" s="378" t="s">
        <v>1946</v>
      </c>
      <c r="N119" s="379"/>
      <c r="O119" s="144" t="s">
        <v>1947</v>
      </c>
      <c r="P119" s="142" t="s">
        <v>259</v>
      </c>
    </row>
    <row r="120" spans="3:16" x14ac:dyDescent="0.25">
      <c r="C120" s="382"/>
      <c r="D120" s="383"/>
      <c r="E120" s="144">
        <f>E115+E118</f>
        <v>1.48</v>
      </c>
      <c r="F120" s="142" t="s">
        <v>259</v>
      </c>
      <c r="H120" s="382"/>
      <c r="I120" s="383"/>
      <c r="J120" s="144">
        <f>J115+J118</f>
        <v>1.5150000000000001</v>
      </c>
      <c r="K120" s="142" t="s">
        <v>259</v>
      </c>
      <c r="M120" s="382"/>
      <c r="N120" s="383"/>
      <c r="O120" s="144">
        <f>O115+O118</f>
        <v>1.5350000000000001</v>
      </c>
      <c r="P120" s="142" t="s">
        <v>259</v>
      </c>
    </row>
    <row r="121" spans="3:16" x14ac:dyDescent="0.25">
      <c r="C121" s="378" t="s">
        <v>1948</v>
      </c>
      <c r="D121" s="379"/>
      <c r="E121" s="144">
        <f>20+20+D114</f>
        <v>68</v>
      </c>
      <c r="F121" s="142" t="s">
        <v>516</v>
      </c>
      <c r="H121" s="378" t="s">
        <v>1948</v>
      </c>
      <c r="I121" s="379"/>
      <c r="J121" s="144">
        <f>20+20+I114</f>
        <v>71.5</v>
      </c>
      <c r="K121" s="142" t="s">
        <v>516</v>
      </c>
      <c r="M121" s="378" t="s">
        <v>1948</v>
      </c>
      <c r="N121" s="379"/>
      <c r="O121" s="144">
        <f>20+20+N114</f>
        <v>73.5</v>
      </c>
      <c r="P121" s="142" t="s">
        <v>516</v>
      </c>
    </row>
    <row r="122" spans="3:16" x14ac:dyDescent="0.25">
      <c r="C122" s="389"/>
      <c r="D122" s="389"/>
      <c r="H122" s="389"/>
      <c r="I122" s="389"/>
      <c r="M122" s="389"/>
      <c r="N122" s="389"/>
    </row>
    <row r="123" spans="3:16" x14ac:dyDescent="0.25">
      <c r="C123" s="389"/>
      <c r="D123" s="389"/>
      <c r="H123" s="389"/>
      <c r="I123" s="389"/>
      <c r="M123" s="389"/>
      <c r="N123" s="389"/>
    </row>
    <row r="124" spans="3:16" x14ac:dyDescent="0.25">
      <c r="C124" s="382"/>
      <c r="D124" s="383"/>
      <c r="E124" s="144">
        <f>E120*E122*1</f>
        <v>0</v>
      </c>
      <c r="F124" s="142" t="s">
        <v>1951</v>
      </c>
      <c r="H124" s="382"/>
      <c r="I124" s="383"/>
      <c r="J124" s="144">
        <f>J120*J122*1</f>
        <v>0</v>
      </c>
      <c r="K124" s="142" t="s">
        <v>1951</v>
      </c>
      <c r="M124" s="382"/>
      <c r="N124" s="383"/>
      <c r="O124" s="144">
        <f>O120*O122*1</f>
        <v>0</v>
      </c>
      <c r="P124" s="142" t="s">
        <v>1951</v>
      </c>
    </row>
    <row r="125" spans="3:16" x14ac:dyDescent="0.25">
      <c r="C125" s="378" t="s">
        <v>1952</v>
      </c>
      <c r="D125" s="379"/>
      <c r="E125" s="144" t="s">
        <v>1953</v>
      </c>
      <c r="F125" s="142"/>
      <c r="H125" s="378" t="s">
        <v>1952</v>
      </c>
      <c r="I125" s="379"/>
      <c r="J125" s="144" t="s">
        <v>1953</v>
      </c>
      <c r="K125" s="142"/>
      <c r="M125" s="378" t="s">
        <v>1952</v>
      </c>
      <c r="N125" s="379"/>
      <c r="O125" s="144" t="s">
        <v>1953</v>
      </c>
      <c r="P125" s="142"/>
    </row>
    <row r="126" spans="3:16" x14ac:dyDescent="0.25">
      <c r="C126" s="382"/>
      <c r="D126" s="383"/>
      <c r="E126" s="144">
        <f>(E122*E118*1)-(1/4*3.14*(D113^2)*1)</f>
        <v>-6.1544000000000008E-2</v>
      </c>
      <c r="F126" s="142" t="s">
        <v>1951</v>
      </c>
      <c r="H126" s="382"/>
      <c r="I126" s="383"/>
      <c r="J126" s="144">
        <f>(J122*J118*1)-(1/4*3.14*(I113^2)*1)</f>
        <v>-7.7891625000000006E-2</v>
      </c>
      <c r="K126" s="142" t="s">
        <v>1951</v>
      </c>
      <c r="M126" s="382"/>
      <c r="N126" s="383"/>
      <c r="O126" s="144">
        <f>(O122*O118*1)-(1/4*3.14*(N113^2)*1)</f>
        <v>-8.8096625000000012E-2</v>
      </c>
      <c r="P126" s="142" t="s">
        <v>1951</v>
      </c>
    </row>
    <row r="127" spans="3:16" x14ac:dyDescent="0.25">
      <c r="C127" s="391" t="s">
        <v>1954</v>
      </c>
      <c r="D127" s="379"/>
      <c r="E127" s="144" t="s">
        <v>1955</v>
      </c>
      <c r="F127" s="142" t="s">
        <v>259</v>
      </c>
      <c r="H127" s="391" t="s">
        <v>1954</v>
      </c>
      <c r="I127" s="379"/>
      <c r="J127" s="144" t="s">
        <v>1955</v>
      </c>
      <c r="K127" s="142" t="s">
        <v>259</v>
      </c>
      <c r="M127" s="391" t="s">
        <v>1954</v>
      </c>
      <c r="N127" s="379"/>
      <c r="O127" s="144" t="s">
        <v>1955</v>
      </c>
      <c r="P127" s="142" t="s">
        <v>259</v>
      </c>
    </row>
    <row r="128" spans="3:16" x14ac:dyDescent="0.25">
      <c r="C128" s="382"/>
      <c r="D128" s="383"/>
      <c r="E128" s="144">
        <f>E115*E122*1</f>
        <v>0</v>
      </c>
      <c r="F128" s="142" t="s">
        <v>1951</v>
      </c>
      <c r="H128" s="382"/>
      <c r="I128" s="383"/>
      <c r="J128" s="144">
        <f>J115*J122*1</f>
        <v>0</v>
      </c>
      <c r="K128" s="142" t="s">
        <v>1951</v>
      </c>
      <c r="M128" s="382"/>
      <c r="N128" s="383"/>
      <c r="O128" s="144">
        <f>O115*O122*1</f>
        <v>0</v>
      </c>
      <c r="P128" s="142" t="s">
        <v>1951</v>
      </c>
    </row>
    <row r="129" spans="3:16" x14ac:dyDescent="0.25">
      <c r="C129" s="378" t="s">
        <v>1956</v>
      </c>
      <c r="D129" s="379"/>
      <c r="E129" s="388" t="s">
        <v>1957</v>
      </c>
      <c r="F129" s="390" t="s">
        <v>1951</v>
      </c>
      <c r="H129" s="378" t="s">
        <v>1956</v>
      </c>
      <c r="I129" s="379"/>
      <c r="J129" s="388" t="s">
        <v>1957</v>
      </c>
      <c r="K129" s="390" t="s">
        <v>1951</v>
      </c>
      <c r="M129" s="378" t="s">
        <v>1956</v>
      </c>
      <c r="N129" s="379"/>
      <c r="O129" s="388" t="s">
        <v>1957</v>
      </c>
      <c r="P129" s="390" t="s">
        <v>1951</v>
      </c>
    </row>
    <row r="130" spans="3:16" x14ac:dyDescent="0.25">
      <c r="C130" s="380"/>
      <c r="D130" s="381"/>
      <c r="E130" s="385"/>
      <c r="F130" s="392"/>
      <c r="H130" s="380"/>
      <c r="I130" s="381"/>
      <c r="J130" s="385"/>
      <c r="K130" s="392"/>
      <c r="M130" s="380"/>
      <c r="N130" s="381"/>
      <c r="O130" s="385"/>
      <c r="P130" s="392"/>
    </row>
    <row r="131" spans="3:16" x14ac:dyDescent="0.25">
      <c r="C131" s="382"/>
      <c r="D131" s="383"/>
      <c r="E131" s="144">
        <f>E124-E128</f>
        <v>0</v>
      </c>
      <c r="F131" s="385"/>
      <c r="H131" s="382"/>
      <c r="I131" s="383"/>
      <c r="J131" s="144">
        <f>J124-J128</f>
        <v>0</v>
      </c>
      <c r="K131" s="385"/>
      <c r="M131" s="382"/>
      <c r="N131" s="383"/>
      <c r="O131" s="144">
        <f>O124-O128</f>
        <v>0</v>
      </c>
      <c r="P131" s="385"/>
    </row>
    <row r="134" spans="3:16" x14ac:dyDescent="0.25">
      <c r="C134" s="384" t="s">
        <v>1970</v>
      </c>
      <c r="D134" s="142">
        <f>0.25</f>
        <v>0.25</v>
      </c>
      <c r="E134" s="143" t="s">
        <v>259</v>
      </c>
      <c r="F134" s="142"/>
      <c r="H134" s="384" t="s">
        <v>1972</v>
      </c>
      <c r="I134" s="142">
        <f>0.18</f>
        <v>0.18</v>
      </c>
      <c r="J134" s="143" t="s">
        <v>259</v>
      </c>
      <c r="K134" s="142"/>
      <c r="M134" s="384" t="s">
        <v>1974</v>
      </c>
      <c r="N134" s="142">
        <f>0.16</f>
        <v>0.16</v>
      </c>
      <c r="O134" s="143" t="s">
        <v>259</v>
      </c>
      <c r="P134" s="142"/>
    </row>
    <row r="135" spans="3:16" x14ac:dyDescent="0.25">
      <c r="C135" s="385"/>
      <c r="D135" s="142">
        <f>D134*100</f>
        <v>25</v>
      </c>
      <c r="E135" s="143" t="s">
        <v>516</v>
      </c>
      <c r="F135" s="142"/>
      <c r="H135" s="385"/>
      <c r="I135" s="142">
        <f>I134*100</f>
        <v>18</v>
      </c>
      <c r="J135" s="143" t="s">
        <v>516</v>
      </c>
      <c r="K135" s="142"/>
      <c r="M135" s="385"/>
      <c r="N135" s="142">
        <f>N134*100</f>
        <v>16</v>
      </c>
      <c r="O135" s="143" t="s">
        <v>516</v>
      </c>
      <c r="P135" s="142"/>
    </row>
    <row r="136" spans="3:16" x14ac:dyDescent="0.25">
      <c r="C136" s="386" t="s">
        <v>1943</v>
      </c>
      <c r="D136" s="387"/>
      <c r="E136" s="144">
        <f>1</f>
        <v>1</v>
      </c>
      <c r="F136" s="142" t="s">
        <v>259</v>
      </c>
      <c r="H136" s="386" t="s">
        <v>1943</v>
      </c>
      <c r="I136" s="387"/>
      <c r="J136" s="144">
        <f>1</f>
        <v>1</v>
      </c>
      <c r="K136" s="142" t="s">
        <v>259</v>
      </c>
      <c r="M136" s="386" t="s">
        <v>1943</v>
      </c>
      <c r="N136" s="387"/>
      <c r="O136" s="144">
        <f>1</f>
        <v>1</v>
      </c>
      <c r="P136" s="142" t="s">
        <v>259</v>
      </c>
    </row>
    <row r="137" spans="3:16" x14ac:dyDescent="0.25">
      <c r="C137" s="378" t="s">
        <v>1944</v>
      </c>
      <c r="D137" s="379"/>
      <c r="E137" s="144" t="s">
        <v>1945</v>
      </c>
      <c r="F137" s="142" t="s">
        <v>259</v>
      </c>
      <c r="H137" s="378" t="s">
        <v>1944</v>
      </c>
      <c r="I137" s="379"/>
      <c r="J137" s="144" t="s">
        <v>1945</v>
      </c>
      <c r="K137" s="142" t="s">
        <v>259</v>
      </c>
      <c r="M137" s="378" t="s">
        <v>1944</v>
      </c>
      <c r="N137" s="379"/>
      <c r="O137" s="144" t="s">
        <v>1945</v>
      </c>
      <c r="P137" s="142" t="s">
        <v>259</v>
      </c>
    </row>
    <row r="138" spans="3:16" x14ac:dyDescent="0.25">
      <c r="C138" s="380"/>
      <c r="D138" s="381"/>
      <c r="E138" s="144" t="s">
        <v>1971</v>
      </c>
      <c r="F138" s="142" t="s">
        <v>259</v>
      </c>
      <c r="H138" s="380"/>
      <c r="I138" s="381"/>
      <c r="J138" s="144" t="s">
        <v>1973</v>
      </c>
      <c r="K138" s="142" t="s">
        <v>259</v>
      </c>
      <c r="M138" s="380"/>
      <c r="N138" s="381"/>
      <c r="O138" s="144" t="s">
        <v>1975</v>
      </c>
      <c r="P138" s="142" t="s">
        <v>259</v>
      </c>
    </row>
    <row r="139" spans="3:16" x14ac:dyDescent="0.25">
      <c r="C139" s="382"/>
      <c r="D139" s="383"/>
      <c r="E139" s="144">
        <f>D134+0.1+0.1</f>
        <v>0.44999999999999996</v>
      </c>
      <c r="F139" s="142" t="s">
        <v>259</v>
      </c>
      <c r="H139" s="382"/>
      <c r="I139" s="383"/>
      <c r="J139" s="144">
        <f>I134+0.1+0.1</f>
        <v>0.38</v>
      </c>
      <c r="K139" s="142" t="s">
        <v>259</v>
      </c>
      <c r="M139" s="382"/>
      <c r="N139" s="383"/>
      <c r="O139" s="144">
        <f>N134+0.1+0.1</f>
        <v>0.36</v>
      </c>
      <c r="P139" s="142" t="s">
        <v>259</v>
      </c>
    </row>
    <row r="140" spans="3:16" x14ac:dyDescent="0.25">
      <c r="C140" s="378" t="s">
        <v>1946</v>
      </c>
      <c r="D140" s="379"/>
      <c r="E140" s="144" t="s">
        <v>1947</v>
      </c>
      <c r="F140" s="142" t="s">
        <v>259</v>
      </c>
      <c r="H140" s="378" t="s">
        <v>1946</v>
      </c>
      <c r="I140" s="379"/>
      <c r="J140" s="144" t="s">
        <v>1947</v>
      </c>
      <c r="K140" s="142" t="s">
        <v>259</v>
      </c>
      <c r="M140" s="378" t="s">
        <v>1946</v>
      </c>
      <c r="N140" s="379"/>
      <c r="O140" s="144" t="s">
        <v>1947</v>
      </c>
      <c r="P140" s="142" t="s">
        <v>259</v>
      </c>
    </row>
    <row r="141" spans="3:16" x14ac:dyDescent="0.25">
      <c r="C141" s="382"/>
      <c r="D141" s="383"/>
      <c r="E141" s="144">
        <f>E136+E139</f>
        <v>1.45</v>
      </c>
      <c r="F141" s="142" t="s">
        <v>259</v>
      </c>
      <c r="H141" s="382"/>
      <c r="I141" s="383"/>
      <c r="J141" s="144">
        <f>J136+J139</f>
        <v>1.38</v>
      </c>
      <c r="K141" s="142" t="s">
        <v>259</v>
      </c>
      <c r="M141" s="382"/>
      <c r="N141" s="383"/>
      <c r="O141" s="144">
        <f>O136+O139</f>
        <v>1.3599999999999999</v>
      </c>
      <c r="P141" s="142" t="s">
        <v>259</v>
      </c>
    </row>
    <row r="142" spans="3:16" x14ac:dyDescent="0.25">
      <c r="C142" s="378" t="s">
        <v>1948</v>
      </c>
      <c r="D142" s="379"/>
      <c r="E142" s="144">
        <f>20+20+D135</f>
        <v>65</v>
      </c>
      <c r="F142" s="142" t="s">
        <v>516</v>
      </c>
      <c r="H142" s="378" t="s">
        <v>1948</v>
      </c>
      <c r="I142" s="379"/>
      <c r="J142" s="144">
        <f>20+20+I135</f>
        <v>58</v>
      </c>
      <c r="K142" s="142" t="s">
        <v>516</v>
      </c>
      <c r="M142" s="378" t="s">
        <v>1948</v>
      </c>
      <c r="N142" s="379"/>
      <c r="O142" s="144">
        <f>20+20+N135</f>
        <v>56</v>
      </c>
      <c r="P142" s="142" t="s">
        <v>516</v>
      </c>
    </row>
    <row r="143" spans="3:16" x14ac:dyDescent="0.25">
      <c r="C143" s="389"/>
      <c r="D143" s="389"/>
      <c r="H143" s="389"/>
      <c r="I143" s="389"/>
      <c r="M143" s="389"/>
      <c r="N143" s="389"/>
    </row>
    <row r="144" spans="3:16" x14ac:dyDescent="0.25">
      <c r="C144" s="389"/>
      <c r="D144" s="389"/>
      <c r="H144" s="389"/>
      <c r="I144" s="389"/>
      <c r="M144" s="389"/>
      <c r="N144" s="389"/>
    </row>
    <row r="145" spans="3:16" x14ac:dyDescent="0.25">
      <c r="C145" s="382"/>
      <c r="D145" s="383"/>
      <c r="E145" s="144">
        <f>E141*E143*1</f>
        <v>0</v>
      </c>
      <c r="F145" s="142" t="s">
        <v>1951</v>
      </c>
      <c r="H145" s="382"/>
      <c r="I145" s="383"/>
      <c r="J145" s="144">
        <f>J141*J143*1</f>
        <v>0</v>
      </c>
      <c r="K145" s="142" t="s">
        <v>1951</v>
      </c>
      <c r="M145" s="382"/>
      <c r="N145" s="383"/>
      <c r="O145" s="144">
        <f>O141*O143*1</f>
        <v>0</v>
      </c>
      <c r="P145" s="142" t="s">
        <v>1951</v>
      </c>
    </row>
    <row r="146" spans="3:16" x14ac:dyDescent="0.25">
      <c r="C146" s="378" t="s">
        <v>1952</v>
      </c>
      <c r="D146" s="379"/>
      <c r="E146" s="144" t="s">
        <v>1953</v>
      </c>
      <c r="F146" s="142"/>
      <c r="H146" s="378" t="s">
        <v>1952</v>
      </c>
      <c r="I146" s="379"/>
      <c r="J146" s="144" t="s">
        <v>1953</v>
      </c>
      <c r="K146" s="142"/>
      <c r="M146" s="378" t="s">
        <v>1952</v>
      </c>
      <c r="N146" s="379"/>
      <c r="O146" s="144" t="s">
        <v>1953</v>
      </c>
      <c r="P146" s="142"/>
    </row>
    <row r="147" spans="3:16" x14ac:dyDescent="0.25">
      <c r="C147" s="382"/>
      <c r="D147" s="383"/>
      <c r="E147" s="144">
        <f>(E143*E139*1)-(1/4*3.14*(D134^2)*1)</f>
        <v>-4.9062500000000002E-2</v>
      </c>
      <c r="F147" s="142" t="s">
        <v>1951</v>
      </c>
      <c r="H147" s="382"/>
      <c r="I147" s="383"/>
      <c r="J147" s="144">
        <f>(J143*J139*1)-(1/4*3.14*(I134^2)*1)</f>
        <v>-2.5433999999999998E-2</v>
      </c>
      <c r="K147" s="142" t="s">
        <v>1951</v>
      </c>
      <c r="M147" s="382"/>
      <c r="N147" s="383"/>
      <c r="O147" s="144">
        <f>(O143*O139*1)-(1/4*3.14*(N134^2)*1)</f>
        <v>-2.0096000000000003E-2</v>
      </c>
      <c r="P147" s="142" t="s">
        <v>1951</v>
      </c>
    </row>
    <row r="148" spans="3:16" x14ac:dyDescent="0.25">
      <c r="C148" s="391" t="s">
        <v>1954</v>
      </c>
      <c r="D148" s="379"/>
      <c r="E148" s="144" t="s">
        <v>1955</v>
      </c>
      <c r="F148" s="142" t="s">
        <v>259</v>
      </c>
      <c r="H148" s="391" t="s">
        <v>1954</v>
      </c>
      <c r="I148" s="379"/>
      <c r="J148" s="144" t="s">
        <v>1955</v>
      </c>
      <c r="K148" s="142" t="s">
        <v>259</v>
      </c>
      <c r="M148" s="391" t="s">
        <v>1954</v>
      </c>
      <c r="N148" s="379"/>
      <c r="O148" s="144" t="s">
        <v>1955</v>
      </c>
      <c r="P148" s="142" t="s">
        <v>259</v>
      </c>
    </row>
    <row r="149" spans="3:16" x14ac:dyDescent="0.25">
      <c r="C149" s="382"/>
      <c r="D149" s="383"/>
      <c r="E149" s="144">
        <f>E136*E143*1</f>
        <v>0</v>
      </c>
      <c r="F149" s="142" t="s">
        <v>1951</v>
      </c>
      <c r="H149" s="382"/>
      <c r="I149" s="383"/>
      <c r="J149" s="144">
        <f>J136*J143*1</f>
        <v>0</v>
      </c>
      <c r="K149" s="142" t="s">
        <v>1951</v>
      </c>
      <c r="M149" s="382"/>
      <c r="N149" s="383"/>
      <c r="O149" s="144">
        <f>O136*O143*1</f>
        <v>0</v>
      </c>
      <c r="P149" s="142" t="s">
        <v>1951</v>
      </c>
    </row>
    <row r="150" spans="3:16" x14ac:dyDescent="0.25">
      <c r="C150" s="378" t="s">
        <v>1956</v>
      </c>
      <c r="D150" s="379"/>
      <c r="E150" s="388" t="s">
        <v>1957</v>
      </c>
      <c r="F150" s="390" t="s">
        <v>1951</v>
      </c>
      <c r="H150" s="378" t="s">
        <v>1956</v>
      </c>
      <c r="I150" s="379"/>
      <c r="J150" s="388" t="s">
        <v>1957</v>
      </c>
      <c r="K150" s="390" t="s">
        <v>1951</v>
      </c>
      <c r="M150" s="378" t="s">
        <v>1956</v>
      </c>
      <c r="N150" s="379"/>
      <c r="O150" s="388" t="s">
        <v>1957</v>
      </c>
      <c r="P150" s="390" t="s">
        <v>1951</v>
      </c>
    </row>
    <row r="151" spans="3:16" x14ac:dyDescent="0.25">
      <c r="C151" s="380"/>
      <c r="D151" s="381"/>
      <c r="E151" s="385"/>
      <c r="F151" s="392"/>
      <c r="H151" s="380"/>
      <c r="I151" s="381"/>
      <c r="J151" s="385"/>
      <c r="K151" s="392"/>
      <c r="M151" s="380"/>
      <c r="N151" s="381"/>
      <c r="O151" s="385"/>
      <c r="P151" s="392"/>
    </row>
    <row r="152" spans="3:16" x14ac:dyDescent="0.25">
      <c r="C152" s="382"/>
      <c r="D152" s="383"/>
      <c r="E152" s="144">
        <f>E145-E149</f>
        <v>0</v>
      </c>
      <c r="F152" s="385"/>
      <c r="H152" s="382"/>
      <c r="I152" s="383"/>
      <c r="J152" s="144">
        <f>J145-J149</f>
        <v>0</v>
      </c>
      <c r="K152" s="385"/>
      <c r="M152" s="382"/>
      <c r="N152" s="383"/>
      <c r="O152" s="144">
        <f>O145-O149</f>
        <v>0</v>
      </c>
      <c r="P152" s="385"/>
    </row>
    <row r="155" spans="3:16" x14ac:dyDescent="0.25">
      <c r="C155" s="384" t="s">
        <v>1976</v>
      </c>
      <c r="D155" s="142">
        <f>0.14</f>
        <v>0.14000000000000001</v>
      </c>
      <c r="E155" s="143" t="s">
        <v>259</v>
      </c>
      <c r="F155" s="142"/>
      <c r="H155" s="384" t="s">
        <v>1978</v>
      </c>
      <c r="I155" s="142">
        <f>0.09</f>
        <v>0.09</v>
      </c>
      <c r="J155" s="143" t="s">
        <v>259</v>
      </c>
      <c r="K155" s="142"/>
    </row>
    <row r="156" spans="3:16" x14ac:dyDescent="0.25">
      <c r="C156" s="385"/>
      <c r="D156" s="142">
        <f>D155*100</f>
        <v>14.000000000000002</v>
      </c>
      <c r="E156" s="143" t="s">
        <v>516</v>
      </c>
      <c r="F156" s="142"/>
      <c r="H156" s="385"/>
      <c r="I156" s="142">
        <f>I155*100</f>
        <v>9</v>
      </c>
      <c r="J156" s="143" t="s">
        <v>516</v>
      </c>
      <c r="K156" s="142"/>
    </row>
    <row r="157" spans="3:16" x14ac:dyDescent="0.25">
      <c r="C157" s="386" t="s">
        <v>1943</v>
      </c>
      <c r="D157" s="387"/>
      <c r="E157" s="144">
        <v>0.8</v>
      </c>
      <c r="F157" s="142" t="s">
        <v>259</v>
      </c>
      <c r="H157" s="386" t="s">
        <v>1943</v>
      </c>
      <c r="I157" s="387"/>
      <c r="J157" s="144">
        <v>0.8</v>
      </c>
      <c r="K157" s="142" t="s">
        <v>259</v>
      </c>
    </row>
    <row r="158" spans="3:16" x14ac:dyDescent="0.25">
      <c r="C158" s="378" t="s">
        <v>1944</v>
      </c>
      <c r="D158" s="379"/>
      <c r="E158" s="144" t="s">
        <v>1945</v>
      </c>
      <c r="F158" s="142" t="s">
        <v>259</v>
      </c>
      <c r="H158" s="378" t="s">
        <v>1944</v>
      </c>
      <c r="I158" s="379"/>
      <c r="J158" s="144" t="s">
        <v>1945</v>
      </c>
      <c r="K158" s="142" t="s">
        <v>259</v>
      </c>
    </row>
    <row r="159" spans="3:16" x14ac:dyDescent="0.25">
      <c r="C159" s="380"/>
      <c r="D159" s="381"/>
      <c r="E159" s="144" t="s">
        <v>1977</v>
      </c>
      <c r="F159" s="142" t="s">
        <v>259</v>
      </c>
      <c r="H159" s="380"/>
      <c r="I159" s="381"/>
      <c r="J159" s="144" t="s">
        <v>1979</v>
      </c>
      <c r="K159" s="142" t="s">
        <v>259</v>
      </c>
    </row>
    <row r="160" spans="3:16" x14ac:dyDescent="0.25">
      <c r="C160" s="382"/>
      <c r="D160" s="383"/>
      <c r="E160" s="144">
        <f>D155+0.1+0.1</f>
        <v>0.34</v>
      </c>
      <c r="F160" s="142" t="s">
        <v>259</v>
      </c>
      <c r="H160" s="382"/>
      <c r="I160" s="383"/>
      <c r="J160" s="144">
        <f>I155+0.1+0.1</f>
        <v>0.29000000000000004</v>
      </c>
      <c r="K160" s="142" t="s">
        <v>259</v>
      </c>
    </row>
    <row r="161" spans="3:11" x14ac:dyDescent="0.25">
      <c r="C161" s="378" t="s">
        <v>1946</v>
      </c>
      <c r="D161" s="379"/>
      <c r="E161" s="144" t="s">
        <v>1947</v>
      </c>
      <c r="F161" s="142" t="s">
        <v>259</v>
      </c>
      <c r="H161" s="378" t="s">
        <v>1946</v>
      </c>
      <c r="I161" s="379"/>
      <c r="J161" s="144" t="s">
        <v>1947</v>
      </c>
      <c r="K161" s="142" t="s">
        <v>259</v>
      </c>
    </row>
    <row r="162" spans="3:11" x14ac:dyDescent="0.25">
      <c r="C162" s="382"/>
      <c r="D162" s="383"/>
      <c r="E162" s="144">
        <f>E157+E160</f>
        <v>1.1400000000000001</v>
      </c>
      <c r="F162" s="142" t="s">
        <v>259</v>
      </c>
      <c r="H162" s="382"/>
      <c r="I162" s="383"/>
      <c r="J162" s="144">
        <f>J157+J160</f>
        <v>1.0900000000000001</v>
      </c>
      <c r="K162" s="142" t="s">
        <v>259</v>
      </c>
    </row>
    <row r="163" spans="3:11" x14ac:dyDescent="0.25">
      <c r="C163" s="378" t="s">
        <v>1948</v>
      </c>
      <c r="D163" s="379"/>
      <c r="E163" s="144">
        <f>20+20+D156</f>
        <v>54</v>
      </c>
      <c r="F163" s="142" t="s">
        <v>516</v>
      </c>
      <c r="H163" s="378" t="s">
        <v>1948</v>
      </c>
      <c r="I163" s="379"/>
      <c r="J163" s="144">
        <f>20+20+I156</f>
        <v>49</v>
      </c>
      <c r="K163" s="142" t="s">
        <v>516</v>
      </c>
    </row>
    <row r="164" spans="3:11" x14ac:dyDescent="0.25">
      <c r="C164" s="389"/>
      <c r="D164" s="389"/>
      <c r="H164" s="389"/>
      <c r="I164" s="389"/>
    </row>
    <row r="165" spans="3:11" x14ac:dyDescent="0.25">
      <c r="C165" s="389"/>
      <c r="D165" s="389"/>
      <c r="H165" s="389"/>
      <c r="I165" s="389"/>
    </row>
    <row r="166" spans="3:11" x14ac:dyDescent="0.25">
      <c r="C166" s="382"/>
      <c r="D166" s="383"/>
      <c r="E166" s="144">
        <f>E162*E164*1</f>
        <v>0</v>
      </c>
      <c r="F166" s="142" t="s">
        <v>1951</v>
      </c>
      <c r="H166" s="382"/>
      <c r="I166" s="383"/>
      <c r="J166" s="144">
        <f>J162*J164*1</f>
        <v>0</v>
      </c>
      <c r="K166" s="142" t="s">
        <v>1951</v>
      </c>
    </row>
    <row r="167" spans="3:11" x14ac:dyDescent="0.25">
      <c r="C167" s="378" t="s">
        <v>1952</v>
      </c>
      <c r="D167" s="379"/>
      <c r="E167" s="144" t="s">
        <v>1953</v>
      </c>
      <c r="F167" s="142"/>
      <c r="H167" s="378" t="s">
        <v>1952</v>
      </c>
      <c r="I167" s="379"/>
      <c r="J167" s="144" t="s">
        <v>1953</v>
      </c>
      <c r="K167" s="142"/>
    </row>
    <row r="168" spans="3:11" x14ac:dyDescent="0.25">
      <c r="C168" s="382"/>
      <c r="D168" s="383"/>
      <c r="E168" s="144">
        <f>(E164*E160*1)-(1/4*3.14*(D155^2)*1)</f>
        <v>-1.5386000000000002E-2</v>
      </c>
      <c r="F168" s="142" t="s">
        <v>1951</v>
      </c>
      <c r="H168" s="382"/>
      <c r="I168" s="383"/>
      <c r="J168" s="144">
        <f>(J164*J160*1)-(1/4*3.14*(I155^2)*1)</f>
        <v>-6.3584999999999996E-3</v>
      </c>
      <c r="K168" s="142" t="s">
        <v>1951</v>
      </c>
    </row>
    <row r="169" spans="3:11" x14ac:dyDescent="0.25">
      <c r="C169" s="391" t="s">
        <v>1954</v>
      </c>
      <c r="D169" s="379"/>
      <c r="E169" s="144" t="s">
        <v>1955</v>
      </c>
      <c r="F169" s="142" t="s">
        <v>259</v>
      </c>
      <c r="H169" s="391" t="s">
        <v>1954</v>
      </c>
      <c r="I169" s="379"/>
      <c r="J169" s="144" t="s">
        <v>1955</v>
      </c>
      <c r="K169" s="142" t="s">
        <v>259</v>
      </c>
    </row>
    <row r="170" spans="3:11" x14ac:dyDescent="0.25">
      <c r="C170" s="382"/>
      <c r="D170" s="383"/>
      <c r="E170" s="144">
        <f>E157*E164*1</f>
        <v>0</v>
      </c>
      <c r="F170" s="142" t="s">
        <v>1951</v>
      </c>
      <c r="H170" s="382"/>
      <c r="I170" s="383"/>
      <c r="J170" s="144">
        <f>J157*J164*1</f>
        <v>0</v>
      </c>
      <c r="K170" s="142" t="s">
        <v>1951</v>
      </c>
    </row>
    <row r="171" spans="3:11" x14ac:dyDescent="0.25">
      <c r="C171" s="378" t="s">
        <v>1956</v>
      </c>
      <c r="D171" s="379"/>
      <c r="E171" s="388" t="s">
        <v>1957</v>
      </c>
      <c r="F171" s="390" t="s">
        <v>1951</v>
      </c>
      <c r="H171" s="378" t="s">
        <v>1956</v>
      </c>
      <c r="I171" s="379"/>
      <c r="J171" s="388" t="s">
        <v>1957</v>
      </c>
      <c r="K171" s="390" t="s">
        <v>1951</v>
      </c>
    </row>
    <row r="172" spans="3:11" x14ac:dyDescent="0.25">
      <c r="C172" s="380"/>
      <c r="D172" s="381"/>
      <c r="E172" s="385"/>
      <c r="F172" s="392"/>
      <c r="H172" s="380"/>
      <c r="I172" s="381"/>
      <c r="J172" s="385"/>
      <c r="K172" s="392"/>
    </row>
    <row r="173" spans="3:11" x14ac:dyDescent="0.25">
      <c r="C173" s="382"/>
      <c r="D173" s="383"/>
      <c r="E173" s="144">
        <f>E166-E170</f>
        <v>0</v>
      </c>
      <c r="F173" s="385"/>
      <c r="H173" s="382"/>
      <c r="I173" s="383"/>
      <c r="J173" s="144">
        <f>J166-J170</f>
        <v>0</v>
      </c>
      <c r="K173" s="385"/>
    </row>
  </sheetData>
  <mergeCells count="177">
    <mergeCell ref="O108:O109"/>
    <mergeCell ref="P108:P110"/>
    <mergeCell ref="M113:M114"/>
    <mergeCell ref="M115:N115"/>
    <mergeCell ref="O87:O88"/>
    <mergeCell ref="P87:P89"/>
    <mergeCell ref="M92:M93"/>
    <mergeCell ref="M94:N94"/>
    <mergeCell ref="M95:N97"/>
    <mergeCell ref="W23:W24"/>
    <mergeCell ref="X23:X24"/>
    <mergeCell ref="S23:S24"/>
    <mergeCell ref="T23:T24"/>
    <mergeCell ref="O22:X22"/>
    <mergeCell ref="C171:D173"/>
    <mergeCell ref="E171:E172"/>
    <mergeCell ref="F171:F173"/>
    <mergeCell ref="H155:H156"/>
    <mergeCell ref="H157:I157"/>
    <mergeCell ref="H158:I160"/>
    <mergeCell ref="H161:I162"/>
    <mergeCell ref="H163:I164"/>
    <mergeCell ref="H165:I166"/>
    <mergeCell ref="H167:I168"/>
    <mergeCell ref="H169:I170"/>
    <mergeCell ref="H171:I173"/>
    <mergeCell ref="C161:D162"/>
    <mergeCell ref="C163:D164"/>
    <mergeCell ref="C165:D166"/>
    <mergeCell ref="C167:D168"/>
    <mergeCell ref="J171:J172"/>
    <mergeCell ref="K171:K173"/>
    <mergeCell ref="M125:N126"/>
    <mergeCell ref="C169:D170"/>
    <mergeCell ref="O150:O151"/>
    <mergeCell ref="P150:P152"/>
    <mergeCell ref="C155:C156"/>
    <mergeCell ref="C157:D157"/>
    <mergeCell ref="C158:D160"/>
    <mergeCell ref="J150:J151"/>
    <mergeCell ref="K150:K152"/>
    <mergeCell ref="M134:M135"/>
    <mergeCell ref="M136:N136"/>
    <mergeCell ref="M137:N139"/>
    <mergeCell ref="M140:N141"/>
    <mergeCell ref="M142:N143"/>
    <mergeCell ref="M144:N145"/>
    <mergeCell ref="M146:N147"/>
    <mergeCell ref="M148:N149"/>
    <mergeCell ref="M150:N152"/>
    <mergeCell ref="E150:E151"/>
    <mergeCell ref="F150:F152"/>
    <mergeCell ref="H134:H135"/>
    <mergeCell ref="H136:I136"/>
    <mergeCell ref="H137:I139"/>
    <mergeCell ref="H140:I141"/>
    <mergeCell ref="H142:I143"/>
    <mergeCell ref="H144:I145"/>
    <mergeCell ref="H146:I147"/>
    <mergeCell ref="H148:I149"/>
    <mergeCell ref="H150:I152"/>
    <mergeCell ref="C142:D143"/>
    <mergeCell ref="C144:D145"/>
    <mergeCell ref="C146:D147"/>
    <mergeCell ref="C148:D149"/>
    <mergeCell ref="C150:D152"/>
    <mergeCell ref="F129:F131"/>
    <mergeCell ref="C134:C135"/>
    <mergeCell ref="C136:D136"/>
    <mergeCell ref="C137:D139"/>
    <mergeCell ref="C140:D141"/>
    <mergeCell ref="C123:D124"/>
    <mergeCell ref="C125:D126"/>
    <mergeCell ref="C127:D128"/>
    <mergeCell ref="C129:D131"/>
    <mergeCell ref="E129:E130"/>
    <mergeCell ref="M127:N128"/>
    <mergeCell ref="M129:N131"/>
    <mergeCell ref="O129:O130"/>
    <mergeCell ref="P129:P131"/>
    <mergeCell ref="H113:H114"/>
    <mergeCell ref="H115:I115"/>
    <mergeCell ref="H116:I118"/>
    <mergeCell ref="H119:I120"/>
    <mergeCell ref="H121:I122"/>
    <mergeCell ref="H123:I124"/>
    <mergeCell ref="H125:I126"/>
    <mergeCell ref="H127:I128"/>
    <mergeCell ref="H129:I131"/>
    <mergeCell ref="J129:J130"/>
    <mergeCell ref="K129:K131"/>
    <mergeCell ref="M116:N118"/>
    <mergeCell ref="M119:N120"/>
    <mergeCell ref="M121:N122"/>
    <mergeCell ref="M123:N124"/>
    <mergeCell ref="M98:N99"/>
    <mergeCell ref="M100:N101"/>
    <mergeCell ref="C113:C114"/>
    <mergeCell ref="C115:D115"/>
    <mergeCell ref="C116:D118"/>
    <mergeCell ref="C119:D120"/>
    <mergeCell ref="C121:D122"/>
    <mergeCell ref="M108:N110"/>
    <mergeCell ref="J108:J109"/>
    <mergeCell ref="K108:K110"/>
    <mergeCell ref="M102:N103"/>
    <mergeCell ref="M104:N105"/>
    <mergeCell ref="M106:N107"/>
    <mergeCell ref="C108:D110"/>
    <mergeCell ref="E108:E109"/>
    <mergeCell ref="F108:F110"/>
    <mergeCell ref="H98:I99"/>
    <mergeCell ref="H100:I101"/>
    <mergeCell ref="H102:I103"/>
    <mergeCell ref="H104:I105"/>
    <mergeCell ref="H106:I107"/>
    <mergeCell ref="H108:I110"/>
    <mergeCell ref="C98:D99"/>
    <mergeCell ref="C100:D101"/>
    <mergeCell ref="C102:D103"/>
    <mergeCell ref="C104:D105"/>
    <mergeCell ref="C106:D107"/>
    <mergeCell ref="H85:I86"/>
    <mergeCell ref="H87:I89"/>
    <mergeCell ref="H92:H93"/>
    <mergeCell ref="H94:I94"/>
    <mergeCell ref="H95:I97"/>
    <mergeCell ref="M73:N73"/>
    <mergeCell ref="J87:J88"/>
    <mergeCell ref="K87:K89"/>
    <mergeCell ref="C92:C93"/>
    <mergeCell ref="C94:D94"/>
    <mergeCell ref="C95:D97"/>
    <mergeCell ref="C85:D86"/>
    <mergeCell ref="C87:D89"/>
    <mergeCell ref="E87:E88"/>
    <mergeCell ref="F87:F89"/>
    <mergeCell ref="M85:N86"/>
    <mergeCell ref="M87:N89"/>
    <mergeCell ref="C74:D76"/>
    <mergeCell ref="C77:D78"/>
    <mergeCell ref="C79:D80"/>
    <mergeCell ref="C81:D82"/>
    <mergeCell ref="R55:T55"/>
    <mergeCell ref="O55:P55"/>
    <mergeCell ref="C83:D84"/>
    <mergeCell ref="J23:K23"/>
    <mergeCell ref="L23:M23"/>
    <mergeCell ref="C71:C72"/>
    <mergeCell ref="C73:D73"/>
    <mergeCell ref="H71:H72"/>
    <mergeCell ref="H73:I73"/>
    <mergeCell ref="H74:I76"/>
    <mergeCell ref="H77:I78"/>
    <mergeCell ref="H79:I80"/>
    <mergeCell ref="H81:I82"/>
    <mergeCell ref="H83:I84"/>
    <mergeCell ref="M74:N76"/>
    <mergeCell ref="M77:N78"/>
    <mergeCell ref="M79:N80"/>
    <mergeCell ref="M81:N82"/>
    <mergeCell ref="M83:N84"/>
    <mergeCell ref="M71:M72"/>
    <mergeCell ref="C4:G4"/>
    <mergeCell ref="C10:F10"/>
    <mergeCell ref="C23:C24"/>
    <mergeCell ref="D23:E23"/>
    <mergeCell ref="F23:F24"/>
    <mergeCell ref="G23:G24"/>
    <mergeCell ref="H23:H24"/>
    <mergeCell ref="I23:I24"/>
    <mergeCell ref="V23:V24"/>
    <mergeCell ref="U23:U24"/>
    <mergeCell ref="R23:R24"/>
    <mergeCell ref="Q23:Q24"/>
    <mergeCell ref="O23:P23"/>
    <mergeCell ref="C22:M22"/>
  </mergeCells>
  <pageMargins left="0.7" right="0.7" top="0.75" bottom="0.75" header="0.3" footer="0.3"/>
  <pageSetup orientation="portrait" r:id="rId1"/>
  <ignoredErrors>
    <ignoredError sqref="U50:X50"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9D2C0-4D1A-43DA-92C5-F4075FA3D90E}">
  <dimension ref="C3:N23"/>
  <sheetViews>
    <sheetView workbookViewId="0">
      <selection activeCell="I6" sqref="I6"/>
    </sheetView>
  </sheetViews>
  <sheetFormatPr defaultRowHeight="13.8" x14ac:dyDescent="0.25"/>
  <cols>
    <col min="1" max="2" width="8.88671875" style="9"/>
    <col min="3" max="3" width="22.44140625" style="9" customWidth="1"/>
    <col min="4" max="4" width="10.88671875" style="9" customWidth="1"/>
    <col min="5" max="5" width="10.77734375" style="9" customWidth="1"/>
    <col min="6" max="6" width="10.88671875" style="9" customWidth="1"/>
    <col min="7" max="7" width="9.5546875" style="9" customWidth="1"/>
    <col min="8" max="8" width="12.6640625" style="9" customWidth="1"/>
    <col min="9" max="9" width="14.109375" style="9" customWidth="1"/>
    <col min="10" max="12" width="8.88671875" style="9"/>
    <col min="13" max="13" width="19.44140625" style="9" customWidth="1"/>
    <col min="14" max="14" width="14.77734375" style="9" customWidth="1"/>
    <col min="15" max="16384" width="8.88671875" style="9"/>
  </cols>
  <sheetData>
    <row r="3" spans="3:14" x14ac:dyDescent="0.25">
      <c r="C3" s="195" t="s">
        <v>1988</v>
      </c>
      <c r="D3" s="195"/>
      <c r="E3" s="195"/>
      <c r="F3" s="195"/>
      <c r="G3" s="195"/>
      <c r="H3" s="195"/>
    </row>
    <row r="4" spans="3:14" x14ac:dyDescent="0.25">
      <c r="C4" s="186" t="s">
        <v>115</v>
      </c>
      <c r="D4" s="195" t="s">
        <v>1989</v>
      </c>
      <c r="E4" s="195"/>
      <c r="F4" s="195"/>
      <c r="G4" s="186" t="s">
        <v>64</v>
      </c>
      <c r="H4" s="394" t="s">
        <v>1990</v>
      </c>
    </row>
    <row r="5" spans="3:14" x14ac:dyDescent="0.25">
      <c r="C5" s="186"/>
      <c r="D5" s="11" t="s">
        <v>1991</v>
      </c>
      <c r="E5" s="11" t="s">
        <v>1992</v>
      </c>
      <c r="F5" s="11" t="s">
        <v>1993</v>
      </c>
      <c r="G5" s="186"/>
      <c r="H5" s="394"/>
    </row>
    <row r="6" spans="3:14" x14ac:dyDescent="0.25">
      <c r="C6" s="120" t="s">
        <v>1994</v>
      </c>
      <c r="D6" s="141">
        <v>63</v>
      </c>
      <c r="E6" s="141">
        <v>10.5</v>
      </c>
      <c r="F6" s="141">
        <v>1.8</v>
      </c>
      <c r="G6" s="120">
        <v>4</v>
      </c>
      <c r="H6" s="120">
        <f>D6*E6*F6*G6</f>
        <v>4762.8</v>
      </c>
    </row>
    <row r="7" spans="3:14" x14ac:dyDescent="0.25">
      <c r="C7" s="120" t="s">
        <v>717</v>
      </c>
      <c r="D7" s="141">
        <v>20.28</v>
      </c>
      <c r="E7" s="141">
        <v>1</v>
      </c>
      <c r="F7" s="141">
        <v>0.8</v>
      </c>
      <c r="G7" s="120">
        <v>1</v>
      </c>
      <c r="H7" s="120">
        <f t="shared" ref="H7:H11" si="0">D7*E7*F7*G7</f>
        <v>16.224</v>
      </c>
    </row>
    <row r="8" spans="3:14" x14ac:dyDescent="0.25">
      <c r="C8" s="120" t="s">
        <v>858</v>
      </c>
      <c r="D8" s="141">
        <v>10.95</v>
      </c>
      <c r="E8" s="141">
        <v>6.5</v>
      </c>
      <c r="F8" s="141">
        <v>6.47</v>
      </c>
      <c r="G8" s="120">
        <v>2</v>
      </c>
      <c r="H8" s="120">
        <f t="shared" si="0"/>
        <v>921.00449999999989</v>
      </c>
    </row>
    <row r="9" spans="3:14" x14ac:dyDescent="0.25">
      <c r="C9" s="120" t="s">
        <v>214</v>
      </c>
      <c r="D9" s="141">
        <v>31.5</v>
      </c>
      <c r="E9" s="141">
        <v>3</v>
      </c>
      <c r="F9" s="141">
        <v>3.6</v>
      </c>
      <c r="G9" s="120">
        <v>4</v>
      </c>
      <c r="H9" s="120">
        <f t="shared" si="0"/>
        <v>1360.8</v>
      </c>
    </row>
    <row r="10" spans="3:14" x14ac:dyDescent="0.25">
      <c r="C10" s="120" t="s">
        <v>1097</v>
      </c>
      <c r="D10" s="141">
        <v>11</v>
      </c>
      <c r="E10" s="141">
        <v>5.7</v>
      </c>
      <c r="F10" s="141">
        <f>2.799+0.22</f>
        <v>3.0190000000000001</v>
      </c>
      <c r="G10" s="120">
        <v>5</v>
      </c>
      <c r="H10" s="120">
        <f t="shared" si="0"/>
        <v>946.45650000000001</v>
      </c>
    </row>
    <row r="11" spans="3:14" x14ac:dyDescent="0.25">
      <c r="C11" s="120" t="s">
        <v>216</v>
      </c>
      <c r="D11" s="141">
        <v>11.69</v>
      </c>
      <c r="E11" s="141">
        <v>5.84</v>
      </c>
      <c r="F11" s="141">
        <v>3.5</v>
      </c>
      <c r="G11" s="120">
        <v>2</v>
      </c>
      <c r="H11" s="120">
        <f t="shared" si="0"/>
        <v>477.88720000000001</v>
      </c>
    </row>
    <row r="12" spans="3:14" x14ac:dyDescent="0.25">
      <c r="C12" s="195" t="s">
        <v>2093</v>
      </c>
      <c r="D12" s="195"/>
      <c r="E12" s="195"/>
      <c r="F12" s="195"/>
      <c r="G12" s="195"/>
      <c r="H12" s="120">
        <f>SUM(H6:H11)</f>
        <v>8485.1722000000009</v>
      </c>
    </row>
    <row r="15" spans="3:14" x14ac:dyDescent="0.25">
      <c r="C15" s="195" t="s">
        <v>1995</v>
      </c>
      <c r="D15" s="195"/>
      <c r="E15" s="195"/>
      <c r="F15" s="195"/>
      <c r="G15" s="195"/>
      <c r="H15" s="195"/>
      <c r="I15" s="195"/>
      <c r="J15" s="195"/>
      <c r="K15" s="195"/>
      <c r="L15" s="195"/>
      <c r="M15" s="195"/>
      <c r="N15" s="195"/>
    </row>
    <row r="16" spans="3:14" x14ac:dyDescent="0.25">
      <c r="C16" s="186" t="s">
        <v>115</v>
      </c>
      <c r="D16" s="195" t="s">
        <v>1989</v>
      </c>
      <c r="E16" s="195"/>
      <c r="F16" s="195"/>
      <c r="G16" s="186" t="s">
        <v>64</v>
      </c>
      <c r="H16" s="394" t="s">
        <v>1990</v>
      </c>
      <c r="I16" s="11" t="s">
        <v>1996</v>
      </c>
      <c r="J16" s="186" t="s">
        <v>2002</v>
      </c>
      <c r="K16" s="186"/>
      <c r="L16" s="186"/>
      <c r="M16" s="11" t="s">
        <v>1997</v>
      </c>
      <c r="N16" s="11" t="s">
        <v>1998</v>
      </c>
    </row>
    <row r="17" spans="3:14" x14ac:dyDescent="0.25">
      <c r="C17" s="186"/>
      <c r="D17" s="11" t="s">
        <v>1991</v>
      </c>
      <c r="E17" s="11" t="s">
        <v>1992</v>
      </c>
      <c r="F17" s="11" t="s">
        <v>1993</v>
      </c>
      <c r="G17" s="186"/>
      <c r="H17" s="394"/>
      <c r="I17" s="11" t="s">
        <v>1999</v>
      </c>
      <c r="J17" s="11" t="s">
        <v>1991</v>
      </c>
      <c r="K17" s="11" t="s">
        <v>1992</v>
      </c>
      <c r="L17" s="11" t="s">
        <v>2000</v>
      </c>
      <c r="M17" s="11" t="s">
        <v>2001</v>
      </c>
      <c r="N17" s="11" t="s">
        <v>2001</v>
      </c>
    </row>
    <row r="18" spans="3:14" x14ac:dyDescent="0.25">
      <c r="C18" s="18" t="s">
        <v>1994</v>
      </c>
      <c r="D18" s="14">
        <f>D6</f>
        <v>63</v>
      </c>
      <c r="E18" s="14">
        <f t="shared" ref="E18:F18" si="1">E6</f>
        <v>10.5</v>
      </c>
      <c r="F18" s="14">
        <f t="shared" si="1"/>
        <v>1.8</v>
      </c>
      <c r="G18" s="18">
        <f>G6</f>
        <v>4</v>
      </c>
      <c r="H18" s="14">
        <f>H6</f>
        <v>4762.8</v>
      </c>
      <c r="I18" s="18">
        <v>0.3</v>
      </c>
      <c r="J18" s="145">
        <f>D18+I18</f>
        <v>63.3</v>
      </c>
      <c r="K18" s="145">
        <f>E18+I18</f>
        <v>10.8</v>
      </c>
      <c r="L18" s="145">
        <f>F18+I18</f>
        <v>2.1</v>
      </c>
      <c r="M18" s="145">
        <f>(J18*K18*L18)*G18</f>
        <v>5742.576</v>
      </c>
      <c r="N18" s="14">
        <f>M18-H18</f>
        <v>979.77599999999984</v>
      </c>
    </row>
    <row r="19" spans="3:14" x14ac:dyDescent="0.25">
      <c r="C19" s="18" t="s">
        <v>717</v>
      </c>
      <c r="D19" s="14">
        <f t="shared" ref="D19:H23" si="2">D7</f>
        <v>20.28</v>
      </c>
      <c r="E19" s="14">
        <f t="shared" si="2"/>
        <v>1</v>
      </c>
      <c r="F19" s="14">
        <f t="shared" si="2"/>
        <v>0.8</v>
      </c>
      <c r="G19" s="18">
        <f t="shared" si="2"/>
        <v>1</v>
      </c>
      <c r="H19" s="14">
        <f t="shared" si="2"/>
        <v>16.224</v>
      </c>
      <c r="I19" s="18">
        <v>0.3</v>
      </c>
      <c r="J19" s="145">
        <f t="shared" ref="J19:J23" si="3">D19+I19</f>
        <v>20.580000000000002</v>
      </c>
      <c r="K19" s="145">
        <f t="shared" ref="K19:K23" si="4">E19+I19</f>
        <v>1.3</v>
      </c>
      <c r="L19" s="145">
        <f t="shared" ref="L19:L23" si="5">F19+I19</f>
        <v>1.1000000000000001</v>
      </c>
      <c r="M19" s="145">
        <f>(J19*K19*L19)*G19</f>
        <v>29.429400000000008</v>
      </c>
      <c r="N19" s="14">
        <f>M19-H19</f>
        <v>13.205400000000008</v>
      </c>
    </row>
    <row r="20" spans="3:14" x14ac:dyDescent="0.25">
      <c r="C20" s="18" t="s">
        <v>858</v>
      </c>
      <c r="D20" s="14">
        <f t="shared" si="2"/>
        <v>10.95</v>
      </c>
      <c r="E20" s="14">
        <f t="shared" si="2"/>
        <v>6.5</v>
      </c>
      <c r="F20" s="14">
        <f t="shared" si="2"/>
        <v>6.47</v>
      </c>
      <c r="G20" s="18">
        <f t="shared" si="2"/>
        <v>2</v>
      </c>
      <c r="H20" s="14">
        <f t="shared" si="2"/>
        <v>921.00449999999989</v>
      </c>
      <c r="I20" s="18">
        <v>0.3</v>
      </c>
      <c r="J20" s="145">
        <f t="shared" si="3"/>
        <v>11.25</v>
      </c>
      <c r="K20" s="145">
        <f t="shared" si="4"/>
        <v>6.8</v>
      </c>
      <c r="L20" s="145">
        <f t="shared" si="5"/>
        <v>6.77</v>
      </c>
      <c r="M20" s="145">
        <f t="shared" ref="M20:M23" si="6">(J20*K20*L20)*G20</f>
        <v>1035.81</v>
      </c>
      <c r="N20" s="14">
        <f t="shared" ref="N20:N23" si="7">M20-H20</f>
        <v>114.80550000000005</v>
      </c>
    </row>
    <row r="21" spans="3:14" x14ac:dyDescent="0.25">
      <c r="C21" s="18" t="s">
        <v>214</v>
      </c>
      <c r="D21" s="14">
        <f t="shared" si="2"/>
        <v>31.5</v>
      </c>
      <c r="E21" s="14">
        <f t="shared" si="2"/>
        <v>3</v>
      </c>
      <c r="F21" s="14">
        <f t="shared" si="2"/>
        <v>3.6</v>
      </c>
      <c r="G21" s="18">
        <f t="shared" si="2"/>
        <v>4</v>
      </c>
      <c r="H21" s="14">
        <f t="shared" si="2"/>
        <v>1360.8</v>
      </c>
      <c r="I21" s="18">
        <v>0.3</v>
      </c>
      <c r="J21" s="145">
        <f t="shared" si="3"/>
        <v>31.8</v>
      </c>
      <c r="K21" s="145">
        <f t="shared" si="4"/>
        <v>3.3</v>
      </c>
      <c r="L21" s="145">
        <f t="shared" si="5"/>
        <v>3.9</v>
      </c>
      <c r="M21" s="145">
        <f t="shared" si="6"/>
        <v>1637.0639999999999</v>
      </c>
      <c r="N21" s="14">
        <f t="shared" si="7"/>
        <v>276.2639999999999</v>
      </c>
    </row>
    <row r="22" spans="3:14" x14ac:dyDescent="0.25">
      <c r="C22" s="18" t="s">
        <v>215</v>
      </c>
      <c r="D22" s="14">
        <f t="shared" si="2"/>
        <v>11</v>
      </c>
      <c r="E22" s="14">
        <f t="shared" si="2"/>
        <v>5.7</v>
      </c>
      <c r="F22" s="14">
        <f t="shared" si="2"/>
        <v>3.0190000000000001</v>
      </c>
      <c r="G22" s="18">
        <f t="shared" si="2"/>
        <v>5</v>
      </c>
      <c r="H22" s="14">
        <f t="shared" si="2"/>
        <v>946.45650000000001</v>
      </c>
      <c r="I22" s="18">
        <v>0.3</v>
      </c>
      <c r="J22" s="145">
        <f t="shared" si="3"/>
        <v>11.3</v>
      </c>
      <c r="K22" s="145">
        <f t="shared" si="4"/>
        <v>6</v>
      </c>
      <c r="L22" s="145">
        <f t="shared" si="5"/>
        <v>3.319</v>
      </c>
      <c r="M22" s="145">
        <f t="shared" si="6"/>
        <v>1125.1410000000001</v>
      </c>
      <c r="N22" s="14">
        <f t="shared" si="7"/>
        <v>178.68450000000007</v>
      </c>
    </row>
    <row r="23" spans="3:14" x14ac:dyDescent="0.25">
      <c r="C23" s="18" t="s">
        <v>216</v>
      </c>
      <c r="D23" s="14">
        <f t="shared" si="2"/>
        <v>11.69</v>
      </c>
      <c r="E23" s="14">
        <f t="shared" si="2"/>
        <v>5.84</v>
      </c>
      <c r="F23" s="14">
        <f t="shared" si="2"/>
        <v>3.5</v>
      </c>
      <c r="G23" s="18">
        <f t="shared" si="2"/>
        <v>2</v>
      </c>
      <c r="H23" s="14">
        <f t="shared" si="2"/>
        <v>477.88720000000001</v>
      </c>
      <c r="I23" s="18">
        <v>0.3</v>
      </c>
      <c r="J23" s="145">
        <f t="shared" si="3"/>
        <v>11.99</v>
      </c>
      <c r="K23" s="145">
        <f t="shared" si="4"/>
        <v>6.14</v>
      </c>
      <c r="L23" s="145">
        <f t="shared" si="5"/>
        <v>3.8</v>
      </c>
      <c r="M23" s="145">
        <f t="shared" si="6"/>
        <v>559.50135999999998</v>
      </c>
      <c r="N23" s="14">
        <f t="shared" si="7"/>
        <v>81.61415999999997</v>
      </c>
    </row>
  </sheetData>
  <mergeCells count="12">
    <mergeCell ref="C15:N15"/>
    <mergeCell ref="C16:C17"/>
    <mergeCell ref="D16:F16"/>
    <mergeCell ref="G16:G17"/>
    <mergeCell ref="H16:H17"/>
    <mergeCell ref="J16:L16"/>
    <mergeCell ref="C12:G12"/>
    <mergeCell ref="C3:H3"/>
    <mergeCell ref="C4:C5"/>
    <mergeCell ref="D4:F4"/>
    <mergeCell ref="G4:G5"/>
    <mergeCell ref="H4:H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86B4C-D05A-4A1C-9702-FCD5DA006798}">
  <dimension ref="B3:AF42"/>
  <sheetViews>
    <sheetView topLeftCell="A7" workbookViewId="0">
      <selection activeCell="B3" sqref="B3:G31"/>
    </sheetView>
  </sheetViews>
  <sheetFormatPr defaultRowHeight="13.8" x14ac:dyDescent="0.25"/>
  <cols>
    <col min="1" max="2" width="8.88671875" style="9"/>
    <col min="3" max="3" width="41.88671875" style="9" customWidth="1"/>
    <col min="4" max="4" width="11.21875" style="93" customWidth="1"/>
    <col min="5" max="5" width="11.109375" style="9" customWidth="1"/>
    <col min="6" max="6" width="15.21875" style="9" customWidth="1"/>
    <col min="7" max="7" width="18.88671875" style="9" customWidth="1"/>
    <col min="8" max="8" width="15" style="9" customWidth="1"/>
    <col min="9" max="12" width="8.88671875" style="9"/>
    <col min="13" max="13" width="22.33203125" style="9" customWidth="1"/>
    <col min="14" max="14" width="8.88671875" style="9"/>
    <col min="15" max="15" width="18.6640625" style="9" customWidth="1"/>
    <col min="16" max="16" width="18.44140625" style="9" customWidth="1"/>
    <col min="17" max="22" width="8.88671875" style="9"/>
    <col min="23" max="23" width="14.6640625" style="9" customWidth="1"/>
    <col min="24" max="24" width="14.77734375" style="9" customWidth="1"/>
    <col min="25" max="26" width="8.88671875" style="9"/>
    <col min="27" max="27" width="16.88671875" style="9" customWidth="1"/>
    <col min="28" max="28" width="16.6640625" style="9" customWidth="1"/>
    <col min="29" max="29" width="18.6640625" style="9" customWidth="1"/>
    <col min="30" max="30" width="17.33203125" style="9" customWidth="1"/>
    <col min="31" max="31" width="15.6640625" style="9" customWidth="1"/>
    <col min="32" max="32" width="19" style="9" customWidth="1"/>
    <col min="33" max="33" width="18.21875" style="9" customWidth="1"/>
    <col min="34" max="35" width="15.5546875" style="9" customWidth="1"/>
    <col min="36" max="16384" width="8.88671875" style="9"/>
  </cols>
  <sheetData>
    <row r="3" spans="2:32" ht="14.4" customHeight="1" x14ac:dyDescent="0.25">
      <c r="B3" s="364" t="s">
        <v>2070</v>
      </c>
      <c r="C3" s="364"/>
      <c r="D3" s="364"/>
      <c r="E3" s="364"/>
      <c r="F3" s="364"/>
      <c r="G3" s="364"/>
      <c r="J3" s="399" t="s">
        <v>2003</v>
      </c>
      <c r="K3" s="395"/>
      <c r="L3" s="395"/>
      <c r="M3" s="395"/>
      <c r="N3" s="395"/>
      <c r="O3" s="395"/>
      <c r="P3" s="387"/>
      <c r="R3" s="399" t="s">
        <v>2004</v>
      </c>
      <c r="S3" s="395"/>
      <c r="T3" s="395"/>
      <c r="U3" s="395"/>
      <c r="V3" s="395"/>
      <c r="W3" s="395"/>
      <c r="X3" s="387"/>
      <c r="AA3" s="398" t="s">
        <v>2059</v>
      </c>
      <c r="AB3" s="398"/>
      <c r="AC3" s="398"/>
      <c r="AD3" s="398"/>
      <c r="AE3" s="398"/>
      <c r="AF3" s="398"/>
    </row>
    <row r="4" spans="2:32" x14ac:dyDescent="0.25">
      <c r="B4" s="8" t="s">
        <v>2</v>
      </c>
      <c r="C4" s="8" t="s">
        <v>2042</v>
      </c>
      <c r="D4" s="8" t="s">
        <v>1997</v>
      </c>
      <c r="E4" s="8" t="s">
        <v>129</v>
      </c>
      <c r="F4" s="8" t="s">
        <v>2043</v>
      </c>
      <c r="G4" s="8" t="s">
        <v>2044</v>
      </c>
      <c r="J4" s="386" t="s">
        <v>2005</v>
      </c>
      <c r="K4" s="395"/>
      <c r="L4" s="395"/>
      <c r="M4" s="395"/>
      <c r="N4" s="395"/>
      <c r="O4" s="395"/>
      <c r="P4" s="387"/>
      <c r="R4" s="386" t="s">
        <v>2006</v>
      </c>
      <c r="S4" s="395"/>
      <c r="T4" s="395"/>
      <c r="U4" s="395"/>
      <c r="V4" s="395"/>
      <c r="W4" s="395"/>
      <c r="X4" s="387"/>
      <c r="AA4" s="109" t="s">
        <v>128</v>
      </c>
      <c r="AB4" s="109" t="s">
        <v>2042</v>
      </c>
      <c r="AC4" s="109" t="s">
        <v>1997</v>
      </c>
      <c r="AD4" s="109" t="s">
        <v>129</v>
      </c>
      <c r="AE4" s="109" t="s">
        <v>2060</v>
      </c>
      <c r="AF4" s="109" t="s">
        <v>2061</v>
      </c>
    </row>
    <row r="5" spans="2:32" ht="14.4" customHeight="1" x14ac:dyDescent="0.25">
      <c r="B5" s="115" t="s">
        <v>2045</v>
      </c>
      <c r="C5" s="407" t="s">
        <v>2063</v>
      </c>
      <c r="D5" s="210"/>
      <c r="E5" s="210"/>
      <c r="F5" s="210"/>
      <c r="G5" s="210"/>
      <c r="J5" s="142" t="s">
        <v>2007</v>
      </c>
      <c r="K5" s="146">
        <v>0.5</v>
      </c>
      <c r="L5" s="142"/>
      <c r="M5" s="142" t="s">
        <v>2008</v>
      </c>
      <c r="N5" s="147" t="s">
        <v>2009</v>
      </c>
      <c r="O5" s="148">
        <v>40920</v>
      </c>
      <c r="P5" s="148">
        <f t="shared" ref="P5:P9" si="0">O5*K5</f>
        <v>20460</v>
      </c>
      <c r="R5" s="142" t="s">
        <v>2007</v>
      </c>
      <c r="S5" s="146">
        <v>0.52600000000000002</v>
      </c>
      <c r="T5" s="142" t="s">
        <v>2010</v>
      </c>
      <c r="U5" s="142" t="s">
        <v>2011</v>
      </c>
      <c r="V5" s="147" t="s">
        <v>2009</v>
      </c>
      <c r="W5" s="148">
        <v>39600</v>
      </c>
      <c r="X5" s="148">
        <f t="shared" ref="X5:X6" si="1">W5*S5</f>
        <v>20829.600000000002</v>
      </c>
      <c r="AA5" s="398" t="s">
        <v>2062</v>
      </c>
      <c r="AB5" s="398"/>
      <c r="AC5" s="398"/>
      <c r="AD5" s="398"/>
      <c r="AE5" s="398"/>
      <c r="AF5" s="398"/>
    </row>
    <row r="6" spans="2:32" x14ac:dyDescent="0.25">
      <c r="B6" s="18"/>
      <c r="C6" s="120" t="s">
        <v>2071</v>
      </c>
      <c r="D6" s="149">
        <f>SUM(AC6,AC9,AC12,AC15,AC18,AC21)</f>
        <v>8485.1722000000009</v>
      </c>
      <c r="E6" s="18" t="s">
        <v>320</v>
      </c>
      <c r="F6" s="150">
        <f>AE6</f>
        <v>35574</v>
      </c>
      <c r="G6" s="150">
        <f t="shared" ref="G6" si="2">F6*D6</f>
        <v>301851515.84280002</v>
      </c>
      <c r="J6" s="142"/>
      <c r="K6" s="146">
        <v>2</v>
      </c>
      <c r="L6" s="142"/>
      <c r="M6" s="142" t="s">
        <v>2012</v>
      </c>
      <c r="N6" s="147" t="s">
        <v>2009</v>
      </c>
      <c r="O6" s="148">
        <v>82500</v>
      </c>
      <c r="P6" s="148">
        <f t="shared" si="0"/>
        <v>165000</v>
      </c>
      <c r="R6" s="142"/>
      <c r="S6" s="146">
        <v>0.52</v>
      </c>
      <c r="T6" s="142" t="s">
        <v>2010</v>
      </c>
      <c r="U6" s="142" t="s">
        <v>2013</v>
      </c>
      <c r="V6" s="147" t="s">
        <v>2009</v>
      </c>
      <c r="W6" s="148">
        <v>44000</v>
      </c>
      <c r="X6" s="148">
        <f t="shared" si="1"/>
        <v>22880</v>
      </c>
      <c r="AA6" s="109">
        <v>1</v>
      </c>
      <c r="AB6" s="109" t="s">
        <v>2063</v>
      </c>
      <c r="AC6" s="110">
        <f>'BOQ Unit'!H18</f>
        <v>4762.8</v>
      </c>
      <c r="AD6" s="109" t="s">
        <v>350</v>
      </c>
      <c r="AE6" s="111">
        <v>35574</v>
      </c>
      <c r="AF6" s="112">
        <f>AE6*AC6</f>
        <v>169431847.20000002</v>
      </c>
    </row>
    <row r="7" spans="2:32" x14ac:dyDescent="0.25">
      <c r="B7" s="120"/>
      <c r="C7" s="120"/>
      <c r="D7" s="396" t="s">
        <v>2056</v>
      </c>
      <c r="E7" s="397"/>
      <c r="F7" s="397"/>
      <c r="G7" s="150">
        <f>SUM(G6)</f>
        <v>301851515.84280002</v>
      </c>
      <c r="J7" s="142"/>
      <c r="K7" s="146">
        <v>8</v>
      </c>
      <c r="L7" s="142"/>
      <c r="M7" s="142" t="s">
        <v>2011</v>
      </c>
      <c r="N7" s="147" t="s">
        <v>2009</v>
      </c>
      <c r="O7" s="148">
        <v>39600</v>
      </c>
      <c r="P7" s="148">
        <f t="shared" si="0"/>
        <v>316800</v>
      </c>
      <c r="R7" s="142"/>
      <c r="S7" s="142"/>
      <c r="T7" s="142"/>
      <c r="U7" s="142"/>
      <c r="V7" s="142"/>
      <c r="W7" s="151" t="s">
        <v>2014</v>
      </c>
      <c r="X7" s="152">
        <f>SUM(X5:X6)</f>
        <v>43709.600000000006</v>
      </c>
      <c r="AA7" s="109">
        <v>2</v>
      </c>
      <c r="AB7" s="109" t="s">
        <v>1995</v>
      </c>
      <c r="AC7" s="110">
        <f>'BOQ Unit'!M18</f>
        <v>5742.576</v>
      </c>
      <c r="AD7" s="109" t="s">
        <v>350</v>
      </c>
      <c r="AE7" s="111">
        <v>590459</v>
      </c>
      <c r="AF7" s="112">
        <f>AE7*AC7</f>
        <v>3390755682.3839998</v>
      </c>
    </row>
    <row r="8" spans="2:32" ht="14.4" customHeight="1" x14ac:dyDescent="0.25">
      <c r="B8" s="115" t="s">
        <v>2072</v>
      </c>
      <c r="C8" s="407" t="s">
        <v>1995</v>
      </c>
      <c r="D8" s="210"/>
      <c r="E8" s="210"/>
      <c r="F8" s="210"/>
      <c r="G8" s="210"/>
      <c r="J8" s="142"/>
      <c r="K8" s="146">
        <v>2</v>
      </c>
      <c r="L8" s="142"/>
      <c r="M8" s="142" t="s">
        <v>2013</v>
      </c>
      <c r="N8" s="147" t="s">
        <v>2009</v>
      </c>
      <c r="O8" s="148">
        <v>44000</v>
      </c>
      <c r="P8" s="148">
        <f t="shared" si="0"/>
        <v>88000</v>
      </c>
      <c r="R8" s="386" t="s">
        <v>2015</v>
      </c>
      <c r="S8" s="395"/>
      <c r="T8" s="395"/>
      <c r="U8" s="395"/>
      <c r="V8" s="395"/>
      <c r="W8" s="395"/>
      <c r="X8" s="387"/>
      <c r="AA8" s="398" t="s">
        <v>2064</v>
      </c>
      <c r="AB8" s="398"/>
      <c r="AC8" s="398"/>
      <c r="AD8" s="398"/>
      <c r="AE8" s="398"/>
      <c r="AF8" s="398"/>
    </row>
    <row r="9" spans="2:32" x14ac:dyDescent="0.25">
      <c r="B9" s="18"/>
      <c r="C9" s="120" t="s">
        <v>2073</v>
      </c>
      <c r="D9" s="149">
        <f>SUM(AC7,AC10,AC13,AC16,AC19,AC22)</f>
        <v>10129.52176</v>
      </c>
      <c r="E9" s="18" t="s">
        <v>320</v>
      </c>
      <c r="F9" s="150">
        <f>AE10</f>
        <v>590459</v>
      </c>
      <c r="G9" s="150">
        <f t="shared" ref="G9" si="3">F9*D9</f>
        <v>5981067288.8878393</v>
      </c>
      <c r="J9" s="142"/>
      <c r="K9" s="146">
        <v>1</v>
      </c>
      <c r="L9" s="142"/>
      <c r="M9" s="142" t="s">
        <v>2016</v>
      </c>
      <c r="N9" s="147" t="s">
        <v>2009</v>
      </c>
      <c r="O9" s="148">
        <v>82500</v>
      </c>
      <c r="P9" s="148">
        <f t="shared" si="0"/>
        <v>82500</v>
      </c>
      <c r="R9" s="142" t="s">
        <v>2017</v>
      </c>
      <c r="S9" s="146"/>
      <c r="T9" s="142"/>
      <c r="U9" s="142"/>
      <c r="V9" s="147"/>
      <c r="W9" s="148"/>
      <c r="X9" s="148"/>
      <c r="AA9" s="109">
        <v>1</v>
      </c>
      <c r="AB9" s="109" t="s">
        <v>2063</v>
      </c>
      <c r="AC9" s="110">
        <f>'BOQ Unit'!H19</f>
        <v>16.224</v>
      </c>
      <c r="AD9" s="109" t="s">
        <v>350</v>
      </c>
      <c r="AE9" s="111">
        <v>35574</v>
      </c>
      <c r="AF9" s="113">
        <f>AE9*AC9</f>
        <v>577152.576</v>
      </c>
    </row>
    <row r="10" spans="2:32" x14ac:dyDescent="0.25">
      <c r="B10" s="120"/>
      <c r="C10" s="120"/>
      <c r="D10" s="396" t="s">
        <v>2057</v>
      </c>
      <c r="E10" s="397"/>
      <c r="F10" s="397"/>
      <c r="G10" s="150">
        <f>SUM(G9)</f>
        <v>5981067288.8878393</v>
      </c>
      <c r="J10" s="142"/>
      <c r="K10" s="142"/>
      <c r="L10" s="142"/>
      <c r="M10" s="142"/>
      <c r="N10" s="142"/>
      <c r="O10" s="151" t="s">
        <v>2014</v>
      </c>
      <c r="P10" s="148">
        <f>SUM(P5:P9)</f>
        <v>672760</v>
      </c>
      <c r="R10" s="142" t="s">
        <v>2018</v>
      </c>
      <c r="S10" s="146"/>
      <c r="T10" s="142"/>
      <c r="U10" s="142"/>
      <c r="V10" s="147" t="s">
        <v>2009</v>
      </c>
      <c r="W10" s="148">
        <f>W5/250*(4203+75)</f>
        <v>677635.20000000007</v>
      </c>
      <c r="X10" s="148">
        <f>W10</f>
        <v>677635.20000000007</v>
      </c>
      <c r="AA10" s="109">
        <v>2</v>
      </c>
      <c r="AB10" s="109" t="s">
        <v>1995</v>
      </c>
      <c r="AC10" s="110">
        <f>'BOQ Unit'!M19</f>
        <v>29.429400000000008</v>
      </c>
      <c r="AD10" s="109" t="s">
        <v>350</v>
      </c>
      <c r="AE10" s="111">
        <v>590459</v>
      </c>
      <c r="AF10" s="113">
        <f>AE10*AC10</f>
        <v>17376854.094600003</v>
      </c>
    </row>
    <row r="11" spans="2:32" ht="14.4" customHeight="1" x14ac:dyDescent="0.25">
      <c r="B11" s="120"/>
      <c r="C11" s="120"/>
      <c r="D11" s="396" t="s">
        <v>2058</v>
      </c>
      <c r="E11" s="397"/>
      <c r="F11" s="397"/>
      <c r="G11" s="150">
        <f>SUM(G7,G10)</f>
        <v>6282918804.7306395</v>
      </c>
      <c r="J11" s="142"/>
      <c r="K11" s="142"/>
      <c r="L11" s="142"/>
      <c r="M11" s="143" t="s">
        <v>2019</v>
      </c>
      <c r="N11" s="147" t="s">
        <v>2009</v>
      </c>
      <c r="O11" s="152">
        <f>P10</f>
        <v>672760</v>
      </c>
      <c r="P11" s="152">
        <f>O11/1000</f>
        <v>672.76</v>
      </c>
      <c r="R11" s="142"/>
      <c r="S11" s="142"/>
      <c r="T11" s="142"/>
      <c r="U11" s="142"/>
      <c r="V11" s="142"/>
      <c r="W11" s="151" t="s">
        <v>2014</v>
      </c>
      <c r="X11" s="152">
        <f>SUM(X9:X10)</f>
        <v>677635.20000000007</v>
      </c>
      <c r="AA11" s="398" t="s">
        <v>2065</v>
      </c>
      <c r="AB11" s="398"/>
      <c r="AC11" s="398"/>
      <c r="AD11" s="398"/>
      <c r="AE11" s="398"/>
      <c r="AF11" s="398"/>
    </row>
    <row r="12" spans="2:32" x14ac:dyDescent="0.25">
      <c r="B12" s="364" t="s">
        <v>2055</v>
      </c>
      <c r="C12" s="364"/>
      <c r="D12" s="364"/>
      <c r="E12" s="364"/>
      <c r="F12" s="364"/>
      <c r="G12" s="364"/>
      <c r="J12" s="386" t="s">
        <v>2020</v>
      </c>
      <c r="K12" s="395"/>
      <c r="L12" s="395"/>
      <c r="M12" s="395"/>
      <c r="N12" s="395"/>
      <c r="O12" s="395"/>
      <c r="P12" s="387"/>
      <c r="R12" s="386" t="s">
        <v>2021</v>
      </c>
      <c r="S12" s="395"/>
      <c r="T12" s="395"/>
      <c r="U12" s="395"/>
      <c r="V12" s="395"/>
      <c r="W12" s="395"/>
      <c r="X12" s="387"/>
      <c r="AA12" s="109">
        <v>1</v>
      </c>
      <c r="AB12" s="109" t="s">
        <v>2063</v>
      </c>
      <c r="AC12" s="110">
        <f>'BOQ Unit'!H20</f>
        <v>921.00449999999989</v>
      </c>
      <c r="AD12" s="109" t="s">
        <v>350</v>
      </c>
      <c r="AE12" s="111">
        <v>35574</v>
      </c>
      <c r="AF12" s="113">
        <f>AE12*AC12</f>
        <v>32763814.082999997</v>
      </c>
    </row>
    <row r="13" spans="2:32" x14ac:dyDescent="0.25">
      <c r="B13" s="153" t="s">
        <v>2</v>
      </c>
      <c r="C13" s="153" t="s">
        <v>2042</v>
      </c>
      <c r="D13" s="153" t="s">
        <v>1997</v>
      </c>
      <c r="E13" s="153" t="s">
        <v>129</v>
      </c>
      <c r="F13" s="153" t="s">
        <v>2043</v>
      </c>
      <c r="G13" s="153" t="s">
        <v>2044</v>
      </c>
      <c r="J13" s="142" t="s">
        <v>2022</v>
      </c>
      <c r="K13" s="154">
        <v>1.2E-2</v>
      </c>
      <c r="L13" s="147" t="s">
        <v>350</v>
      </c>
      <c r="M13" s="142" t="s">
        <v>2023</v>
      </c>
      <c r="N13" s="147" t="s">
        <v>2009</v>
      </c>
      <c r="O13" s="148">
        <v>9050800</v>
      </c>
      <c r="P13" s="148">
        <f t="shared" ref="P13:P15" si="4">O13*K13</f>
        <v>108609.60000000001</v>
      </c>
      <c r="R13" s="142" t="s">
        <v>2007</v>
      </c>
      <c r="S13" s="146">
        <v>0.192</v>
      </c>
      <c r="T13" s="142" t="s">
        <v>2010</v>
      </c>
      <c r="U13" s="142" t="s">
        <v>2011</v>
      </c>
      <c r="V13" s="147" t="s">
        <v>2009</v>
      </c>
      <c r="W13" s="148">
        <v>39600</v>
      </c>
      <c r="X13" s="148">
        <f t="shared" ref="X13:X14" si="5">W13*S13</f>
        <v>7603.2</v>
      </c>
      <c r="AA13" s="109">
        <v>2</v>
      </c>
      <c r="AB13" s="109" t="s">
        <v>1995</v>
      </c>
      <c r="AC13" s="110">
        <f>'BOQ Unit'!M20</f>
        <v>1035.81</v>
      </c>
      <c r="AD13" s="109" t="s">
        <v>350</v>
      </c>
      <c r="AE13" s="111">
        <v>590459</v>
      </c>
      <c r="AF13" s="113">
        <f>AE13*AC13</f>
        <v>611603336.78999996</v>
      </c>
    </row>
    <row r="14" spans="2:32" ht="14.4" customHeight="1" x14ac:dyDescent="0.25">
      <c r="B14" s="151" t="s">
        <v>2045</v>
      </c>
      <c r="C14" s="399" t="s">
        <v>2046</v>
      </c>
      <c r="D14" s="395"/>
      <c r="E14" s="395"/>
      <c r="F14" s="395"/>
      <c r="G14" s="387"/>
      <c r="J14" s="142"/>
      <c r="K14" s="154">
        <v>0.02</v>
      </c>
      <c r="L14" s="147" t="s">
        <v>2024</v>
      </c>
      <c r="M14" s="142" t="s">
        <v>2025</v>
      </c>
      <c r="N14" s="147" t="s">
        <v>2009</v>
      </c>
      <c r="O14" s="148">
        <v>13200</v>
      </c>
      <c r="P14" s="148">
        <f t="shared" si="4"/>
        <v>264</v>
      </c>
      <c r="R14" s="142"/>
      <c r="S14" s="146">
        <v>1.9E-2</v>
      </c>
      <c r="T14" s="142" t="s">
        <v>2010</v>
      </c>
      <c r="U14" s="142" t="s">
        <v>2013</v>
      </c>
      <c r="V14" s="147" t="s">
        <v>2009</v>
      </c>
      <c r="W14" s="148">
        <v>44000</v>
      </c>
      <c r="X14" s="148">
        <f t="shared" si="5"/>
        <v>836</v>
      </c>
      <c r="AA14" s="398" t="s">
        <v>2066</v>
      </c>
      <c r="AB14" s="398"/>
      <c r="AC14" s="398"/>
      <c r="AD14" s="398"/>
      <c r="AE14" s="398"/>
      <c r="AF14" s="398"/>
    </row>
    <row r="15" spans="2:32" x14ac:dyDescent="0.25">
      <c r="B15" s="147"/>
      <c r="C15" s="142" t="s">
        <v>2047</v>
      </c>
      <c r="D15" s="147">
        <f>'BOQ Pipa &amp; Pekerjaan'!Q55</f>
        <v>56379</v>
      </c>
      <c r="E15" s="147" t="s">
        <v>320</v>
      </c>
      <c r="F15" s="148">
        <f>P11</f>
        <v>672.76</v>
      </c>
      <c r="G15" s="148">
        <f t="shared" ref="G15:G18" si="6">F15*D15</f>
        <v>37929536.039999999</v>
      </c>
      <c r="J15" s="142"/>
      <c r="K15" s="154">
        <v>7.0000000000000001E-3</v>
      </c>
      <c r="L15" s="147" t="s">
        <v>350</v>
      </c>
      <c r="M15" s="142" t="s">
        <v>2026</v>
      </c>
      <c r="N15" s="147" t="s">
        <v>2009</v>
      </c>
      <c r="O15" s="148">
        <v>4400000</v>
      </c>
      <c r="P15" s="148">
        <f t="shared" si="4"/>
        <v>30800</v>
      </c>
      <c r="R15" s="142"/>
      <c r="S15" s="142"/>
      <c r="T15" s="142"/>
      <c r="U15" s="142"/>
      <c r="V15" s="142"/>
      <c r="W15" s="151" t="s">
        <v>2014</v>
      </c>
      <c r="X15" s="152">
        <f>SUM(X13:X14)</f>
        <v>8439.2000000000007</v>
      </c>
      <c r="AA15" s="109">
        <v>1</v>
      </c>
      <c r="AB15" s="109" t="s">
        <v>2063</v>
      </c>
      <c r="AC15" s="110">
        <f>'BOQ Unit'!H21</f>
        <v>1360.8</v>
      </c>
      <c r="AD15" s="109" t="s">
        <v>350</v>
      </c>
      <c r="AE15" s="111">
        <v>35574</v>
      </c>
      <c r="AF15" s="112">
        <f>AE15*AC15</f>
        <v>48409099.199999996</v>
      </c>
    </row>
    <row r="16" spans="2:32" x14ac:dyDescent="0.25">
      <c r="B16" s="142"/>
      <c r="C16" s="142" t="s">
        <v>2048</v>
      </c>
      <c r="D16" s="147">
        <f>D15</f>
        <v>56379</v>
      </c>
      <c r="E16" s="147" t="s">
        <v>320</v>
      </c>
      <c r="F16" s="148">
        <f>P22</f>
        <v>149452.6</v>
      </c>
      <c r="G16" s="148">
        <f t="shared" si="6"/>
        <v>8425988135.4000006</v>
      </c>
      <c r="J16" s="142"/>
      <c r="K16" s="154"/>
      <c r="L16" s="147"/>
      <c r="M16" s="142"/>
      <c r="N16" s="142"/>
      <c r="O16" s="151" t="s">
        <v>2027</v>
      </c>
      <c r="P16" s="148">
        <f>SUM(P13:P15)</f>
        <v>139673.60000000001</v>
      </c>
      <c r="R16" s="386" t="s">
        <v>2028</v>
      </c>
      <c r="S16" s="395"/>
      <c r="T16" s="395"/>
      <c r="U16" s="395"/>
      <c r="V16" s="395"/>
      <c r="W16" s="395"/>
      <c r="X16" s="387"/>
      <c r="AA16" s="109">
        <v>2</v>
      </c>
      <c r="AB16" s="109" t="s">
        <v>1995</v>
      </c>
      <c r="AC16" s="110">
        <f>'BOQ Unit'!M21</f>
        <v>1637.0639999999999</v>
      </c>
      <c r="AD16" s="109" t="s">
        <v>350</v>
      </c>
      <c r="AE16" s="111">
        <v>590459</v>
      </c>
      <c r="AF16" s="112">
        <f>AE16*AC16</f>
        <v>966619172.37599993</v>
      </c>
    </row>
    <row r="17" spans="2:32" ht="14.4" customHeight="1" x14ac:dyDescent="0.25">
      <c r="B17" s="142"/>
      <c r="C17" s="142" t="s">
        <v>2049</v>
      </c>
      <c r="D17" s="147">
        <f>D16</f>
        <v>56379</v>
      </c>
      <c r="E17" s="147" t="str">
        <f>E16</f>
        <v>m2</v>
      </c>
      <c r="F17" s="148">
        <f>P26</f>
        <v>6160</v>
      </c>
      <c r="G17" s="148">
        <f t="shared" si="6"/>
        <v>347294640</v>
      </c>
      <c r="J17" s="142" t="s">
        <v>2007</v>
      </c>
      <c r="K17" s="154">
        <v>0.1</v>
      </c>
      <c r="L17" s="147" t="s">
        <v>2010</v>
      </c>
      <c r="M17" s="142" t="s">
        <v>2029</v>
      </c>
      <c r="N17" s="147" t="s">
        <v>2009</v>
      </c>
      <c r="O17" s="148">
        <v>52250</v>
      </c>
      <c r="P17" s="148">
        <f t="shared" ref="P17:P20" si="7">O17*K17</f>
        <v>5225</v>
      </c>
      <c r="R17" s="142" t="s">
        <v>2022</v>
      </c>
      <c r="S17" s="142">
        <v>1.2</v>
      </c>
      <c r="T17" s="142" t="s">
        <v>350</v>
      </c>
      <c r="U17" s="142" t="s">
        <v>2030</v>
      </c>
      <c r="V17" s="147" t="s">
        <v>2009</v>
      </c>
      <c r="W17" s="148">
        <v>126500</v>
      </c>
      <c r="X17" s="148">
        <f>W17*S17</f>
        <v>151800</v>
      </c>
      <c r="AA17" s="398" t="s">
        <v>2067</v>
      </c>
      <c r="AB17" s="398"/>
      <c r="AC17" s="398"/>
      <c r="AD17" s="398"/>
      <c r="AE17" s="398"/>
      <c r="AF17" s="398"/>
    </row>
    <row r="18" spans="2:32" x14ac:dyDescent="0.25">
      <c r="B18" s="142"/>
      <c r="C18" s="142" t="s">
        <v>2035</v>
      </c>
      <c r="D18" s="147">
        <v>1</v>
      </c>
      <c r="E18" s="147" t="s">
        <v>372</v>
      </c>
      <c r="F18" s="148">
        <f>P39</f>
        <v>858011.16500000004</v>
      </c>
      <c r="G18" s="148">
        <f t="shared" si="6"/>
        <v>858011.16500000004</v>
      </c>
      <c r="J18" s="142"/>
      <c r="K18" s="154">
        <v>0.01</v>
      </c>
      <c r="L18" s="147" t="s">
        <v>2010</v>
      </c>
      <c r="M18" s="142" t="s">
        <v>2031</v>
      </c>
      <c r="N18" s="147" t="s">
        <v>2009</v>
      </c>
      <c r="O18" s="148">
        <v>37400</v>
      </c>
      <c r="P18" s="148">
        <f t="shared" si="7"/>
        <v>374</v>
      </c>
      <c r="R18" s="142"/>
      <c r="S18" s="142"/>
      <c r="T18" s="142"/>
      <c r="U18" s="142"/>
      <c r="V18" s="142"/>
      <c r="W18" s="155" t="s">
        <v>2027</v>
      </c>
      <c r="X18" s="148">
        <f>X17</f>
        <v>151800</v>
      </c>
      <c r="AA18" s="109">
        <v>1</v>
      </c>
      <c r="AB18" s="109" t="s">
        <v>2063</v>
      </c>
      <c r="AC18" s="110">
        <f>'BOQ Unit'!H22</f>
        <v>946.45650000000001</v>
      </c>
      <c r="AD18" s="109" t="s">
        <v>350</v>
      </c>
      <c r="AE18" s="111">
        <v>35574</v>
      </c>
      <c r="AF18" s="112">
        <f>AE18*AC18</f>
        <v>33669243.531000003</v>
      </c>
    </row>
    <row r="19" spans="2:32" x14ac:dyDescent="0.25">
      <c r="B19" s="142"/>
      <c r="C19" s="142"/>
      <c r="D19" s="400" t="s">
        <v>2056</v>
      </c>
      <c r="E19" s="401"/>
      <c r="F19" s="402"/>
      <c r="G19" s="148">
        <f>SUM(G15:G18)</f>
        <v>8812070322.6050014</v>
      </c>
      <c r="J19" s="142"/>
      <c r="K19" s="154">
        <v>0.1</v>
      </c>
      <c r="L19" s="147" t="s">
        <v>2010</v>
      </c>
      <c r="M19" s="142" t="s">
        <v>2011</v>
      </c>
      <c r="N19" s="147" t="s">
        <v>2009</v>
      </c>
      <c r="O19" s="148">
        <v>39600</v>
      </c>
      <c r="P19" s="148">
        <f t="shared" si="7"/>
        <v>3960</v>
      </c>
      <c r="R19" s="142" t="s">
        <v>2007</v>
      </c>
      <c r="S19" s="142">
        <v>0.3</v>
      </c>
      <c r="T19" s="142"/>
      <c r="U19" s="142" t="s">
        <v>2011</v>
      </c>
      <c r="V19" s="147" t="s">
        <v>2009</v>
      </c>
      <c r="W19" s="148">
        <v>39600</v>
      </c>
      <c r="X19" s="148">
        <f t="shared" ref="X19:X20" si="8">W19*S19</f>
        <v>11880</v>
      </c>
      <c r="AA19" s="109">
        <v>2</v>
      </c>
      <c r="AB19" s="109" t="s">
        <v>1995</v>
      </c>
      <c r="AC19" s="110">
        <f>'BOQ Unit'!M22</f>
        <v>1125.1410000000001</v>
      </c>
      <c r="AD19" s="109" t="s">
        <v>350</v>
      </c>
      <c r="AE19" s="111">
        <v>590459</v>
      </c>
      <c r="AF19" s="112">
        <f>AE19*AC19</f>
        <v>664349629.7190001</v>
      </c>
    </row>
    <row r="20" spans="2:32" ht="14.4" customHeight="1" x14ac:dyDescent="0.25">
      <c r="B20" s="151" t="s">
        <v>2050</v>
      </c>
      <c r="C20" s="399" t="s">
        <v>1988</v>
      </c>
      <c r="D20" s="395"/>
      <c r="E20" s="395"/>
      <c r="F20" s="395"/>
      <c r="G20" s="387"/>
      <c r="J20" s="142"/>
      <c r="K20" s="154">
        <v>5.0000000000000001E-3</v>
      </c>
      <c r="L20" s="147" t="s">
        <v>2010</v>
      </c>
      <c r="M20" s="142" t="s">
        <v>2013</v>
      </c>
      <c r="N20" s="147" t="s">
        <v>2009</v>
      </c>
      <c r="O20" s="148">
        <v>44000</v>
      </c>
      <c r="P20" s="148">
        <f t="shared" si="7"/>
        <v>220</v>
      </c>
      <c r="R20" s="142"/>
      <c r="S20" s="142">
        <v>0.01</v>
      </c>
      <c r="T20" s="142"/>
      <c r="U20" s="142" t="s">
        <v>2013</v>
      </c>
      <c r="V20" s="147" t="s">
        <v>2009</v>
      </c>
      <c r="W20" s="148">
        <v>44000</v>
      </c>
      <c r="X20" s="148">
        <f t="shared" si="8"/>
        <v>440</v>
      </c>
      <c r="AA20" s="398" t="s">
        <v>2068</v>
      </c>
      <c r="AB20" s="398"/>
      <c r="AC20" s="398"/>
      <c r="AD20" s="398"/>
      <c r="AE20" s="398"/>
      <c r="AF20" s="398"/>
    </row>
    <row r="21" spans="2:32" x14ac:dyDescent="0.25">
      <c r="B21" s="156"/>
      <c r="C21" s="157" t="s">
        <v>2054</v>
      </c>
      <c r="D21" s="158">
        <f>'BOQ Pipa &amp; Pekerjaan'!U55</f>
        <v>42210.713600000003</v>
      </c>
      <c r="E21" s="156" t="s">
        <v>350</v>
      </c>
      <c r="F21" s="159">
        <f>X7</f>
        <v>43709.600000000006</v>
      </c>
      <c r="G21" s="159">
        <f t="shared" ref="G21:G24" si="9">F21*D21</f>
        <v>1845013407.1705604</v>
      </c>
      <c r="J21" s="142"/>
      <c r="K21" s="142"/>
      <c r="L21" s="142"/>
      <c r="M21" s="142"/>
      <c r="N21" s="142"/>
      <c r="O21" s="151" t="s">
        <v>2032</v>
      </c>
      <c r="P21" s="148">
        <f>SUM(P17:P20)</f>
        <v>9779</v>
      </c>
      <c r="R21" s="142"/>
      <c r="S21" s="142"/>
      <c r="T21" s="142"/>
      <c r="U21" s="142"/>
      <c r="V21" s="142"/>
      <c r="W21" s="155" t="s">
        <v>2032</v>
      </c>
      <c r="X21" s="148">
        <f>SUM(X19:X20)</f>
        <v>12320</v>
      </c>
      <c r="AA21" s="109">
        <v>1</v>
      </c>
      <c r="AB21" s="109" t="s">
        <v>2063</v>
      </c>
      <c r="AC21" s="110">
        <f>'BOQ Unit'!H23</f>
        <v>477.88720000000001</v>
      </c>
      <c r="AD21" s="109" t="s">
        <v>350</v>
      </c>
      <c r="AE21" s="111">
        <v>35574</v>
      </c>
      <c r="AF21" s="112">
        <f>AE21*AC21</f>
        <v>17000359.252799999</v>
      </c>
    </row>
    <row r="22" spans="2:32" x14ac:dyDescent="0.25">
      <c r="B22" s="18"/>
      <c r="C22" s="120" t="s">
        <v>2053</v>
      </c>
      <c r="D22" s="145">
        <f>'BOQ Pipa &amp; Pekerjaan'!V55</f>
        <v>10375.541779124997</v>
      </c>
      <c r="E22" s="18" t="s">
        <v>350</v>
      </c>
      <c r="F22" s="150">
        <f>X22</f>
        <v>164120</v>
      </c>
      <c r="G22" s="150">
        <f t="shared" si="9"/>
        <v>1702833916.7899945</v>
      </c>
      <c r="J22" s="142"/>
      <c r="K22" s="142"/>
      <c r="L22" s="142"/>
      <c r="M22" s="142"/>
      <c r="N22" s="142"/>
      <c r="O22" s="155" t="s">
        <v>2033</v>
      </c>
      <c r="P22" s="148">
        <f>P16+P21</f>
        <v>149452.6</v>
      </c>
      <c r="R22" s="142"/>
      <c r="S22" s="142"/>
      <c r="T22" s="142"/>
      <c r="U22" s="142"/>
      <c r="V22" s="142"/>
      <c r="W22" s="155" t="s">
        <v>2033</v>
      </c>
      <c r="X22" s="148">
        <f>X18+X21</f>
        <v>164120</v>
      </c>
      <c r="AA22" s="109">
        <v>2</v>
      </c>
      <c r="AB22" s="109" t="s">
        <v>1995</v>
      </c>
      <c r="AC22" s="110">
        <f>'BOQ Unit'!M23</f>
        <v>559.50135999999998</v>
      </c>
      <c r="AD22" s="109" t="s">
        <v>350</v>
      </c>
      <c r="AE22" s="111">
        <v>590459</v>
      </c>
      <c r="AF22" s="112">
        <f>AE22*AC22</f>
        <v>330362613.52423996</v>
      </c>
    </row>
    <row r="23" spans="2:32" x14ac:dyDescent="0.25">
      <c r="B23" s="120"/>
      <c r="C23" s="120" t="s">
        <v>2052</v>
      </c>
      <c r="D23" s="145">
        <f>'BOQ Pipa &amp; Pekerjaan'!W55</f>
        <v>20863.84</v>
      </c>
      <c r="E23" s="18" t="s">
        <v>350</v>
      </c>
      <c r="F23" s="159">
        <f>X15</f>
        <v>8439.2000000000007</v>
      </c>
      <c r="G23" s="159">
        <f t="shared" si="9"/>
        <v>176074118.52800003</v>
      </c>
      <c r="J23" s="386" t="s">
        <v>2034</v>
      </c>
      <c r="K23" s="395"/>
      <c r="L23" s="395"/>
      <c r="M23" s="395"/>
      <c r="N23" s="395"/>
      <c r="O23" s="395"/>
      <c r="P23" s="387"/>
      <c r="W23" s="160"/>
      <c r="X23" s="160"/>
      <c r="AA23" s="398" t="s">
        <v>2069</v>
      </c>
      <c r="AB23" s="398"/>
      <c r="AC23" s="398"/>
      <c r="AD23" s="398"/>
      <c r="AE23" s="398"/>
      <c r="AF23" s="112">
        <f>SUM(AF6:AF7,AF9:AF10,AF12:AF13,AF15:AF16,AF18:AF19,AF21:AF22)</f>
        <v>6282918804.7306395</v>
      </c>
    </row>
    <row r="24" spans="2:32" x14ac:dyDescent="0.25">
      <c r="B24" s="120"/>
      <c r="C24" s="120" t="s">
        <v>2051</v>
      </c>
      <c r="D24" s="145">
        <f>'BOQ Pipa &amp; Pekerjaan'!X55</f>
        <v>0</v>
      </c>
      <c r="E24" s="18" t="s">
        <v>350</v>
      </c>
      <c r="F24" s="150">
        <f>X11</f>
        <v>677635.20000000007</v>
      </c>
      <c r="G24" s="150">
        <f t="shared" si="9"/>
        <v>0</v>
      </c>
      <c r="J24" s="142" t="s">
        <v>2007</v>
      </c>
      <c r="K24" s="154">
        <v>0.1</v>
      </c>
      <c r="L24" s="147" t="s">
        <v>2010</v>
      </c>
      <c r="M24" s="142" t="s">
        <v>2011</v>
      </c>
      <c r="N24" s="147" t="s">
        <v>2009</v>
      </c>
      <c r="O24" s="148">
        <v>39600</v>
      </c>
      <c r="P24" s="148">
        <f t="shared" ref="P24:P25" si="10">O24*K24</f>
        <v>3960</v>
      </c>
      <c r="W24" s="160"/>
      <c r="X24" s="160"/>
    </row>
    <row r="25" spans="2:32" ht="14.4" customHeight="1" x14ac:dyDescent="0.25">
      <c r="B25" s="157"/>
      <c r="C25" s="157"/>
      <c r="D25" s="403" t="s">
        <v>2057</v>
      </c>
      <c r="E25" s="404"/>
      <c r="F25" s="405"/>
      <c r="G25" s="159">
        <f>SUM(G21:G24)</f>
        <v>3723921442.488555</v>
      </c>
      <c r="J25" s="142"/>
      <c r="K25" s="154">
        <v>0.05</v>
      </c>
      <c r="L25" s="147" t="s">
        <v>2010</v>
      </c>
      <c r="M25" s="142" t="s">
        <v>2013</v>
      </c>
      <c r="N25" s="147" t="s">
        <v>2009</v>
      </c>
      <c r="O25" s="148">
        <v>44000</v>
      </c>
      <c r="P25" s="148">
        <f t="shared" si="10"/>
        <v>2200</v>
      </c>
      <c r="W25" s="160"/>
      <c r="X25" s="160"/>
    </row>
    <row r="26" spans="2:32" x14ac:dyDescent="0.25">
      <c r="B26" s="396" t="s">
        <v>2058</v>
      </c>
      <c r="C26" s="396"/>
      <c r="D26" s="396"/>
      <c r="E26" s="396"/>
      <c r="F26" s="396"/>
      <c r="G26" s="150">
        <f>SUM(G19+G25)</f>
        <v>12535991765.093555</v>
      </c>
      <c r="J26" s="142"/>
      <c r="K26" s="142"/>
      <c r="L26" s="142"/>
      <c r="M26" s="142"/>
      <c r="N26" s="142"/>
      <c r="O26" s="151" t="s">
        <v>2014</v>
      </c>
      <c r="P26" s="148">
        <f>SUM(P24:P25)</f>
        <v>6160</v>
      </c>
      <c r="W26" s="160"/>
      <c r="X26" s="160"/>
    </row>
    <row r="27" spans="2:32" x14ac:dyDescent="0.25">
      <c r="B27" s="360" t="s">
        <v>2074</v>
      </c>
      <c r="C27" s="361"/>
      <c r="D27" s="361"/>
      <c r="E27" s="361"/>
      <c r="F27" s="361"/>
      <c r="G27" s="362"/>
      <c r="J27" s="386" t="s">
        <v>2035</v>
      </c>
      <c r="K27" s="395"/>
      <c r="L27" s="395"/>
      <c r="M27" s="395"/>
      <c r="N27" s="395"/>
      <c r="O27" s="395"/>
      <c r="P27" s="387"/>
      <c r="W27" s="160"/>
      <c r="X27" s="160"/>
    </row>
    <row r="28" spans="2:32" x14ac:dyDescent="0.25">
      <c r="B28" s="8" t="s">
        <v>2</v>
      </c>
      <c r="C28" s="212" t="s">
        <v>2042</v>
      </c>
      <c r="D28" s="212"/>
      <c r="E28" s="212"/>
      <c r="F28" s="212"/>
      <c r="G28" s="8" t="s">
        <v>2044</v>
      </c>
      <c r="J28" s="142" t="s">
        <v>2022</v>
      </c>
      <c r="K28" s="161">
        <v>0.05</v>
      </c>
      <c r="L28" s="147" t="s">
        <v>350</v>
      </c>
      <c r="M28" s="142" t="s">
        <v>2036</v>
      </c>
      <c r="N28" s="147" t="s">
        <v>2009</v>
      </c>
      <c r="O28" s="148">
        <v>9050800</v>
      </c>
      <c r="P28" s="148">
        <f t="shared" ref="P28:P32" si="11">O28*K28</f>
        <v>452540</v>
      </c>
      <c r="W28" s="160"/>
      <c r="X28" s="160"/>
    </row>
    <row r="29" spans="2:32" x14ac:dyDescent="0.25">
      <c r="B29" s="18">
        <v>1</v>
      </c>
      <c r="C29" s="406" t="s">
        <v>2075</v>
      </c>
      <c r="D29" s="406"/>
      <c r="E29" s="406"/>
      <c r="F29" s="406"/>
      <c r="G29" s="150">
        <f>G11</f>
        <v>6282918804.7306395</v>
      </c>
      <c r="J29" s="142"/>
      <c r="K29" s="161">
        <v>1.62</v>
      </c>
      <c r="L29" s="147" t="s">
        <v>320</v>
      </c>
      <c r="M29" s="142" t="s">
        <v>2037</v>
      </c>
      <c r="N29" s="147" t="s">
        <v>2009</v>
      </c>
      <c r="O29" s="148">
        <v>25630</v>
      </c>
      <c r="P29" s="148">
        <f t="shared" si="11"/>
        <v>41520.600000000006</v>
      </c>
      <c r="W29" s="160"/>
      <c r="X29" s="160"/>
    </row>
    <row r="30" spans="2:32" ht="14.4" customHeight="1" x14ac:dyDescent="0.25">
      <c r="B30" s="18">
        <v>2</v>
      </c>
      <c r="C30" s="406" t="s">
        <v>2076</v>
      </c>
      <c r="D30" s="406"/>
      <c r="E30" s="406"/>
      <c r="F30" s="406"/>
      <c r="G30" s="150">
        <f>G26</f>
        <v>12535991765.093555</v>
      </c>
      <c r="J30" s="142"/>
      <c r="K30" s="161">
        <v>0.6</v>
      </c>
      <c r="L30" s="147" t="s">
        <v>2024</v>
      </c>
      <c r="M30" s="142" t="s">
        <v>2025</v>
      </c>
      <c r="N30" s="147" t="s">
        <v>2009</v>
      </c>
      <c r="O30" s="148">
        <v>13200</v>
      </c>
      <c r="P30" s="148">
        <f t="shared" si="11"/>
        <v>7920</v>
      </c>
      <c r="W30" s="160"/>
      <c r="X30" s="160"/>
    </row>
    <row r="31" spans="2:32" x14ac:dyDescent="0.25">
      <c r="B31" s="360" t="s">
        <v>2041</v>
      </c>
      <c r="C31" s="361"/>
      <c r="D31" s="361"/>
      <c r="E31" s="361"/>
      <c r="F31" s="362"/>
      <c r="G31" s="150">
        <f>SUM(G29:G30)</f>
        <v>18818910569.824196</v>
      </c>
      <c r="J31" s="142"/>
      <c r="K31" s="161">
        <v>1.5</v>
      </c>
      <c r="L31" s="147" t="s">
        <v>2024</v>
      </c>
      <c r="M31" s="142" t="s">
        <v>2038</v>
      </c>
      <c r="N31" s="147" t="s">
        <v>2009</v>
      </c>
      <c r="O31" s="148">
        <v>32450</v>
      </c>
      <c r="P31" s="148">
        <f t="shared" si="11"/>
        <v>48675</v>
      </c>
      <c r="W31" s="160"/>
      <c r="X31" s="160"/>
    </row>
    <row r="32" spans="2:32" x14ac:dyDescent="0.25">
      <c r="J32" s="142"/>
      <c r="K32" s="161">
        <v>0.1</v>
      </c>
      <c r="L32" s="147" t="s">
        <v>350</v>
      </c>
      <c r="M32" s="142" t="s">
        <v>2039</v>
      </c>
      <c r="N32" s="147" t="s">
        <v>2009</v>
      </c>
      <c r="O32" s="148">
        <v>1033055.65</v>
      </c>
      <c r="P32" s="148">
        <f t="shared" si="11"/>
        <v>103305.565</v>
      </c>
      <c r="W32" s="160"/>
      <c r="X32" s="160"/>
    </row>
    <row r="33" spans="10:24" ht="14.4" customHeight="1" x14ac:dyDescent="0.25">
      <c r="J33" s="142"/>
      <c r="K33" s="142"/>
      <c r="L33" s="142"/>
      <c r="M33" s="142"/>
      <c r="N33" s="142"/>
      <c r="O33" s="151" t="s">
        <v>2027</v>
      </c>
      <c r="P33" s="148">
        <f>SUM(P28:P32)</f>
        <v>653961.16500000004</v>
      </c>
      <c r="W33" s="160"/>
      <c r="X33" s="160"/>
    </row>
    <row r="34" spans="10:24" x14ac:dyDescent="0.25">
      <c r="J34" s="142" t="s">
        <v>2007</v>
      </c>
      <c r="K34" s="161">
        <v>1</v>
      </c>
      <c r="L34" s="147" t="s">
        <v>2010</v>
      </c>
      <c r="M34" s="142" t="s">
        <v>2029</v>
      </c>
      <c r="N34" s="147" t="s">
        <v>2009</v>
      </c>
      <c r="O34" s="148">
        <v>52250</v>
      </c>
      <c r="P34" s="148">
        <f t="shared" ref="P34:P37" si="12">O34*K34</f>
        <v>52250</v>
      </c>
      <c r="W34" s="160"/>
      <c r="X34" s="160"/>
    </row>
    <row r="35" spans="10:24" x14ac:dyDescent="0.25">
      <c r="J35" s="142"/>
      <c r="K35" s="161">
        <v>1</v>
      </c>
      <c r="L35" s="147" t="s">
        <v>2010</v>
      </c>
      <c r="M35" s="142" t="s">
        <v>2040</v>
      </c>
      <c r="N35" s="147" t="s">
        <v>2009</v>
      </c>
      <c r="O35" s="148">
        <v>28600</v>
      </c>
      <c r="P35" s="148">
        <f t="shared" si="12"/>
        <v>28600</v>
      </c>
      <c r="W35" s="160"/>
      <c r="X35" s="160"/>
    </row>
    <row r="36" spans="10:24" ht="14.4" customHeight="1" x14ac:dyDescent="0.25">
      <c r="J36" s="142"/>
      <c r="K36" s="161">
        <v>2</v>
      </c>
      <c r="L36" s="147" t="s">
        <v>2010</v>
      </c>
      <c r="M36" s="142" t="s">
        <v>2011</v>
      </c>
      <c r="N36" s="147" t="s">
        <v>2009</v>
      </c>
      <c r="O36" s="148">
        <v>39600</v>
      </c>
      <c r="P36" s="148">
        <f t="shared" si="12"/>
        <v>79200</v>
      </c>
      <c r="W36" s="160"/>
      <c r="X36" s="160"/>
    </row>
    <row r="37" spans="10:24" x14ac:dyDescent="0.25">
      <c r="J37" s="142"/>
      <c r="K37" s="161">
        <v>1</v>
      </c>
      <c r="L37" s="147" t="s">
        <v>2010</v>
      </c>
      <c r="M37" s="142" t="s">
        <v>2013</v>
      </c>
      <c r="N37" s="147" t="s">
        <v>2009</v>
      </c>
      <c r="O37" s="148">
        <v>44000</v>
      </c>
      <c r="P37" s="148">
        <f t="shared" si="12"/>
        <v>44000</v>
      </c>
      <c r="W37" s="160"/>
      <c r="X37" s="160"/>
    </row>
    <row r="38" spans="10:24" x14ac:dyDescent="0.25">
      <c r="J38" s="142"/>
      <c r="K38" s="142"/>
      <c r="L38" s="142"/>
      <c r="M38" s="142"/>
      <c r="N38" s="142"/>
      <c r="O38" s="151" t="s">
        <v>2032</v>
      </c>
      <c r="P38" s="148">
        <f>SUM(P34:P37)</f>
        <v>204050</v>
      </c>
      <c r="W38" s="160"/>
      <c r="X38" s="160"/>
    </row>
    <row r="39" spans="10:24" ht="14.4" customHeight="1" x14ac:dyDescent="0.25">
      <c r="J39" s="142"/>
      <c r="K39" s="142"/>
      <c r="L39" s="142"/>
      <c r="M39" s="142"/>
      <c r="N39" s="142"/>
      <c r="O39" s="155" t="s">
        <v>2033</v>
      </c>
      <c r="P39" s="148">
        <f>SUM(P33,P38)</f>
        <v>858011.16500000004</v>
      </c>
      <c r="W39" s="160"/>
      <c r="X39" s="160"/>
    </row>
    <row r="42" spans="10:24" ht="14.4" customHeight="1" x14ac:dyDescent="0.25"/>
  </sheetData>
  <mergeCells count="35">
    <mergeCell ref="C5:G5"/>
    <mergeCell ref="C8:G8"/>
    <mergeCell ref="B3:G3"/>
    <mergeCell ref="J3:P3"/>
    <mergeCell ref="R3:X3"/>
    <mergeCell ref="J4:P4"/>
    <mergeCell ref="R4:X4"/>
    <mergeCell ref="AA14:AF14"/>
    <mergeCell ref="AA3:AF3"/>
    <mergeCell ref="AA5:AF5"/>
    <mergeCell ref="AA8:AF8"/>
    <mergeCell ref="AA11:AF11"/>
    <mergeCell ref="B31:F31"/>
    <mergeCell ref="AA17:AF17"/>
    <mergeCell ref="AA20:AF20"/>
    <mergeCell ref="AA23:AE23"/>
    <mergeCell ref="B12:G12"/>
    <mergeCell ref="B26:F26"/>
    <mergeCell ref="R16:X16"/>
    <mergeCell ref="J23:P23"/>
    <mergeCell ref="J27:P27"/>
    <mergeCell ref="C14:G14"/>
    <mergeCell ref="D19:F19"/>
    <mergeCell ref="C20:G20"/>
    <mergeCell ref="D25:F25"/>
    <mergeCell ref="C28:F28"/>
    <mergeCell ref="C29:F29"/>
    <mergeCell ref="C30:F30"/>
    <mergeCell ref="J12:P12"/>
    <mergeCell ref="R12:X12"/>
    <mergeCell ref="B27:G27"/>
    <mergeCell ref="D7:F7"/>
    <mergeCell ref="D10:F10"/>
    <mergeCell ref="D11:F11"/>
    <mergeCell ref="R8:X8"/>
  </mergeCells>
  <phoneticPr fontId="13" type="noConversion"/>
  <pageMargins left="0.7" right="0.7" top="0.75" bottom="0.75" header="0.3" footer="0.3"/>
  <ignoredErrors>
    <ignoredError sqref="G6" evalError="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FB808-4FE9-4A3A-B3D9-DCDED725A0F1}">
  <dimension ref="C3:I123"/>
  <sheetViews>
    <sheetView topLeftCell="A46" workbookViewId="0">
      <selection activeCell="C21" sqref="C21:I70"/>
    </sheetView>
  </sheetViews>
  <sheetFormatPr defaultRowHeight="13.8" x14ac:dyDescent="0.25"/>
  <cols>
    <col min="1" max="2" width="8.88671875" style="9"/>
    <col min="3" max="3" width="17.21875" style="9" customWidth="1"/>
    <col min="4" max="4" width="16.77734375" style="9" customWidth="1"/>
    <col min="5" max="5" width="18" style="9" customWidth="1"/>
    <col min="6" max="6" width="18.33203125" style="9" customWidth="1"/>
    <col min="7" max="7" width="21.33203125" style="123" customWidth="1"/>
    <col min="8" max="8" width="22.44140625" style="123" customWidth="1"/>
    <col min="9" max="9" width="23.33203125" style="9" customWidth="1"/>
    <col min="10" max="16384" width="8.88671875" style="9"/>
  </cols>
  <sheetData>
    <row r="3" spans="3:8" ht="15.6" customHeight="1" x14ac:dyDescent="0.25">
      <c r="C3" s="18" t="s">
        <v>1899</v>
      </c>
      <c r="D3" s="18" t="s">
        <v>1867</v>
      </c>
      <c r="E3" s="18" t="s">
        <v>1901</v>
      </c>
      <c r="F3" s="18" t="s">
        <v>1940</v>
      </c>
      <c r="G3" s="121" t="s">
        <v>2077</v>
      </c>
      <c r="H3" s="121" t="s">
        <v>2061</v>
      </c>
    </row>
    <row r="4" spans="3:8" x14ac:dyDescent="0.25">
      <c r="C4" s="18">
        <f>'BOQ Pipa &amp; Pekerjaan'!K5</f>
        <v>710</v>
      </c>
      <c r="D4" s="18">
        <f>'BOQ Pipa &amp; Pekerjaan'!L5</f>
        <v>32337</v>
      </c>
      <c r="E4" s="18">
        <v>6</v>
      </c>
      <c r="F4" s="14">
        <f>D4/E4</f>
        <v>5389.5</v>
      </c>
      <c r="G4" s="114">
        <v>6431500</v>
      </c>
      <c r="H4" s="114">
        <f>F4*G4</f>
        <v>34662569250</v>
      </c>
    </row>
    <row r="5" spans="3:8" x14ac:dyDescent="0.25">
      <c r="C5" s="18">
        <f>'BOQ Pipa &amp; Pekerjaan'!K6</f>
        <v>560</v>
      </c>
      <c r="D5" s="18">
        <f>'BOQ Pipa &amp; Pekerjaan'!L6</f>
        <v>10216</v>
      </c>
      <c r="E5" s="18">
        <v>6</v>
      </c>
      <c r="F5" s="14">
        <f t="shared" ref="F5:F17" si="0">D5/E5</f>
        <v>1702.6666666666667</v>
      </c>
      <c r="G5" s="114">
        <v>5798300</v>
      </c>
      <c r="H5" s="114">
        <f t="shared" ref="H5:H17" si="1">F5*G5</f>
        <v>9872572133.333334</v>
      </c>
    </row>
    <row r="6" spans="3:8" x14ac:dyDescent="0.25">
      <c r="C6" s="18">
        <f>'BOQ Pipa &amp; Pekerjaan'!K7</f>
        <v>500</v>
      </c>
      <c r="D6" s="18">
        <f>'BOQ Pipa &amp; Pekerjaan'!L7</f>
        <v>3398</v>
      </c>
      <c r="E6" s="18">
        <v>6</v>
      </c>
      <c r="F6" s="14">
        <f t="shared" si="0"/>
        <v>566.33333333333337</v>
      </c>
      <c r="G6" s="114">
        <v>4621500</v>
      </c>
      <c r="H6" s="114">
        <f t="shared" si="1"/>
        <v>2617309500</v>
      </c>
    </row>
    <row r="7" spans="3:8" x14ac:dyDescent="0.25">
      <c r="C7" s="18">
        <f>'BOQ Pipa &amp; Pekerjaan'!K8</f>
        <v>450</v>
      </c>
      <c r="D7" s="18">
        <f>'BOQ Pipa &amp; Pekerjaan'!L8</f>
        <v>4003</v>
      </c>
      <c r="E7" s="18">
        <v>6</v>
      </c>
      <c r="F7" s="14">
        <f t="shared" si="0"/>
        <v>667.16666666666663</v>
      </c>
      <c r="G7" s="114">
        <v>3750400</v>
      </c>
      <c r="H7" s="114">
        <f t="shared" si="1"/>
        <v>2502141866.6666665</v>
      </c>
    </row>
    <row r="8" spans="3:8" x14ac:dyDescent="0.25">
      <c r="C8" s="18">
        <f>'BOQ Pipa &amp; Pekerjaan'!K9</f>
        <v>400</v>
      </c>
      <c r="D8" s="18">
        <f>'BOQ Pipa &amp; Pekerjaan'!L9</f>
        <v>7691</v>
      </c>
      <c r="E8" s="18">
        <v>6</v>
      </c>
      <c r="F8" s="14">
        <f t="shared" si="0"/>
        <v>1281.8333333333333</v>
      </c>
      <c r="G8" s="114">
        <v>2962100</v>
      </c>
      <c r="H8" s="114">
        <f t="shared" si="1"/>
        <v>3796918516.6666665</v>
      </c>
    </row>
    <row r="9" spans="3:8" x14ac:dyDescent="0.25">
      <c r="C9" s="18">
        <f>'BOQ Pipa &amp; Pekerjaan'!K10</f>
        <v>355</v>
      </c>
      <c r="D9" s="18">
        <f>'BOQ Pipa &amp; Pekerjaan'!L10</f>
        <v>8258</v>
      </c>
      <c r="E9" s="18">
        <v>6</v>
      </c>
      <c r="F9" s="14">
        <f t="shared" si="0"/>
        <v>1376.3333333333333</v>
      </c>
      <c r="G9" s="114">
        <v>2335300</v>
      </c>
      <c r="H9" s="114">
        <f t="shared" si="1"/>
        <v>3214151233.333333</v>
      </c>
    </row>
    <row r="10" spans="3:8" x14ac:dyDescent="0.25">
      <c r="C10" s="18">
        <f>'BOQ Pipa &amp; Pekerjaan'!K11</f>
        <v>335</v>
      </c>
      <c r="D10" s="18">
        <f>'BOQ Pipa &amp; Pekerjaan'!L11</f>
        <v>1703</v>
      </c>
      <c r="E10" s="18">
        <v>6</v>
      </c>
      <c r="F10" s="14">
        <f t="shared" si="0"/>
        <v>283.83333333333331</v>
      </c>
      <c r="G10" s="114">
        <v>2185400</v>
      </c>
      <c r="H10" s="114">
        <f t="shared" si="1"/>
        <v>620289366.66666663</v>
      </c>
    </row>
    <row r="11" spans="3:8" x14ac:dyDescent="0.25">
      <c r="C11" s="18">
        <f>'BOQ Pipa &amp; Pekerjaan'!K12</f>
        <v>315</v>
      </c>
      <c r="D11" s="18">
        <f>'BOQ Pipa &amp; Pekerjaan'!L12</f>
        <v>5291</v>
      </c>
      <c r="E11" s="18">
        <v>6</v>
      </c>
      <c r="F11" s="14">
        <f t="shared" si="0"/>
        <v>881.83333333333337</v>
      </c>
      <c r="G11" s="114">
        <v>1841700</v>
      </c>
      <c r="H11" s="114">
        <f t="shared" si="1"/>
        <v>1624072450</v>
      </c>
    </row>
    <row r="12" spans="3:8" x14ac:dyDescent="0.25">
      <c r="C12" s="18">
        <f>'BOQ Pipa &amp; Pekerjaan'!K13</f>
        <v>280</v>
      </c>
      <c r="D12" s="18">
        <f>'BOQ Pipa &amp; Pekerjaan'!L13</f>
        <v>1838</v>
      </c>
      <c r="E12" s="18">
        <v>6</v>
      </c>
      <c r="F12" s="14">
        <f t="shared" si="0"/>
        <v>306.33333333333331</v>
      </c>
      <c r="G12" s="114">
        <v>1453500</v>
      </c>
      <c r="H12" s="114">
        <f t="shared" si="1"/>
        <v>445255500</v>
      </c>
    </row>
    <row r="13" spans="3:8" x14ac:dyDescent="0.25">
      <c r="C13" s="18">
        <f>'BOQ Pipa &amp; Pekerjaan'!K14</f>
        <v>250</v>
      </c>
      <c r="D13" s="18">
        <f>'BOQ Pipa &amp; Pekerjaan'!L14</f>
        <v>553</v>
      </c>
      <c r="E13" s="18">
        <v>6</v>
      </c>
      <c r="F13" s="14">
        <f t="shared" si="0"/>
        <v>92.166666666666671</v>
      </c>
      <c r="G13" s="114">
        <v>1158300</v>
      </c>
      <c r="H13" s="114">
        <f t="shared" si="1"/>
        <v>106756650</v>
      </c>
    </row>
    <row r="14" spans="3:8" x14ac:dyDescent="0.25">
      <c r="C14" s="18">
        <f>'BOQ Pipa &amp; Pekerjaan'!K15</f>
        <v>180</v>
      </c>
      <c r="D14" s="18">
        <f>'BOQ Pipa &amp; Pekerjaan'!L15</f>
        <v>5426</v>
      </c>
      <c r="E14" s="18">
        <v>6</v>
      </c>
      <c r="F14" s="14">
        <f t="shared" si="0"/>
        <v>904.33333333333337</v>
      </c>
      <c r="G14" s="114">
        <v>601200</v>
      </c>
      <c r="H14" s="114">
        <f t="shared" si="1"/>
        <v>543685200</v>
      </c>
    </row>
    <row r="15" spans="3:8" x14ac:dyDescent="0.25">
      <c r="C15" s="18">
        <f>'BOQ Pipa &amp; Pekerjaan'!K16</f>
        <v>160</v>
      </c>
      <c r="D15" s="18">
        <f>'BOQ Pipa &amp; Pekerjaan'!L16</f>
        <v>2334</v>
      </c>
      <c r="E15" s="18">
        <v>6</v>
      </c>
      <c r="F15" s="14">
        <f t="shared" si="0"/>
        <v>389</v>
      </c>
      <c r="G15" s="114">
        <v>475200</v>
      </c>
      <c r="H15" s="114">
        <f t="shared" si="1"/>
        <v>184852800</v>
      </c>
    </row>
    <row r="16" spans="3:8" x14ac:dyDescent="0.25">
      <c r="C16" s="18">
        <f>'BOQ Pipa &amp; Pekerjaan'!K17</f>
        <v>140</v>
      </c>
      <c r="D16" s="18">
        <f>'BOQ Pipa &amp; Pekerjaan'!L17</f>
        <v>884</v>
      </c>
      <c r="E16" s="18">
        <v>6</v>
      </c>
      <c r="F16" s="14">
        <f t="shared" si="0"/>
        <v>147.33333333333334</v>
      </c>
      <c r="G16" s="114">
        <v>364900</v>
      </c>
      <c r="H16" s="114">
        <f t="shared" si="1"/>
        <v>53761933.333333336</v>
      </c>
    </row>
    <row r="17" spans="3:9" x14ac:dyDescent="0.25">
      <c r="C17" s="18">
        <f>'BOQ Pipa &amp; Pekerjaan'!K18</f>
        <v>90</v>
      </c>
      <c r="D17" s="18">
        <f>'BOQ Pipa &amp; Pekerjaan'!L18</f>
        <v>1038</v>
      </c>
      <c r="E17" s="18">
        <v>6</v>
      </c>
      <c r="F17" s="14">
        <f t="shared" si="0"/>
        <v>173</v>
      </c>
      <c r="G17" s="114">
        <v>151600</v>
      </c>
      <c r="H17" s="114">
        <f t="shared" si="1"/>
        <v>26226800</v>
      </c>
    </row>
    <row r="18" spans="3:9" x14ac:dyDescent="0.25">
      <c r="C18" s="364" t="s">
        <v>2078</v>
      </c>
      <c r="D18" s="364"/>
      <c r="E18" s="364"/>
      <c r="F18" s="364"/>
      <c r="G18" s="364"/>
      <c r="H18" s="116">
        <f>SUM(H4:H17)</f>
        <v>60270563200</v>
      </c>
    </row>
    <row r="21" spans="3:9" x14ac:dyDescent="0.25">
      <c r="C21" s="408" t="s">
        <v>2079</v>
      </c>
      <c r="D21" s="408"/>
      <c r="E21" s="408"/>
      <c r="F21" s="408"/>
      <c r="G21" s="408"/>
      <c r="H21" s="408"/>
      <c r="I21" s="408"/>
    </row>
    <row r="22" spans="3:9" x14ac:dyDescent="0.25">
      <c r="C22" s="11" t="s">
        <v>2</v>
      </c>
      <c r="D22" s="11" t="s">
        <v>2080</v>
      </c>
      <c r="E22" s="11" t="s">
        <v>341</v>
      </c>
      <c r="F22" s="11" t="s">
        <v>64</v>
      </c>
      <c r="G22" s="122" t="s">
        <v>2081</v>
      </c>
      <c r="H22" s="117" t="s">
        <v>2061</v>
      </c>
      <c r="I22" s="11" t="s">
        <v>2061</v>
      </c>
    </row>
    <row r="23" spans="3:9" x14ac:dyDescent="0.25">
      <c r="C23" s="358">
        <v>1</v>
      </c>
      <c r="D23" s="358" t="s">
        <v>2082</v>
      </c>
      <c r="E23" s="11">
        <v>560</v>
      </c>
      <c r="F23" s="11">
        <v>3</v>
      </c>
      <c r="G23" s="117">
        <v>12878000</v>
      </c>
      <c r="H23" s="118">
        <f>G23*F23</f>
        <v>38634000</v>
      </c>
      <c r="I23" s="410">
        <f>SUM(H23:H25)</f>
        <v>49614600</v>
      </c>
    </row>
    <row r="24" spans="3:9" x14ac:dyDescent="0.25">
      <c r="C24" s="409"/>
      <c r="D24" s="409"/>
      <c r="E24" s="11">
        <v>500</v>
      </c>
      <c r="F24" s="11">
        <v>1</v>
      </c>
      <c r="G24" s="117">
        <v>9790000</v>
      </c>
      <c r="H24" s="118">
        <f t="shared" ref="H24:H25" si="2">G24*F24</f>
        <v>9790000</v>
      </c>
      <c r="I24" s="411"/>
    </row>
    <row r="25" spans="3:9" x14ac:dyDescent="0.25">
      <c r="C25" s="409"/>
      <c r="D25" s="409"/>
      <c r="E25" s="11">
        <v>400</v>
      </c>
      <c r="F25" s="11">
        <v>2</v>
      </c>
      <c r="G25" s="117">
        <v>595300</v>
      </c>
      <c r="H25" s="118">
        <f t="shared" si="2"/>
        <v>1190600</v>
      </c>
      <c r="I25" s="411"/>
    </row>
    <row r="26" spans="3:9" x14ac:dyDescent="0.25">
      <c r="C26" s="409"/>
      <c r="D26" s="409"/>
      <c r="E26" s="11">
        <v>355</v>
      </c>
      <c r="F26" s="11">
        <v>1</v>
      </c>
      <c r="G26" s="116">
        <v>4442000</v>
      </c>
      <c r="H26" s="116">
        <f>E26*G26</f>
        <v>1576910000</v>
      </c>
      <c r="I26" s="411"/>
    </row>
    <row r="27" spans="3:9" x14ac:dyDescent="0.25">
      <c r="C27" s="409"/>
      <c r="D27" s="409"/>
      <c r="E27" s="11">
        <v>315</v>
      </c>
      <c r="F27" s="11">
        <v>1</v>
      </c>
      <c r="G27" s="116">
        <v>3140000</v>
      </c>
      <c r="H27" s="116">
        <f t="shared" ref="H27:H29" si="3">E27*G27</f>
        <v>989100000</v>
      </c>
      <c r="I27" s="411"/>
    </row>
    <row r="28" spans="3:9" x14ac:dyDescent="0.25">
      <c r="C28" s="409"/>
      <c r="D28" s="409"/>
      <c r="E28" s="11">
        <v>280</v>
      </c>
      <c r="F28" s="11">
        <v>1</v>
      </c>
      <c r="G28" s="116">
        <v>1979000</v>
      </c>
      <c r="H28" s="116">
        <f t="shared" si="3"/>
        <v>554120000</v>
      </c>
      <c r="I28" s="411"/>
    </row>
    <row r="29" spans="3:9" x14ac:dyDescent="0.25">
      <c r="C29" s="359"/>
      <c r="D29" s="359"/>
      <c r="E29" s="11">
        <v>180</v>
      </c>
      <c r="F29" s="11">
        <v>2</v>
      </c>
      <c r="G29" s="116">
        <v>1270000</v>
      </c>
      <c r="H29" s="116">
        <f t="shared" si="3"/>
        <v>228600000</v>
      </c>
      <c r="I29" s="412"/>
    </row>
    <row r="30" spans="3:9" x14ac:dyDescent="0.25">
      <c r="C30" s="186">
        <v>2</v>
      </c>
      <c r="D30" s="186" t="s">
        <v>2083</v>
      </c>
      <c r="E30" s="11">
        <v>560</v>
      </c>
      <c r="F30" s="11">
        <v>1</v>
      </c>
      <c r="G30" s="117">
        <f>3390000*2</f>
        <v>6780000</v>
      </c>
      <c r="H30" s="118">
        <f t="shared" ref="H30:H69" si="4">G30*F30</f>
        <v>6780000</v>
      </c>
      <c r="I30" s="413">
        <f>SUM(H30:H33)</f>
        <v>20477500</v>
      </c>
    </row>
    <row r="31" spans="3:9" x14ac:dyDescent="0.25">
      <c r="C31" s="186"/>
      <c r="D31" s="186"/>
      <c r="E31" s="11">
        <v>400</v>
      </c>
      <c r="F31" s="11">
        <v>2</v>
      </c>
      <c r="G31" s="117">
        <v>2678900</v>
      </c>
      <c r="H31" s="118">
        <f t="shared" si="4"/>
        <v>5357800</v>
      </c>
      <c r="I31" s="413"/>
    </row>
    <row r="32" spans="3:9" x14ac:dyDescent="0.25">
      <c r="C32" s="186"/>
      <c r="D32" s="186"/>
      <c r="E32" s="11">
        <v>315</v>
      </c>
      <c r="F32" s="11">
        <v>2</v>
      </c>
      <c r="G32" s="117">
        <v>2779900</v>
      </c>
      <c r="H32" s="118">
        <f t="shared" si="4"/>
        <v>5559800</v>
      </c>
      <c r="I32" s="413"/>
    </row>
    <row r="33" spans="3:9" x14ac:dyDescent="0.25">
      <c r="C33" s="186"/>
      <c r="D33" s="186"/>
      <c r="E33" s="11">
        <v>280</v>
      </c>
      <c r="F33" s="11">
        <v>1</v>
      </c>
      <c r="G33" s="117">
        <v>2779900</v>
      </c>
      <c r="H33" s="118">
        <f t="shared" si="4"/>
        <v>2779900</v>
      </c>
      <c r="I33" s="413"/>
    </row>
    <row r="34" spans="3:9" x14ac:dyDescent="0.25">
      <c r="C34" s="358">
        <v>4</v>
      </c>
      <c r="D34" s="358" t="s">
        <v>2084</v>
      </c>
      <c r="E34" s="11">
        <v>355</v>
      </c>
      <c r="F34" s="11">
        <v>1</v>
      </c>
      <c r="G34" s="117">
        <v>4793000</v>
      </c>
      <c r="H34" s="118">
        <f t="shared" si="4"/>
        <v>4793000</v>
      </c>
      <c r="I34" s="410">
        <f>SUM(H34:H37)</f>
        <v>12239000</v>
      </c>
    </row>
    <row r="35" spans="3:9" x14ac:dyDescent="0.25">
      <c r="C35" s="409"/>
      <c r="D35" s="409"/>
      <c r="E35" s="18">
        <v>400</v>
      </c>
      <c r="F35" s="18">
        <v>1</v>
      </c>
      <c r="G35" s="116">
        <v>5498000</v>
      </c>
      <c r="H35" s="116">
        <f t="shared" si="4"/>
        <v>5498000</v>
      </c>
      <c r="I35" s="411"/>
    </row>
    <row r="36" spans="3:9" x14ac:dyDescent="0.25">
      <c r="C36" s="409"/>
      <c r="D36" s="409"/>
      <c r="E36" s="18">
        <v>140</v>
      </c>
      <c r="F36" s="18">
        <v>1</v>
      </c>
      <c r="G36" s="116">
        <v>718000</v>
      </c>
      <c r="H36" s="116">
        <f t="shared" si="4"/>
        <v>718000</v>
      </c>
      <c r="I36" s="411"/>
    </row>
    <row r="37" spans="3:9" x14ac:dyDescent="0.25">
      <c r="C37" s="359"/>
      <c r="D37" s="359"/>
      <c r="E37" s="18">
        <v>180</v>
      </c>
      <c r="F37" s="18">
        <v>1</v>
      </c>
      <c r="G37" s="116">
        <v>1230000</v>
      </c>
      <c r="H37" s="116">
        <f t="shared" si="4"/>
        <v>1230000</v>
      </c>
      <c r="I37" s="412"/>
    </row>
    <row r="38" spans="3:9" x14ac:dyDescent="0.25">
      <c r="C38" s="186">
        <v>5</v>
      </c>
      <c r="D38" s="186" t="s">
        <v>2085</v>
      </c>
      <c r="E38" s="11">
        <v>560</v>
      </c>
      <c r="F38" s="11">
        <v>3</v>
      </c>
      <c r="G38" s="117">
        <v>8177000</v>
      </c>
      <c r="H38" s="118">
        <f t="shared" si="4"/>
        <v>24531000</v>
      </c>
      <c r="I38" s="410">
        <f>SUM(H38:H41)</f>
        <v>58593000</v>
      </c>
    </row>
    <row r="39" spans="3:9" x14ac:dyDescent="0.25">
      <c r="C39" s="186"/>
      <c r="D39" s="186"/>
      <c r="E39" s="11">
        <v>500</v>
      </c>
      <c r="F39" s="11">
        <v>1</v>
      </c>
      <c r="G39" s="117">
        <v>7828000</v>
      </c>
      <c r="H39" s="118">
        <f t="shared" si="4"/>
        <v>7828000</v>
      </c>
      <c r="I39" s="411"/>
    </row>
    <row r="40" spans="3:9" x14ac:dyDescent="0.25">
      <c r="C40" s="186"/>
      <c r="D40" s="186"/>
      <c r="E40" s="11">
        <v>400</v>
      </c>
      <c r="F40" s="11">
        <v>2</v>
      </c>
      <c r="G40" s="117">
        <v>4781000</v>
      </c>
      <c r="H40" s="118">
        <f t="shared" si="4"/>
        <v>9562000</v>
      </c>
      <c r="I40" s="411"/>
    </row>
    <row r="41" spans="3:9" x14ac:dyDescent="0.25">
      <c r="C41" s="186"/>
      <c r="D41" s="186"/>
      <c r="E41" s="11">
        <v>355</v>
      </c>
      <c r="F41" s="11">
        <v>4</v>
      </c>
      <c r="G41" s="117">
        <v>4168000</v>
      </c>
      <c r="H41" s="118">
        <f t="shared" si="4"/>
        <v>16672000</v>
      </c>
      <c r="I41" s="411"/>
    </row>
    <row r="42" spans="3:9" x14ac:dyDescent="0.25">
      <c r="C42" s="186"/>
      <c r="D42" s="186"/>
      <c r="E42" s="18">
        <v>315</v>
      </c>
      <c r="F42" s="18">
        <v>1</v>
      </c>
      <c r="G42" s="116">
        <v>2944000</v>
      </c>
      <c r="H42" s="116">
        <f t="shared" si="4"/>
        <v>2944000</v>
      </c>
      <c r="I42" s="411"/>
    </row>
    <row r="43" spans="3:9" x14ac:dyDescent="0.25">
      <c r="C43" s="186"/>
      <c r="D43" s="186"/>
      <c r="E43" s="18">
        <v>280</v>
      </c>
      <c r="F43" s="18">
        <v>3</v>
      </c>
      <c r="G43" s="116">
        <v>2756000</v>
      </c>
      <c r="H43" s="116">
        <f t="shared" si="4"/>
        <v>8268000</v>
      </c>
      <c r="I43" s="411"/>
    </row>
    <row r="44" spans="3:9" x14ac:dyDescent="0.25">
      <c r="C44" s="186"/>
      <c r="D44" s="186"/>
      <c r="E44" s="18">
        <v>160</v>
      </c>
      <c r="F44" s="18">
        <v>1</v>
      </c>
      <c r="G44" s="116">
        <v>764000</v>
      </c>
      <c r="H44" s="116">
        <f t="shared" si="4"/>
        <v>764000</v>
      </c>
      <c r="I44" s="411"/>
    </row>
    <row r="45" spans="3:9" x14ac:dyDescent="0.25">
      <c r="C45" s="186"/>
      <c r="D45" s="186"/>
      <c r="E45" s="18">
        <v>140</v>
      </c>
      <c r="F45" s="18">
        <v>1</v>
      </c>
      <c r="G45" s="116">
        <v>558000</v>
      </c>
      <c r="H45" s="116">
        <f t="shared" si="4"/>
        <v>558000</v>
      </c>
      <c r="I45" s="412"/>
    </row>
    <row r="46" spans="3:9" x14ac:dyDescent="0.25">
      <c r="C46" s="186">
        <v>6</v>
      </c>
      <c r="D46" s="186" t="s">
        <v>2086</v>
      </c>
      <c r="E46" s="11">
        <v>560</v>
      </c>
      <c r="F46" s="11">
        <v>1</v>
      </c>
      <c r="G46" s="117">
        <f>4*1197150</f>
        <v>4788600</v>
      </c>
      <c r="H46" s="118">
        <f t="shared" si="4"/>
        <v>4788600</v>
      </c>
      <c r="I46" s="413">
        <f>SUM(H46:H53)</f>
        <v>36258303</v>
      </c>
    </row>
    <row r="47" spans="3:9" x14ac:dyDescent="0.25">
      <c r="C47" s="186"/>
      <c r="D47" s="186"/>
      <c r="E47" s="11">
        <v>355</v>
      </c>
      <c r="F47" s="11">
        <v>4</v>
      </c>
      <c r="G47" s="117">
        <v>2650960</v>
      </c>
      <c r="H47" s="118">
        <f t="shared" si="4"/>
        <v>10603840</v>
      </c>
      <c r="I47" s="413"/>
    </row>
    <row r="48" spans="3:9" x14ac:dyDescent="0.25">
      <c r="C48" s="186"/>
      <c r="D48" s="186"/>
      <c r="E48" s="11">
        <v>400</v>
      </c>
      <c r="F48" s="11">
        <v>1</v>
      </c>
      <c r="G48" s="117">
        <v>2451780</v>
      </c>
      <c r="H48" s="118">
        <f t="shared" si="4"/>
        <v>2451780</v>
      </c>
      <c r="I48" s="413"/>
    </row>
    <row r="49" spans="3:9" x14ac:dyDescent="0.25">
      <c r="C49" s="186"/>
      <c r="D49" s="186"/>
      <c r="E49" s="11">
        <v>315</v>
      </c>
      <c r="F49" s="11">
        <v>4</v>
      </c>
      <c r="G49" s="117">
        <v>2013440</v>
      </c>
      <c r="H49" s="118">
        <f t="shared" si="4"/>
        <v>8053760</v>
      </c>
      <c r="I49" s="413"/>
    </row>
    <row r="50" spans="3:9" x14ac:dyDescent="0.25">
      <c r="C50" s="186"/>
      <c r="D50" s="186"/>
      <c r="E50" s="11">
        <v>280</v>
      </c>
      <c r="F50" s="11">
        <v>4</v>
      </c>
      <c r="G50" s="117">
        <v>1758200</v>
      </c>
      <c r="H50" s="118">
        <f t="shared" si="4"/>
        <v>7032800</v>
      </c>
      <c r="I50" s="413"/>
    </row>
    <row r="51" spans="3:9" x14ac:dyDescent="0.25">
      <c r="C51" s="186"/>
      <c r="D51" s="186"/>
      <c r="E51" s="11">
        <v>180</v>
      </c>
      <c r="F51" s="11">
        <v>2</v>
      </c>
      <c r="G51" s="117">
        <v>1197150</v>
      </c>
      <c r="H51" s="118">
        <f t="shared" si="4"/>
        <v>2394300</v>
      </c>
      <c r="I51" s="413"/>
    </row>
    <row r="52" spans="3:9" x14ac:dyDescent="0.25">
      <c r="C52" s="186"/>
      <c r="D52" s="186"/>
      <c r="E52" s="11">
        <v>160</v>
      </c>
      <c r="F52" s="11">
        <v>1</v>
      </c>
      <c r="G52" s="117">
        <v>687553</v>
      </c>
      <c r="H52" s="118">
        <f t="shared" si="4"/>
        <v>687553</v>
      </c>
      <c r="I52" s="413"/>
    </row>
    <row r="53" spans="3:9" x14ac:dyDescent="0.25">
      <c r="C53" s="186"/>
      <c r="D53" s="186"/>
      <c r="E53" s="11">
        <v>90</v>
      </c>
      <c r="F53" s="11">
        <v>1</v>
      </c>
      <c r="G53" s="117">
        <v>245670</v>
      </c>
      <c r="H53" s="118">
        <f t="shared" si="4"/>
        <v>245670</v>
      </c>
      <c r="I53" s="413"/>
    </row>
    <row r="54" spans="3:9" x14ac:dyDescent="0.25">
      <c r="C54" s="186">
        <v>7</v>
      </c>
      <c r="D54" s="186" t="s">
        <v>2087</v>
      </c>
      <c r="E54" s="11">
        <v>560</v>
      </c>
      <c r="F54" s="11">
        <v>1</v>
      </c>
      <c r="G54" s="117">
        <v>110450</v>
      </c>
      <c r="H54" s="118">
        <f t="shared" si="4"/>
        <v>110450</v>
      </c>
      <c r="I54" s="413">
        <f>SUM(H54:H61)</f>
        <v>803382</v>
      </c>
    </row>
    <row r="55" spans="3:9" x14ac:dyDescent="0.25">
      <c r="C55" s="186"/>
      <c r="D55" s="186"/>
      <c r="E55" s="11">
        <v>355</v>
      </c>
      <c r="F55" s="11">
        <v>4</v>
      </c>
      <c r="G55" s="117">
        <v>60423</v>
      </c>
      <c r="H55" s="118">
        <f t="shared" si="4"/>
        <v>241692</v>
      </c>
      <c r="I55" s="413"/>
    </row>
    <row r="56" spans="3:9" x14ac:dyDescent="0.25">
      <c r="C56" s="186"/>
      <c r="D56" s="186"/>
      <c r="E56" s="11">
        <v>400</v>
      </c>
      <c r="F56" s="11">
        <v>1</v>
      </c>
      <c r="G56" s="117">
        <v>55450</v>
      </c>
      <c r="H56" s="118">
        <f t="shared" si="4"/>
        <v>55450</v>
      </c>
      <c r="I56" s="413"/>
    </row>
    <row r="57" spans="3:9" x14ac:dyDescent="0.25">
      <c r="C57" s="186"/>
      <c r="D57" s="186"/>
      <c r="E57" s="11">
        <v>315</v>
      </c>
      <c r="F57" s="11">
        <v>4</v>
      </c>
      <c r="G57" s="117">
        <v>50875</v>
      </c>
      <c r="H57" s="118">
        <f t="shared" si="4"/>
        <v>203500</v>
      </c>
      <c r="I57" s="413"/>
    </row>
    <row r="58" spans="3:9" x14ac:dyDescent="0.25">
      <c r="C58" s="186"/>
      <c r="D58" s="186"/>
      <c r="E58" s="11">
        <v>280</v>
      </c>
      <c r="F58" s="11">
        <v>4</v>
      </c>
      <c r="G58" s="117">
        <v>25960</v>
      </c>
      <c r="H58" s="118">
        <f t="shared" si="4"/>
        <v>103840</v>
      </c>
      <c r="I58" s="413"/>
    </row>
    <row r="59" spans="3:9" x14ac:dyDescent="0.25">
      <c r="C59" s="186"/>
      <c r="D59" s="186"/>
      <c r="E59" s="11">
        <v>180</v>
      </c>
      <c r="F59" s="11">
        <v>2</v>
      </c>
      <c r="G59" s="117">
        <v>24850</v>
      </c>
      <c r="H59" s="118">
        <f t="shared" si="4"/>
        <v>49700</v>
      </c>
      <c r="I59" s="413"/>
    </row>
    <row r="60" spans="3:9" x14ac:dyDescent="0.25">
      <c r="C60" s="186"/>
      <c r="D60" s="186"/>
      <c r="E60" s="11">
        <v>160</v>
      </c>
      <c r="F60" s="11">
        <v>1</v>
      </c>
      <c r="G60" s="117">
        <v>20000</v>
      </c>
      <c r="H60" s="118">
        <f t="shared" si="4"/>
        <v>20000</v>
      </c>
      <c r="I60" s="413"/>
    </row>
    <row r="61" spans="3:9" x14ac:dyDescent="0.25">
      <c r="C61" s="186"/>
      <c r="D61" s="186"/>
      <c r="E61" s="11">
        <v>90</v>
      </c>
      <c r="F61" s="11">
        <v>1</v>
      </c>
      <c r="G61" s="117">
        <v>18750</v>
      </c>
      <c r="H61" s="118">
        <f t="shared" si="4"/>
        <v>18750</v>
      </c>
      <c r="I61" s="413"/>
    </row>
    <row r="62" spans="3:9" x14ac:dyDescent="0.25">
      <c r="C62" s="186">
        <v>8</v>
      </c>
      <c r="D62" s="186" t="s">
        <v>2088</v>
      </c>
      <c r="E62" s="11">
        <v>560</v>
      </c>
      <c r="F62" s="11">
        <v>1</v>
      </c>
      <c r="G62" s="117">
        <v>100000</v>
      </c>
      <c r="H62" s="118">
        <f t="shared" si="4"/>
        <v>100000</v>
      </c>
      <c r="I62" s="413">
        <f>SUM(H62:H69)</f>
        <v>8068150</v>
      </c>
    </row>
    <row r="63" spans="3:9" x14ac:dyDescent="0.25">
      <c r="C63" s="186"/>
      <c r="D63" s="186"/>
      <c r="E63" s="11">
        <v>355</v>
      </c>
      <c r="F63" s="11">
        <v>4</v>
      </c>
      <c r="G63" s="117">
        <v>675000</v>
      </c>
      <c r="H63" s="118">
        <f t="shared" si="4"/>
        <v>2700000</v>
      </c>
      <c r="I63" s="413"/>
    </row>
    <row r="64" spans="3:9" x14ac:dyDescent="0.25">
      <c r="C64" s="186"/>
      <c r="D64" s="186"/>
      <c r="E64" s="11">
        <v>400</v>
      </c>
      <c r="F64" s="11">
        <v>1</v>
      </c>
      <c r="G64" s="117">
        <v>523000</v>
      </c>
      <c r="H64" s="118">
        <f t="shared" si="4"/>
        <v>523000</v>
      </c>
      <c r="I64" s="413"/>
    </row>
    <row r="65" spans="3:9" x14ac:dyDescent="0.25">
      <c r="C65" s="186"/>
      <c r="D65" s="186"/>
      <c r="E65" s="11">
        <v>315</v>
      </c>
      <c r="F65" s="11">
        <v>4</v>
      </c>
      <c r="G65" s="117">
        <v>480750</v>
      </c>
      <c r="H65" s="118">
        <f t="shared" si="4"/>
        <v>1923000</v>
      </c>
      <c r="I65" s="413"/>
    </row>
    <row r="66" spans="3:9" x14ac:dyDescent="0.25">
      <c r="C66" s="186"/>
      <c r="D66" s="186"/>
      <c r="E66" s="11">
        <v>280</v>
      </c>
      <c r="F66" s="11">
        <v>4</v>
      </c>
      <c r="G66" s="117">
        <v>450000</v>
      </c>
      <c r="H66" s="118">
        <f t="shared" si="4"/>
        <v>1800000</v>
      </c>
      <c r="I66" s="413"/>
    </row>
    <row r="67" spans="3:9" x14ac:dyDescent="0.25">
      <c r="C67" s="186"/>
      <c r="D67" s="186"/>
      <c r="E67" s="11">
        <v>180</v>
      </c>
      <c r="F67" s="11">
        <v>2</v>
      </c>
      <c r="G67" s="117">
        <v>385600</v>
      </c>
      <c r="H67" s="118">
        <f t="shared" si="4"/>
        <v>771200</v>
      </c>
      <c r="I67" s="413"/>
    </row>
    <row r="68" spans="3:9" x14ac:dyDescent="0.25">
      <c r="C68" s="186"/>
      <c r="D68" s="186"/>
      <c r="E68" s="11">
        <v>160</v>
      </c>
      <c r="F68" s="11">
        <v>1</v>
      </c>
      <c r="G68" s="117">
        <v>150450</v>
      </c>
      <c r="H68" s="118">
        <f t="shared" si="4"/>
        <v>150450</v>
      </c>
      <c r="I68" s="413"/>
    </row>
    <row r="69" spans="3:9" x14ac:dyDescent="0.25">
      <c r="C69" s="186"/>
      <c r="D69" s="186"/>
      <c r="E69" s="11">
        <v>90</v>
      </c>
      <c r="F69" s="11">
        <v>1</v>
      </c>
      <c r="G69" s="117">
        <v>100500</v>
      </c>
      <c r="H69" s="118">
        <f t="shared" si="4"/>
        <v>100500</v>
      </c>
      <c r="I69" s="413"/>
    </row>
    <row r="70" spans="3:9" x14ac:dyDescent="0.25">
      <c r="C70" s="195" t="s">
        <v>2041</v>
      </c>
      <c r="D70" s="195"/>
      <c r="E70" s="195"/>
      <c r="F70" s="195"/>
      <c r="G70" s="195"/>
      <c r="H70" s="195"/>
      <c r="I70" s="119">
        <f>SUM(I23:I69)</f>
        <v>186053935</v>
      </c>
    </row>
    <row r="71" spans="3:9" ht="14.4" x14ac:dyDescent="0.3">
      <c r="C71"/>
      <c r="D71"/>
      <c r="E71"/>
      <c r="F71"/>
      <c r="G71"/>
      <c r="H71"/>
      <c r="I71"/>
    </row>
    <row r="72" spans="3:9" ht="14.4" x14ac:dyDescent="0.3">
      <c r="C72"/>
      <c r="D72"/>
      <c r="E72"/>
      <c r="F72"/>
      <c r="G72"/>
      <c r="H72"/>
      <c r="I72"/>
    </row>
    <row r="73" spans="3:9" ht="14.4" x14ac:dyDescent="0.3">
      <c r="C73"/>
      <c r="D73"/>
      <c r="E73"/>
      <c r="F73"/>
      <c r="G73"/>
      <c r="H73"/>
      <c r="I73"/>
    </row>
    <row r="74" spans="3:9" ht="14.4" x14ac:dyDescent="0.3">
      <c r="C74"/>
      <c r="D74"/>
      <c r="E74"/>
      <c r="F74"/>
      <c r="G74"/>
      <c r="H74"/>
      <c r="I74"/>
    </row>
    <row r="75" spans="3:9" ht="14.4" x14ac:dyDescent="0.3">
      <c r="C75"/>
      <c r="D75"/>
      <c r="E75"/>
      <c r="F75"/>
      <c r="G75"/>
      <c r="H75"/>
      <c r="I75"/>
    </row>
    <row r="76" spans="3:9" ht="14.4" x14ac:dyDescent="0.3">
      <c r="C76"/>
      <c r="D76"/>
      <c r="E76"/>
      <c r="F76"/>
      <c r="G76"/>
      <c r="H76"/>
      <c r="I76"/>
    </row>
    <row r="77" spans="3:9" ht="14.4" x14ac:dyDescent="0.3">
      <c r="C77"/>
      <c r="D77"/>
      <c r="E77"/>
      <c r="F77"/>
      <c r="G77"/>
      <c r="H77"/>
      <c r="I77"/>
    </row>
    <row r="78" spans="3:9" ht="14.4" x14ac:dyDescent="0.3">
      <c r="C78"/>
      <c r="D78"/>
      <c r="E78"/>
      <c r="F78"/>
      <c r="G78"/>
      <c r="H78"/>
      <c r="I78"/>
    </row>
    <row r="79" spans="3:9" ht="14.4" x14ac:dyDescent="0.3">
      <c r="C79"/>
      <c r="D79"/>
      <c r="E79"/>
      <c r="F79"/>
      <c r="G79"/>
      <c r="H79"/>
      <c r="I79"/>
    </row>
    <row r="80" spans="3:9" ht="14.4" x14ac:dyDescent="0.3">
      <c r="C80"/>
      <c r="D80"/>
      <c r="E80"/>
      <c r="F80"/>
      <c r="G80"/>
      <c r="H80"/>
      <c r="I80"/>
    </row>
    <row r="81" spans="3:9" ht="14.4" x14ac:dyDescent="0.3">
      <c r="C81"/>
      <c r="D81"/>
      <c r="E81"/>
      <c r="F81"/>
      <c r="G81"/>
      <c r="H81"/>
      <c r="I81"/>
    </row>
    <row r="82" spans="3:9" ht="14.4" x14ac:dyDescent="0.3">
      <c r="C82"/>
      <c r="D82"/>
      <c r="E82"/>
      <c r="F82"/>
      <c r="G82"/>
      <c r="H82"/>
      <c r="I82"/>
    </row>
    <row r="83" spans="3:9" ht="14.4" x14ac:dyDescent="0.3">
      <c r="C83"/>
      <c r="D83"/>
      <c r="E83"/>
      <c r="F83"/>
      <c r="G83"/>
      <c r="H83"/>
      <c r="I83"/>
    </row>
    <row r="84" spans="3:9" ht="14.4" x14ac:dyDescent="0.3">
      <c r="C84"/>
      <c r="D84"/>
      <c r="E84"/>
      <c r="F84"/>
      <c r="G84"/>
      <c r="H84"/>
      <c r="I84"/>
    </row>
    <row r="85" spans="3:9" ht="14.4" x14ac:dyDescent="0.3">
      <c r="C85"/>
      <c r="D85"/>
      <c r="E85"/>
      <c r="F85"/>
      <c r="G85"/>
      <c r="H85"/>
      <c r="I85"/>
    </row>
    <row r="86" spans="3:9" ht="14.4" x14ac:dyDescent="0.3">
      <c r="C86"/>
      <c r="D86"/>
      <c r="E86"/>
      <c r="F86"/>
      <c r="G86"/>
      <c r="H86"/>
      <c r="I86"/>
    </row>
    <row r="87" spans="3:9" ht="14.4" x14ac:dyDescent="0.3">
      <c r="C87"/>
      <c r="D87"/>
      <c r="E87"/>
      <c r="F87"/>
      <c r="G87"/>
      <c r="H87"/>
      <c r="I87"/>
    </row>
    <row r="88" spans="3:9" ht="14.4" x14ac:dyDescent="0.3">
      <c r="C88"/>
      <c r="D88"/>
      <c r="E88"/>
      <c r="F88"/>
      <c r="G88"/>
      <c r="H88"/>
      <c r="I88"/>
    </row>
    <row r="89" spans="3:9" ht="14.4" x14ac:dyDescent="0.3">
      <c r="C89"/>
      <c r="D89"/>
      <c r="E89"/>
      <c r="F89"/>
      <c r="G89"/>
      <c r="H89"/>
      <c r="I89"/>
    </row>
    <row r="90" spans="3:9" ht="14.4" x14ac:dyDescent="0.3">
      <c r="C90"/>
      <c r="D90"/>
      <c r="E90"/>
      <c r="F90"/>
      <c r="G90"/>
      <c r="H90"/>
      <c r="I90"/>
    </row>
    <row r="91" spans="3:9" ht="14.4" x14ac:dyDescent="0.3">
      <c r="C91"/>
      <c r="D91"/>
      <c r="E91"/>
      <c r="F91"/>
      <c r="G91"/>
      <c r="H91"/>
      <c r="I91"/>
    </row>
    <row r="92" spans="3:9" ht="14.4" x14ac:dyDescent="0.3">
      <c r="C92"/>
      <c r="D92"/>
      <c r="E92"/>
      <c r="F92"/>
      <c r="G92"/>
      <c r="H92"/>
      <c r="I92"/>
    </row>
    <row r="93" spans="3:9" ht="14.4" x14ac:dyDescent="0.3">
      <c r="C93"/>
      <c r="D93"/>
      <c r="E93"/>
      <c r="F93"/>
      <c r="G93"/>
      <c r="H93"/>
      <c r="I93"/>
    </row>
    <row r="94" spans="3:9" ht="14.4" x14ac:dyDescent="0.3">
      <c r="C94"/>
      <c r="D94"/>
      <c r="E94"/>
      <c r="F94"/>
      <c r="G94"/>
      <c r="H94"/>
      <c r="I94"/>
    </row>
    <row r="95" spans="3:9" ht="14.4" x14ac:dyDescent="0.3">
      <c r="C95"/>
      <c r="D95"/>
      <c r="E95"/>
      <c r="F95"/>
      <c r="G95"/>
      <c r="H95"/>
      <c r="I95"/>
    </row>
    <row r="96" spans="3:9" ht="14.4" x14ac:dyDescent="0.3">
      <c r="C96"/>
      <c r="D96"/>
      <c r="E96"/>
      <c r="F96"/>
      <c r="G96"/>
      <c r="H96"/>
      <c r="I96"/>
    </row>
    <row r="97" spans="3:9" ht="14.4" x14ac:dyDescent="0.3">
      <c r="C97"/>
      <c r="D97"/>
      <c r="E97"/>
      <c r="F97"/>
      <c r="G97"/>
      <c r="H97"/>
      <c r="I97"/>
    </row>
    <row r="98" spans="3:9" ht="14.4" x14ac:dyDescent="0.3">
      <c r="C98"/>
      <c r="D98"/>
      <c r="E98"/>
      <c r="F98"/>
      <c r="G98"/>
      <c r="H98"/>
      <c r="I98"/>
    </row>
    <row r="108" spans="3:9" x14ac:dyDescent="0.25">
      <c r="C108" s="186">
        <v>7</v>
      </c>
      <c r="D108" s="186" t="s">
        <v>2087</v>
      </c>
      <c r="E108" s="11">
        <v>800</v>
      </c>
      <c r="F108" s="11">
        <v>1</v>
      </c>
      <c r="G108" s="117">
        <v>110450</v>
      </c>
      <c r="H108" s="118">
        <f t="shared" ref="H108:H123" si="5">G108*F108</f>
        <v>110450</v>
      </c>
      <c r="I108" s="413">
        <f>SUM(H108:H115)</f>
        <v>803382</v>
      </c>
    </row>
    <row r="109" spans="3:9" x14ac:dyDescent="0.25">
      <c r="C109" s="186"/>
      <c r="D109" s="186"/>
      <c r="E109" s="11">
        <v>315</v>
      </c>
      <c r="F109" s="11">
        <v>4</v>
      </c>
      <c r="G109" s="117">
        <v>60423</v>
      </c>
      <c r="H109" s="118">
        <f t="shared" si="5"/>
        <v>241692</v>
      </c>
      <c r="I109" s="413"/>
    </row>
    <row r="110" spans="3:9" x14ac:dyDescent="0.25">
      <c r="C110" s="186"/>
      <c r="D110" s="186"/>
      <c r="E110" s="11">
        <v>280</v>
      </c>
      <c r="F110" s="11">
        <v>1</v>
      </c>
      <c r="G110" s="117">
        <v>55450</v>
      </c>
      <c r="H110" s="118">
        <f t="shared" si="5"/>
        <v>55450</v>
      </c>
      <c r="I110" s="413"/>
    </row>
    <row r="111" spans="3:9" x14ac:dyDescent="0.25">
      <c r="C111" s="186"/>
      <c r="D111" s="186"/>
      <c r="E111" s="11">
        <v>250</v>
      </c>
      <c r="F111" s="11">
        <v>4</v>
      </c>
      <c r="G111" s="117">
        <v>50875</v>
      </c>
      <c r="H111" s="118">
        <f t="shared" si="5"/>
        <v>203500</v>
      </c>
      <c r="I111" s="413"/>
    </row>
    <row r="112" spans="3:9" x14ac:dyDescent="0.25">
      <c r="C112" s="186"/>
      <c r="D112" s="186"/>
      <c r="E112" s="11">
        <v>225</v>
      </c>
      <c r="F112" s="11">
        <v>4</v>
      </c>
      <c r="G112" s="117">
        <v>25960</v>
      </c>
      <c r="H112" s="118">
        <f t="shared" si="5"/>
        <v>103840</v>
      </c>
      <c r="I112" s="413"/>
    </row>
    <row r="113" spans="3:9" x14ac:dyDescent="0.25">
      <c r="C113" s="186"/>
      <c r="D113" s="186"/>
      <c r="E113" s="11">
        <v>200</v>
      </c>
      <c r="F113" s="11">
        <v>2</v>
      </c>
      <c r="G113" s="117">
        <v>24850</v>
      </c>
      <c r="H113" s="118">
        <f t="shared" si="5"/>
        <v>49700</v>
      </c>
      <c r="I113" s="413"/>
    </row>
    <row r="114" spans="3:9" x14ac:dyDescent="0.25">
      <c r="C114" s="186"/>
      <c r="D114" s="186"/>
      <c r="E114" s="11">
        <v>63</v>
      </c>
      <c r="F114" s="11">
        <v>1</v>
      </c>
      <c r="G114" s="117">
        <v>20000</v>
      </c>
      <c r="H114" s="118">
        <f t="shared" si="5"/>
        <v>20000</v>
      </c>
      <c r="I114" s="413"/>
    </row>
    <row r="115" spans="3:9" x14ac:dyDescent="0.25">
      <c r="C115" s="186"/>
      <c r="D115" s="186"/>
      <c r="E115" s="11">
        <v>40</v>
      </c>
      <c r="F115" s="11">
        <v>1</v>
      </c>
      <c r="G115" s="117">
        <v>18750</v>
      </c>
      <c r="H115" s="118">
        <f t="shared" si="5"/>
        <v>18750</v>
      </c>
      <c r="I115" s="413"/>
    </row>
    <row r="116" spans="3:9" x14ac:dyDescent="0.25">
      <c r="C116" s="186">
        <v>8</v>
      </c>
      <c r="D116" s="186" t="s">
        <v>2088</v>
      </c>
      <c r="E116" s="11">
        <v>800</v>
      </c>
      <c r="F116" s="11">
        <v>1</v>
      </c>
      <c r="G116" s="117">
        <v>100000</v>
      </c>
      <c r="H116" s="118">
        <f t="shared" si="5"/>
        <v>100000</v>
      </c>
      <c r="I116" s="413">
        <f>SUM(H116:H123)</f>
        <v>8068150</v>
      </c>
    </row>
    <row r="117" spans="3:9" x14ac:dyDescent="0.25">
      <c r="C117" s="186"/>
      <c r="D117" s="186"/>
      <c r="E117" s="11">
        <v>315</v>
      </c>
      <c r="F117" s="11">
        <v>4</v>
      </c>
      <c r="G117" s="117">
        <v>675000</v>
      </c>
      <c r="H117" s="118">
        <f t="shared" si="5"/>
        <v>2700000</v>
      </c>
      <c r="I117" s="413"/>
    </row>
    <row r="118" spans="3:9" x14ac:dyDescent="0.25">
      <c r="C118" s="186"/>
      <c r="D118" s="186"/>
      <c r="E118" s="11">
        <v>280</v>
      </c>
      <c r="F118" s="11">
        <v>1</v>
      </c>
      <c r="G118" s="117">
        <v>523000</v>
      </c>
      <c r="H118" s="118">
        <f t="shared" si="5"/>
        <v>523000</v>
      </c>
      <c r="I118" s="413"/>
    </row>
    <row r="119" spans="3:9" x14ac:dyDescent="0.25">
      <c r="C119" s="186"/>
      <c r="D119" s="186"/>
      <c r="E119" s="11">
        <v>250</v>
      </c>
      <c r="F119" s="11">
        <v>4</v>
      </c>
      <c r="G119" s="117">
        <v>480750</v>
      </c>
      <c r="H119" s="118">
        <f t="shared" si="5"/>
        <v>1923000</v>
      </c>
      <c r="I119" s="413"/>
    </row>
    <row r="120" spans="3:9" x14ac:dyDescent="0.25">
      <c r="C120" s="186"/>
      <c r="D120" s="186"/>
      <c r="E120" s="11">
        <v>225</v>
      </c>
      <c r="F120" s="11">
        <v>4</v>
      </c>
      <c r="G120" s="117">
        <v>450000</v>
      </c>
      <c r="H120" s="118">
        <f t="shared" si="5"/>
        <v>1800000</v>
      </c>
      <c r="I120" s="413"/>
    </row>
    <row r="121" spans="3:9" x14ac:dyDescent="0.25">
      <c r="C121" s="186"/>
      <c r="D121" s="186"/>
      <c r="E121" s="11">
        <v>200</v>
      </c>
      <c r="F121" s="11">
        <v>2</v>
      </c>
      <c r="G121" s="117">
        <v>385600</v>
      </c>
      <c r="H121" s="118">
        <f t="shared" si="5"/>
        <v>771200</v>
      </c>
      <c r="I121" s="413"/>
    </row>
    <row r="122" spans="3:9" x14ac:dyDescent="0.25">
      <c r="C122" s="186"/>
      <c r="D122" s="186"/>
      <c r="E122" s="11">
        <v>63</v>
      </c>
      <c r="F122" s="11">
        <v>1</v>
      </c>
      <c r="G122" s="117">
        <v>150450</v>
      </c>
      <c r="H122" s="118">
        <f t="shared" si="5"/>
        <v>150450</v>
      </c>
      <c r="I122" s="413"/>
    </row>
    <row r="123" spans="3:9" x14ac:dyDescent="0.25">
      <c r="C123" s="186"/>
      <c r="D123" s="186"/>
      <c r="E123" s="11">
        <v>40</v>
      </c>
      <c r="F123" s="11">
        <v>1</v>
      </c>
      <c r="G123" s="117">
        <v>100500</v>
      </c>
      <c r="H123" s="118">
        <f t="shared" si="5"/>
        <v>100500</v>
      </c>
      <c r="I123" s="413"/>
    </row>
  </sheetData>
  <mergeCells count="30">
    <mergeCell ref="C70:H70"/>
    <mergeCell ref="C54:C61"/>
    <mergeCell ref="D54:D61"/>
    <mergeCell ref="I54:I61"/>
    <mergeCell ref="C62:C69"/>
    <mergeCell ref="D62:D69"/>
    <mergeCell ref="I62:I69"/>
    <mergeCell ref="C108:C115"/>
    <mergeCell ref="D108:D115"/>
    <mergeCell ref="I108:I115"/>
    <mergeCell ref="C116:C123"/>
    <mergeCell ref="D116:D123"/>
    <mergeCell ref="I116:I123"/>
    <mergeCell ref="C38:C45"/>
    <mergeCell ref="D38:D45"/>
    <mergeCell ref="I38:I45"/>
    <mergeCell ref="D34:D37"/>
    <mergeCell ref="C46:C53"/>
    <mergeCell ref="D46:D53"/>
    <mergeCell ref="I46:I53"/>
    <mergeCell ref="D30:D33"/>
    <mergeCell ref="I30:I33"/>
    <mergeCell ref="C30:C33"/>
    <mergeCell ref="C34:C37"/>
    <mergeCell ref="I34:I37"/>
    <mergeCell ref="C21:I21"/>
    <mergeCell ref="C18:G18"/>
    <mergeCell ref="D23:D29"/>
    <mergeCell ref="C23:C29"/>
    <mergeCell ref="I23:I29"/>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08DFD-A610-493F-A16F-6CF6DE997196}">
  <dimension ref="C3:D10"/>
  <sheetViews>
    <sheetView workbookViewId="0">
      <selection activeCell="C3" sqref="C3:D10"/>
    </sheetView>
  </sheetViews>
  <sheetFormatPr defaultRowHeight="13.8" x14ac:dyDescent="0.25"/>
  <cols>
    <col min="1" max="2" width="8.88671875" style="9"/>
    <col min="3" max="3" width="41.77734375" style="9" customWidth="1"/>
    <col min="4" max="4" width="23.33203125" style="9" customWidth="1"/>
    <col min="5" max="16384" width="8.88671875" style="9"/>
  </cols>
  <sheetData>
    <row r="3" spans="3:4" ht="15.6" x14ac:dyDescent="0.25">
      <c r="C3" s="124" t="s">
        <v>2089</v>
      </c>
      <c r="D3" s="124" t="s">
        <v>64</v>
      </c>
    </row>
    <row r="4" spans="3:4" ht="15.6" x14ac:dyDescent="0.3">
      <c r="C4" s="127" t="s">
        <v>2055</v>
      </c>
      <c r="D4" s="125">
        <f>'RAB Pekerjaan Jaringan'!G26</f>
        <v>12535991765.093555</v>
      </c>
    </row>
    <row r="5" spans="3:4" ht="15.6" x14ac:dyDescent="0.3">
      <c r="C5" s="127" t="s">
        <v>2059</v>
      </c>
      <c r="D5" s="125">
        <f>'RAB Pekerjaan Jaringan'!G11</f>
        <v>6282918804.7306395</v>
      </c>
    </row>
    <row r="6" spans="3:4" ht="15.6" x14ac:dyDescent="0.3">
      <c r="C6" s="127" t="s">
        <v>2090</v>
      </c>
      <c r="D6" s="125">
        <f>'RAB Pipa'!H18</f>
        <v>60270563200</v>
      </c>
    </row>
    <row r="7" spans="3:4" ht="15.6" x14ac:dyDescent="0.3">
      <c r="C7" s="127" t="s">
        <v>2079</v>
      </c>
      <c r="D7" s="125">
        <f>'RAB Pipa'!I70</f>
        <v>186053935</v>
      </c>
    </row>
    <row r="8" spans="3:4" ht="15.6" x14ac:dyDescent="0.25">
      <c r="C8" s="127" t="s">
        <v>2091</v>
      </c>
      <c r="D8" s="126">
        <f>1500000</f>
        <v>1500000</v>
      </c>
    </row>
    <row r="9" spans="3:4" ht="15.6" x14ac:dyDescent="0.25">
      <c r="C9" s="127" t="s">
        <v>2092</v>
      </c>
      <c r="D9" s="126">
        <f>47000</f>
        <v>47000</v>
      </c>
    </row>
    <row r="10" spans="3:4" ht="15.6" x14ac:dyDescent="0.3">
      <c r="C10" s="127" t="s">
        <v>2041</v>
      </c>
      <c r="D10" s="125">
        <f>SUM(D4:D9)</f>
        <v>79277074704.824188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C0523-251D-431A-8EE8-1D77DF862BAE}">
  <dimension ref="B2:G14"/>
  <sheetViews>
    <sheetView workbookViewId="0">
      <selection activeCell="G17" sqref="G17"/>
    </sheetView>
  </sheetViews>
  <sheetFormatPr defaultRowHeight="14.4" x14ac:dyDescent="0.3"/>
  <cols>
    <col min="3" max="3" width="13.6640625" customWidth="1"/>
    <col min="7" max="7" width="20.6640625" customWidth="1"/>
  </cols>
  <sheetData>
    <row r="2" spans="2:7" ht="15" thickBot="1" x14ac:dyDescent="0.35"/>
    <row r="3" spans="2:7" ht="15" thickBot="1" x14ac:dyDescent="0.35">
      <c r="B3" s="166" t="s">
        <v>86</v>
      </c>
      <c r="C3" s="167"/>
      <c r="D3" s="167"/>
      <c r="E3" s="167"/>
      <c r="F3" s="168"/>
    </row>
    <row r="4" spans="2:7" x14ac:dyDescent="0.3">
      <c r="B4" s="169" t="s">
        <v>87</v>
      </c>
      <c r="C4" s="170"/>
      <c r="D4" s="170"/>
      <c r="E4" s="170"/>
      <c r="F4" s="171"/>
    </row>
    <row r="5" spans="2:7" x14ac:dyDescent="0.3">
      <c r="B5" s="169" t="s">
        <v>88</v>
      </c>
      <c r="C5" s="170"/>
      <c r="D5" s="170"/>
      <c r="E5" s="170"/>
      <c r="F5" s="171"/>
    </row>
    <row r="6" spans="2:7" x14ac:dyDescent="0.3">
      <c r="B6" s="172" t="s">
        <v>89</v>
      </c>
      <c r="C6" s="173"/>
      <c r="D6" s="173"/>
      <c r="E6" s="173"/>
      <c r="F6" s="174"/>
    </row>
    <row r="7" spans="2:7" x14ac:dyDescent="0.3">
      <c r="B7" s="172"/>
      <c r="C7" s="173"/>
      <c r="D7" s="173"/>
      <c r="E7" s="173"/>
      <c r="F7" s="174"/>
    </row>
    <row r="8" spans="2:7" ht="15" thickBot="1" x14ac:dyDescent="0.35">
      <c r="B8" s="175" t="s">
        <v>90</v>
      </c>
      <c r="C8" s="176"/>
      <c r="D8" s="176"/>
      <c r="E8" s="176"/>
      <c r="F8" s="177"/>
    </row>
    <row r="12" spans="2:7" x14ac:dyDescent="0.3">
      <c r="B12" s="165" t="s">
        <v>81</v>
      </c>
      <c r="C12" s="165"/>
      <c r="F12" s="165" t="s">
        <v>82</v>
      </c>
      <c r="G12" s="165"/>
    </row>
    <row r="13" spans="2:7" x14ac:dyDescent="0.3">
      <c r="B13" s="26">
        <v>1</v>
      </c>
      <c r="C13" s="27" t="s">
        <v>9</v>
      </c>
      <c r="F13" s="4">
        <v>1</v>
      </c>
      <c r="G13" s="5" t="s">
        <v>17</v>
      </c>
    </row>
    <row r="14" spans="2:7" x14ac:dyDescent="0.3">
      <c r="B14" s="4">
        <v>2</v>
      </c>
      <c r="C14" s="5" t="s">
        <v>11</v>
      </c>
    </row>
  </sheetData>
  <mergeCells count="7">
    <mergeCell ref="B12:C12"/>
    <mergeCell ref="F12:G12"/>
    <mergeCell ref="B3:F3"/>
    <mergeCell ref="B4:F4"/>
    <mergeCell ref="B5:F5"/>
    <mergeCell ref="B6:F7"/>
    <mergeCell ref="B8:F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F0489-092F-4B27-AA64-8601EE4BCD75}">
  <dimension ref="A2:AG95"/>
  <sheetViews>
    <sheetView topLeftCell="A55" zoomScale="85" zoomScaleNormal="85" workbookViewId="0">
      <selection activeCell="B61" sqref="B61:C94"/>
    </sheetView>
  </sheetViews>
  <sheetFormatPr defaultRowHeight="13.8" x14ac:dyDescent="0.25"/>
  <cols>
    <col min="1" max="1" width="8.88671875" style="9"/>
    <col min="2" max="2" width="10.88671875" style="9" customWidth="1"/>
    <col min="3" max="3" width="22.6640625" style="9" customWidth="1"/>
    <col min="4" max="4" width="18.77734375" style="9" customWidth="1"/>
    <col min="5" max="5" width="9.109375" style="9" customWidth="1"/>
    <col min="6" max="6" width="23.6640625" style="9" customWidth="1"/>
    <col min="7" max="9" width="8.88671875" style="9"/>
    <col min="10" max="10" width="11.44140625" style="9" customWidth="1"/>
    <col min="11" max="11" width="8.88671875" style="9"/>
    <col min="12" max="12" width="23.44140625" style="9" customWidth="1"/>
    <col min="13" max="15" width="8.88671875" style="9"/>
    <col min="16" max="16" width="14.5546875" style="9" customWidth="1"/>
    <col min="17" max="17" width="8.88671875" style="9"/>
    <col min="18" max="18" width="17.88671875" style="9" customWidth="1"/>
    <col min="19" max="26" width="8.88671875" style="9"/>
    <col min="27" max="27" width="12.77734375" style="9" customWidth="1"/>
    <col min="28" max="28" width="8.88671875" style="9"/>
    <col min="29" max="29" width="16.33203125" style="9" customWidth="1"/>
    <col min="30" max="16384" width="8.88671875" style="9"/>
  </cols>
  <sheetData>
    <row r="2" spans="1:12" ht="14.4" x14ac:dyDescent="0.3">
      <c r="A2" s="23">
        <v>1</v>
      </c>
      <c r="B2" s="24" t="s">
        <v>85</v>
      </c>
      <c r="C2"/>
      <c r="D2"/>
      <c r="E2"/>
      <c r="F2"/>
      <c r="H2"/>
    </row>
    <row r="3" spans="1:12" ht="14.4" x14ac:dyDescent="0.3">
      <c r="A3"/>
      <c r="B3" s="25" t="s">
        <v>365</v>
      </c>
      <c r="C3" s="24"/>
      <c r="D3" s="24"/>
      <c r="E3" s="24"/>
      <c r="F3" s="24"/>
      <c r="H3" s="24"/>
    </row>
    <row r="5" spans="1:12" x14ac:dyDescent="0.25">
      <c r="B5" s="206" t="s">
        <v>40</v>
      </c>
      <c r="C5" s="209" t="s">
        <v>41</v>
      </c>
      <c r="D5" s="211" t="s">
        <v>42</v>
      </c>
      <c r="E5" s="212"/>
      <c r="F5" s="212"/>
      <c r="G5" s="212"/>
      <c r="H5" s="212"/>
    </row>
    <row r="6" spans="1:12" ht="14.4" x14ac:dyDescent="0.3">
      <c r="B6" s="207"/>
      <c r="C6" s="210"/>
      <c r="D6" s="211" t="s">
        <v>43</v>
      </c>
      <c r="E6" s="212"/>
      <c r="F6" s="212" t="s">
        <v>44</v>
      </c>
      <c r="G6" s="212" t="s">
        <v>45</v>
      </c>
      <c r="H6" s="212"/>
      <c r="K6"/>
      <c r="L6"/>
    </row>
    <row r="7" spans="1:12" ht="14.4" x14ac:dyDescent="0.3">
      <c r="B7" s="208"/>
      <c r="C7" s="210"/>
      <c r="D7" s="211"/>
      <c r="E7" s="212"/>
      <c r="F7" s="212"/>
      <c r="G7" s="212"/>
      <c r="H7" s="212"/>
      <c r="K7"/>
      <c r="L7"/>
    </row>
    <row r="8" spans="1:12" ht="14.4" x14ac:dyDescent="0.3">
      <c r="B8" s="10">
        <v>2014</v>
      </c>
      <c r="C8" s="11">
        <f>163213+138366</f>
        <v>301579</v>
      </c>
      <c r="D8" s="199"/>
      <c r="E8" s="200"/>
      <c r="F8" s="12"/>
      <c r="G8" s="201"/>
      <c r="H8" s="201"/>
      <c r="K8"/>
      <c r="L8"/>
    </row>
    <row r="9" spans="1:12" ht="14.4" x14ac:dyDescent="0.3">
      <c r="B9" s="10">
        <v>2015</v>
      </c>
      <c r="C9" s="11">
        <f>163828+138891</f>
        <v>302719</v>
      </c>
      <c r="D9" s="199">
        <f>C9-C8</f>
        <v>1140</v>
      </c>
      <c r="E9" s="200"/>
      <c r="F9" s="12">
        <f t="shared" ref="F9:F16" si="0">((C9-C8)/C8)</f>
        <v>3.7801040523378618E-3</v>
      </c>
      <c r="G9" s="201">
        <f t="shared" ref="G9:G16" si="1">((C9-C8)/C8)</f>
        <v>3.7801040523378618E-3</v>
      </c>
      <c r="H9" s="201"/>
      <c r="K9"/>
      <c r="L9"/>
    </row>
    <row r="10" spans="1:12" ht="14.4" x14ac:dyDescent="0.3">
      <c r="B10" s="10">
        <v>2016</v>
      </c>
      <c r="C10" s="11">
        <f>164548+139502</f>
        <v>304050</v>
      </c>
      <c r="D10" s="199">
        <f t="shared" ref="D10:D16" si="2">C10-C9</f>
        <v>1331</v>
      </c>
      <c r="E10" s="200"/>
      <c r="F10" s="12">
        <f t="shared" si="0"/>
        <v>4.3968168499499537E-3</v>
      </c>
      <c r="G10" s="201">
        <f t="shared" si="1"/>
        <v>4.3968168499499537E-3</v>
      </c>
      <c r="H10" s="201"/>
      <c r="K10"/>
      <c r="L10"/>
    </row>
    <row r="11" spans="1:12" ht="14.4" x14ac:dyDescent="0.3">
      <c r="B11" s="10">
        <v>2017</v>
      </c>
      <c r="C11" s="11">
        <f>164753+139709</f>
        <v>304462</v>
      </c>
      <c r="D11" s="199">
        <f t="shared" si="2"/>
        <v>412</v>
      </c>
      <c r="E11" s="200"/>
      <c r="F11" s="12">
        <f t="shared" si="0"/>
        <v>1.3550402894260813E-3</v>
      </c>
      <c r="G11" s="201">
        <f t="shared" si="1"/>
        <v>1.3550402894260813E-3</v>
      </c>
      <c r="H11" s="201"/>
      <c r="K11"/>
      <c r="L11"/>
    </row>
    <row r="12" spans="1:12" ht="14.4" x14ac:dyDescent="0.3">
      <c r="B12" s="10">
        <v>2018</v>
      </c>
      <c r="C12" s="11">
        <f>165062+139981</f>
        <v>305043</v>
      </c>
      <c r="D12" s="199">
        <f>C12-C11</f>
        <v>581</v>
      </c>
      <c r="E12" s="200"/>
      <c r="F12" s="12">
        <f t="shared" si="0"/>
        <v>1.9082841208426667E-3</v>
      </c>
      <c r="G12" s="201">
        <f>((C12-C11)/C11)</f>
        <v>1.9082841208426667E-3</v>
      </c>
      <c r="H12" s="201"/>
      <c r="K12"/>
      <c r="L12"/>
    </row>
    <row r="13" spans="1:12" ht="14.4" x14ac:dyDescent="0.3">
      <c r="B13" s="10">
        <v>2019</v>
      </c>
      <c r="C13" s="11">
        <f>168851+153643</f>
        <v>322494</v>
      </c>
      <c r="D13" s="199">
        <f>C13-C12</f>
        <v>17451</v>
      </c>
      <c r="E13" s="200"/>
      <c r="F13" s="12">
        <f t="shared" si="0"/>
        <v>5.7208328006215517E-2</v>
      </c>
      <c r="G13" s="201">
        <f t="shared" si="1"/>
        <v>5.7208328006215517E-2</v>
      </c>
      <c r="H13" s="201"/>
      <c r="K13"/>
      <c r="L13"/>
    </row>
    <row r="14" spans="1:12" ht="14.4" x14ac:dyDescent="0.3">
      <c r="B14" s="10">
        <v>2020</v>
      </c>
      <c r="C14" s="11">
        <f>173265+164367</f>
        <v>337632</v>
      </c>
      <c r="D14" s="199">
        <f>C14-C13</f>
        <v>15138</v>
      </c>
      <c r="E14" s="200"/>
      <c r="F14" s="12">
        <f t="shared" si="0"/>
        <v>4.6940408193640815E-2</v>
      </c>
      <c r="G14" s="201">
        <f t="shared" si="1"/>
        <v>4.6940408193640815E-2</v>
      </c>
      <c r="H14" s="201"/>
      <c r="K14"/>
      <c r="L14"/>
    </row>
    <row r="15" spans="1:12" ht="14.4" x14ac:dyDescent="0.3">
      <c r="B15" s="10">
        <v>2021</v>
      </c>
      <c r="C15" s="11">
        <f>174587+167398</f>
        <v>341985</v>
      </c>
      <c r="D15" s="199">
        <f t="shared" si="2"/>
        <v>4353</v>
      </c>
      <c r="E15" s="200"/>
      <c r="F15" s="12">
        <f t="shared" si="0"/>
        <v>1.2892735285754905E-2</v>
      </c>
      <c r="G15" s="201">
        <f t="shared" si="1"/>
        <v>1.2892735285754905E-2</v>
      </c>
      <c r="H15" s="201"/>
      <c r="K15"/>
      <c r="L15"/>
    </row>
    <row r="16" spans="1:12" ht="14.4" x14ac:dyDescent="0.3">
      <c r="B16" s="13">
        <v>2022</v>
      </c>
      <c r="C16" s="11">
        <f>176368+170927</f>
        <v>347295</v>
      </c>
      <c r="D16" s="202">
        <f t="shared" si="2"/>
        <v>5310</v>
      </c>
      <c r="E16" s="199"/>
      <c r="F16" s="12">
        <f t="shared" si="0"/>
        <v>1.552699679810518E-2</v>
      </c>
      <c r="G16" s="203">
        <f t="shared" si="1"/>
        <v>1.552699679810518E-2</v>
      </c>
      <c r="H16" s="204"/>
      <c r="K16"/>
      <c r="L16"/>
    </row>
    <row r="17" spans="2:33" ht="14.4" x14ac:dyDescent="0.3">
      <c r="B17" s="196" t="s">
        <v>46</v>
      </c>
      <c r="C17" s="198"/>
      <c r="D17" s="205">
        <f>AVERAGE(D8:E16)</f>
        <v>5714.5</v>
      </c>
      <c r="E17" s="205"/>
      <c r="F17" s="12">
        <f>AVERAGE(F8:F16)</f>
        <v>1.8001089199534123E-2</v>
      </c>
      <c r="G17" s="201">
        <f>AVERAGE(G8:H16)</f>
        <v>1.8001089199534123E-2</v>
      </c>
      <c r="H17" s="201"/>
      <c r="K17"/>
      <c r="L17"/>
    </row>
    <row r="19" spans="2:33" x14ac:dyDescent="0.25">
      <c r="D19" s="15"/>
      <c r="E19" s="16"/>
    </row>
    <row r="20" spans="2:33" x14ac:dyDescent="0.25">
      <c r="E20" s="17"/>
    </row>
    <row r="21" spans="2:33" x14ac:dyDescent="0.25">
      <c r="B21" s="195" t="s">
        <v>47</v>
      </c>
      <c r="C21" s="195"/>
      <c r="D21" s="195"/>
      <c r="E21" s="195"/>
      <c r="F21" s="195"/>
      <c r="H21" s="195" t="s">
        <v>48</v>
      </c>
      <c r="I21" s="195"/>
      <c r="J21" s="195"/>
      <c r="K21" s="195"/>
      <c r="L21" s="195"/>
      <c r="N21" s="195" t="s">
        <v>49</v>
      </c>
      <c r="O21" s="195"/>
      <c r="P21" s="195"/>
      <c r="Q21" s="195"/>
      <c r="R21" s="195"/>
    </row>
    <row r="22" spans="2:33" ht="14.4" x14ac:dyDescent="0.3">
      <c r="B22" s="188" t="s">
        <v>2</v>
      </c>
      <c r="C22" s="188" t="s">
        <v>40</v>
      </c>
      <c r="D22" s="188" t="s">
        <v>50</v>
      </c>
      <c r="E22" s="188" t="s">
        <v>51</v>
      </c>
      <c r="F22" s="188" t="s">
        <v>52</v>
      </c>
      <c r="H22" s="188" t="s">
        <v>2</v>
      </c>
      <c r="I22" s="188" t="s">
        <v>40</v>
      </c>
      <c r="J22" s="188" t="s">
        <v>50</v>
      </c>
      <c r="K22" s="188" t="s">
        <v>51</v>
      </c>
      <c r="L22" s="188" t="s">
        <v>53</v>
      </c>
      <c r="N22" s="188" t="s">
        <v>2</v>
      </c>
      <c r="O22" s="188" t="s">
        <v>40</v>
      </c>
      <c r="P22" s="188" t="s">
        <v>50</v>
      </c>
      <c r="Q22" s="188" t="s">
        <v>51</v>
      </c>
      <c r="R22" s="188" t="s">
        <v>54</v>
      </c>
      <c r="AF22"/>
      <c r="AG22"/>
    </row>
    <row r="23" spans="2:33" ht="14.4" x14ac:dyDescent="0.3">
      <c r="B23" s="189"/>
      <c r="C23" s="189"/>
      <c r="D23" s="189"/>
      <c r="E23" s="189"/>
      <c r="F23" s="189"/>
      <c r="H23" s="189"/>
      <c r="I23" s="189"/>
      <c r="J23" s="189"/>
      <c r="K23" s="189"/>
      <c r="L23" s="189"/>
      <c r="N23" s="189"/>
      <c r="O23" s="189"/>
      <c r="P23" s="189"/>
      <c r="Q23" s="189"/>
      <c r="R23" s="189"/>
      <c r="AF23"/>
      <c r="AG23"/>
    </row>
    <row r="24" spans="2:33" ht="14.4" x14ac:dyDescent="0.3">
      <c r="B24" s="18">
        <v>1</v>
      </c>
      <c r="C24" s="11">
        <v>2014</v>
      </c>
      <c r="D24" s="11">
        <f>163213+138366</f>
        <v>301579</v>
      </c>
      <c r="E24" s="18">
        <v>-8</v>
      </c>
      <c r="F24" s="14">
        <f>D32*((1+F17)^-8)</f>
        <v>301101.27149881143</v>
      </c>
      <c r="H24" s="18">
        <v>1</v>
      </c>
      <c r="I24" s="11">
        <v>2014</v>
      </c>
      <c r="J24" s="11">
        <f>163213+138366</f>
        <v>301579</v>
      </c>
      <c r="K24" s="18">
        <v>-8</v>
      </c>
      <c r="L24" s="14">
        <f>J32*EXP(G17*-8)</f>
        <v>300715.8651341637</v>
      </c>
      <c r="N24" s="18">
        <v>1</v>
      </c>
      <c r="O24" s="11">
        <v>2014</v>
      </c>
      <c r="P24" s="11">
        <f>163213+138366</f>
        <v>301579</v>
      </c>
      <c r="Q24" s="18">
        <v>-8</v>
      </c>
      <c r="R24" s="14">
        <f>P32+(-8*D17)</f>
        <v>301579</v>
      </c>
      <c r="AF24"/>
      <c r="AG24"/>
    </row>
    <row r="25" spans="2:33" ht="14.4" x14ac:dyDescent="0.3">
      <c r="B25" s="18">
        <v>2</v>
      </c>
      <c r="C25" s="11">
        <v>2015</v>
      </c>
      <c r="D25" s="11">
        <f>163828+138891</f>
        <v>302719</v>
      </c>
      <c r="E25" s="18">
        <v>-7</v>
      </c>
      <c r="F25" s="14">
        <f>D32*((1+F17)^-7)</f>
        <v>306521.42234515469</v>
      </c>
      <c r="H25" s="18">
        <v>2</v>
      </c>
      <c r="I25" s="11">
        <v>2015</v>
      </c>
      <c r="J25" s="11">
        <f>163828+138891</f>
        <v>302719</v>
      </c>
      <c r="K25" s="18">
        <v>-7</v>
      </c>
      <c r="L25" s="14">
        <f>J32*EXP(G17*-7)</f>
        <v>306178.09378148743</v>
      </c>
      <c r="N25" s="18">
        <v>2</v>
      </c>
      <c r="O25" s="11">
        <v>2015</v>
      </c>
      <c r="P25" s="11">
        <f>163828+138891</f>
        <v>302719</v>
      </c>
      <c r="Q25" s="18">
        <v>-7</v>
      </c>
      <c r="R25" s="14">
        <f>P32+(-7*D17)</f>
        <v>307293.5</v>
      </c>
      <c r="AF25"/>
      <c r="AG25"/>
    </row>
    <row r="26" spans="2:33" ht="14.4" x14ac:dyDescent="0.3">
      <c r="B26" s="18">
        <v>3</v>
      </c>
      <c r="C26" s="11">
        <v>2016</v>
      </c>
      <c r="D26" s="11">
        <f>164548+139502</f>
        <v>304050</v>
      </c>
      <c r="E26" s="18">
        <v>-6</v>
      </c>
      <c r="F26" s="14">
        <f>D32*((1+F17)^-6)</f>
        <v>312039.14181035792</v>
      </c>
      <c r="H26" s="18">
        <v>3</v>
      </c>
      <c r="I26" s="11">
        <v>2016</v>
      </c>
      <c r="J26" s="11">
        <f>164548+139502</f>
        <v>304050</v>
      </c>
      <c r="K26" s="18">
        <v>-6</v>
      </c>
      <c r="L26" s="14">
        <f>J32*EXP(G17*-6)</f>
        <v>311739.53881628817</v>
      </c>
      <c r="N26" s="18">
        <v>3</v>
      </c>
      <c r="O26" s="11">
        <v>2016</v>
      </c>
      <c r="P26" s="11">
        <f>164548+139502</f>
        <v>304050</v>
      </c>
      <c r="Q26" s="18">
        <v>-6</v>
      </c>
      <c r="R26" s="14">
        <f>P32+(-6*D17)</f>
        <v>313008</v>
      </c>
      <c r="AF26"/>
      <c r="AG26"/>
    </row>
    <row r="27" spans="2:33" ht="14.4" x14ac:dyDescent="0.3">
      <c r="B27" s="18">
        <v>4</v>
      </c>
      <c r="C27" s="11">
        <v>2017</v>
      </c>
      <c r="D27" s="11">
        <f>164753+139709</f>
        <v>304462</v>
      </c>
      <c r="E27" s="18">
        <v>-5</v>
      </c>
      <c r="F27" s="14">
        <f>D32*((1+F17)^-5)</f>
        <v>317656.18623583223</v>
      </c>
      <c r="H27" s="18">
        <v>4</v>
      </c>
      <c r="I27" s="11">
        <v>2017</v>
      </c>
      <c r="J27" s="11">
        <f>164753+139709</f>
        <v>304462</v>
      </c>
      <c r="K27" s="18">
        <v>-5</v>
      </c>
      <c r="L27" s="14">
        <f>J32*EXP(G17*-5)</f>
        <v>317402.00241349853</v>
      </c>
      <c r="N27" s="18">
        <v>4</v>
      </c>
      <c r="O27" s="11">
        <v>2017</v>
      </c>
      <c r="P27" s="11">
        <f>164753+139709</f>
        <v>304462</v>
      </c>
      <c r="Q27" s="18">
        <v>-5</v>
      </c>
      <c r="R27" s="14">
        <f>P32+(-5*D17)</f>
        <v>318722.5</v>
      </c>
      <c r="AF27"/>
      <c r="AG27"/>
    </row>
    <row r="28" spans="2:33" ht="14.4" x14ac:dyDescent="0.3">
      <c r="B28" s="18">
        <v>5</v>
      </c>
      <c r="C28" s="11">
        <v>2018</v>
      </c>
      <c r="D28" s="11">
        <f>165062+139981</f>
        <v>305043</v>
      </c>
      <c r="E28" s="18">
        <v>-4</v>
      </c>
      <c r="F28" s="14">
        <f>D32*((1+F17)^-4)</f>
        <v>323374.3435790473</v>
      </c>
      <c r="H28" s="18">
        <v>5</v>
      </c>
      <c r="I28" s="11">
        <v>2018</v>
      </c>
      <c r="J28" s="11">
        <f>165062+139981</f>
        <v>305043</v>
      </c>
      <c r="K28" s="18">
        <v>-4</v>
      </c>
      <c r="L28" s="14">
        <f>J32*EXP(G17*-4)</f>
        <v>323167.31948291027</v>
      </c>
      <c r="N28" s="18">
        <v>5</v>
      </c>
      <c r="O28" s="11">
        <v>2018</v>
      </c>
      <c r="P28" s="11">
        <f>165062+139981</f>
        <v>305043</v>
      </c>
      <c r="Q28" s="18">
        <v>-4</v>
      </c>
      <c r="R28" s="14">
        <f>P32+(-4*D17)</f>
        <v>324437</v>
      </c>
      <c r="AF28"/>
      <c r="AG28"/>
    </row>
    <row r="29" spans="2:33" ht="14.4" x14ac:dyDescent="0.3">
      <c r="B29" s="18">
        <v>6</v>
      </c>
      <c r="C29" s="11">
        <v>2019</v>
      </c>
      <c r="D29" s="11">
        <f>168851+153643</f>
        <v>322494</v>
      </c>
      <c r="E29" s="18">
        <v>-3</v>
      </c>
      <c r="F29" s="14">
        <f>D32*((1+F17)^-3)</f>
        <v>329195.43398265453</v>
      </c>
      <c r="H29" s="18">
        <v>6</v>
      </c>
      <c r="I29" s="11">
        <v>2019</v>
      </c>
      <c r="J29" s="11">
        <f>168851+153643</f>
        <v>322494</v>
      </c>
      <c r="K29" s="18">
        <v>-3</v>
      </c>
      <c r="L29" s="14">
        <f>J32*EXP(G17*-3)</f>
        <v>329037.35826377344</v>
      </c>
      <c r="N29" s="18">
        <v>6</v>
      </c>
      <c r="O29" s="11">
        <v>2019</v>
      </c>
      <c r="P29" s="11">
        <f>168851+153643</f>
        <v>322494</v>
      </c>
      <c r="Q29" s="18">
        <v>-3</v>
      </c>
      <c r="R29" s="14">
        <f>P32+(-3*D17)</f>
        <v>330151.5</v>
      </c>
      <c r="AF29"/>
      <c r="AG29"/>
    </row>
    <row r="30" spans="2:33" ht="14.4" x14ac:dyDescent="0.3">
      <c r="B30" s="18">
        <v>7</v>
      </c>
      <c r="C30" s="11">
        <v>2020</v>
      </c>
      <c r="D30" s="11">
        <f>173265+164367</f>
        <v>337632</v>
      </c>
      <c r="E30" s="18">
        <v>-2</v>
      </c>
      <c r="F30" s="14">
        <f>D32*((1+F17)^-2)</f>
        <v>335121.31035385566</v>
      </c>
      <c r="H30" s="18">
        <v>7</v>
      </c>
      <c r="I30" s="11">
        <v>2020</v>
      </c>
      <c r="J30" s="11">
        <f>173265+164367</f>
        <v>337632</v>
      </c>
      <c r="K30" s="18">
        <v>-2</v>
      </c>
      <c r="L30" s="14">
        <f>J32*EXP(G17*-2)</f>
        <v>335014.02093019529</v>
      </c>
      <c r="N30" s="18">
        <v>7</v>
      </c>
      <c r="O30" s="11">
        <v>2020</v>
      </c>
      <c r="P30" s="11">
        <f>173265+164367</f>
        <v>337632</v>
      </c>
      <c r="Q30" s="18">
        <v>-2</v>
      </c>
      <c r="R30" s="14">
        <f>P32+(-2*D17)</f>
        <v>335866</v>
      </c>
      <c r="AF30"/>
      <c r="AG30"/>
    </row>
    <row r="31" spans="2:33" ht="14.4" x14ac:dyDescent="0.3">
      <c r="B31" s="18">
        <v>8</v>
      </c>
      <c r="C31" s="11">
        <v>2021</v>
      </c>
      <c r="D31" s="11">
        <f>174587+167398</f>
        <v>341985</v>
      </c>
      <c r="E31" s="18">
        <v>-1</v>
      </c>
      <c r="F31" s="14">
        <f>D32*((1+F17)^-1)</f>
        <v>341153.85895420017</v>
      </c>
      <c r="H31" s="18">
        <v>8</v>
      </c>
      <c r="I31" s="11">
        <v>2021</v>
      </c>
      <c r="J31" s="11">
        <f>174587+167398</f>
        <v>341985</v>
      </c>
      <c r="K31" s="18">
        <v>-1</v>
      </c>
      <c r="L31" s="14">
        <f>J32*EXP(G17*-1)</f>
        <v>341099.24420753581</v>
      </c>
      <c r="N31" s="18">
        <v>8</v>
      </c>
      <c r="O31" s="11">
        <v>2021</v>
      </c>
      <c r="P31" s="11">
        <f>174587+167398</f>
        <v>341985</v>
      </c>
      <c r="Q31" s="18">
        <v>-1</v>
      </c>
      <c r="R31" s="14">
        <f>P32+(-1*D17)</f>
        <v>341580.5</v>
      </c>
      <c r="AF31"/>
      <c r="AG31"/>
    </row>
    <row r="32" spans="2:33" ht="14.4" x14ac:dyDescent="0.3">
      <c r="B32" s="18">
        <v>9</v>
      </c>
      <c r="C32" s="11">
        <v>2022</v>
      </c>
      <c r="D32" s="11">
        <f>176368+170927</f>
        <v>347295</v>
      </c>
      <c r="E32" s="18">
        <v>0</v>
      </c>
      <c r="F32" s="14">
        <f>D32</f>
        <v>347295</v>
      </c>
      <c r="H32" s="18">
        <v>9</v>
      </c>
      <c r="I32" s="11">
        <v>2022</v>
      </c>
      <c r="J32" s="11">
        <f>176368+170927</f>
        <v>347295</v>
      </c>
      <c r="K32" s="18">
        <v>0</v>
      </c>
      <c r="L32" s="14">
        <f>J32</f>
        <v>347295</v>
      </c>
      <c r="N32" s="18">
        <v>9</v>
      </c>
      <c r="O32" s="11">
        <v>2022</v>
      </c>
      <c r="P32" s="11">
        <f>176368+170927</f>
        <v>347295</v>
      </c>
      <c r="Q32" s="18">
        <v>0</v>
      </c>
      <c r="R32" s="14">
        <f>P32</f>
        <v>347295</v>
      </c>
      <c r="AF32"/>
      <c r="AG32"/>
    </row>
    <row r="33" spans="2:33" ht="14.4" x14ac:dyDescent="0.3">
      <c r="AF33"/>
      <c r="AG33"/>
    </row>
    <row r="35" spans="2:33" x14ac:dyDescent="0.25">
      <c r="B35" s="195" t="s">
        <v>55</v>
      </c>
      <c r="C35" s="195"/>
      <c r="D35" s="195"/>
      <c r="E35" s="195"/>
      <c r="F35" s="195"/>
      <c r="G35" s="195"/>
      <c r="H35" s="195"/>
      <c r="I35" s="195"/>
      <c r="J35" s="195"/>
      <c r="N35" s="195" t="s">
        <v>56</v>
      </c>
      <c r="O35" s="195"/>
      <c r="P35" s="195"/>
      <c r="Q35" s="195"/>
      <c r="R35" s="195"/>
      <c r="S35" s="195"/>
      <c r="T35" s="195"/>
      <c r="U35" s="195"/>
      <c r="V35" s="195"/>
      <c r="Y35" s="196" t="s">
        <v>57</v>
      </c>
      <c r="Z35" s="197"/>
      <c r="AA35" s="197"/>
      <c r="AB35" s="197"/>
      <c r="AC35" s="197"/>
      <c r="AD35" s="197"/>
      <c r="AE35" s="197"/>
      <c r="AF35" s="197"/>
      <c r="AG35" s="198"/>
    </row>
    <row r="36" spans="2:33" ht="14.4" customHeight="1" x14ac:dyDescent="0.25">
      <c r="B36" s="194" t="s">
        <v>2</v>
      </c>
      <c r="C36" s="194" t="s">
        <v>40</v>
      </c>
      <c r="D36" s="194" t="s">
        <v>50</v>
      </c>
      <c r="E36" s="194" t="s">
        <v>58</v>
      </c>
      <c r="F36" s="194" t="s">
        <v>59</v>
      </c>
      <c r="G36" s="186" t="s">
        <v>60</v>
      </c>
      <c r="H36" s="186"/>
      <c r="I36" s="186" t="s">
        <v>61</v>
      </c>
      <c r="J36" s="186"/>
      <c r="N36" s="194" t="s">
        <v>2</v>
      </c>
      <c r="O36" s="194" t="s">
        <v>40</v>
      </c>
      <c r="P36" s="194" t="s">
        <v>50</v>
      </c>
      <c r="Q36" s="194" t="s">
        <v>58</v>
      </c>
      <c r="R36" s="194" t="s">
        <v>62</v>
      </c>
      <c r="S36" s="186" t="s">
        <v>60</v>
      </c>
      <c r="T36" s="186"/>
      <c r="U36" s="186" t="s">
        <v>61</v>
      </c>
      <c r="V36" s="186"/>
      <c r="Y36" s="188" t="s">
        <v>2</v>
      </c>
      <c r="Z36" s="188" t="s">
        <v>40</v>
      </c>
      <c r="AA36" s="188" t="s">
        <v>50</v>
      </c>
      <c r="AB36" s="188" t="s">
        <v>58</v>
      </c>
      <c r="AC36" s="188" t="s">
        <v>63</v>
      </c>
      <c r="AD36" s="190" t="s">
        <v>60</v>
      </c>
      <c r="AE36" s="191"/>
      <c r="AF36" s="190" t="s">
        <v>61</v>
      </c>
      <c r="AG36" s="191"/>
    </row>
    <row r="37" spans="2:33" x14ac:dyDescent="0.25">
      <c r="B37" s="194"/>
      <c r="C37" s="194"/>
      <c r="D37" s="194"/>
      <c r="E37" s="194"/>
      <c r="F37" s="194"/>
      <c r="G37" s="186"/>
      <c r="H37" s="186"/>
      <c r="I37" s="186"/>
      <c r="J37" s="186"/>
      <c r="N37" s="194"/>
      <c r="O37" s="194"/>
      <c r="P37" s="194"/>
      <c r="Q37" s="194"/>
      <c r="R37" s="194"/>
      <c r="S37" s="186"/>
      <c r="T37" s="186"/>
      <c r="U37" s="186"/>
      <c r="V37" s="186"/>
      <c r="Y37" s="189"/>
      <c r="Z37" s="189"/>
      <c r="AA37" s="189"/>
      <c r="AB37" s="189"/>
      <c r="AC37" s="189"/>
      <c r="AD37" s="192"/>
      <c r="AE37" s="193"/>
      <c r="AF37" s="192"/>
      <c r="AG37" s="193"/>
    </row>
    <row r="38" spans="2:33" x14ac:dyDescent="0.25">
      <c r="B38" s="11">
        <v>1</v>
      </c>
      <c r="C38" s="10">
        <v>2014</v>
      </c>
      <c r="D38" s="11">
        <f>163213+138366</f>
        <v>301579</v>
      </c>
      <c r="E38" s="11">
        <v>1</v>
      </c>
      <c r="F38" s="19">
        <f>F24</f>
        <v>301101.27149881143</v>
      </c>
      <c r="G38" s="187">
        <f t="shared" ref="G38:G46" si="3">ABS(F38-$D$48)</f>
        <v>17483.061834521883</v>
      </c>
      <c r="H38" s="186"/>
      <c r="I38" s="187">
        <f>(G38)^2</f>
        <v>305657451.10971564</v>
      </c>
      <c r="J38" s="186"/>
      <c r="N38" s="11">
        <v>1</v>
      </c>
      <c r="O38" s="10">
        <v>2014</v>
      </c>
      <c r="P38" s="11">
        <f>163213+138366</f>
        <v>301579</v>
      </c>
      <c r="Q38" s="11">
        <v>1</v>
      </c>
      <c r="R38" s="14">
        <f>L24</f>
        <v>300715.8651341637</v>
      </c>
      <c r="S38" s="187">
        <f t="shared" ref="S38:S46" si="4">ABS(R38-$D$48)</f>
        <v>17868.468199169612</v>
      </c>
      <c r="T38" s="186"/>
      <c r="U38" s="187">
        <f>(S38)^2</f>
        <v>319282155.78473574</v>
      </c>
      <c r="V38" s="186"/>
      <c r="Y38" s="11">
        <v>1</v>
      </c>
      <c r="Z38" s="10">
        <v>2014</v>
      </c>
      <c r="AA38" s="11">
        <f>163213+138366</f>
        <v>301579</v>
      </c>
      <c r="AB38" s="11">
        <v>1</v>
      </c>
      <c r="AC38" s="14">
        <f>R24</f>
        <v>301579</v>
      </c>
      <c r="AD38" s="184">
        <f t="shared" ref="AD38:AD46" si="5">ABS(AC38-$D$48)</f>
        <v>17005.333333333314</v>
      </c>
      <c r="AE38" s="185"/>
      <c r="AF38" s="184">
        <f>(AD38)^2</f>
        <v>289181361.77777714</v>
      </c>
      <c r="AG38" s="185"/>
    </row>
    <row r="39" spans="2:33" x14ac:dyDescent="0.25">
      <c r="B39" s="11">
        <v>2</v>
      </c>
      <c r="C39" s="10">
        <v>2015</v>
      </c>
      <c r="D39" s="11">
        <f>163828+138891</f>
        <v>302719</v>
      </c>
      <c r="E39" s="11">
        <v>2</v>
      </c>
      <c r="F39" s="19">
        <f t="shared" ref="F39:F46" si="6">F25</f>
        <v>306521.42234515469</v>
      </c>
      <c r="G39" s="187">
        <f t="shared" si="3"/>
        <v>12062.910988178628</v>
      </c>
      <c r="H39" s="186"/>
      <c r="I39" s="187">
        <f t="shared" ref="I39:I46" si="7">(G39)^2</f>
        <v>145513821.5087207</v>
      </c>
      <c r="J39" s="186"/>
      <c r="N39" s="11">
        <v>2</v>
      </c>
      <c r="O39" s="10">
        <v>2015</v>
      </c>
      <c r="P39" s="11">
        <f>163828+138891</f>
        <v>302719</v>
      </c>
      <c r="Q39" s="11">
        <v>2</v>
      </c>
      <c r="R39" s="14">
        <f t="shared" ref="R39:R46" si="8">L25</f>
        <v>306178.09378148743</v>
      </c>
      <c r="S39" s="187">
        <f t="shared" si="4"/>
        <v>12406.23955184588</v>
      </c>
      <c r="T39" s="186"/>
      <c r="U39" s="187">
        <f t="shared" ref="U39:U46" si="9">(S39)^2</f>
        <v>153914779.81778505</v>
      </c>
      <c r="V39" s="186"/>
      <c r="Y39" s="11">
        <v>2</v>
      </c>
      <c r="Z39" s="10">
        <v>2015</v>
      </c>
      <c r="AA39" s="11">
        <f>163828+138891</f>
        <v>302719</v>
      </c>
      <c r="AB39" s="11">
        <v>2</v>
      </c>
      <c r="AC39" s="14">
        <f t="shared" ref="AC39:AC46" si="10">R25</f>
        <v>307293.5</v>
      </c>
      <c r="AD39" s="184">
        <f t="shared" si="5"/>
        <v>11290.833333333314</v>
      </c>
      <c r="AE39" s="185"/>
      <c r="AF39" s="184">
        <f t="shared" ref="AF39:AF46" si="11">(AD39)^2</f>
        <v>127482917.36111067</v>
      </c>
      <c r="AG39" s="185"/>
    </row>
    <row r="40" spans="2:33" x14ac:dyDescent="0.25">
      <c r="B40" s="11">
        <v>3</v>
      </c>
      <c r="C40" s="10">
        <v>2016</v>
      </c>
      <c r="D40" s="11">
        <f>164548+139502</f>
        <v>304050</v>
      </c>
      <c r="E40" s="11">
        <v>3</v>
      </c>
      <c r="F40" s="19">
        <f t="shared" si="6"/>
        <v>312039.14181035792</v>
      </c>
      <c r="G40" s="187">
        <f t="shared" si="3"/>
        <v>6545.191522975394</v>
      </c>
      <c r="H40" s="186"/>
      <c r="I40" s="187">
        <f t="shared" si="7"/>
        <v>42839532.072428957</v>
      </c>
      <c r="J40" s="186"/>
      <c r="N40" s="11">
        <v>3</v>
      </c>
      <c r="O40" s="10">
        <v>2016</v>
      </c>
      <c r="P40" s="11">
        <f>164548+139502</f>
        <v>304050</v>
      </c>
      <c r="Q40" s="11">
        <v>3</v>
      </c>
      <c r="R40" s="14">
        <f t="shared" si="8"/>
        <v>311739.53881628817</v>
      </c>
      <c r="S40" s="187">
        <f t="shared" si="4"/>
        <v>6844.7945170451421</v>
      </c>
      <c r="T40" s="186"/>
      <c r="U40" s="187">
        <f t="shared" si="9"/>
        <v>46851211.98057124</v>
      </c>
      <c r="V40" s="186"/>
      <c r="Y40" s="11">
        <v>3</v>
      </c>
      <c r="Z40" s="10">
        <v>2016</v>
      </c>
      <c r="AA40" s="11">
        <f>164548+139502</f>
        <v>304050</v>
      </c>
      <c r="AB40" s="11">
        <v>3</v>
      </c>
      <c r="AC40" s="14">
        <f t="shared" si="10"/>
        <v>313008</v>
      </c>
      <c r="AD40" s="184">
        <f t="shared" si="5"/>
        <v>5576.3333333333139</v>
      </c>
      <c r="AE40" s="185"/>
      <c r="AF40" s="184">
        <f t="shared" si="11"/>
        <v>31095493.444444228</v>
      </c>
      <c r="AG40" s="185"/>
    </row>
    <row r="41" spans="2:33" x14ac:dyDescent="0.25">
      <c r="B41" s="11">
        <v>4</v>
      </c>
      <c r="C41" s="10">
        <v>2017</v>
      </c>
      <c r="D41" s="11">
        <f>164753+139709</f>
        <v>304462</v>
      </c>
      <c r="E41" s="11">
        <v>4</v>
      </c>
      <c r="F41" s="19">
        <f t="shared" si="6"/>
        <v>317656.18623583223</v>
      </c>
      <c r="G41" s="187">
        <f t="shared" si="3"/>
        <v>928.14709750108887</v>
      </c>
      <c r="H41" s="186"/>
      <c r="I41" s="187">
        <f t="shared" si="7"/>
        <v>861457.0345996957</v>
      </c>
      <c r="J41" s="186"/>
      <c r="N41" s="11">
        <v>4</v>
      </c>
      <c r="O41" s="10">
        <v>2017</v>
      </c>
      <c r="P41" s="11">
        <f>164753+139709</f>
        <v>304462</v>
      </c>
      <c r="Q41" s="11">
        <v>4</v>
      </c>
      <c r="R41" s="14">
        <f t="shared" si="8"/>
        <v>317402.00241349853</v>
      </c>
      <c r="S41" s="187">
        <f t="shared" si="4"/>
        <v>1182.3309198347852</v>
      </c>
      <c r="T41" s="186"/>
      <c r="U41" s="187">
        <f t="shared" si="9"/>
        <v>1397906.4039973691</v>
      </c>
      <c r="V41" s="186"/>
      <c r="Y41" s="11">
        <v>4</v>
      </c>
      <c r="Z41" s="10">
        <v>2017</v>
      </c>
      <c r="AA41" s="11">
        <f>164753+139709</f>
        <v>304462</v>
      </c>
      <c r="AB41" s="11">
        <v>4</v>
      </c>
      <c r="AC41" s="14">
        <f t="shared" si="10"/>
        <v>318722.5</v>
      </c>
      <c r="AD41" s="184">
        <f t="shared" si="5"/>
        <v>138.16666666668607</v>
      </c>
      <c r="AE41" s="185"/>
      <c r="AF41" s="184">
        <f t="shared" si="11"/>
        <v>19090.02777778314</v>
      </c>
      <c r="AG41" s="185"/>
    </row>
    <row r="42" spans="2:33" x14ac:dyDescent="0.25">
      <c r="B42" s="11">
        <v>5</v>
      </c>
      <c r="C42" s="10">
        <v>2018</v>
      </c>
      <c r="D42" s="11">
        <f>165062+139981</f>
        <v>305043</v>
      </c>
      <c r="E42" s="11">
        <v>5</v>
      </c>
      <c r="F42" s="19">
        <f t="shared" si="6"/>
        <v>323374.3435790473</v>
      </c>
      <c r="G42" s="187">
        <f t="shared" si="3"/>
        <v>4790.0102457139874</v>
      </c>
      <c r="H42" s="186"/>
      <c r="I42" s="187">
        <f t="shared" si="7"/>
        <v>22944198.154044975</v>
      </c>
      <c r="J42" s="186"/>
      <c r="N42" s="11">
        <v>5</v>
      </c>
      <c r="O42" s="10">
        <v>2018</v>
      </c>
      <c r="P42" s="11">
        <f>165062+139981</f>
        <v>305043</v>
      </c>
      <c r="Q42" s="11">
        <v>5</v>
      </c>
      <c r="R42" s="14">
        <f t="shared" si="8"/>
        <v>323167.31948291027</v>
      </c>
      <c r="S42" s="187">
        <f t="shared" si="4"/>
        <v>4582.9861495769583</v>
      </c>
      <c r="T42" s="186"/>
      <c r="U42" s="187">
        <f t="shared" si="9"/>
        <v>21003762.047214232</v>
      </c>
      <c r="V42" s="186"/>
      <c r="Y42" s="11">
        <v>5</v>
      </c>
      <c r="Z42" s="10">
        <v>2018</v>
      </c>
      <c r="AA42" s="11">
        <f>165062+139981</f>
        <v>305043</v>
      </c>
      <c r="AB42" s="11">
        <v>5</v>
      </c>
      <c r="AC42" s="14">
        <f t="shared" si="10"/>
        <v>324437</v>
      </c>
      <c r="AD42" s="184">
        <f t="shared" si="5"/>
        <v>5852.6666666666861</v>
      </c>
      <c r="AE42" s="185"/>
      <c r="AF42" s="184">
        <f t="shared" si="11"/>
        <v>34253707.111111335</v>
      </c>
      <c r="AG42" s="185"/>
    </row>
    <row r="43" spans="2:33" x14ac:dyDescent="0.25">
      <c r="B43" s="11">
        <v>6</v>
      </c>
      <c r="C43" s="10">
        <v>2019</v>
      </c>
      <c r="D43" s="11">
        <f>168851+153643</f>
        <v>322494</v>
      </c>
      <c r="E43" s="11">
        <v>6</v>
      </c>
      <c r="F43" s="19">
        <f t="shared" si="6"/>
        <v>329195.43398265453</v>
      </c>
      <c r="G43" s="187">
        <f t="shared" si="3"/>
        <v>10611.100649321219</v>
      </c>
      <c r="H43" s="186"/>
      <c r="I43" s="187">
        <f t="shared" si="7"/>
        <v>112595456.99002519</v>
      </c>
      <c r="J43" s="186"/>
      <c r="N43" s="11">
        <v>6</v>
      </c>
      <c r="O43" s="10">
        <v>2019</v>
      </c>
      <c r="P43" s="11">
        <f>168851+153643</f>
        <v>322494</v>
      </c>
      <c r="Q43" s="11">
        <v>6</v>
      </c>
      <c r="R43" s="14">
        <f t="shared" si="8"/>
        <v>329037.35826377344</v>
      </c>
      <c r="S43" s="187">
        <f t="shared" si="4"/>
        <v>10453.024930440122</v>
      </c>
      <c r="T43" s="186"/>
      <c r="U43" s="187">
        <f t="shared" si="9"/>
        <v>109265730.19640273</v>
      </c>
      <c r="V43" s="186"/>
      <c r="Y43" s="11">
        <v>6</v>
      </c>
      <c r="Z43" s="10">
        <v>2019</v>
      </c>
      <c r="AA43" s="11">
        <f>168851+153643</f>
        <v>322494</v>
      </c>
      <c r="AB43" s="11">
        <v>6</v>
      </c>
      <c r="AC43" s="14">
        <f t="shared" si="10"/>
        <v>330151.5</v>
      </c>
      <c r="AD43" s="184">
        <f t="shared" si="5"/>
        <v>11567.166666666686</v>
      </c>
      <c r="AE43" s="185"/>
      <c r="AF43" s="184">
        <f t="shared" si="11"/>
        <v>133799344.69444489</v>
      </c>
      <c r="AG43" s="185"/>
    </row>
    <row r="44" spans="2:33" x14ac:dyDescent="0.25">
      <c r="B44" s="11">
        <v>7</v>
      </c>
      <c r="C44" s="10">
        <v>2020</v>
      </c>
      <c r="D44" s="11">
        <f>173265+164367</f>
        <v>337632</v>
      </c>
      <c r="E44" s="11">
        <v>7</v>
      </c>
      <c r="F44" s="19">
        <f t="shared" si="6"/>
        <v>335121.31035385566</v>
      </c>
      <c r="G44" s="187">
        <f t="shared" si="3"/>
        <v>16536.977020522347</v>
      </c>
      <c r="H44" s="186"/>
      <c r="I44" s="187">
        <f t="shared" si="7"/>
        <v>273471608.97728413</v>
      </c>
      <c r="J44" s="186"/>
      <c r="N44" s="11">
        <v>7</v>
      </c>
      <c r="O44" s="10">
        <v>2020</v>
      </c>
      <c r="P44" s="11">
        <f>173265+164367</f>
        <v>337632</v>
      </c>
      <c r="Q44" s="11">
        <v>7</v>
      </c>
      <c r="R44" s="14">
        <f t="shared" si="8"/>
        <v>335014.02093019529</v>
      </c>
      <c r="S44" s="187">
        <f t="shared" si="4"/>
        <v>16429.687596861972</v>
      </c>
      <c r="T44" s="186"/>
      <c r="U44" s="187">
        <f t="shared" si="9"/>
        <v>269934634.53048009</v>
      </c>
      <c r="V44" s="186"/>
      <c r="Y44" s="11">
        <v>7</v>
      </c>
      <c r="Z44" s="10">
        <v>2020</v>
      </c>
      <c r="AA44" s="11">
        <f>173265+164367</f>
        <v>337632</v>
      </c>
      <c r="AB44" s="11">
        <v>7</v>
      </c>
      <c r="AC44" s="14">
        <f t="shared" si="10"/>
        <v>335866</v>
      </c>
      <c r="AD44" s="184">
        <f t="shared" si="5"/>
        <v>17281.666666666686</v>
      </c>
      <c r="AE44" s="185"/>
      <c r="AF44" s="184">
        <f t="shared" si="11"/>
        <v>298656002.77777845</v>
      </c>
      <c r="AG44" s="185"/>
    </row>
    <row r="45" spans="2:33" x14ac:dyDescent="0.25">
      <c r="B45" s="11">
        <v>8</v>
      </c>
      <c r="C45" s="10">
        <v>2021</v>
      </c>
      <c r="D45" s="11">
        <f>174587+167398</f>
        <v>341985</v>
      </c>
      <c r="E45" s="11">
        <v>8</v>
      </c>
      <c r="F45" s="19">
        <f t="shared" si="6"/>
        <v>341153.85895420017</v>
      </c>
      <c r="G45" s="187">
        <f t="shared" si="3"/>
        <v>22569.525620866858</v>
      </c>
      <c r="H45" s="186"/>
      <c r="I45" s="187">
        <f t="shared" si="7"/>
        <v>509383486.75096554</v>
      </c>
      <c r="J45" s="186"/>
      <c r="N45" s="11">
        <v>8</v>
      </c>
      <c r="O45" s="10">
        <v>2021</v>
      </c>
      <c r="P45" s="11">
        <f>174587+167398</f>
        <v>341985</v>
      </c>
      <c r="Q45" s="11">
        <v>8</v>
      </c>
      <c r="R45" s="14">
        <f t="shared" si="8"/>
        <v>341099.24420753581</v>
      </c>
      <c r="S45" s="187">
        <f t="shared" si="4"/>
        <v>22514.910874202498</v>
      </c>
      <c r="T45" s="186"/>
      <c r="U45" s="187">
        <f t="shared" si="9"/>
        <v>506921211.67328191</v>
      </c>
      <c r="V45" s="186"/>
      <c r="Y45" s="11">
        <v>8</v>
      </c>
      <c r="Z45" s="10">
        <v>2021</v>
      </c>
      <c r="AA45" s="11">
        <f>174587+167398</f>
        <v>341985</v>
      </c>
      <c r="AB45" s="11">
        <v>8</v>
      </c>
      <c r="AC45" s="14">
        <f t="shared" si="10"/>
        <v>341580.5</v>
      </c>
      <c r="AD45" s="184">
        <f t="shared" si="5"/>
        <v>22996.166666666686</v>
      </c>
      <c r="AE45" s="185"/>
      <c r="AF45" s="184">
        <f t="shared" si="11"/>
        <v>528823681.361112</v>
      </c>
      <c r="AG45" s="185"/>
    </row>
    <row r="46" spans="2:33" x14ac:dyDescent="0.25">
      <c r="B46" s="11">
        <v>9</v>
      </c>
      <c r="C46" s="13">
        <v>2022</v>
      </c>
      <c r="D46" s="11">
        <f>176368+170927</f>
        <v>347295</v>
      </c>
      <c r="E46" s="11">
        <v>9</v>
      </c>
      <c r="F46" s="19">
        <f t="shared" si="6"/>
        <v>347295</v>
      </c>
      <c r="G46" s="187">
        <f t="shared" si="3"/>
        <v>28710.666666666686</v>
      </c>
      <c r="H46" s="186"/>
      <c r="I46" s="187">
        <f t="shared" si="7"/>
        <v>824302380.44444561</v>
      </c>
      <c r="J46" s="186"/>
      <c r="N46" s="11">
        <v>9</v>
      </c>
      <c r="O46" s="13">
        <v>2022</v>
      </c>
      <c r="P46" s="11">
        <f>176368+170927</f>
        <v>347295</v>
      </c>
      <c r="Q46" s="11">
        <v>9</v>
      </c>
      <c r="R46" s="14">
        <f t="shared" si="8"/>
        <v>347295</v>
      </c>
      <c r="S46" s="187">
        <f t="shared" si="4"/>
        <v>28710.666666666686</v>
      </c>
      <c r="T46" s="186"/>
      <c r="U46" s="187">
        <f t="shared" si="9"/>
        <v>824302380.44444561</v>
      </c>
      <c r="V46" s="186"/>
      <c r="Y46" s="11">
        <v>9</v>
      </c>
      <c r="Z46" s="13">
        <v>2022</v>
      </c>
      <c r="AA46" s="11">
        <f>176368+170927</f>
        <v>347295</v>
      </c>
      <c r="AB46" s="11">
        <v>9</v>
      </c>
      <c r="AC46" s="14">
        <f t="shared" si="10"/>
        <v>347295</v>
      </c>
      <c r="AD46" s="184">
        <f t="shared" si="5"/>
        <v>28710.666666666686</v>
      </c>
      <c r="AE46" s="185"/>
      <c r="AF46" s="184">
        <f t="shared" si="11"/>
        <v>824302380.44444561</v>
      </c>
      <c r="AG46" s="185"/>
    </row>
    <row r="47" spans="2:33" x14ac:dyDescent="0.25">
      <c r="B47" s="186" t="s">
        <v>64</v>
      </c>
      <c r="C47" s="186"/>
      <c r="D47" s="19">
        <f>SUM(D38:D46)</f>
        <v>2867259</v>
      </c>
      <c r="E47" s="11">
        <f>SUM(E38:E46)</f>
        <v>45</v>
      </c>
      <c r="F47" s="19"/>
      <c r="G47" s="184"/>
      <c r="H47" s="182"/>
      <c r="I47" s="187">
        <f>SUM(I38:J46)</f>
        <v>2237569393.0422306</v>
      </c>
      <c r="J47" s="186"/>
      <c r="N47" s="186" t="s">
        <v>64</v>
      </c>
      <c r="O47" s="186"/>
      <c r="P47" s="19">
        <f>SUM(P38:P46)</f>
        <v>2867259</v>
      </c>
      <c r="Q47" s="11">
        <f>SUM(Q38:Q46)</f>
        <v>45</v>
      </c>
      <c r="R47" s="19"/>
      <c r="S47" s="184"/>
      <c r="T47" s="182"/>
      <c r="U47" s="187">
        <f>SUM(U38:V46)</f>
        <v>2252873772.8789139</v>
      </c>
      <c r="V47" s="186"/>
      <c r="Y47" s="181" t="s">
        <v>64</v>
      </c>
      <c r="Z47" s="182"/>
      <c r="AA47" s="19">
        <f>SUM(AA38:AA46)</f>
        <v>2867259</v>
      </c>
      <c r="AB47" s="11">
        <f>SUM(AB38:AB46)</f>
        <v>45</v>
      </c>
      <c r="AC47" s="19"/>
      <c r="AD47" s="184"/>
      <c r="AE47" s="185"/>
      <c r="AF47" s="184">
        <f>SUM(AF38:AG46)</f>
        <v>2267613979.0000019</v>
      </c>
      <c r="AG47" s="185"/>
    </row>
    <row r="48" spans="2:33" x14ac:dyDescent="0.25">
      <c r="B48" s="186" t="s">
        <v>65</v>
      </c>
      <c r="C48" s="186"/>
      <c r="D48" s="19">
        <f>AVERAGE(D38:D46)</f>
        <v>318584.33333333331</v>
      </c>
      <c r="E48" s="11"/>
      <c r="F48" s="11"/>
      <c r="G48" s="181"/>
      <c r="H48" s="182"/>
      <c r="I48" s="181"/>
      <c r="J48" s="182"/>
      <c r="N48" s="186" t="s">
        <v>65</v>
      </c>
      <c r="O48" s="186"/>
      <c r="P48" s="19">
        <f>AVERAGE(P38:P46)</f>
        <v>318584.33333333331</v>
      </c>
      <c r="Q48" s="11"/>
      <c r="R48" s="11"/>
      <c r="S48" s="181"/>
      <c r="T48" s="182"/>
      <c r="U48" s="181"/>
      <c r="V48" s="182"/>
      <c r="Y48" s="181" t="s">
        <v>65</v>
      </c>
      <c r="Z48" s="182"/>
      <c r="AA48" s="19">
        <f>AVERAGE(AA38:AA46)</f>
        <v>318584.33333333331</v>
      </c>
      <c r="AB48" s="11"/>
      <c r="AC48" s="11"/>
      <c r="AD48" s="181"/>
      <c r="AE48" s="182"/>
      <c r="AF48" s="181"/>
      <c r="AG48" s="182"/>
    </row>
    <row r="49" spans="2:33" x14ac:dyDescent="0.25">
      <c r="B49" s="181" t="s">
        <v>66</v>
      </c>
      <c r="C49" s="183"/>
      <c r="D49" s="183"/>
      <c r="E49" s="183"/>
      <c r="F49" s="183"/>
      <c r="G49" s="183"/>
      <c r="H49" s="182"/>
      <c r="I49" s="184">
        <f>SQRT(I47/9)</f>
        <v>15767.651107540931</v>
      </c>
      <c r="J49" s="185"/>
      <c r="N49" s="181" t="s">
        <v>66</v>
      </c>
      <c r="O49" s="183"/>
      <c r="P49" s="183"/>
      <c r="Q49" s="183"/>
      <c r="R49" s="183"/>
      <c r="S49" s="183"/>
      <c r="T49" s="182"/>
      <c r="U49" s="184">
        <f>SQRT(U47/9)</f>
        <v>15821.482487354246</v>
      </c>
      <c r="V49" s="185"/>
      <c r="Y49" s="181" t="s">
        <v>66</v>
      </c>
      <c r="Z49" s="183"/>
      <c r="AA49" s="183"/>
      <c r="AB49" s="183"/>
      <c r="AC49" s="183"/>
      <c r="AD49" s="183"/>
      <c r="AE49" s="182"/>
      <c r="AF49" s="184">
        <f>SQRT(AF47/9)</f>
        <v>15873.156862381786</v>
      </c>
      <c r="AG49" s="185"/>
    </row>
    <row r="52" spans="2:33" x14ac:dyDescent="0.25">
      <c r="B52" s="11" t="s">
        <v>2</v>
      </c>
      <c r="C52" s="11" t="s">
        <v>67</v>
      </c>
      <c r="D52" s="11" t="s">
        <v>68</v>
      </c>
    </row>
    <row r="53" spans="2:33" x14ac:dyDescent="0.25">
      <c r="B53" s="8">
        <v>1</v>
      </c>
      <c r="C53" s="8" t="s">
        <v>44</v>
      </c>
      <c r="D53" s="20">
        <f>I49</f>
        <v>15767.651107540931</v>
      </c>
    </row>
    <row r="54" spans="2:33" x14ac:dyDescent="0.25">
      <c r="B54" s="11">
        <v>2</v>
      </c>
      <c r="C54" s="11" t="s">
        <v>45</v>
      </c>
      <c r="D54" s="19">
        <f>U49</f>
        <v>15821.482487354246</v>
      </c>
    </row>
    <row r="55" spans="2:33" x14ac:dyDescent="0.25">
      <c r="B55" s="11">
        <v>3</v>
      </c>
      <c r="C55" s="11" t="s">
        <v>43</v>
      </c>
      <c r="D55" s="19">
        <f>AF49</f>
        <v>15873.156862381786</v>
      </c>
    </row>
    <row r="57" spans="2:33" x14ac:dyDescent="0.25">
      <c r="B57" s="178" t="s">
        <v>69</v>
      </c>
      <c r="C57" s="178"/>
      <c r="D57" s="178"/>
      <c r="E57" s="178"/>
      <c r="F57" s="178"/>
    </row>
    <row r="58" spans="2:33" x14ac:dyDescent="0.25">
      <c r="B58" s="178"/>
      <c r="C58" s="178"/>
      <c r="D58" s="178"/>
      <c r="E58" s="178"/>
      <c r="F58" s="178"/>
    </row>
    <row r="61" spans="2:33" x14ac:dyDescent="0.25">
      <c r="B61" s="179" t="s">
        <v>70</v>
      </c>
      <c r="C61" s="179"/>
      <c r="E61" s="179" t="s">
        <v>71</v>
      </c>
      <c r="F61" s="179"/>
    </row>
    <row r="62" spans="2:33" x14ac:dyDescent="0.25">
      <c r="B62" s="179"/>
      <c r="C62" s="179"/>
      <c r="E62" s="179"/>
      <c r="F62" s="179"/>
    </row>
    <row r="63" spans="2:33" x14ac:dyDescent="0.25">
      <c r="B63" s="179" t="s">
        <v>40</v>
      </c>
      <c r="C63" s="180" t="s">
        <v>50</v>
      </c>
      <c r="E63" s="179" t="s">
        <v>40</v>
      </c>
      <c r="F63" s="180" t="s">
        <v>50</v>
      </c>
    </row>
    <row r="64" spans="2:33" x14ac:dyDescent="0.25">
      <c r="B64" s="179"/>
      <c r="C64" s="180"/>
      <c r="E64" s="179"/>
      <c r="F64" s="180"/>
    </row>
    <row r="65" spans="2:6" x14ac:dyDescent="0.25">
      <c r="B65" s="10">
        <v>2014</v>
      </c>
      <c r="C65" s="11">
        <f>163213+138366</f>
        <v>301579</v>
      </c>
      <c r="E65" s="10">
        <v>2014</v>
      </c>
      <c r="F65" s="14">
        <f>C65</f>
        <v>301579</v>
      </c>
    </row>
    <row r="66" spans="2:6" x14ac:dyDescent="0.25">
      <c r="B66" s="10">
        <v>2015</v>
      </c>
      <c r="C66" s="11">
        <f>163828+138891</f>
        <v>302719</v>
      </c>
      <c r="E66" s="10">
        <v>2015</v>
      </c>
      <c r="F66" s="14">
        <f t="shared" ref="F66:F83" si="12">C66</f>
        <v>302719</v>
      </c>
    </row>
    <row r="67" spans="2:6" x14ac:dyDescent="0.25">
      <c r="B67" s="10">
        <v>2016</v>
      </c>
      <c r="C67" s="11">
        <f>164548+139502</f>
        <v>304050</v>
      </c>
      <c r="E67" s="10">
        <v>2016</v>
      </c>
      <c r="F67" s="14">
        <f t="shared" si="12"/>
        <v>304050</v>
      </c>
    </row>
    <row r="68" spans="2:6" x14ac:dyDescent="0.25">
      <c r="B68" s="10">
        <v>2017</v>
      </c>
      <c r="C68" s="11">
        <f>164753+139709</f>
        <v>304462</v>
      </c>
      <c r="E68" s="10">
        <v>2017</v>
      </c>
      <c r="F68" s="14">
        <f t="shared" si="12"/>
        <v>304462</v>
      </c>
    </row>
    <row r="69" spans="2:6" x14ac:dyDescent="0.25">
      <c r="B69" s="10">
        <v>2018</v>
      </c>
      <c r="C69" s="11">
        <f>165062+139981</f>
        <v>305043</v>
      </c>
      <c r="E69" s="10">
        <v>2018</v>
      </c>
      <c r="F69" s="14">
        <f t="shared" si="12"/>
        <v>305043</v>
      </c>
    </row>
    <row r="70" spans="2:6" x14ac:dyDescent="0.25">
      <c r="B70" s="10">
        <v>2019</v>
      </c>
      <c r="C70" s="11">
        <f>168851+153643</f>
        <v>322494</v>
      </c>
      <c r="E70" s="10">
        <v>2019</v>
      </c>
      <c r="F70" s="14">
        <f t="shared" si="12"/>
        <v>322494</v>
      </c>
    </row>
    <row r="71" spans="2:6" x14ac:dyDescent="0.25">
      <c r="B71" s="10">
        <v>2020</v>
      </c>
      <c r="C71" s="11">
        <f>173265+164367</f>
        <v>337632</v>
      </c>
      <c r="E71" s="10">
        <v>2020</v>
      </c>
      <c r="F71" s="14">
        <f t="shared" si="12"/>
        <v>337632</v>
      </c>
    </row>
    <row r="72" spans="2:6" x14ac:dyDescent="0.25">
      <c r="B72" s="10">
        <v>2021</v>
      </c>
      <c r="C72" s="11">
        <f>174587+167398</f>
        <v>341985</v>
      </c>
      <c r="E72" s="10">
        <v>2021</v>
      </c>
      <c r="F72" s="14">
        <f t="shared" si="12"/>
        <v>341985</v>
      </c>
    </row>
    <row r="73" spans="2:6" x14ac:dyDescent="0.25">
      <c r="B73" s="7">
        <v>2022</v>
      </c>
      <c r="C73" s="11">
        <f>176368+170927</f>
        <v>347295</v>
      </c>
      <c r="E73" s="7">
        <v>2022</v>
      </c>
      <c r="F73" s="21">
        <f t="shared" si="12"/>
        <v>347295</v>
      </c>
    </row>
    <row r="74" spans="2:6" x14ac:dyDescent="0.25">
      <c r="B74" s="10">
        <v>2023</v>
      </c>
      <c r="C74" s="14">
        <f>$D$32*((1+$F$17)^1)</f>
        <v>353546.68827355222</v>
      </c>
      <c r="E74" s="10">
        <v>2023</v>
      </c>
      <c r="F74" s="14">
        <f t="shared" si="12"/>
        <v>353546.68827355222</v>
      </c>
    </row>
    <row r="75" spans="2:6" x14ac:dyDescent="0.25">
      <c r="B75" s="13">
        <v>2024</v>
      </c>
      <c r="C75" s="14">
        <f>$D$32*((1+$F$17)^2)</f>
        <v>359910.91374536429</v>
      </c>
      <c r="E75" s="13">
        <v>2024</v>
      </c>
      <c r="F75" s="14">
        <f t="shared" si="12"/>
        <v>359910.91374536429</v>
      </c>
    </row>
    <row r="76" spans="2:6" x14ac:dyDescent="0.25">
      <c r="B76" s="10">
        <v>2025</v>
      </c>
      <c r="C76" s="14">
        <f>$D$32*((1+$F$17)^3)</f>
        <v>366389.70220758044</v>
      </c>
      <c r="E76" s="10">
        <v>2025</v>
      </c>
      <c r="F76" s="14">
        <f t="shared" si="12"/>
        <v>366389.70220758044</v>
      </c>
    </row>
    <row r="77" spans="2:6" x14ac:dyDescent="0.25">
      <c r="B77" s="13">
        <v>2026</v>
      </c>
      <c r="C77" s="14">
        <f>$D$32*((1+$F$17)^4)</f>
        <v>372985.1159188099</v>
      </c>
      <c r="E77" s="13">
        <v>2026</v>
      </c>
      <c r="F77" s="14">
        <f t="shared" si="12"/>
        <v>372985.1159188099</v>
      </c>
    </row>
    <row r="78" spans="2:6" x14ac:dyDescent="0.25">
      <c r="B78" s="10">
        <v>2027</v>
      </c>
      <c r="C78" s="14">
        <f>$D$32*((1+$F$17)^5)</f>
        <v>379699.25426056294</v>
      </c>
      <c r="E78" s="10">
        <v>2027</v>
      </c>
      <c r="F78" s="14">
        <f t="shared" si="12"/>
        <v>379699.25426056294</v>
      </c>
    </row>
    <row r="79" spans="2:6" x14ac:dyDescent="0.25">
      <c r="B79" s="13">
        <v>2028</v>
      </c>
      <c r="C79" s="14">
        <f>$D$32*((1+$F$17)^6)</f>
        <v>386534.25440550392</v>
      </c>
      <c r="E79" s="13">
        <v>2028</v>
      </c>
      <c r="F79" s="14">
        <f t="shared" si="12"/>
        <v>386534.25440550392</v>
      </c>
    </row>
    <row r="80" spans="2:6" x14ac:dyDescent="0.25">
      <c r="B80" s="10">
        <v>2029</v>
      </c>
      <c r="C80" s="14">
        <f>$D$32*((1+$F$17)^7)</f>
        <v>393492.29199773283</v>
      </c>
      <c r="E80" s="10">
        <v>2029</v>
      </c>
      <c r="F80" s="14">
        <f t="shared" si="12"/>
        <v>393492.29199773283</v>
      </c>
    </row>
    <row r="81" spans="2:6" x14ac:dyDescent="0.25">
      <c r="B81" s="13">
        <v>2030</v>
      </c>
      <c r="C81" s="14">
        <f>$D$32*((1+$F$17)^8)</f>
        <v>400575.58184531319</v>
      </c>
      <c r="E81" s="13">
        <v>2030</v>
      </c>
      <c r="F81" s="14">
        <f t="shared" si="12"/>
        <v>400575.58184531319</v>
      </c>
    </row>
    <row r="82" spans="2:6" x14ac:dyDescent="0.25">
      <c r="B82" s="10">
        <v>2031</v>
      </c>
      <c r="C82" s="14">
        <f>$D$32*((1+$F$17)^9)</f>
        <v>407786.3786252659</v>
      </c>
      <c r="E82" s="13">
        <v>2031</v>
      </c>
      <c r="F82" s="14">
        <f t="shared" si="12"/>
        <v>407786.3786252659</v>
      </c>
    </row>
    <row r="83" spans="2:6" x14ac:dyDescent="0.25">
      <c r="B83" s="13">
        <v>2032</v>
      </c>
      <c r="C83" s="14">
        <f>$D$32*((1+$F$17)^10)</f>
        <v>415126.97760125442</v>
      </c>
      <c r="E83" s="11">
        <v>2032</v>
      </c>
      <c r="F83" s="14">
        <f t="shared" si="12"/>
        <v>415126.97760125442</v>
      </c>
    </row>
    <row r="84" spans="2:6" ht="14.4" x14ac:dyDescent="0.3">
      <c r="B84" s="10">
        <v>2033</v>
      </c>
      <c r="C84" s="14">
        <f>$D$32*((1+$F$17)^11)</f>
        <v>422599.71535418753</v>
      </c>
      <c r="E84"/>
      <c r="F84"/>
    </row>
    <row r="85" spans="2:6" ht="14.4" x14ac:dyDescent="0.3">
      <c r="B85" s="13">
        <v>2034</v>
      </c>
      <c r="C85" s="14">
        <f>$D$32*((1+$F$17)^12)</f>
        <v>430206.9705259761</v>
      </c>
      <c r="E85"/>
      <c r="F85"/>
    </row>
    <row r="86" spans="2:6" ht="14.4" x14ac:dyDescent="0.3">
      <c r="B86" s="10">
        <v>2035</v>
      </c>
      <c r="C86" s="14">
        <f>$D$32*((1+$F$17)^12)</f>
        <v>430206.9705259761</v>
      </c>
      <c r="E86"/>
      <c r="F86"/>
    </row>
    <row r="87" spans="2:6" x14ac:dyDescent="0.25">
      <c r="B87" s="13">
        <v>2036</v>
      </c>
      <c r="C87" s="14">
        <f>$D$32*((1+$F$17)^13)</f>
        <v>437951.16457667551</v>
      </c>
    </row>
    <row r="88" spans="2:6" x14ac:dyDescent="0.25">
      <c r="B88" s="10">
        <v>2037</v>
      </c>
      <c r="C88" s="14">
        <f>$D$32*((1+$F$17)^14)</f>
        <v>445834.76255526009</v>
      </c>
    </row>
    <row r="89" spans="2:6" x14ac:dyDescent="0.25">
      <c r="B89" s="13">
        <v>2038</v>
      </c>
      <c r="C89" s="14">
        <f>$D$32*((1+$F$17)^15)</f>
        <v>453860.2738842704</v>
      </c>
    </row>
    <row r="90" spans="2:6" x14ac:dyDescent="0.25">
      <c r="B90" s="10">
        <v>2039</v>
      </c>
      <c r="C90" s="14">
        <f>$D$32*((1+$F$17)^16)</f>
        <v>462030.25315858622</v>
      </c>
    </row>
    <row r="91" spans="2:6" x14ac:dyDescent="0.25">
      <c r="B91" s="13">
        <v>2040</v>
      </c>
      <c r="C91" s="22">
        <f>$D$32*((1+$F$17)^17)</f>
        <v>470347.30095857731</v>
      </c>
    </row>
    <row r="92" spans="2:6" x14ac:dyDescent="0.25">
      <c r="B92" s="11">
        <v>2041</v>
      </c>
      <c r="C92" s="14">
        <f>$D$32*((1+$F$17)^18)</f>
        <v>478814.06467789278</v>
      </c>
    </row>
    <row r="93" spans="2:6" x14ac:dyDescent="0.25">
      <c r="B93" s="11">
        <v>2042</v>
      </c>
      <c r="C93" s="14">
        <f>$D$32*((1+$F$17)^19)</f>
        <v>487433.23936615099</v>
      </c>
    </row>
    <row r="94" spans="2:6" customFormat="1" ht="14.4" x14ac:dyDescent="0.3">
      <c r="B94" s="11">
        <v>2043</v>
      </c>
      <c r="C94" s="3">
        <f>$D$32*((1+$F$17)^20)</f>
        <v>496207.56858679897</v>
      </c>
    </row>
    <row r="95" spans="2:6" customFormat="1" ht="14.4" x14ac:dyDescent="0.3"/>
  </sheetData>
  <mergeCells count="154">
    <mergeCell ref="B5:B7"/>
    <mergeCell ref="C5:C7"/>
    <mergeCell ref="D5:H5"/>
    <mergeCell ref="D6:E7"/>
    <mergeCell ref="F6:F7"/>
    <mergeCell ref="G6:H7"/>
    <mergeCell ref="D11:E11"/>
    <mergeCell ref="G11:H11"/>
    <mergeCell ref="D12:E12"/>
    <mergeCell ref="G12:H12"/>
    <mergeCell ref="D13:E13"/>
    <mergeCell ref="G13:H13"/>
    <mergeCell ref="D8:E8"/>
    <mergeCell ref="G8:H8"/>
    <mergeCell ref="D9:E9"/>
    <mergeCell ref="G9:H9"/>
    <mergeCell ref="D10:E10"/>
    <mergeCell ref="G10:H10"/>
    <mergeCell ref="B17:C17"/>
    <mergeCell ref="D17:E17"/>
    <mergeCell ref="G17:H17"/>
    <mergeCell ref="B21:F21"/>
    <mergeCell ref="H21:L21"/>
    <mergeCell ref="N21:R21"/>
    <mergeCell ref="D14:E14"/>
    <mergeCell ref="G14:H14"/>
    <mergeCell ref="D15:E15"/>
    <mergeCell ref="G15:H15"/>
    <mergeCell ref="D16:E16"/>
    <mergeCell ref="G16:H16"/>
    <mergeCell ref="Y35:AG35"/>
    <mergeCell ref="I22:I23"/>
    <mergeCell ref="J22:J23"/>
    <mergeCell ref="K22:K23"/>
    <mergeCell ref="L22:L23"/>
    <mergeCell ref="N22:N23"/>
    <mergeCell ref="O22:O23"/>
    <mergeCell ref="B22:B23"/>
    <mergeCell ref="C22:C23"/>
    <mergeCell ref="D22:D23"/>
    <mergeCell ref="E22:E23"/>
    <mergeCell ref="F22:F23"/>
    <mergeCell ref="H22:H23"/>
    <mergeCell ref="B36:B37"/>
    <mergeCell ref="C36:C37"/>
    <mergeCell ref="D36:D37"/>
    <mergeCell ref="E36:E37"/>
    <mergeCell ref="F36:F37"/>
    <mergeCell ref="G36:H37"/>
    <mergeCell ref="P22:P23"/>
    <mergeCell ref="Q22:Q23"/>
    <mergeCell ref="R22:R23"/>
    <mergeCell ref="B35:J35"/>
    <mergeCell ref="N35:V35"/>
    <mergeCell ref="AC36:AC37"/>
    <mergeCell ref="AD36:AE37"/>
    <mergeCell ref="AF36:AG37"/>
    <mergeCell ref="G38:H38"/>
    <mergeCell ref="I38:J38"/>
    <mergeCell ref="S38:T38"/>
    <mergeCell ref="U38:V38"/>
    <mergeCell ref="AD38:AE38"/>
    <mergeCell ref="AF38:AG38"/>
    <mergeCell ref="S36:T37"/>
    <mergeCell ref="U36:V37"/>
    <mergeCell ref="Y36:Y37"/>
    <mergeCell ref="Z36:Z37"/>
    <mergeCell ref="AA36:AA37"/>
    <mergeCell ref="AB36:AB37"/>
    <mergeCell ref="I36:J37"/>
    <mergeCell ref="N36:N37"/>
    <mergeCell ref="O36:O37"/>
    <mergeCell ref="P36:P37"/>
    <mergeCell ref="Q36:Q37"/>
    <mergeCell ref="R36:R37"/>
    <mergeCell ref="G40:H40"/>
    <mergeCell ref="I40:J40"/>
    <mergeCell ref="S40:T40"/>
    <mergeCell ref="U40:V40"/>
    <mergeCell ref="AD40:AE40"/>
    <mergeCell ref="AF40:AG40"/>
    <mergeCell ref="G39:H39"/>
    <mergeCell ref="I39:J39"/>
    <mergeCell ref="S39:T39"/>
    <mergeCell ref="U39:V39"/>
    <mergeCell ref="AD39:AE39"/>
    <mergeCell ref="AF39:AG39"/>
    <mergeCell ref="G42:H42"/>
    <mergeCell ref="I42:J42"/>
    <mergeCell ref="S42:T42"/>
    <mergeCell ref="U42:V42"/>
    <mergeCell ref="AD42:AE42"/>
    <mergeCell ref="AF42:AG42"/>
    <mergeCell ref="G41:H41"/>
    <mergeCell ref="I41:J41"/>
    <mergeCell ref="S41:T41"/>
    <mergeCell ref="U41:V41"/>
    <mergeCell ref="AD41:AE41"/>
    <mergeCell ref="AF41:AG41"/>
    <mergeCell ref="G44:H44"/>
    <mergeCell ref="I44:J44"/>
    <mergeCell ref="S44:T44"/>
    <mergeCell ref="U44:V44"/>
    <mergeCell ref="AD44:AE44"/>
    <mergeCell ref="AF44:AG44"/>
    <mergeCell ref="G43:H43"/>
    <mergeCell ref="I43:J43"/>
    <mergeCell ref="S43:T43"/>
    <mergeCell ref="U43:V43"/>
    <mergeCell ref="AD43:AE43"/>
    <mergeCell ref="AF43:AG43"/>
    <mergeCell ref="G46:H46"/>
    <mergeCell ref="I46:J46"/>
    <mergeCell ref="S46:T46"/>
    <mergeCell ref="U46:V46"/>
    <mergeCell ref="AD46:AE46"/>
    <mergeCell ref="AF46:AG46"/>
    <mergeCell ref="G45:H45"/>
    <mergeCell ref="I45:J45"/>
    <mergeCell ref="S45:T45"/>
    <mergeCell ref="U45:V45"/>
    <mergeCell ref="AD45:AE45"/>
    <mergeCell ref="AF45:AG45"/>
    <mergeCell ref="Y47:Z47"/>
    <mergeCell ref="AD47:AE47"/>
    <mergeCell ref="AF47:AG47"/>
    <mergeCell ref="B48:C48"/>
    <mergeCell ref="G48:H48"/>
    <mergeCell ref="I48:J48"/>
    <mergeCell ref="N48:O48"/>
    <mergeCell ref="S48:T48"/>
    <mergeCell ref="U48:V48"/>
    <mergeCell ref="Y48:Z48"/>
    <mergeCell ref="B47:C47"/>
    <mergeCell ref="G47:H47"/>
    <mergeCell ref="I47:J47"/>
    <mergeCell ref="N47:O47"/>
    <mergeCell ref="S47:T47"/>
    <mergeCell ref="U47:V47"/>
    <mergeCell ref="B57:F58"/>
    <mergeCell ref="B61:C62"/>
    <mergeCell ref="E61:F62"/>
    <mergeCell ref="B63:B64"/>
    <mergeCell ref="C63:C64"/>
    <mergeCell ref="E63:E64"/>
    <mergeCell ref="F63:F64"/>
    <mergeCell ref="AD48:AE48"/>
    <mergeCell ref="AF48:AG48"/>
    <mergeCell ref="B49:H49"/>
    <mergeCell ref="I49:J49"/>
    <mergeCell ref="N49:T49"/>
    <mergeCell ref="U49:V49"/>
    <mergeCell ref="Y49:AE49"/>
    <mergeCell ref="AF49:AG49"/>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16087-AE81-4AA5-AE87-6866F64A8B9D}">
  <dimension ref="A2:AG95"/>
  <sheetViews>
    <sheetView topLeftCell="A31" zoomScale="85" zoomScaleNormal="85" workbookViewId="0">
      <selection activeCell="D88" sqref="D88"/>
    </sheetView>
  </sheetViews>
  <sheetFormatPr defaultRowHeight="13.8" x14ac:dyDescent="0.25"/>
  <cols>
    <col min="1" max="1" width="8.88671875" style="9"/>
    <col min="2" max="2" width="10.88671875" style="9" customWidth="1"/>
    <col min="3" max="3" width="22.6640625" style="9" customWidth="1"/>
    <col min="4" max="4" width="18.77734375" style="9" customWidth="1"/>
    <col min="5" max="5" width="9.109375" style="9" customWidth="1"/>
    <col min="6" max="6" width="23.6640625" style="9" customWidth="1"/>
    <col min="7" max="9" width="8.88671875" style="9"/>
    <col min="10" max="10" width="11.44140625" style="9" customWidth="1"/>
    <col min="11" max="11" width="8.88671875" style="9"/>
    <col min="12" max="12" width="23.44140625" style="9" customWidth="1"/>
    <col min="13" max="15" width="8.88671875" style="9"/>
    <col min="16" max="16" width="14.5546875" style="9" customWidth="1"/>
    <col min="17" max="17" width="8.88671875" style="9"/>
    <col min="18" max="18" width="17.88671875" style="9" customWidth="1"/>
    <col min="19" max="26" width="8.88671875" style="9"/>
    <col min="27" max="27" width="12.77734375" style="9" customWidth="1"/>
    <col min="28" max="28" width="8.88671875" style="9"/>
    <col min="29" max="29" width="16.33203125" style="9" customWidth="1"/>
    <col min="30" max="16384" width="8.88671875" style="9"/>
  </cols>
  <sheetData>
    <row r="2" spans="1:10" ht="14.4" x14ac:dyDescent="0.3">
      <c r="A2" s="23">
        <v>1</v>
      </c>
      <c r="B2" s="24" t="s">
        <v>85</v>
      </c>
      <c r="C2"/>
      <c r="D2"/>
      <c r="E2"/>
      <c r="F2"/>
      <c r="H2"/>
    </row>
    <row r="3" spans="1:10" ht="14.4" x14ac:dyDescent="0.3">
      <c r="A3"/>
      <c r="B3" s="25" t="s">
        <v>193</v>
      </c>
      <c r="C3" s="24"/>
      <c r="D3" s="24"/>
      <c r="E3" s="24"/>
      <c r="F3" s="24"/>
      <c r="H3" s="24"/>
      <c r="J3" s="24" t="s">
        <v>194</v>
      </c>
    </row>
    <row r="5" spans="1:10" x14ac:dyDescent="0.25">
      <c r="B5" s="206" t="s">
        <v>40</v>
      </c>
      <c r="C5" s="209" t="s">
        <v>41</v>
      </c>
      <c r="D5" s="211" t="s">
        <v>42</v>
      </c>
      <c r="E5" s="212"/>
      <c r="F5" s="212"/>
      <c r="G5" s="212"/>
      <c r="H5" s="212"/>
    </row>
    <row r="6" spans="1:10" x14ac:dyDescent="0.25">
      <c r="B6" s="207"/>
      <c r="C6" s="210"/>
      <c r="D6" s="211" t="s">
        <v>43</v>
      </c>
      <c r="E6" s="212"/>
      <c r="F6" s="212" t="s">
        <v>44</v>
      </c>
      <c r="G6" s="212" t="s">
        <v>45</v>
      </c>
      <c r="H6" s="212"/>
    </row>
    <row r="7" spans="1:10" x14ac:dyDescent="0.25">
      <c r="B7" s="208"/>
      <c r="C7" s="210"/>
      <c r="D7" s="211"/>
      <c r="E7" s="212"/>
      <c r="F7" s="212"/>
      <c r="G7" s="212"/>
      <c r="H7" s="212"/>
    </row>
    <row r="8" spans="1:10" x14ac:dyDescent="0.25">
      <c r="B8" s="10">
        <v>2014</v>
      </c>
      <c r="C8" s="11">
        <v>138366</v>
      </c>
      <c r="D8" s="199"/>
      <c r="E8" s="200"/>
      <c r="F8" s="12"/>
      <c r="G8" s="201"/>
      <c r="H8" s="201"/>
    </row>
    <row r="9" spans="1:10" x14ac:dyDescent="0.25">
      <c r="B9" s="10">
        <v>2015</v>
      </c>
      <c r="C9" s="11">
        <v>138891</v>
      </c>
      <c r="D9" s="199">
        <f>C9-C8</f>
        <v>525</v>
      </c>
      <c r="E9" s="200"/>
      <c r="F9" s="12">
        <f t="shared" ref="F9:F16" si="0">((C9-C8)/C8)</f>
        <v>3.7942847231256234E-3</v>
      </c>
      <c r="G9" s="201">
        <f t="shared" ref="G9:G16" si="1">((C9-C8)/C8)</f>
        <v>3.7942847231256234E-3</v>
      </c>
      <c r="H9" s="201"/>
    </row>
    <row r="10" spans="1:10" x14ac:dyDescent="0.25">
      <c r="B10" s="10">
        <v>2016</v>
      </c>
      <c r="C10" s="11">
        <v>139502</v>
      </c>
      <c r="D10" s="199">
        <f t="shared" ref="D10:D16" si="2">C10-C9</f>
        <v>611</v>
      </c>
      <c r="E10" s="200"/>
      <c r="F10" s="12">
        <f t="shared" si="0"/>
        <v>4.3991331331763757E-3</v>
      </c>
      <c r="G10" s="201">
        <f t="shared" si="1"/>
        <v>4.3991331331763757E-3</v>
      </c>
      <c r="H10" s="201"/>
    </row>
    <row r="11" spans="1:10" x14ac:dyDescent="0.25">
      <c r="B11" s="10">
        <v>2017</v>
      </c>
      <c r="C11" s="11">
        <v>139709</v>
      </c>
      <c r="D11" s="199">
        <f t="shared" si="2"/>
        <v>207</v>
      </c>
      <c r="E11" s="200"/>
      <c r="F11" s="12">
        <f t="shared" si="0"/>
        <v>1.4838496939111984E-3</v>
      </c>
      <c r="G11" s="201">
        <f t="shared" si="1"/>
        <v>1.4838496939111984E-3</v>
      </c>
      <c r="H11" s="201"/>
    </row>
    <row r="12" spans="1:10" x14ac:dyDescent="0.25">
      <c r="B12" s="10">
        <v>2018</v>
      </c>
      <c r="C12" s="11">
        <v>139981</v>
      </c>
      <c r="D12" s="199">
        <f>C12-C11</f>
        <v>272</v>
      </c>
      <c r="E12" s="200"/>
      <c r="F12" s="12">
        <f t="shared" si="0"/>
        <v>1.94690392172301E-3</v>
      </c>
      <c r="G12" s="201">
        <f>((C12-C11)/C11)</f>
        <v>1.94690392172301E-3</v>
      </c>
      <c r="H12" s="201"/>
    </row>
    <row r="13" spans="1:10" x14ac:dyDescent="0.25">
      <c r="B13" s="10">
        <v>2019</v>
      </c>
      <c r="C13" s="11">
        <v>153643</v>
      </c>
      <c r="D13" s="199">
        <f>C13-C12</f>
        <v>13662</v>
      </c>
      <c r="E13" s="200"/>
      <c r="F13" s="12">
        <f t="shared" si="0"/>
        <v>9.7598959858837986E-2</v>
      </c>
      <c r="G13" s="201">
        <f t="shared" si="1"/>
        <v>9.7598959858837986E-2</v>
      </c>
      <c r="H13" s="201"/>
    </row>
    <row r="14" spans="1:10" x14ac:dyDescent="0.25">
      <c r="B14" s="10">
        <v>2020</v>
      </c>
      <c r="C14" s="11">
        <v>164367</v>
      </c>
      <c r="D14" s="199">
        <f>C14-C13</f>
        <v>10724</v>
      </c>
      <c r="E14" s="200"/>
      <c r="F14" s="12">
        <f t="shared" si="0"/>
        <v>6.9798168481479794E-2</v>
      </c>
      <c r="G14" s="201">
        <f t="shared" si="1"/>
        <v>6.9798168481479794E-2</v>
      </c>
      <c r="H14" s="201"/>
    </row>
    <row r="15" spans="1:10" x14ac:dyDescent="0.25">
      <c r="B15" s="10">
        <v>2021</v>
      </c>
      <c r="C15" s="11">
        <v>167398</v>
      </c>
      <c r="D15" s="199">
        <f t="shared" si="2"/>
        <v>3031</v>
      </c>
      <c r="E15" s="200"/>
      <c r="F15" s="12">
        <f t="shared" si="0"/>
        <v>1.8440441207785017E-2</v>
      </c>
      <c r="G15" s="201">
        <f t="shared" si="1"/>
        <v>1.8440441207785017E-2</v>
      </c>
      <c r="H15" s="201"/>
    </row>
    <row r="16" spans="1:10" x14ac:dyDescent="0.25">
      <c r="B16" s="13">
        <v>2022</v>
      </c>
      <c r="C16" s="11">
        <v>170927</v>
      </c>
      <c r="D16" s="202">
        <f t="shared" si="2"/>
        <v>3529</v>
      </c>
      <c r="E16" s="199"/>
      <c r="F16" s="12">
        <f t="shared" si="0"/>
        <v>2.108149440256156E-2</v>
      </c>
      <c r="G16" s="203">
        <f t="shared" si="1"/>
        <v>2.108149440256156E-2</v>
      </c>
      <c r="H16" s="204"/>
    </row>
    <row r="17" spans="2:33" x14ac:dyDescent="0.25">
      <c r="B17" s="196" t="s">
        <v>46</v>
      </c>
      <c r="C17" s="198"/>
      <c r="D17" s="205">
        <f>AVERAGE(D8:E16)</f>
        <v>4070.125</v>
      </c>
      <c r="E17" s="205"/>
      <c r="F17" s="12">
        <f>AVERAGE(F8:F16)</f>
        <v>2.7317904427825071E-2</v>
      </c>
      <c r="G17" s="201">
        <f>AVERAGE(G8:H16)</f>
        <v>2.7317904427825071E-2</v>
      </c>
      <c r="H17" s="201"/>
    </row>
    <row r="19" spans="2:33" x14ac:dyDescent="0.25">
      <c r="D19" s="15"/>
      <c r="E19" s="16"/>
    </row>
    <row r="20" spans="2:33" x14ac:dyDescent="0.25">
      <c r="E20" s="17"/>
    </row>
    <row r="21" spans="2:33" x14ac:dyDescent="0.25">
      <c r="B21" s="195" t="s">
        <v>47</v>
      </c>
      <c r="C21" s="195"/>
      <c r="D21" s="195"/>
      <c r="E21" s="195"/>
      <c r="F21" s="195"/>
      <c r="H21" s="195" t="s">
        <v>48</v>
      </c>
      <c r="I21" s="195"/>
      <c r="J21" s="195"/>
      <c r="K21" s="195"/>
      <c r="L21" s="195"/>
      <c r="N21" s="195" t="s">
        <v>49</v>
      </c>
      <c r="O21" s="195"/>
      <c r="P21" s="195"/>
      <c r="Q21" s="195"/>
      <c r="R21" s="195"/>
    </row>
    <row r="22" spans="2:33" ht="14.4" x14ac:dyDescent="0.3">
      <c r="B22" s="188" t="s">
        <v>2</v>
      </c>
      <c r="C22" s="188" t="s">
        <v>40</v>
      </c>
      <c r="D22" s="188" t="s">
        <v>50</v>
      </c>
      <c r="E22" s="188" t="s">
        <v>51</v>
      </c>
      <c r="F22" s="188" t="s">
        <v>52</v>
      </c>
      <c r="H22" s="188" t="s">
        <v>2</v>
      </c>
      <c r="I22" s="188" t="s">
        <v>40</v>
      </c>
      <c r="J22" s="188" t="s">
        <v>50</v>
      </c>
      <c r="K22" s="188" t="s">
        <v>51</v>
      </c>
      <c r="L22" s="188" t="s">
        <v>53</v>
      </c>
      <c r="N22" s="188" t="s">
        <v>2</v>
      </c>
      <c r="O22" s="188" t="s">
        <v>40</v>
      </c>
      <c r="P22" s="188" t="s">
        <v>50</v>
      </c>
      <c r="Q22" s="188" t="s">
        <v>51</v>
      </c>
      <c r="R22" s="188" t="s">
        <v>54</v>
      </c>
      <c r="AF22"/>
      <c r="AG22"/>
    </row>
    <row r="23" spans="2:33" ht="14.4" x14ac:dyDescent="0.3">
      <c r="B23" s="189"/>
      <c r="C23" s="189"/>
      <c r="D23" s="189"/>
      <c r="E23" s="189"/>
      <c r="F23" s="189"/>
      <c r="H23" s="189"/>
      <c r="I23" s="189"/>
      <c r="J23" s="189"/>
      <c r="K23" s="189"/>
      <c r="L23" s="189"/>
      <c r="N23" s="189"/>
      <c r="O23" s="189"/>
      <c r="P23" s="189"/>
      <c r="Q23" s="189"/>
      <c r="R23" s="189"/>
      <c r="AF23"/>
      <c r="AG23"/>
    </row>
    <row r="24" spans="2:33" ht="14.4" x14ac:dyDescent="0.3">
      <c r="B24" s="18">
        <v>1</v>
      </c>
      <c r="C24" s="11">
        <v>2014</v>
      </c>
      <c r="D24" s="11">
        <v>138366</v>
      </c>
      <c r="E24" s="18">
        <v>-8</v>
      </c>
      <c r="F24" s="14">
        <f>D32*((1+F17)^-8)</f>
        <v>137775.44188430638</v>
      </c>
      <c r="H24" s="18">
        <v>1</v>
      </c>
      <c r="I24" s="11">
        <v>2014</v>
      </c>
      <c r="J24" s="11">
        <v>138366</v>
      </c>
      <c r="K24" s="18">
        <v>-8</v>
      </c>
      <c r="L24" s="14">
        <f>J32*EXP(G17*-8)</f>
        <v>137372.10370168285</v>
      </c>
      <c r="N24" s="18">
        <v>1</v>
      </c>
      <c r="O24" s="11">
        <v>2014</v>
      </c>
      <c r="P24" s="11">
        <v>138366</v>
      </c>
      <c r="Q24" s="18">
        <v>-8</v>
      </c>
      <c r="R24" s="14">
        <f>P32+(-8*D17)</f>
        <v>138366</v>
      </c>
      <c r="AF24"/>
      <c r="AG24"/>
    </row>
    <row r="25" spans="2:33" ht="14.4" x14ac:dyDescent="0.3">
      <c r="B25" s="18">
        <v>2</v>
      </c>
      <c r="C25" s="11">
        <v>2015</v>
      </c>
      <c r="D25" s="11">
        <v>138891</v>
      </c>
      <c r="E25" s="18">
        <v>-7</v>
      </c>
      <c r="F25" s="14">
        <f>D32*((1+F17)^-7)</f>
        <v>141539.17823820328</v>
      </c>
      <c r="H25" s="18">
        <v>2</v>
      </c>
      <c r="I25" s="11">
        <v>2015</v>
      </c>
      <c r="J25" s="11">
        <v>138891</v>
      </c>
      <c r="K25" s="18">
        <v>-7</v>
      </c>
      <c r="L25" s="14">
        <f>J32*EXP(G17*-7)</f>
        <v>141176.54985817827</v>
      </c>
      <c r="N25" s="18">
        <v>2</v>
      </c>
      <c r="O25" s="11">
        <v>2015</v>
      </c>
      <c r="P25" s="11">
        <v>138891</v>
      </c>
      <c r="Q25" s="18">
        <v>-7</v>
      </c>
      <c r="R25" s="14">
        <f>P32+(-7*D17)</f>
        <v>142436.125</v>
      </c>
      <c r="AF25"/>
      <c r="AG25"/>
    </row>
    <row r="26" spans="2:33" ht="14.4" x14ac:dyDescent="0.3">
      <c r="B26" s="18">
        <v>3</v>
      </c>
      <c r="C26" s="11">
        <v>2016</v>
      </c>
      <c r="D26" s="11">
        <v>139502</v>
      </c>
      <c r="E26" s="18">
        <v>-6</v>
      </c>
      <c r="F26" s="14">
        <f>D32*((1+F17)^-6)</f>
        <v>145405.73198210739</v>
      </c>
      <c r="H26" s="18">
        <v>3</v>
      </c>
      <c r="I26" s="11">
        <v>2016</v>
      </c>
      <c r="J26" s="11">
        <v>139502</v>
      </c>
      <c r="K26" s="18">
        <v>-6</v>
      </c>
      <c r="L26" s="14">
        <f>J32*EXP(G17*-6)</f>
        <v>145086.35809451129</v>
      </c>
      <c r="N26" s="18">
        <v>3</v>
      </c>
      <c r="O26" s="11">
        <v>2016</v>
      </c>
      <c r="P26" s="11">
        <v>139502</v>
      </c>
      <c r="Q26" s="18">
        <v>-6</v>
      </c>
      <c r="R26" s="14">
        <f>P32+(-6*D17)</f>
        <v>146506.25</v>
      </c>
      <c r="AF26"/>
      <c r="AG26"/>
    </row>
    <row r="27" spans="2:33" ht="14.4" x14ac:dyDescent="0.3">
      <c r="B27" s="18">
        <v>4</v>
      </c>
      <c r="C27" s="11">
        <v>2017</v>
      </c>
      <c r="D27" s="11">
        <v>139709</v>
      </c>
      <c r="E27" s="18">
        <v>-5</v>
      </c>
      <c r="F27" s="14">
        <f>D32*((1+F17)^-5)</f>
        <v>149377.91187165256</v>
      </c>
      <c r="H27" s="18">
        <v>4</v>
      </c>
      <c r="I27" s="11">
        <v>2017</v>
      </c>
      <c r="J27" s="11">
        <v>139709</v>
      </c>
      <c r="K27" s="18">
        <v>-5</v>
      </c>
      <c r="L27" s="14">
        <f>J32*EXP(G17*-5)</f>
        <v>149104.44635653021</v>
      </c>
      <c r="N27" s="18">
        <v>4</v>
      </c>
      <c r="O27" s="11">
        <v>2017</v>
      </c>
      <c r="P27" s="11">
        <v>139709</v>
      </c>
      <c r="Q27" s="18">
        <v>-5</v>
      </c>
      <c r="R27" s="14">
        <f>P32+(-5*D17)</f>
        <v>150576.375</v>
      </c>
      <c r="AF27"/>
      <c r="AG27"/>
    </row>
    <row r="28" spans="2:33" ht="14.4" x14ac:dyDescent="0.3">
      <c r="B28" s="18">
        <v>5</v>
      </c>
      <c r="C28" s="11">
        <v>2018</v>
      </c>
      <c r="D28" s="11">
        <v>139981</v>
      </c>
      <c r="E28" s="18">
        <v>-4</v>
      </c>
      <c r="F28" s="14">
        <f>D32*((1+F17)^-4)</f>
        <v>153458.60339179044</v>
      </c>
      <c r="H28" s="18">
        <v>5</v>
      </c>
      <c r="I28" s="11">
        <v>2018</v>
      </c>
      <c r="J28" s="11">
        <v>139981</v>
      </c>
      <c r="K28" s="18">
        <v>-4</v>
      </c>
      <c r="L28" s="14">
        <f>J32*EXP(G17*-4)</f>
        <v>153233.81340101649</v>
      </c>
      <c r="N28" s="18">
        <v>5</v>
      </c>
      <c r="O28" s="11">
        <v>2018</v>
      </c>
      <c r="P28" s="11">
        <v>139981</v>
      </c>
      <c r="Q28" s="18">
        <v>-4</v>
      </c>
      <c r="R28" s="14">
        <f>P32+(-4*D17)</f>
        <v>154646.5</v>
      </c>
      <c r="AF28"/>
      <c r="AG28"/>
    </row>
    <row r="29" spans="2:33" ht="14.4" x14ac:dyDescent="0.3">
      <c r="B29" s="18">
        <v>6</v>
      </c>
      <c r="C29" s="11">
        <v>2019</v>
      </c>
      <c r="D29" s="11">
        <v>153643</v>
      </c>
      <c r="E29" s="18">
        <v>-3</v>
      </c>
      <c r="F29" s="14">
        <f>D32*((1+F17)^-3)</f>
        <v>157650.77085287491</v>
      </c>
      <c r="H29" s="18">
        <v>6</v>
      </c>
      <c r="I29" s="11">
        <v>2019</v>
      </c>
      <c r="J29" s="11">
        <v>153643</v>
      </c>
      <c r="K29" s="18">
        <v>-3</v>
      </c>
      <c r="L29" s="14">
        <f>J32*EXP(G17*-3)</f>
        <v>157477.54103369956</v>
      </c>
      <c r="N29" s="18">
        <v>6</v>
      </c>
      <c r="O29" s="11">
        <v>2019</v>
      </c>
      <c r="P29" s="11">
        <v>153643</v>
      </c>
      <c r="Q29" s="18">
        <v>-3</v>
      </c>
      <c r="R29" s="14">
        <f>P32+(-3*D17)</f>
        <v>158716.625</v>
      </c>
      <c r="AF29"/>
      <c r="AG29"/>
    </row>
    <row r="30" spans="2:33" ht="14.4" x14ac:dyDescent="0.3">
      <c r="B30" s="18">
        <v>7</v>
      </c>
      <c r="C30" s="11">
        <v>2020</v>
      </c>
      <c r="D30" s="11">
        <v>164367</v>
      </c>
      <c r="E30" s="18">
        <v>-2</v>
      </c>
      <c r="F30" s="14">
        <f>D32*((1+F17)^-2)</f>
        <v>161957.45954400671</v>
      </c>
      <c r="H30" s="18">
        <v>7</v>
      </c>
      <c r="I30" s="11">
        <v>2020</v>
      </c>
      <c r="J30" s="11">
        <v>164367</v>
      </c>
      <c r="K30" s="18">
        <v>-2</v>
      </c>
      <c r="L30" s="14">
        <f>J32*EXP(G17*-2)</f>
        <v>161838.79640925271</v>
      </c>
      <c r="N30" s="18">
        <v>7</v>
      </c>
      <c r="O30" s="11">
        <v>2020</v>
      </c>
      <c r="P30" s="11">
        <v>164367</v>
      </c>
      <c r="Q30" s="18">
        <v>-2</v>
      </c>
      <c r="R30" s="14">
        <f>P32+(-2*D17)</f>
        <v>162786.75</v>
      </c>
      <c r="AF30"/>
      <c r="AG30"/>
    </row>
    <row r="31" spans="2:33" ht="14.4" x14ac:dyDescent="0.3">
      <c r="B31" s="18">
        <v>8</v>
      </c>
      <c r="C31" s="11">
        <v>2021</v>
      </c>
      <c r="D31" s="11">
        <v>167398</v>
      </c>
      <c r="E31" s="18">
        <v>-1</v>
      </c>
      <c r="F31" s="14">
        <f>D32*((1+F17)^-1)</f>
        <v>166381.79794520323</v>
      </c>
      <c r="H31" s="18">
        <v>8</v>
      </c>
      <c r="I31" s="11">
        <v>2021</v>
      </c>
      <c r="J31" s="11">
        <v>167398</v>
      </c>
      <c r="K31" s="18">
        <v>-1</v>
      </c>
      <c r="L31" s="14">
        <f>J32*EXP(G17*-1)</f>
        <v>166320.83439498593</v>
      </c>
      <c r="N31" s="18">
        <v>8</v>
      </c>
      <c r="O31" s="11">
        <v>2021</v>
      </c>
      <c r="P31" s="11">
        <v>167398</v>
      </c>
      <c r="Q31" s="18">
        <v>-1</v>
      </c>
      <c r="R31" s="14">
        <f>P32+(-1*D17)</f>
        <v>166856.875</v>
      </c>
      <c r="AF31"/>
      <c r="AG31"/>
    </row>
    <row r="32" spans="2:33" ht="14.4" x14ac:dyDescent="0.3">
      <c r="B32" s="18">
        <v>9</v>
      </c>
      <c r="C32" s="11">
        <v>2022</v>
      </c>
      <c r="D32" s="11">
        <v>170927</v>
      </c>
      <c r="E32" s="18">
        <v>0</v>
      </c>
      <c r="F32" s="14">
        <f>D32</f>
        <v>170927</v>
      </c>
      <c r="H32" s="18">
        <v>9</v>
      </c>
      <c r="I32" s="11">
        <v>2022</v>
      </c>
      <c r="J32" s="11">
        <v>170927</v>
      </c>
      <c r="K32" s="18">
        <v>0</v>
      </c>
      <c r="L32" s="14">
        <f>J32</f>
        <v>170927</v>
      </c>
      <c r="N32" s="18">
        <v>9</v>
      </c>
      <c r="O32" s="11">
        <v>2022</v>
      </c>
      <c r="P32" s="11">
        <v>170927</v>
      </c>
      <c r="Q32" s="18">
        <v>0</v>
      </c>
      <c r="R32" s="14">
        <f>P32</f>
        <v>170927</v>
      </c>
      <c r="AF32"/>
      <c r="AG32"/>
    </row>
    <row r="33" spans="2:33" ht="14.4" x14ac:dyDescent="0.3">
      <c r="AF33"/>
      <c r="AG33"/>
    </row>
    <row r="35" spans="2:33" x14ac:dyDescent="0.25">
      <c r="B35" s="195" t="s">
        <v>55</v>
      </c>
      <c r="C35" s="195"/>
      <c r="D35" s="195"/>
      <c r="E35" s="195"/>
      <c r="F35" s="195"/>
      <c r="G35" s="195"/>
      <c r="H35" s="195"/>
      <c r="I35" s="195"/>
      <c r="J35" s="195"/>
      <c r="N35" s="195" t="s">
        <v>56</v>
      </c>
      <c r="O35" s="195"/>
      <c r="P35" s="195"/>
      <c r="Q35" s="195"/>
      <c r="R35" s="195"/>
      <c r="S35" s="195"/>
      <c r="T35" s="195"/>
      <c r="U35" s="195"/>
      <c r="V35" s="195"/>
      <c r="Y35" s="196" t="s">
        <v>57</v>
      </c>
      <c r="Z35" s="197"/>
      <c r="AA35" s="197"/>
      <c r="AB35" s="197"/>
      <c r="AC35" s="197"/>
      <c r="AD35" s="197"/>
      <c r="AE35" s="197"/>
      <c r="AF35" s="197"/>
      <c r="AG35" s="198"/>
    </row>
    <row r="36" spans="2:33" ht="14.4" customHeight="1" x14ac:dyDescent="0.25">
      <c r="B36" s="194" t="s">
        <v>2</v>
      </c>
      <c r="C36" s="194" t="s">
        <v>40</v>
      </c>
      <c r="D36" s="194" t="s">
        <v>50</v>
      </c>
      <c r="E36" s="194" t="s">
        <v>58</v>
      </c>
      <c r="F36" s="194" t="s">
        <v>59</v>
      </c>
      <c r="G36" s="186" t="s">
        <v>60</v>
      </c>
      <c r="H36" s="186"/>
      <c r="I36" s="186" t="s">
        <v>61</v>
      </c>
      <c r="J36" s="186"/>
      <c r="N36" s="194" t="s">
        <v>2</v>
      </c>
      <c r="O36" s="194" t="s">
        <v>40</v>
      </c>
      <c r="P36" s="194" t="s">
        <v>50</v>
      </c>
      <c r="Q36" s="194" t="s">
        <v>58</v>
      </c>
      <c r="R36" s="194" t="s">
        <v>62</v>
      </c>
      <c r="S36" s="186" t="s">
        <v>60</v>
      </c>
      <c r="T36" s="186"/>
      <c r="U36" s="186" t="s">
        <v>61</v>
      </c>
      <c r="V36" s="186"/>
      <c r="Y36" s="188" t="s">
        <v>2</v>
      </c>
      <c r="Z36" s="188" t="s">
        <v>40</v>
      </c>
      <c r="AA36" s="188" t="s">
        <v>50</v>
      </c>
      <c r="AB36" s="188" t="s">
        <v>58</v>
      </c>
      <c r="AC36" s="188" t="s">
        <v>63</v>
      </c>
      <c r="AD36" s="190" t="s">
        <v>60</v>
      </c>
      <c r="AE36" s="191"/>
      <c r="AF36" s="190" t="s">
        <v>61</v>
      </c>
      <c r="AG36" s="191"/>
    </row>
    <row r="37" spans="2:33" x14ac:dyDescent="0.25">
      <c r="B37" s="194"/>
      <c r="C37" s="194"/>
      <c r="D37" s="194"/>
      <c r="E37" s="194"/>
      <c r="F37" s="194"/>
      <c r="G37" s="186"/>
      <c r="H37" s="186"/>
      <c r="I37" s="186"/>
      <c r="J37" s="186"/>
      <c r="N37" s="194"/>
      <c r="O37" s="194"/>
      <c r="P37" s="194"/>
      <c r="Q37" s="194"/>
      <c r="R37" s="194"/>
      <c r="S37" s="186"/>
      <c r="T37" s="186"/>
      <c r="U37" s="186"/>
      <c r="V37" s="186"/>
      <c r="Y37" s="189"/>
      <c r="Z37" s="189"/>
      <c r="AA37" s="189"/>
      <c r="AB37" s="189"/>
      <c r="AC37" s="189"/>
      <c r="AD37" s="192"/>
      <c r="AE37" s="193"/>
      <c r="AF37" s="192"/>
      <c r="AG37" s="193"/>
    </row>
    <row r="38" spans="2:33" x14ac:dyDescent="0.25">
      <c r="B38" s="11">
        <v>1</v>
      </c>
      <c r="C38" s="10">
        <v>2014</v>
      </c>
      <c r="D38" s="11">
        <v>138366</v>
      </c>
      <c r="E38" s="11">
        <v>1</v>
      </c>
      <c r="F38" s="19">
        <f>F24</f>
        <v>137775.44188430638</v>
      </c>
      <c r="G38" s="187">
        <f t="shared" ref="G38:G46" si="3">ABS(F38-$D$48)</f>
        <v>12533.891449026967</v>
      </c>
      <c r="H38" s="186"/>
      <c r="I38" s="187">
        <f>(G38)^2</f>
        <v>157098434.85599133</v>
      </c>
      <c r="J38" s="186"/>
      <c r="N38" s="11">
        <v>1</v>
      </c>
      <c r="O38" s="10">
        <v>2014</v>
      </c>
      <c r="P38" s="11">
        <v>138366</v>
      </c>
      <c r="Q38" s="11">
        <v>1</v>
      </c>
      <c r="R38" s="14">
        <f>L24</f>
        <v>137372.10370168285</v>
      </c>
      <c r="S38" s="187">
        <f t="shared" ref="S38:S46" si="4">ABS(R38-$D$48)</f>
        <v>12937.229631650494</v>
      </c>
      <c r="T38" s="186"/>
      <c r="U38" s="187">
        <f>(S38)^2</f>
        <v>167371910.54205558</v>
      </c>
      <c r="V38" s="186"/>
      <c r="Y38" s="11">
        <v>1</v>
      </c>
      <c r="Z38" s="10">
        <v>2014</v>
      </c>
      <c r="AA38" s="11">
        <v>138366</v>
      </c>
      <c r="AB38" s="11">
        <v>1</v>
      </c>
      <c r="AC38" s="14">
        <f>R24</f>
        <v>138366</v>
      </c>
      <c r="AD38" s="184">
        <f t="shared" ref="AD38:AD46" si="5">ABS(AC38-$D$48)</f>
        <v>11943.333333333343</v>
      </c>
      <c r="AE38" s="185"/>
      <c r="AF38" s="184">
        <f>(AD38)^2</f>
        <v>142643211.11111134</v>
      </c>
      <c r="AG38" s="185"/>
    </row>
    <row r="39" spans="2:33" x14ac:dyDescent="0.25">
      <c r="B39" s="11">
        <v>2</v>
      </c>
      <c r="C39" s="10">
        <v>2015</v>
      </c>
      <c r="D39" s="11">
        <v>138891</v>
      </c>
      <c r="E39" s="11">
        <v>2</v>
      </c>
      <c r="F39" s="19">
        <f t="shared" ref="F39:F46" si="6">F25</f>
        <v>141539.17823820328</v>
      </c>
      <c r="G39" s="187">
        <f t="shared" si="3"/>
        <v>8770.1550951300596</v>
      </c>
      <c r="H39" s="186"/>
      <c r="I39" s="187">
        <f t="shared" ref="I39:I46" si="7">(G39)^2</f>
        <v>76915620.392635748</v>
      </c>
      <c r="J39" s="186"/>
      <c r="N39" s="11">
        <v>2</v>
      </c>
      <c r="O39" s="10">
        <v>2015</v>
      </c>
      <c r="P39" s="11">
        <v>138891</v>
      </c>
      <c r="Q39" s="11">
        <v>2</v>
      </c>
      <c r="R39" s="14">
        <f t="shared" ref="R39:R46" si="8">L25</f>
        <v>141176.54985817827</v>
      </c>
      <c r="S39" s="187">
        <f t="shared" si="4"/>
        <v>9132.783475155069</v>
      </c>
      <c r="T39" s="186"/>
      <c r="U39" s="187">
        <f t="shared" ref="U39:U46" si="9">(S39)^2</f>
        <v>83407734.004065499</v>
      </c>
      <c r="V39" s="186"/>
      <c r="Y39" s="11">
        <v>2</v>
      </c>
      <c r="Z39" s="10">
        <v>2015</v>
      </c>
      <c r="AA39" s="11">
        <v>138891</v>
      </c>
      <c r="AB39" s="11">
        <v>2</v>
      </c>
      <c r="AC39" s="14">
        <f t="shared" ref="AC39:AC46" si="10">R25</f>
        <v>142436.125</v>
      </c>
      <c r="AD39" s="184">
        <f t="shared" si="5"/>
        <v>7873.208333333343</v>
      </c>
      <c r="AE39" s="185"/>
      <c r="AF39" s="184">
        <f t="shared" ref="AF39:AF46" si="11">(AD39)^2</f>
        <v>61987409.460069597</v>
      </c>
      <c r="AG39" s="185"/>
    </row>
    <row r="40" spans="2:33" x14ac:dyDescent="0.25">
      <c r="B40" s="11">
        <v>3</v>
      </c>
      <c r="C40" s="10">
        <v>2016</v>
      </c>
      <c r="D40" s="11">
        <v>139502</v>
      </c>
      <c r="E40" s="11">
        <v>3</v>
      </c>
      <c r="F40" s="19">
        <f t="shared" si="6"/>
        <v>145405.73198210739</v>
      </c>
      <c r="G40" s="187">
        <f t="shared" si="3"/>
        <v>4903.6013512259524</v>
      </c>
      <c r="H40" s="186"/>
      <c r="I40" s="187">
        <f t="shared" si="7"/>
        <v>24045306.211744986</v>
      </c>
      <c r="J40" s="186"/>
      <c r="N40" s="11">
        <v>3</v>
      </c>
      <c r="O40" s="10">
        <v>2016</v>
      </c>
      <c r="P40" s="11">
        <v>139502</v>
      </c>
      <c r="Q40" s="11">
        <v>3</v>
      </c>
      <c r="R40" s="14">
        <f t="shared" si="8"/>
        <v>145086.35809451129</v>
      </c>
      <c r="S40" s="187">
        <f t="shared" si="4"/>
        <v>5222.9752388220513</v>
      </c>
      <c r="T40" s="186"/>
      <c r="U40" s="187">
        <f t="shared" si="9"/>
        <v>27279470.345348265</v>
      </c>
      <c r="V40" s="186"/>
      <c r="Y40" s="11">
        <v>3</v>
      </c>
      <c r="Z40" s="10">
        <v>2016</v>
      </c>
      <c r="AA40" s="11">
        <v>139502</v>
      </c>
      <c r="AB40" s="11">
        <v>3</v>
      </c>
      <c r="AC40" s="14">
        <f t="shared" si="10"/>
        <v>146506.25</v>
      </c>
      <c r="AD40" s="184">
        <f t="shared" si="5"/>
        <v>3803.083333333343</v>
      </c>
      <c r="AE40" s="185"/>
      <c r="AF40" s="184">
        <f t="shared" si="11"/>
        <v>14463442.840277852</v>
      </c>
      <c r="AG40" s="185"/>
    </row>
    <row r="41" spans="2:33" x14ac:dyDescent="0.25">
      <c r="B41" s="11">
        <v>4</v>
      </c>
      <c r="C41" s="10">
        <v>2017</v>
      </c>
      <c r="D41" s="11">
        <v>139709</v>
      </c>
      <c r="E41" s="11">
        <v>4</v>
      </c>
      <c r="F41" s="19">
        <f t="shared" si="6"/>
        <v>149377.91187165256</v>
      </c>
      <c r="G41" s="187">
        <f t="shared" si="3"/>
        <v>931.42146168078762</v>
      </c>
      <c r="H41" s="186"/>
      <c r="I41" s="187">
        <f t="shared" si="7"/>
        <v>867545.9392795749</v>
      </c>
      <c r="J41" s="186"/>
      <c r="N41" s="11">
        <v>4</v>
      </c>
      <c r="O41" s="10">
        <v>2017</v>
      </c>
      <c r="P41" s="11">
        <v>139709</v>
      </c>
      <c r="Q41" s="11">
        <v>4</v>
      </c>
      <c r="R41" s="14">
        <f t="shared" si="8"/>
        <v>149104.44635653021</v>
      </c>
      <c r="S41" s="187">
        <f t="shared" si="4"/>
        <v>1204.8869768031291</v>
      </c>
      <c r="T41" s="186"/>
      <c r="U41" s="187">
        <f t="shared" si="9"/>
        <v>1451752.6268697842</v>
      </c>
      <c r="V41" s="186"/>
      <c r="Y41" s="11">
        <v>4</v>
      </c>
      <c r="Z41" s="10">
        <v>2017</v>
      </c>
      <c r="AA41" s="11">
        <v>139709</v>
      </c>
      <c r="AB41" s="11">
        <v>4</v>
      </c>
      <c r="AC41" s="14">
        <f t="shared" si="10"/>
        <v>150576.375</v>
      </c>
      <c r="AD41" s="184">
        <f t="shared" si="5"/>
        <v>267.04166666665697</v>
      </c>
      <c r="AE41" s="185"/>
      <c r="AF41" s="184">
        <f t="shared" si="11"/>
        <v>71311.251736105929</v>
      </c>
      <c r="AG41" s="185"/>
    </row>
    <row r="42" spans="2:33" x14ac:dyDescent="0.25">
      <c r="B42" s="11">
        <v>5</v>
      </c>
      <c r="C42" s="10">
        <v>2018</v>
      </c>
      <c r="D42" s="11">
        <v>139981</v>
      </c>
      <c r="E42" s="11">
        <v>5</v>
      </c>
      <c r="F42" s="19">
        <f t="shared" si="6"/>
        <v>153458.60339179044</v>
      </c>
      <c r="G42" s="187">
        <f t="shared" si="3"/>
        <v>3149.2700584570994</v>
      </c>
      <c r="H42" s="186"/>
      <c r="I42" s="187">
        <f t="shared" si="7"/>
        <v>9917901.9010943826</v>
      </c>
      <c r="J42" s="186"/>
      <c r="N42" s="11">
        <v>5</v>
      </c>
      <c r="O42" s="10">
        <v>2018</v>
      </c>
      <c r="P42" s="11">
        <v>139981</v>
      </c>
      <c r="Q42" s="11">
        <v>5</v>
      </c>
      <c r="R42" s="14">
        <f t="shared" si="8"/>
        <v>153233.81340101649</v>
      </c>
      <c r="S42" s="187">
        <f t="shared" si="4"/>
        <v>2924.480067683151</v>
      </c>
      <c r="T42" s="186"/>
      <c r="U42" s="187">
        <f t="shared" si="9"/>
        <v>8552583.666276047</v>
      </c>
      <c r="V42" s="186"/>
      <c r="Y42" s="11">
        <v>5</v>
      </c>
      <c r="Z42" s="10">
        <v>2018</v>
      </c>
      <c r="AA42" s="11">
        <v>139981</v>
      </c>
      <c r="AB42" s="11">
        <v>5</v>
      </c>
      <c r="AC42" s="14">
        <f t="shared" si="10"/>
        <v>154646.5</v>
      </c>
      <c r="AD42" s="184">
        <f t="shared" si="5"/>
        <v>4337.166666666657</v>
      </c>
      <c r="AE42" s="185"/>
      <c r="AF42" s="184">
        <f t="shared" si="11"/>
        <v>18811014.694444362</v>
      </c>
      <c r="AG42" s="185"/>
    </row>
    <row r="43" spans="2:33" x14ac:dyDescent="0.25">
      <c r="B43" s="11">
        <v>6</v>
      </c>
      <c r="C43" s="10">
        <v>2019</v>
      </c>
      <c r="D43" s="11">
        <v>153643</v>
      </c>
      <c r="E43" s="11">
        <v>6</v>
      </c>
      <c r="F43" s="19">
        <f t="shared" si="6"/>
        <v>157650.77085287491</v>
      </c>
      <c r="G43" s="187">
        <f t="shared" si="3"/>
        <v>7341.4375195415632</v>
      </c>
      <c r="H43" s="186"/>
      <c r="I43" s="187">
        <f t="shared" si="7"/>
        <v>53896704.853332579</v>
      </c>
      <c r="J43" s="186"/>
      <c r="N43" s="11">
        <v>6</v>
      </c>
      <c r="O43" s="10">
        <v>2019</v>
      </c>
      <c r="P43" s="11">
        <v>153643</v>
      </c>
      <c r="Q43" s="11">
        <v>6</v>
      </c>
      <c r="R43" s="14">
        <f t="shared" si="8"/>
        <v>157477.54103369956</v>
      </c>
      <c r="S43" s="187">
        <f t="shared" si="4"/>
        <v>7168.2077003662125</v>
      </c>
      <c r="T43" s="186"/>
      <c r="U43" s="187">
        <f t="shared" si="9"/>
        <v>51383201.635589465</v>
      </c>
      <c r="V43" s="186"/>
      <c r="Y43" s="11">
        <v>6</v>
      </c>
      <c r="Z43" s="10">
        <v>2019</v>
      </c>
      <c r="AA43" s="11">
        <v>153643</v>
      </c>
      <c r="AB43" s="11">
        <v>6</v>
      </c>
      <c r="AC43" s="14">
        <f t="shared" si="10"/>
        <v>158716.625</v>
      </c>
      <c r="AD43" s="184">
        <f t="shared" si="5"/>
        <v>8407.291666666657</v>
      </c>
      <c r="AE43" s="185"/>
      <c r="AF43" s="184">
        <f t="shared" si="11"/>
        <v>70682553.168402612</v>
      </c>
      <c r="AG43" s="185"/>
    </row>
    <row r="44" spans="2:33" x14ac:dyDescent="0.25">
      <c r="B44" s="11">
        <v>7</v>
      </c>
      <c r="C44" s="10">
        <v>2020</v>
      </c>
      <c r="D44" s="11">
        <v>164367</v>
      </c>
      <c r="E44" s="11">
        <v>7</v>
      </c>
      <c r="F44" s="19">
        <f t="shared" si="6"/>
        <v>161957.45954400671</v>
      </c>
      <c r="G44" s="187">
        <f t="shared" si="3"/>
        <v>11648.126210673363</v>
      </c>
      <c r="H44" s="186"/>
      <c r="I44" s="187">
        <f t="shared" si="7"/>
        <v>135678844.2197758</v>
      </c>
      <c r="J44" s="186"/>
      <c r="N44" s="11">
        <v>7</v>
      </c>
      <c r="O44" s="10">
        <v>2020</v>
      </c>
      <c r="P44" s="11">
        <v>164367</v>
      </c>
      <c r="Q44" s="11">
        <v>7</v>
      </c>
      <c r="R44" s="14">
        <f t="shared" si="8"/>
        <v>161838.79640925271</v>
      </c>
      <c r="S44" s="187">
        <f t="shared" si="4"/>
        <v>11529.463075919368</v>
      </c>
      <c r="T44" s="186"/>
      <c r="U44" s="187">
        <f t="shared" si="9"/>
        <v>132928518.81898808</v>
      </c>
      <c r="V44" s="186"/>
      <c r="Y44" s="11">
        <v>7</v>
      </c>
      <c r="Z44" s="10">
        <v>2020</v>
      </c>
      <c r="AA44" s="11">
        <v>164367</v>
      </c>
      <c r="AB44" s="11">
        <v>7</v>
      </c>
      <c r="AC44" s="14">
        <f t="shared" si="10"/>
        <v>162786.75</v>
      </c>
      <c r="AD44" s="184">
        <f t="shared" si="5"/>
        <v>12477.416666666657</v>
      </c>
      <c r="AE44" s="185"/>
      <c r="AF44" s="184">
        <f t="shared" si="11"/>
        <v>155685926.67361087</v>
      </c>
      <c r="AG44" s="185"/>
    </row>
    <row r="45" spans="2:33" x14ac:dyDescent="0.25">
      <c r="B45" s="11">
        <v>8</v>
      </c>
      <c r="C45" s="10">
        <v>2021</v>
      </c>
      <c r="D45" s="11">
        <v>167398</v>
      </c>
      <c r="E45" s="11">
        <v>8</v>
      </c>
      <c r="F45" s="19">
        <f t="shared" si="6"/>
        <v>166381.79794520323</v>
      </c>
      <c r="G45" s="187">
        <f t="shared" si="3"/>
        <v>16072.464611869887</v>
      </c>
      <c r="H45" s="186"/>
      <c r="I45" s="187">
        <f t="shared" si="7"/>
        <v>258324118.69980985</v>
      </c>
      <c r="J45" s="186"/>
      <c r="N45" s="11">
        <v>8</v>
      </c>
      <c r="O45" s="10">
        <v>2021</v>
      </c>
      <c r="P45" s="11">
        <v>167398</v>
      </c>
      <c r="Q45" s="11">
        <v>8</v>
      </c>
      <c r="R45" s="14">
        <f t="shared" si="8"/>
        <v>166320.83439498593</v>
      </c>
      <c r="S45" s="187">
        <f t="shared" si="4"/>
        <v>16011.501061652583</v>
      </c>
      <c r="T45" s="186"/>
      <c r="U45" s="187">
        <f t="shared" si="9"/>
        <v>256368166.24730182</v>
      </c>
      <c r="V45" s="186"/>
      <c r="Y45" s="11">
        <v>8</v>
      </c>
      <c r="Z45" s="10">
        <v>2021</v>
      </c>
      <c r="AA45" s="11">
        <v>167398</v>
      </c>
      <c r="AB45" s="11">
        <v>8</v>
      </c>
      <c r="AC45" s="14">
        <f t="shared" si="10"/>
        <v>166856.875</v>
      </c>
      <c r="AD45" s="184">
        <f t="shared" si="5"/>
        <v>16547.541666666657</v>
      </c>
      <c r="AE45" s="185"/>
      <c r="AF45" s="184">
        <f t="shared" si="11"/>
        <v>273821135.21006912</v>
      </c>
      <c r="AG45" s="185"/>
    </row>
    <row r="46" spans="2:33" x14ac:dyDescent="0.25">
      <c r="B46" s="11">
        <v>9</v>
      </c>
      <c r="C46" s="13">
        <v>2022</v>
      </c>
      <c r="D46" s="11">
        <v>170927</v>
      </c>
      <c r="E46" s="11">
        <v>9</v>
      </c>
      <c r="F46" s="19">
        <f t="shared" si="6"/>
        <v>170927</v>
      </c>
      <c r="G46" s="187">
        <f t="shared" si="3"/>
        <v>20617.666666666657</v>
      </c>
      <c r="H46" s="186"/>
      <c r="I46" s="187">
        <f t="shared" si="7"/>
        <v>425088178.77777737</v>
      </c>
      <c r="J46" s="186"/>
      <c r="N46" s="11">
        <v>9</v>
      </c>
      <c r="O46" s="13">
        <v>2022</v>
      </c>
      <c r="P46" s="11">
        <v>170927</v>
      </c>
      <c r="Q46" s="11">
        <v>9</v>
      </c>
      <c r="R46" s="14">
        <f t="shared" si="8"/>
        <v>170927</v>
      </c>
      <c r="S46" s="187">
        <f t="shared" si="4"/>
        <v>20617.666666666657</v>
      </c>
      <c r="T46" s="186"/>
      <c r="U46" s="187">
        <f t="shared" si="9"/>
        <v>425088178.77777737</v>
      </c>
      <c r="V46" s="186"/>
      <c r="Y46" s="11">
        <v>9</v>
      </c>
      <c r="Z46" s="13">
        <v>2022</v>
      </c>
      <c r="AA46" s="11">
        <v>170927</v>
      </c>
      <c r="AB46" s="11">
        <v>9</v>
      </c>
      <c r="AC46" s="14">
        <f t="shared" si="10"/>
        <v>170927</v>
      </c>
      <c r="AD46" s="184">
        <f t="shared" si="5"/>
        <v>20617.666666666657</v>
      </c>
      <c r="AE46" s="185"/>
      <c r="AF46" s="184">
        <f t="shared" si="11"/>
        <v>425088178.77777737</v>
      </c>
      <c r="AG46" s="185"/>
    </row>
    <row r="47" spans="2:33" x14ac:dyDescent="0.25">
      <c r="B47" s="186" t="s">
        <v>64</v>
      </c>
      <c r="C47" s="186"/>
      <c r="D47" s="19">
        <f>SUM(D38:D46)</f>
        <v>1352784</v>
      </c>
      <c r="E47" s="11">
        <f>SUM(E38:E46)</f>
        <v>45</v>
      </c>
      <c r="F47" s="19"/>
      <c r="G47" s="184"/>
      <c r="H47" s="182"/>
      <c r="I47" s="187">
        <f>SUM(I38:J46)</f>
        <v>1141832655.8514416</v>
      </c>
      <c r="J47" s="186"/>
      <c r="N47" s="186" t="s">
        <v>64</v>
      </c>
      <c r="O47" s="186"/>
      <c r="P47" s="19">
        <f>SUM(P38:P46)</f>
        <v>1352784</v>
      </c>
      <c r="Q47" s="11">
        <f>SUM(Q38:Q46)</f>
        <v>45</v>
      </c>
      <c r="R47" s="19"/>
      <c r="S47" s="184"/>
      <c r="T47" s="182"/>
      <c r="U47" s="187">
        <f>SUM(U38:V46)</f>
        <v>1153831516.6642718</v>
      </c>
      <c r="V47" s="186"/>
      <c r="Y47" s="181" t="s">
        <v>64</v>
      </c>
      <c r="Z47" s="182"/>
      <c r="AA47" s="19">
        <f>SUM(AA38:AA46)</f>
        <v>1352784</v>
      </c>
      <c r="AB47" s="11">
        <f>SUM(AB38:AB46)</f>
        <v>45</v>
      </c>
      <c r="AC47" s="19"/>
      <c r="AD47" s="184"/>
      <c r="AE47" s="185"/>
      <c r="AF47" s="184">
        <f>SUM(AF38:AG46)</f>
        <v>1163254183.1874993</v>
      </c>
      <c r="AG47" s="185"/>
    </row>
    <row r="48" spans="2:33" x14ac:dyDescent="0.25">
      <c r="B48" s="186" t="s">
        <v>65</v>
      </c>
      <c r="C48" s="186"/>
      <c r="D48" s="19">
        <f>AVERAGE(D38:D46)</f>
        <v>150309.33333333334</v>
      </c>
      <c r="E48" s="11"/>
      <c r="F48" s="11"/>
      <c r="G48" s="181"/>
      <c r="H48" s="182"/>
      <c r="I48" s="181"/>
      <c r="J48" s="182"/>
      <c r="N48" s="186" t="s">
        <v>65</v>
      </c>
      <c r="O48" s="186"/>
      <c r="P48" s="19">
        <f>AVERAGE(P38:P46)</f>
        <v>150309.33333333334</v>
      </c>
      <c r="Q48" s="11"/>
      <c r="R48" s="11"/>
      <c r="S48" s="181"/>
      <c r="T48" s="182"/>
      <c r="U48" s="181"/>
      <c r="V48" s="182"/>
      <c r="Y48" s="181" t="s">
        <v>65</v>
      </c>
      <c r="Z48" s="182"/>
      <c r="AA48" s="19">
        <f>AVERAGE(AA38:AA46)</f>
        <v>150309.33333333334</v>
      </c>
      <c r="AB48" s="11"/>
      <c r="AC48" s="11"/>
      <c r="AD48" s="181"/>
      <c r="AE48" s="182"/>
      <c r="AF48" s="181"/>
      <c r="AG48" s="182"/>
    </row>
    <row r="49" spans="2:33" x14ac:dyDescent="0.25">
      <c r="B49" s="181" t="s">
        <v>66</v>
      </c>
      <c r="C49" s="183"/>
      <c r="D49" s="183"/>
      <c r="E49" s="183"/>
      <c r="F49" s="183"/>
      <c r="G49" s="183"/>
      <c r="H49" s="182"/>
      <c r="I49" s="184">
        <f>SQRT(I47/11)</f>
        <v>10188.37419384307</v>
      </c>
      <c r="J49" s="185"/>
      <c r="N49" s="181" t="s">
        <v>66</v>
      </c>
      <c r="O49" s="183"/>
      <c r="P49" s="183"/>
      <c r="Q49" s="183"/>
      <c r="R49" s="183"/>
      <c r="S49" s="183"/>
      <c r="T49" s="182"/>
      <c r="U49" s="184">
        <f>SQRT(U47/11)</f>
        <v>10241.766168108239</v>
      </c>
      <c r="V49" s="185"/>
      <c r="Y49" s="181" t="s">
        <v>66</v>
      </c>
      <c r="Z49" s="183"/>
      <c r="AA49" s="183"/>
      <c r="AB49" s="183"/>
      <c r="AC49" s="183"/>
      <c r="AD49" s="183"/>
      <c r="AE49" s="182"/>
      <c r="AF49" s="184">
        <f>SQRT(AF47/11)</f>
        <v>10283.500390906429</v>
      </c>
      <c r="AG49" s="185"/>
    </row>
    <row r="52" spans="2:33" x14ac:dyDescent="0.25">
      <c r="B52" s="11" t="s">
        <v>2</v>
      </c>
      <c r="C52" s="11" t="s">
        <v>67</v>
      </c>
      <c r="D52" s="11" t="s">
        <v>68</v>
      </c>
    </row>
    <row r="53" spans="2:33" x14ac:dyDescent="0.25">
      <c r="B53" s="8">
        <v>1</v>
      </c>
      <c r="C53" s="8" t="s">
        <v>44</v>
      </c>
      <c r="D53" s="20">
        <f>I49</f>
        <v>10188.37419384307</v>
      </c>
    </row>
    <row r="54" spans="2:33" x14ac:dyDescent="0.25">
      <c r="B54" s="11">
        <v>2</v>
      </c>
      <c r="C54" s="11" t="s">
        <v>45</v>
      </c>
      <c r="D54" s="19">
        <f>U49</f>
        <v>10241.766168108239</v>
      </c>
    </row>
    <row r="55" spans="2:33" x14ac:dyDescent="0.25">
      <c r="B55" s="11">
        <v>3</v>
      </c>
      <c r="C55" s="11" t="s">
        <v>43</v>
      </c>
      <c r="D55" s="19">
        <f>AF49</f>
        <v>10283.500390906429</v>
      </c>
    </row>
    <row r="57" spans="2:33" x14ac:dyDescent="0.25">
      <c r="B57" s="178" t="s">
        <v>69</v>
      </c>
      <c r="C57" s="178"/>
      <c r="D57" s="178"/>
      <c r="E57" s="178"/>
      <c r="F57" s="178"/>
    </row>
    <row r="58" spans="2:33" x14ac:dyDescent="0.25">
      <c r="B58" s="178"/>
      <c r="C58" s="178"/>
      <c r="D58" s="178"/>
      <c r="E58" s="178"/>
      <c r="F58" s="178"/>
    </row>
    <row r="61" spans="2:33" x14ac:dyDescent="0.25">
      <c r="B61" s="194" t="s">
        <v>70</v>
      </c>
      <c r="C61" s="194"/>
      <c r="E61" s="194" t="s">
        <v>71</v>
      </c>
      <c r="F61" s="194"/>
    </row>
    <row r="62" spans="2:33" x14ac:dyDescent="0.25">
      <c r="B62" s="194"/>
      <c r="C62" s="194"/>
      <c r="E62" s="194"/>
      <c r="F62" s="194"/>
    </row>
    <row r="63" spans="2:33" x14ac:dyDescent="0.25">
      <c r="B63" s="194" t="s">
        <v>40</v>
      </c>
      <c r="C63" s="186" t="s">
        <v>50</v>
      </c>
      <c r="E63" s="194" t="s">
        <v>40</v>
      </c>
      <c r="F63" s="186" t="s">
        <v>50</v>
      </c>
    </row>
    <row r="64" spans="2:33" x14ac:dyDescent="0.25">
      <c r="B64" s="194"/>
      <c r="C64" s="186"/>
      <c r="E64" s="194"/>
      <c r="F64" s="186"/>
    </row>
    <row r="65" spans="1:6" x14ac:dyDescent="0.25">
      <c r="B65" s="10">
        <v>2014</v>
      </c>
      <c r="C65" s="11">
        <v>138366</v>
      </c>
      <c r="E65" s="10">
        <v>2014</v>
      </c>
      <c r="F65" s="14">
        <f>C65</f>
        <v>138366</v>
      </c>
    </row>
    <row r="66" spans="1:6" x14ac:dyDescent="0.25">
      <c r="B66" s="10">
        <v>2015</v>
      </c>
      <c r="C66" s="11">
        <v>138891</v>
      </c>
      <c r="E66" s="10">
        <v>2015</v>
      </c>
      <c r="F66" s="14">
        <f t="shared" ref="F66:F83" si="12">C66</f>
        <v>138891</v>
      </c>
    </row>
    <row r="67" spans="1:6" x14ac:dyDescent="0.25">
      <c r="B67" s="10">
        <v>2016</v>
      </c>
      <c r="C67" s="11">
        <v>139502</v>
      </c>
      <c r="E67" s="10">
        <v>2016</v>
      </c>
      <c r="F67" s="14">
        <f t="shared" si="12"/>
        <v>139502</v>
      </c>
    </row>
    <row r="68" spans="1:6" x14ac:dyDescent="0.25">
      <c r="B68" s="10">
        <v>2017</v>
      </c>
      <c r="C68" s="11">
        <v>139709</v>
      </c>
      <c r="E68" s="10">
        <v>2017</v>
      </c>
      <c r="F68" s="14">
        <f t="shared" si="12"/>
        <v>139709</v>
      </c>
    </row>
    <row r="69" spans="1:6" x14ac:dyDescent="0.25">
      <c r="B69" s="10">
        <v>2018</v>
      </c>
      <c r="C69" s="11">
        <v>139981</v>
      </c>
      <c r="E69" s="10">
        <v>2018</v>
      </c>
      <c r="F69" s="14">
        <f t="shared" si="12"/>
        <v>139981</v>
      </c>
    </row>
    <row r="70" spans="1:6" x14ac:dyDescent="0.25">
      <c r="B70" s="10">
        <v>2019</v>
      </c>
      <c r="C70" s="11">
        <v>153643</v>
      </c>
      <c r="E70" s="10">
        <v>2019</v>
      </c>
      <c r="F70" s="14">
        <f t="shared" si="12"/>
        <v>153643</v>
      </c>
    </row>
    <row r="71" spans="1:6" x14ac:dyDescent="0.25">
      <c r="B71" s="10">
        <v>2020</v>
      </c>
      <c r="C71" s="11">
        <v>164367</v>
      </c>
      <c r="E71" s="10">
        <v>2020</v>
      </c>
      <c r="F71" s="14">
        <f t="shared" si="12"/>
        <v>164367</v>
      </c>
    </row>
    <row r="72" spans="1:6" x14ac:dyDescent="0.25">
      <c r="B72" s="10">
        <v>2021</v>
      </c>
      <c r="C72" s="11">
        <v>167398</v>
      </c>
      <c r="E72" s="10">
        <v>2021</v>
      </c>
      <c r="F72" s="14">
        <f t="shared" si="12"/>
        <v>167398</v>
      </c>
    </row>
    <row r="73" spans="1:6" x14ac:dyDescent="0.25">
      <c r="A73" s="9">
        <v>1</v>
      </c>
      <c r="B73" s="7">
        <v>2022</v>
      </c>
      <c r="C73" s="8">
        <v>170927</v>
      </c>
      <c r="E73" s="7">
        <v>2022</v>
      </c>
      <c r="F73" s="21">
        <f t="shared" si="12"/>
        <v>170927</v>
      </c>
    </row>
    <row r="74" spans="1:6" x14ac:dyDescent="0.25">
      <c r="A74" s="9">
        <v>2</v>
      </c>
      <c r="B74" s="10">
        <v>2023</v>
      </c>
      <c r="C74" s="14">
        <f>$D$32*((1+$F$17)^1)</f>
        <v>175596.36745013486</v>
      </c>
      <c r="E74" s="10">
        <v>2023</v>
      </c>
      <c r="F74" s="14">
        <f t="shared" si="12"/>
        <v>175596.36745013486</v>
      </c>
    </row>
    <row r="75" spans="1:6" x14ac:dyDescent="0.25">
      <c r="A75" s="9">
        <v>3</v>
      </c>
      <c r="B75" s="13">
        <v>2024</v>
      </c>
      <c r="C75" s="14">
        <f>$D$32*((1+$F$17)^2)</f>
        <v>180393.29223401091</v>
      </c>
      <c r="E75" s="13">
        <v>2024</v>
      </c>
      <c r="F75" s="14">
        <f t="shared" si="12"/>
        <v>180393.29223401091</v>
      </c>
    </row>
    <row r="76" spans="1:6" x14ac:dyDescent="0.25">
      <c r="A76" s="9">
        <v>4</v>
      </c>
      <c r="B76" s="10">
        <v>2025</v>
      </c>
      <c r="C76" s="14">
        <f>$D$32*((1+$F$17)^3)</f>
        <v>185321.25895068035</v>
      </c>
      <c r="E76" s="10">
        <v>2025</v>
      </c>
      <c r="F76" s="14">
        <f t="shared" si="12"/>
        <v>185321.25895068035</v>
      </c>
    </row>
    <row r="77" spans="1:6" x14ac:dyDescent="0.25">
      <c r="A77" s="9">
        <v>5</v>
      </c>
      <c r="B77" s="13">
        <v>2026</v>
      </c>
      <c r="C77" s="14">
        <f>$D$32*((1+$F$17)^4)</f>
        <v>190383.84739113928</v>
      </c>
      <c r="E77" s="13">
        <v>2026</v>
      </c>
      <c r="F77" s="14">
        <f t="shared" si="12"/>
        <v>190383.84739113928</v>
      </c>
    </row>
    <row r="78" spans="1:6" x14ac:dyDescent="0.25">
      <c r="A78" s="9">
        <v>6</v>
      </c>
      <c r="B78" s="10">
        <v>2027</v>
      </c>
      <c r="C78" s="14">
        <f>$D$32*((1+$F$17)^5)</f>
        <v>195584.73513877206</v>
      </c>
      <c r="E78" s="10">
        <v>2027</v>
      </c>
      <c r="F78" s="14">
        <f t="shared" si="12"/>
        <v>195584.73513877206</v>
      </c>
    </row>
    <row r="79" spans="1:6" x14ac:dyDescent="0.25">
      <c r="A79" s="9">
        <v>7</v>
      </c>
      <c r="B79" s="13">
        <v>2028</v>
      </c>
      <c r="C79" s="14">
        <f>$D$32*((1+$F$17)^6)</f>
        <v>200927.7002408345</v>
      </c>
      <c r="E79" s="13">
        <v>2028</v>
      </c>
      <c r="F79" s="14">
        <f t="shared" si="12"/>
        <v>200927.7002408345</v>
      </c>
    </row>
    <row r="80" spans="1:6" x14ac:dyDescent="0.25">
      <c r="A80" s="9">
        <v>8</v>
      </c>
      <c r="B80" s="10">
        <v>2029</v>
      </c>
      <c r="C80" s="14">
        <f>$D$32*((1+$F$17)^7)</f>
        <v>206416.6239529163</v>
      </c>
      <c r="E80" s="10">
        <v>2029</v>
      </c>
      <c r="F80" s="14">
        <f t="shared" si="12"/>
        <v>206416.6239529163</v>
      </c>
    </row>
    <row r="81" spans="1:6" x14ac:dyDescent="0.25">
      <c r="A81" s="9">
        <v>9</v>
      </c>
      <c r="B81" s="13">
        <v>2030</v>
      </c>
      <c r="C81" s="14">
        <f>$D$32*((1+$F$17)^8)</f>
        <v>212055.49355837645</v>
      </c>
      <c r="E81" s="13">
        <v>2030</v>
      </c>
      <c r="F81" s="14">
        <f t="shared" si="12"/>
        <v>212055.49355837645</v>
      </c>
    </row>
    <row r="82" spans="1:6" x14ac:dyDescent="0.25">
      <c r="A82" s="9">
        <v>10</v>
      </c>
      <c r="B82" s="10">
        <v>2031</v>
      </c>
      <c r="C82" s="14">
        <f>$D$32*((1+$F$17)^9)</f>
        <v>217848.40526479942</v>
      </c>
      <c r="E82" s="13">
        <v>2031</v>
      </c>
      <c r="F82" s="14">
        <f t="shared" si="12"/>
        <v>217848.40526479942</v>
      </c>
    </row>
    <row r="83" spans="1:6" x14ac:dyDescent="0.25">
      <c r="A83" s="9">
        <v>11</v>
      </c>
      <c r="B83" s="13">
        <v>2032</v>
      </c>
      <c r="C83" s="14">
        <f>$D$32*((1+$F$17)^10)</f>
        <v>223799.56717957734</v>
      </c>
      <c r="E83" s="11">
        <v>2032</v>
      </c>
      <c r="F83" s="14">
        <f t="shared" si="12"/>
        <v>223799.56717957734</v>
      </c>
    </row>
    <row r="84" spans="1:6" ht="14.4" x14ac:dyDescent="0.3">
      <c r="A84" s="9">
        <v>12</v>
      </c>
      <c r="B84" s="10">
        <v>2033</v>
      </c>
      <c r="C84" s="14">
        <f>$D$32*((1+$F$17)^11)</f>
        <v>229913.30236677767</v>
      </c>
      <c r="E84"/>
      <c r="F84"/>
    </row>
    <row r="85" spans="1:6" ht="14.4" x14ac:dyDescent="0.3">
      <c r="A85" s="9">
        <v>13</v>
      </c>
      <c r="B85" s="13">
        <v>2034</v>
      </c>
      <c r="C85" s="14">
        <f>$D$32*((1+$F$17)^12)</f>
        <v>236194.05198751902</v>
      </c>
      <c r="E85"/>
      <c r="F85"/>
    </row>
    <row r="86" spans="1:6" ht="14.4" x14ac:dyDescent="0.3">
      <c r="A86" s="9">
        <v>14</v>
      </c>
      <c r="B86" s="10">
        <v>2035</v>
      </c>
      <c r="C86" s="14">
        <f>$D$32*((1+$F$17)^12)</f>
        <v>236194.05198751902</v>
      </c>
      <c r="E86"/>
      <c r="F86"/>
    </row>
    <row r="87" spans="1:6" x14ac:dyDescent="0.25">
      <c r="A87" s="9">
        <v>15</v>
      </c>
      <c r="B87" s="13">
        <v>2036</v>
      </c>
      <c r="C87" s="14">
        <f>$D$32*((1+$F$17)^13)</f>
        <v>242646.37852613479</v>
      </c>
    </row>
    <row r="88" spans="1:6" x14ac:dyDescent="0.25">
      <c r="A88" s="9">
        <v>16</v>
      </c>
      <c r="B88" s="10">
        <v>2037</v>
      </c>
      <c r="C88" s="14">
        <f>$D$32*((1+$F$17)^14)</f>
        <v>249274.96910446961</v>
      </c>
    </row>
    <row r="89" spans="1:6" x14ac:dyDescent="0.25">
      <c r="A89" s="9">
        <v>17</v>
      </c>
      <c r="B89" s="13">
        <v>2038</v>
      </c>
      <c r="C89" s="14">
        <f>$D$32*((1+$F$17)^15)</f>
        <v>256084.63888671456</v>
      </c>
    </row>
    <row r="90" spans="1:6" x14ac:dyDescent="0.25">
      <c r="A90" s="9">
        <v>18</v>
      </c>
      <c r="B90" s="10">
        <v>2039</v>
      </c>
      <c r="C90" s="14">
        <f>$D$32*((1+$F$17)^16)</f>
        <v>263080.334577256</v>
      </c>
    </row>
    <row r="91" spans="1:6" x14ac:dyDescent="0.25">
      <c r="A91" s="9">
        <v>19</v>
      </c>
      <c r="B91" s="13">
        <v>2040</v>
      </c>
      <c r="C91" s="22">
        <f>$D$32*((1+$F$17)^17)</f>
        <v>270267.13801407773</v>
      </c>
    </row>
    <row r="92" spans="1:6" x14ac:dyDescent="0.25">
      <c r="A92" s="9">
        <v>20</v>
      </c>
      <c r="B92" s="11">
        <v>2041</v>
      </c>
      <c r="C92" s="14">
        <f>$D$32*((1+$F$17)^18)</f>
        <v>277650.26986032812</v>
      </c>
    </row>
    <row r="93" spans="1:6" x14ac:dyDescent="0.25">
      <c r="A93" s="9">
        <v>21</v>
      </c>
      <c r="B93" s="11">
        <v>2042</v>
      </c>
      <c r="C93" s="14">
        <f>$D$32*((1+$F$17)^19)</f>
        <v>285235.09339673241</v>
      </c>
    </row>
    <row r="94" spans="1:6" customFormat="1" ht="14.4" x14ac:dyDescent="0.3">
      <c r="A94" s="9">
        <v>22</v>
      </c>
      <c r="B94" s="11">
        <v>2043</v>
      </c>
      <c r="C94" s="3">
        <f>$D$32*((1+$F$17)^20)</f>
        <v>293027.11841760611</v>
      </c>
    </row>
    <row r="95" spans="1:6" customFormat="1" ht="14.4" x14ac:dyDescent="0.3"/>
  </sheetData>
  <mergeCells count="154">
    <mergeCell ref="B57:F58"/>
    <mergeCell ref="B61:C62"/>
    <mergeCell ref="E61:F62"/>
    <mergeCell ref="B63:B64"/>
    <mergeCell ref="C63:C64"/>
    <mergeCell ref="E63:E64"/>
    <mergeCell ref="F63:F64"/>
    <mergeCell ref="AD48:AE48"/>
    <mergeCell ref="AF48:AG48"/>
    <mergeCell ref="B49:H49"/>
    <mergeCell ref="I49:J49"/>
    <mergeCell ref="N49:T49"/>
    <mergeCell ref="U49:V49"/>
    <mergeCell ref="Y49:AE49"/>
    <mergeCell ref="AF49:AG49"/>
    <mergeCell ref="Y47:Z47"/>
    <mergeCell ref="AD47:AE47"/>
    <mergeCell ref="AF47:AG47"/>
    <mergeCell ref="B48:C48"/>
    <mergeCell ref="G48:H48"/>
    <mergeCell ref="I48:J48"/>
    <mergeCell ref="N48:O48"/>
    <mergeCell ref="S48:T48"/>
    <mergeCell ref="U48:V48"/>
    <mergeCell ref="Y48:Z48"/>
    <mergeCell ref="B47:C47"/>
    <mergeCell ref="G47:H47"/>
    <mergeCell ref="I47:J47"/>
    <mergeCell ref="N47:O47"/>
    <mergeCell ref="S47:T47"/>
    <mergeCell ref="U47:V47"/>
    <mergeCell ref="G46:H46"/>
    <mergeCell ref="I46:J46"/>
    <mergeCell ref="S46:T46"/>
    <mergeCell ref="U46:V46"/>
    <mergeCell ref="AD46:AE46"/>
    <mergeCell ref="AF46:AG46"/>
    <mergeCell ref="G45:H45"/>
    <mergeCell ref="I45:J45"/>
    <mergeCell ref="S45:T45"/>
    <mergeCell ref="U45:V45"/>
    <mergeCell ref="AD45:AE45"/>
    <mergeCell ref="AF45:AG45"/>
    <mergeCell ref="G44:H44"/>
    <mergeCell ref="I44:J44"/>
    <mergeCell ref="S44:T44"/>
    <mergeCell ref="U44:V44"/>
    <mergeCell ref="AD44:AE44"/>
    <mergeCell ref="AF44:AG44"/>
    <mergeCell ref="G43:H43"/>
    <mergeCell ref="I43:J43"/>
    <mergeCell ref="S43:T43"/>
    <mergeCell ref="U43:V43"/>
    <mergeCell ref="AD43:AE43"/>
    <mergeCell ref="AF43:AG43"/>
    <mergeCell ref="G42:H42"/>
    <mergeCell ref="I42:J42"/>
    <mergeCell ref="S42:T42"/>
    <mergeCell ref="U42:V42"/>
    <mergeCell ref="AD42:AE42"/>
    <mergeCell ref="AF42:AG42"/>
    <mergeCell ref="G41:H41"/>
    <mergeCell ref="I41:J41"/>
    <mergeCell ref="S41:T41"/>
    <mergeCell ref="U41:V41"/>
    <mergeCell ref="AD41:AE41"/>
    <mergeCell ref="AF41:AG41"/>
    <mergeCell ref="G40:H40"/>
    <mergeCell ref="I40:J40"/>
    <mergeCell ref="S40:T40"/>
    <mergeCell ref="U40:V40"/>
    <mergeCell ref="AD40:AE40"/>
    <mergeCell ref="AF40:AG40"/>
    <mergeCell ref="G39:H39"/>
    <mergeCell ref="I39:J39"/>
    <mergeCell ref="S39:T39"/>
    <mergeCell ref="U39:V39"/>
    <mergeCell ref="AD39:AE39"/>
    <mergeCell ref="AF39:AG39"/>
    <mergeCell ref="AC36:AC37"/>
    <mergeCell ref="AD36:AE37"/>
    <mergeCell ref="AF36:AG37"/>
    <mergeCell ref="G38:H38"/>
    <mergeCell ref="I38:J38"/>
    <mergeCell ref="S38:T38"/>
    <mergeCell ref="U38:V38"/>
    <mergeCell ref="AD38:AE38"/>
    <mergeCell ref="AF38:AG38"/>
    <mergeCell ref="S36:T37"/>
    <mergeCell ref="U36:V37"/>
    <mergeCell ref="Y36:Y37"/>
    <mergeCell ref="Z36:Z37"/>
    <mergeCell ref="AA36:AA37"/>
    <mergeCell ref="AB36:AB37"/>
    <mergeCell ref="I36:J37"/>
    <mergeCell ref="N36:N37"/>
    <mergeCell ref="O36:O37"/>
    <mergeCell ref="P36:P37"/>
    <mergeCell ref="Q36:Q37"/>
    <mergeCell ref="R36:R37"/>
    <mergeCell ref="B36:B37"/>
    <mergeCell ref="C36:C37"/>
    <mergeCell ref="D36:D37"/>
    <mergeCell ref="E36:E37"/>
    <mergeCell ref="F36:F37"/>
    <mergeCell ref="G36:H37"/>
    <mergeCell ref="P22:P23"/>
    <mergeCell ref="Q22:Q23"/>
    <mergeCell ref="R22:R23"/>
    <mergeCell ref="B35:J35"/>
    <mergeCell ref="N35:V35"/>
    <mergeCell ref="Y35:AG35"/>
    <mergeCell ref="I22:I23"/>
    <mergeCell ref="J22:J23"/>
    <mergeCell ref="K22:K23"/>
    <mergeCell ref="L22:L23"/>
    <mergeCell ref="N22:N23"/>
    <mergeCell ref="O22:O23"/>
    <mergeCell ref="B22:B23"/>
    <mergeCell ref="C22:C23"/>
    <mergeCell ref="D22:D23"/>
    <mergeCell ref="E22:E23"/>
    <mergeCell ref="F22:F23"/>
    <mergeCell ref="H22:H23"/>
    <mergeCell ref="B21:F21"/>
    <mergeCell ref="H21:L21"/>
    <mergeCell ref="N21:R21"/>
    <mergeCell ref="D14:E14"/>
    <mergeCell ref="G14:H14"/>
    <mergeCell ref="D15:E15"/>
    <mergeCell ref="G15:H15"/>
    <mergeCell ref="D16:E16"/>
    <mergeCell ref="G16:H16"/>
    <mergeCell ref="D13:E13"/>
    <mergeCell ref="G13:H13"/>
    <mergeCell ref="D8:E8"/>
    <mergeCell ref="G8:H8"/>
    <mergeCell ref="D9:E9"/>
    <mergeCell ref="G9:H9"/>
    <mergeCell ref="D10:E10"/>
    <mergeCell ref="G10:H10"/>
    <mergeCell ref="B17:C17"/>
    <mergeCell ref="D17:E17"/>
    <mergeCell ref="G17:H17"/>
    <mergeCell ref="B5:B7"/>
    <mergeCell ref="C5:C7"/>
    <mergeCell ref="D5:H5"/>
    <mergeCell ref="D6:E7"/>
    <mergeCell ref="F6:F7"/>
    <mergeCell ref="G6:H7"/>
    <mergeCell ref="D11:E11"/>
    <mergeCell ref="G11:H11"/>
    <mergeCell ref="D12:E12"/>
    <mergeCell ref="G12:H1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51308-F004-417B-93F3-38356B62E519}">
  <dimension ref="A2:AB46"/>
  <sheetViews>
    <sheetView workbookViewId="0">
      <selection activeCell="K44" sqref="K44"/>
    </sheetView>
  </sheetViews>
  <sheetFormatPr defaultRowHeight="14.4" x14ac:dyDescent="0.3"/>
  <cols>
    <col min="6" max="6" width="2" customWidth="1"/>
    <col min="7" max="7" width="11.5546875" customWidth="1"/>
    <col min="8" max="8" width="11.109375" customWidth="1"/>
    <col min="9" max="9" width="10.21875" customWidth="1"/>
    <col min="10" max="10" width="10.33203125" customWidth="1"/>
    <col min="11" max="11" width="10.6640625" customWidth="1"/>
    <col min="12" max="14" width="10.88671875" customWidth="1"/>
    <col min="15" max="15" width="11.77734375" customWidth="1"/>
    <col min="16" max="17" width="12.44140625" bestFit="1" customWidth="1"/>
    <col min="18" max="18" width="11.77734375" customWidth="1"/>
    <col min="19" max="19" width="12.44140625" bestFit="1" customWidth="1"/>
    <col min="20" max="21" width="11.44140625" customWidth="1"/>
    <col min="22" max="22" width="11.21875" customWidth="1"/>
    <col min="23" max="23" width="11.77734375" customWidth="1"/>
    <col min="24" max="24" width="11.88671875" customWidth="1"/>
    <col min="25" max="25" width="12.44140625" bestFit="1" customWidth="1"/>
    <col min="26" max="26" width="12" customWidth="1"/>
    <col min="27" max="27" width="11.88671875" customWidth="1"/>
    <col min="28" max="28" width="11.5546875" customWidth="1"/>
  </cols>
  <sheetData>
    <row r="2" spans="1:8" s="9" customFormat="1" x14ac:dyDescent="0.3">
      <c r="A2" s="23">
        <v>1</v>
      </c>
      <c r="B2" s="24" t="s">
        <v>92</v>
      </c>
      <c r="C2"/>
      <c r="D2"/>
      <c r="E2"/>
      <c r="F2"/>
      <c r="H2"/>
    </row>
    <row r="3" spans="1:8" s="9" customFormat="1" x14ac:dyDescent="0.3">
      <c r="A3"/>
      <c r="B3" s="25" t="s">
        <v>91</v>
      </c>
      <c r="C3" s="24"/>
      <c r="D3" s="24"/>
      <c r="E3" s="24"/>
      <c r="F3" s="24"/>
      <c r="H3" s="24"/>
    </row>
    <row r="4" spans="1:8" x14ac:dyDescent="0.3">
      <c r="B4" s="25" t="s">
        <v>93</v>
      </c>
    </row>
    <row r="6" spans="1:8" x14ac:dyDescent="0.3">
      <c r="B6" s="163" t="s">
        <v>2</v>
      </c>
      <c r="C6" s="163" t="s">
        <v>94</v>
      </c>
      <c r="D6" s="163"/>
      <c r="E6" s="163"/>
      <c r="F6" s="163"/>
      <c r="G6" s="163" t="s">
        <v>109</v>
      </c>
      <c r="H6" s="163"/>
    </row>
    <row r="7" spans="1:8" x14ac:dyDescent="0.3">
      <c r="B7" s="163"/>
      <c r="C7" s="163"/>
      <c r="D7" s="163"/>
      <c r="E7" s="163"/>
      <c r="F7" s="163"/>
      <c r="G7" s="213" t="s">
        <v>95</v>
      </c>
      <c r="H7" s="213"/>
    </row>
    <row r="8" spans="1:8" x14ac:dyDescent="0.3">
      <c r="B8" s="215">
        <v>1</v>
      </c>
      <c r="C8" s="214" t="s">
        <v>96</v>
      </c>
      <c r="D8" s="214"/>
      <c r="E8" s="214"/>
      <c r="F8" s="214"/>
      <c r="G8" s="215">
        <v>150</v>
      </c>
      <c r="H8" s="215"/>
    </row>
    <row r="9" spans="1:8" x14ac:dyDescent="0.3">
      <c r="B9" s="215"/>
      <c r="C9" s="214"/>
      <c r="D9" s="214"/>
      <c r="E9" s="214"/>
      <c r="F9" s="214"/>
      <c r="G9" s="215"/>
      <c r="H9" s="215"/>
    </row>
    <row r="10" spans="1:8" x14ac:dyDescent="0.3">
      <c r="B10" s="221">
        <v>2</v>
      </c>
      <c r="C10" s="214" t="s">
        <v>97</v>
      </c>
      <c r="D10" s="214"/>
      <c r="E10" s="214"/>
      <c r="F10" s="214"/>
      <c r="G10" s="215">
        <v>30</v>
      </c>
      <c r="H10" s="215"/>
    </row>
    <row r="11" spans="1:8" x14ac:dyDescent="0.3">
      <c r="B11" s="222"/>
      <c r="C11" s="214"/>
      <c r="D11" s="214"/>
      <c r="E11" s="214"/>
      <c r="F11" s="214"/>
      <c r="G11" s="215"/>
      <c r="H11" s="215"/>
    </row>
    <row r="12" spans="1:8" x14ac:dyDescent="0.3">
      <c r="B12" s="28">
        <v>3</v>
      </c>
      <c r="C12" s="216" t="s">
        <v>98</v>
      </c>
      <c r="D12" s="216"/>
      <c r="E12" s="216"/>
      <c r="F12" s="216"/>
      <c r="G12" s="215">
        <v>20</v>
      </c>
      <c r="H12" s="215"/>
    </row>
    <row r="13" spans="1:8" x14ac:dyDescent="0.3">
      <c r="B13" s="28">
        <v>4</v>
      </c>
      <c r="C13" s="216" t="s">
        <v>99</v>
      </c>
      <c r="D13" s="216"/>
      <c r="E13" s="216"/>
      <c r="F13" s="216"/>
      <c r="G13" s="215">
        <v>18</v>
      </c>
      <c r="H13" s="215"/>
    </row>
    <row r="14" spans="1:8" x14ac:dyDescent="0.3">
      <c r="B14" s="28">
        <v>5</v>
      </c>
      <c r="C14" s="216" t="s">
        <v>100</v>
      </c>
      <c r="D14" s="216"/>
      <c r="E14" s="216"/>
      <c r="F14" s="216"/>
      <c r="G14" s="215">
        <v>1.1000000000000001</v>
      </c>
      <c r="H14" s="215"/>
    </row>
    <row r="15" spans="1:8" x14ac:dyDescent="0.3">
      <c r="B15" s="28">
        <v>6</v>
      </c>
      <c r="C15" s="216" t="s">
        <v>101</v>
      </c>
      <c r="D15" s="216"/>
      <c r="E15" s="216"/>
      <c r="F15" s="216"/>
      <c r="G15" s="215">
        <v>1.5</v>
      </c>
      <c r="H15" s="215"/>
    </row>
    <row r="16" spans="1:8" x14ac:dyDescent="0.3">
      <c r="B16" s="28">
        <v>7</v>
      </c>
      <c r="C16" s="216" t="s">
        <v>102</v>
      </c>
      <c r="D16" s="216"/>
      <c r="E16" s="216"/>
      <c r="F16" s="216"/>
      <c r="G16" s="215">
        <v>5</v>
      </c>
      <c r="H16" s="215"/>
    </row>
    <row r="17" spans="2:28" x14ac:dyDescent="0.3">
      <c r="B17" s="28">
        <v>8</v>
      </c>
      <c r="C17" s="216" t="s">
        <v>103</v>
      </c>
      <c r="D17" s="216"/>
      <c r="E17" s="216"/>
      <c r="F17" s="216"/>
      <c r="G17" s="215">
        <v>100</v>
      </c>
      <c r="H17" s="215"/>
    </row>
    <row r="18" spans="2:28" x14ac:dyDescent="0.3">
      <c r="B18" s="215">
        <v>9</v>
      </c>
      <c r="C18" s="214" t="s">
        <v>104</v>
      </c>
      <c r="D18" s="214"/>
      <c r="E18" s="214"/>
      <c r="F18" s="214"/>
      <c r="G18" s="215">
        <v>10</v>
      </c>
      <c r="H18" s="215"/>
    </row>
    <row r="19" spans="2:28" x14ac:dyDescent="0.3">
      <c r="B19" s="215"/>
      <c r="C19" s="214"/>
      <c r="D19" s="214"/>
      <c r="E19" s="214"/>
      <c r="F19" s="214"/>
      <c r="G19" s="215"/>
      <c r="H19" s="215"/>
    </row>
    <row r="20" spans="2:28" x14ac:dyDescent="0.3">
      <c r="B20" s="28">
        <v>10</v>
      </c>
      <c r="C20" s="216" t="s">
        <v>105</v>
      </c>
      <c r="D20" s="216"/>
      <c r="E20" s="216"/>
      <c r="F20" s="216"/>
      <c r="G20" s="215">
        <v>24</v>
      </c>
      <c r="H20" s="215"/>
    </row>
    <row r="21" spans="2:28" x14ac:dyDescent="0.3">
      <c r="B21" s="215">
        <v>11</v>
      </c>
      <c r="C21" s="214" t="s">
        <v>106</v>
      </c>
      <c r="D21" s="214"/>
      <c r="E21" s="214"/>
      <c r="F21" s="214"/>
      <c r="G21" s="215">
        <v>20</v>
      </c>
      <c r="H21" s="215"/>
    </row>
    <row r="22" spans="2:28" x14ac:dyDescent="0.3">
      <c r="B22" s="215"/>
      <c r="C22" s="214"/>
      <c r="D22" s="214"/>
      <c r="E22" s="214"/>
      <c r="F22" s="214"/>
      <c r="G22" s="215"/>
      <c r="H22" s="215"/>
    </row>
    <row r="23" spans="2:28" x14ac:dyDescent="0.3">
      <c r="B23" s="28">
        <v>12</v>
      </c>
      <c r="C23" s="216" t="s">
        <v>107</v>
      </c>
      <c r="D23" s="216"/>
      <c r="E23" s="216"/>
      <c r="F23" s="216"/>
      <c r="G23" s="217" t="s">
        <v>110</v>
      </c>
      <c r="H23" s="215"/>
    </row>
    <row r="24" spans="2:28" x14ac:dyDescent="0.3">
      <c r="B24" s="28">
        <v>13</v>
      </c>
      <c r="C24" s="216" t="s">
        <v>108</v>
      </c>
      <c r="D24" s="216"/>
      <c r="E24" s="216"/>
      <c r="F24" s="216"/>
      <c r="G24" s="215">
        <v>90</v>
      </c>
      <c r="H24" s="215"/>
    </row>
    <row r="26" spans="2:28" x14ac:dyDescent="0.3">
      <c r="B26" s="218" t="s">
        <v>128</v>
      </c>
      <c r="C26" s="218" t="s">
        <v>94</v>
      </c>
      <c r="D26" s="218"/>
      <c r="E26" s="218"/>
      <c r="F26" s="218"/>
      <c r="G26" s="218" t="s">
        <v>129</v>
      </c>
      <c r="H26" s="72" t="s">
        <v>151</v>
      </c>
      <c r="I26" s="73"/>
      <c r="J26" s="73"/>
      <c r="K26" s="73"/>
      <c r="L26" s="73"/>
      <c r="M26" s="73"/>
      <c r="N26" s="73"/>
      <c r="O26" s="73"/>
      <c r="P26" s="73"/>
      <c r="Q26" s="73"/>
      <c r="R26" s="73"/>
      <c r="S26" s="73"/>
      <c r="T26" s="73"/>
      <c r="U26" s="73"/>
      <c r="V26" s="73"/>
      <c r="W26" s="73"/>
      <c r="X26" s="73"/>
      <c r="Y26" s="73"/>
      <c r="Z26" s="73"/>
      <c r="AA26" s="73"/>
      <c r="AB26" s="74"/>
    </row>
    <row r="27" spans="2:28" x14ac:dyDescent="0.3">
      <c r="B27" s="218"/>
      <c r="C27" s="218"/>
      <c r="D27" s="218"/>
      <c r="E27" s="218"/>
      <c r="F27" s="218"/>
      <c r="G27" s="218"/>
      <c r="H27" s="31">
        <v>2023</v>
      </c>
      <c r="I27" s="31">
        <v>2024</v>
      </c>
      <c r="J27" s="31">
        <v>2025</v>
      </c>
      <c r="K27" s="31">
        <v>2026</v>
      </c>
      <c r="L27" s="31">
        <v>2027</v>
      </c>
      <c r="M27" s="31">
        <v>2028</v>
      </c>
      <c r="N27" s="31">
        <v>2029</v>
      </c>
      <c r="O27" s="31">
        <v>2030</v>
      </c>
      <c r="P27" s="31">
        <v>2031</v>
      </c>
      <c r="Q27" s="31">
        <v>2032</v>
      </c>
      <c r="R27" s="31">
        <v>2033</v>
      </c>
      <c r="S27" s="31">
        <v>2034</v>
      </c>
      <c r="T27" s="31">
        <v>2035</v>
      </c>
      <c r="U27" s="31">
        <v>2036</v>
      </c>
      <c r="V27" s="31">
        <v>2037</v>
      </c>
      <c r="W27" s="31">
        <v>2038</v>
      </c>
      <c r="X27" s="31">
        <v>2039</v>
      </c>
      <c r="Y27" s="31">
        <v>2040</v>
      </c>
      <c r="Z27" s="31">
        <v>2041</v>
      </c>
      <c r="AA27" s="31">
        <v>2042</v>
      </c>
      <c r="AB27" s="31">
        <v>2043</v>
      </c>
    </row>
    <row r="28" spans="2:28" x14ac:dyDescent="0.3">
      <c r="B28" s="47">
        <v>1</v>
      </c>
      <c r="C28" s="220" t="s">
        <v>50</v>
      </c>
      <c r="D28" s="220"/>
      <c r="E28" s="220"/>
      <c r="F28" s="220"/>
      <c r="G28" s="46" t="s">
        <v>130</v>
      </c>
      <c r="H28" s="3">
        <f>'Proyeksi Penduduk Prioritas'!C74</f>
        <v>353546.68827355222</v>
      </c>
      <c r="I28" s="3">
        <f>'Proyeksi Penduduk Prioritas'!C75</f>
        <v>359910.91374536429</v>
      </c>
      <c r="J28" s="3">
        <f>'Proyeksi Penduduk Prioritas'!C76</f>
        <v>366389.70220758044</v>
      </c>
      <c r="K28" s="3">
        <f>'Proyeksi Penduduk Prioritas'!C77</f>
        <v>372985.1159188099</v>
      </c>
      <c r="L28" s="3">
        <f>'Proyeksi Penduduk Prioritas'!C78</f>
        <v>379699.25426056294</v>
      </c>
      <c r="M28" s="3">
        <f>'Proyeksi Penduduk Prioritas'!C79</f>
        <v>386534.25440550392</v>
      </c>
      <c r="N28" s="3">
        <f>'Proyeksi Penduduk Prioritas'!C80</f>
        <v>393492.29199773283</v>
      </c>
      <c r="O28" s="3">
        <f>'Proyeksi Penduduk Prioritas'!C81</f>
        <v>400575.58184531319</v>
      </c>
      <c r="P28" s="3">
        <f>'Proyeksi Penduduk Prioritas'!C82</f>
        <v>407786.3786252659</v>
      </c>
      <c r="Q28" s="3">
        <f>'Proyeksi Penduduk Prioritas'!C83</f>
        <v>415126.97760125442</v>
      </c>
      <c r="R28" s="3">
        <f>'Proyeksi Penduduk Prioritas'!C84</f>
        <v>422599.71535418753</v>
      </c>
      <c r="S28" s="3">
        <f>'Proyeksi Penduduk Prioritas'!C85</f>
        <v>430206.9705259761</v>
      </c>
      <c r="T28" s="3">
        <f>'Proyeksi Penduduk Prioritas'!C86</f>
        <v>430206.9705259761</v>
      </c>
      <c r="U28" s="3">
        <f>'Proyeksi Penduduk Prioritas'!C87</f>
        <v>437951.16457667551</v>
      </c>
      <c r="V28" s="3">
        <f>'Proyeksi Penduduk Prioritas'!C88</f>
        <v>445834.76255526009</v>
      </c>
      <c r="W28" s="3">
        <f>'Proyeksi Penduduk Prioritas'!C89</f>
        <v>453860.2738842704</v>
      </c>
      <c r="X28" s="3">
        <f>'Proyeksi Penduduk Prioritas'!C90</f>
        <v>462030.25315858622</v>
      </c>
      <c r="Y28" s="3">
        <f>'Proyeksi Penduduk Prioritas'!C91</f>
        <v>470347.30095857731</v>
      </c>
      <c r="Z28" s="3">
        <f>'Proyeksi Penduduk Prioritas'!C92</f>
        <v>478814.06467789278</v>
      </c>
      <c r="AA28" s="3">
        <f>'Proyeksi Penduduk Prioritas'!C93</f>
        <v>487433.23936615099</v>
      </c>
      <c r="AB28" s="3">
        <f>'Proyeksi Penduduk Prioritas'!C94</f>
        <v>496207.56858679897</v>
      </c>
    </row>
    <row r="29" spans="2:28" x14ac:dyDescent="0.3">
      <c r="B29" s="219">
        <v>2</v>
      </c>
      <c r="C29" s="220" t="s">
        <v>131</v>
      </c>
      <c r="D29" s="220"/>
      <c r="E29" s="220"/>
      <c r="F29" s="220"/>
      <c r="G29" s="47" t="s">
        <v>132</v>
      </c>
      <c r="H29" s="48">
        <v>0.87</v>
      </c>
      <c r="I29" s="48">
        <v>0.88</v>
      </c>
      <c r="J29" s="48">
        <v>0.89</v>
      </c>
      <c r="K29" s="48">
        <v>0.89</v>
      </c>
      <c r="L29" s="48">
        <v>0.9</v>
      </c>
      <c r="M29" s="48">
        <v>0.90500000000000003</v>
      </c>
      <c r="N29" s="48">
        <v>0.91</v>
      </c>
      <c r="O29" s="48">
        <v>0.92</v>
      </c>
      <c r="P29" s="48">
        <v>0.92</v>
      </c>
      <c r="Q29" s="48">
        <v>0.93</v>
      </c>
      <c r="R29" s="48">
        <v>0.94</v>
      </c>
      <c r="S29" s="48">
        <v>0.94</v>
      </c>
      <c r="T29" s="48">
        <v>0.95</v>
      </c>
      <c r="U29" s="48">
        <v>0.95</v>
      </c>
      <c r="V29" s="48">
        <v>0.96</v>
      </c>
      <c r="W29" s="48">
        <v>0.97</v>
      </c>
      <c r="X29" s="48">
        <v>0.98</v>
      </c>
      <c r="Y29" s="48">
        <v>0.99</v>
      </c>
      <c r="Z29" s="48">
        <v>0.99</v>
      </c>
      <c r="AA29" s="48">
        <v>1</v>
      </c>
      <c r="AB29" s="48">
        <v>1</v>
      </c>
    </row>
    <row r="30" spans="2:28" x14ac:dyDescent="0.3">
      <c r="B30" s="219"/>
      <c r="C30" s="220" t="s">
        <v>133</v>
      </c>
      <c r="D30" s="220"/>
      <c r="E30" s="220"/>
      <c r="F30" s="220"/>
      <c r="G30" s="47" t="s">
        <v>130</v>
      </c>
      <c r="H30" s="3">
        <f>H28*H29</f>
        <v>307585.61879799044</v>
      </c>
      <c r="I30" s="3">
        <f t="shared" ref="I30:AA30" si="0">I28*I29</f>
        <v>316721.60409592057</v>
      </c>
      <c r="J30" s="3">
        <f t="shared" si="0"/>
        <v>326086.83496474661</v>
      </c>
      <c r="K30" s="3">
        <f t="shared" si="0"/>
        <v>331956.75316774083</v>
      </c>
      <c r="L30" s="3">
        <f t="shared" si="0"/>
        <v>341729.32883450668</v>
      </c>
      <c r="M30" s="3">
        <f t="shared" si="0"/>
        <v>349813.50023698108</v>
      </c>
      <c r="N30" s="3">
        <f t="shared" si="0"/>
        <v>358077.98571793688</v>
      </c>
      <c r="O30" s="3">
        <f t="shared" si="0"/>
        <v>368529.53529768815</v>
      </c>
      <c r="P30" s="3">
        <f t="shared" si="0"/>
        <v>375163.46833524463</v>
      </c>
      <c r="Q30" s="3">
        <f t="shared" si="0"/>
        <v>386068.08916916663</v>
      </c>
      <c r="R30" s="3">
        <f t="shared" si="0"/>
        <v>397243.73243293626</v>
      </c>
      <c r="S30" s="3">
        <f t="shared" si="0"/>
        <v>404394.55229441752</v>
      </c>
      <c r="T30" s="3">
        <f t="shared" si="0"/>
        <v>408696.62199967727</v>
      </c>
      <c r="U30" s="3">
        <f t="shared" si="0"/>
        <v>416053.60634784173</v>
      </c>
      <c r="V30" s="3">
        <f t="shared" si="0"/>
        <v>428001.37205304968</v>
      </c>
      <c r="W30" s="3">
        <f t="shared" si="0"/>
        <v>440244.46566774225</v>
      </c>
      <c r="X30" s="3">
        <f t="shared" si="0"/>
        <v>452789.64809541451</v>
      </c>
      <c r="Y30" s="3">
        <f t="shared" si="0"/>
        <v>465643.82794899156</v>
      </c>
      <c r="Z30" s="3">
        <f t="shared" si="0"/>
        <v>474025.92403111386</v>
      </c>
      <c r="AA30" s="3">
        <f t="shared" si="0"/>
        <v>487433.23936615099</v>
      </c>
      <c r="AB30" s="3">
        <f>AB28*AB29</f>
        <v>496207.56858679897</v>
      </c>
    </row>
    <row r="31" spans="2:28" x14ac:dyDescent="0.3">
      <c r="B31" s="219">
        <v>3</v>
      </c>
      <c r="C31" s="220" t="s">
        <v>134</v>
      </c>
      <c r="D31" s="220"/>
      <c r="E31" s="220"/>
      <c r="F31" s="220"/>
      <c r="G31" s="47"/>
      <c r="H31" s="1"/>
      <c r="I31" s="1"/>
      <c r="J31" s="1"/>
      <c r="K31" s="1"/>
      <c r="L31" s="1"/>
      <c r="M31" s="1"/>
      <c r="N31" s="1"/>
      <c r="O31" s="1"/>
      <c r="P31" s="1"/>
      <c r="Q31" s="1"/>
      <c r="R31" s="1"/>
      <c r="S31" s="1"/>
      <c r="T31" s="1"/>
      <c r="U31" s="1"/>
      <c r="V31" s="1"/>
      <c r="W31" s="1"/>
      <c r="X31" s="1"/>
      <c r="Y31" s="1"/>
      <c r="Z31" s="1"/>
      <c r="AA31" s="1"/>
      <c r="AB31" s="1"/>
    </row>
    <row r="32" spans="2:28" x14ac:dyDescent="0.3">
      <c r="B32" s="219"/>
      <c r="C32" s="220" t="s">
        <v>135</v>
      </c>
      <c r="D32" s="220"/>
      <c r="E32" s="220"/>
      <c r="F32" s="220"/>
      <c r="G32" s="47" t="s">
        <v>132</v>
      </c>
      <c r="H32" s="48">
        <v>0.9</v>
      </c>
      <c r="I32" s="48">
        <v>0.9</v>
      </c>
      <c r="J32" s="48">
        <v>0.9</v>
      </c>
      <c r="K32" s="48">
        <v>0.9</v>
      </c>
      <c r="L32" s="48">
        <v>0.9</v>
      </c>
      <c r="M32" s="48">
        <v>0.9</v>
      </c>
      <c r="N32" s="48">
        <v>0.9</v>
      </c>
      <c r="O32" s="48">
        <v>0.9</v>
      </c>
      <c r="P32" s="48">
        <v>0.9</v>
      </c>
      <c r="Q32" s="48">
        <v>0.9</v>
      </c>
      <c r="R32" s="48">
        <v>0.9</v>
      </c>
      <c r="S32" s="48">
        <v>0.9</v>
      </c>
      <c r="T32" s="48">
        <v>0.9</v>
      </c>
      <c r="U32" s="48">
        <v>0.9</v>
      </c>
      <c r="V32" s="48">
        <v>0.9</v>
      </c>
      <c r="W32" s="48">
        <v>0.9</v>
      </c>
      <c r="X32" s="48">
        <v>0.9</v>
      </c>
      <c r="Y32" s="48">
        <v>0.9</v>
      </c>
      <c r="Z32" s="48">
        <v>0.9</v>
      </c>
      <c r="AA32" s="48">
        <v>0.9</v>
      </c>
      <c r="AB32" s="48">
        <v>0.9</v>
      </c>
    </row>
    <row r="33" spans="2:28" x14ac:dyDescent="0.3">
      <c r="B33" s="219"/>
      <c r="C33" s="220" t="s">
        <v>136</v>
      </c>
      <c r="D33" s="220"/>
      <c r="E33" s="220"/>
      <c r="F33" s="220"/>
      <c r="G33" s="47" t="s">
        <v>130</v>
      </c>
      <c r="H33" s="3">
        <f>H30*H32</f>
        <v>276827.05691819137</v>
      </c>
      <c r="I33" s="3">
        <f t="shared" ref="I33:AB33" si="1">I30*I32</f>
        <v>285049.44368632854</v>
      </c>
      <c r="J33" s="3">
        <f t="shared" si="1"/>
        <v>293478.15146827197</v>
      </c>
      <c r="K33" s="3">
        <f t="shared" si="1"/>
        <v>298761.07785096677</v>
      </c>
      <c r="L33" s="3">
        <f t="shared" si="1"/>
        <v>307556.39595105604</v>
      </c>
      <c r="M33" s="3">
        <f t="shared" si="1"/>
        <v>314832.15021328296</v>
      </c>
      <c r="N33" s="3">
        <f t="shared" si="1"/>
        <v>322270.18714614323</v>
      </c>
      <c r="O33" s="3">
        <f t="shared" si="1"/>
        <v>331676.58176791936</v>
      </c>
      <c r="P33" s="3">
        <f t="shared" si="1"/>
        <v>337647.12150172016</v>
      </c>
      <c r="Q33" s="3">
        <f t="shared" si="1"/>
        <v>347461.28025224997</v>
      </c>
      <c r="R33" s="3">
        <f t="shared" si="1"/>
        <v>357519.35918964265</v>
      </c>
      <c r="S33" s="3">
        <f t="shared" si="1"/>
        <v>363955.09706497577</v>
      </c>
      <c r="T33" s="3">
        <f t="shared" si="1"/>
        <v>367826.95979970956</v>
      </c>
      <c r="U33" s="3">
        <f t="shared" si="1"/>
        <v>374448.24571305758</v>
      </c>
      <c r="V33" s="3">
        <f t="shared" si="1"/>
        <v>385201.23484774469</v>
      </c>
      <c r="W33" s="3">
        <f t="shared" si="1"/>
        <v>396220.01910096803</v>
      </c>
      <c r="X33" s="3">
        <f t="shared" si="1"/>
        <v>407510.68328587309</v>
      </c>
      <c r="Y33" s="3">
        <f t="shared" si="1"/>
        <v>419079.44515409239</v>
      </c>
      <c r="Z33" s="3">
        <f t="shared" si="1"/>
        <v>426623.33162800246</v>
      </c>
      <c r="AA33" s="3">
        <f t="shared" si="1"/>
        <v>438689.9154295359</v>
      </c>
      <c r="AB33" s="3">
        <f t="shared" si="1"/>
        <v>446586.81172811909</v>
      </c>
    </row>
    <row r="34" spans="2:28" x14ac:dyDescent="0.3">
      <c r="B34" s="219">
        <v>4</v>
      </c>
      <c r="C34" s="220" t="s">
        <v>137</v>
      </c>
      <c r="D34" s="220"/>
      <c r="E34" s="220"/>
      <c r="F34" s="220"/>
      <c r="G34" s="47"/>
      <c r="H34" s="1"/>
      <c r="I34" s="1"/>
      <c r="J34" s="1"/>
      <c r="K34" s="1"/>
      <c r="L34" s="1"/>
      <c r="M34" s="1"/>
      <c r="N34" s="1"/>
      <c r="O34" s="1"/>
      <c r="P34" s="1"/>
      <c r="Q34" s="1"/>
      <c r="R34" s="1"/>
      <c r="S34" s="1"/>
      <c r="T34" s="1"/>
      <c r="U34" s="1"/>
      <c r="V34" s="1"/>
      <c r="W34" s="1"/>
      <c r="X34" s="1"/>
      <c r="Y34" s="1"/>
      <c r="Z34" s="1"/>
      <c r="AA34" s="1"/>
      <c r="AB34" s="1"/>
    </row>
    <row r="35" spans="2:28" x14ac:dyDescent="0.3">
      <c r="B35" s="219"/>
      <c r="C35" s="220" t="s">
        <v>138</v>
      </c>
      <c r="D35" s="220"/>
      <c r="E35" s="220"/>
      <c r="F35" s="220"/>
      <c r="G35" s="47" t="s">
        <v>139</v>
      </c>
      <c r="H35" s="1">
        <v>5</v>
      </c>
      <c r="I35" s="1">
        <v>5</v>
      </c>
      <c r="J35" s="1">
        <v>5</v>
      </c>
      <c r="K35" s="1">
        <v>5</v>
      </c>
      <c r="L35" s="1">
        <v>5</v>
      </c>
      <c r="M35" s="1">
        <v>5</v>
      </c>
      <c r="N35" s="1">
        <v>5</v>
      </c>
      <c r="O35" s="1">
        <v>5</v>
      </c>
      <c r="P35" s="1">
        <v>5</v>
      </c>
      <c r="Q35" s="1">
        <v>5</v>
      </c>
      <c r="R35" s="1">
        <v>5</v>
      </c>
      <c r="S35" s="1">
        <v>5</v>
      </c>
      <c r="T35" s="1">
        <v>5</v>
      </c>
      <c r="U35" s="1">
        <v>5</v>
      </c>
      <c r="V35" s="1">
        <v>5</v>
      </c>
      <c r="W35" s="1">
        <v>5</v>
      </c>
      <c r="X35" s="1">
        <v>5</v>
      </c>
      <c r="Y35" s="1">
        <v>5</v>
      </c>
      <c r="Z35" s="1">
        <v>5</v>
      </c>
      <c r="AA35" s="1">
        <v>5</v>
      </c>
      <c r="AB35" s="1">
        <v>5</v>
      </c>
    </row>
    <row r="36" spans="2:28" x14ac:dyDescent="0.3">
      <c r="B36" s="219"/>
      <c r="C36" s="220" t="s">
        <v>140</v>
      </c>
      <c r="D36" s="220"/>
      <c r="E36" s="220"/>
      <c r="F36" s="220"/>
      <c r="G36" s="47" t="s">
        <v>141</v>
      </c>
      <c r="H36" s="3">
        <f>H33/H35</f>
        <v>55365.411383638275</v>
      </c>
      <c r="I36" s="3">
        <f t="shared" ref="I36:AB36" si="2">I33/I35</f>
        <v>57009.888737265705</v>
      </c>
      <c r="J36" s="3">
        <f t="shared" si="2"/>
        <v>58695.630293654394</v>
      </c>
      <c r="K36" s="3">
        <f t="shared" si="2"/>
        <v>59752.215570193352</v>
      </c>
      <c r="L36" s="3">
        <f t="shared" si="2"/>
        <v>61511.279190211208</v>
      </c>
      <c r="M36" s="3">
        <f t="shared" si="2"/>
        <v>62966.43004265659</v>
      </c>
      <c r="N36" s="3">
        <f t="shared" si="2"/>
        <v>64454.037429228643</v>
      </c>
      <c r="O36" s="3">
        <f t="shared" si="2"/>
        <v>66335.316353583868</v>
      </c>
      <c r="P36" s="3">
        <f t="shared" si="2"/>
        <v>67529.424300344035</v>
      </c>
      <c r="Q36" s="3">
        <f t="shared" si="2"/>
        <v>69492.25605045</v>
      </c>
      <c r="R36" s="3">
        <f t="shared" si="2"/>
        <v>71503.871837928527</v>
      </c>
      <c r="S36" s="3">
        <f t="shared" si="2"/>
        <v>72791.019412995156</v>
      </c>
      <c r="T36" s="3">
        <f t="shared" si="2"/>
        <v>73565.391959941917</v>
      </c>
      <c r="U36" s="3">
        <f t="shared" si="2"/>
        <v>74889.64914261151</v>
      </c>
      <c r="V36" s="3">
        <f t="shared" si="2"/>
        <v>77040.246969548942</v>
      </c>
      <c r="W36" s="3">
        <f t="shared" si="2"/>
        <v>79244.003820193611</v>
      </c>
      <c r="X36" s="3">
        <f t="shared" si="2"/>
        <v>81502.136657174618</v>
      </c>
      <c r="Y36" s="3">
        <f t="shared" si="2"/>
        <v>83815.889030818478</v>
      </c>
      <c r="Z36" s="3">
        <f t="shared" si="2"/>
        <v>85324.666325600498</v>
      </c>
      <c r="AA36" s="3">
        <f t="shared" si="2"/>
        <v>87737.983085907181</v>
      </c>
      <c r="AB36" s="3">
        <f t="shared" si="2"/>
        <v>89317.362345623813</v>
      </c>
    </row>
    <row r="37" spans="2:28" x14ac:dyDescent="0.3">
      <c r="B37" s="219">
        <v>5</v>
      </c>
      <c r="C37" s="220" t="s">
        <v>142</v>
      </c>
      <c r="D37" s="220"/>
      <c r="E37" s="220"/>
      <c r="F37" s="220"/>
      <c r="G37" s="47"/>
      <c r="H37" s="1"/>
      <c r="I37" s="1"/>
      <c r="J37" s="1"/>
      <c r="K37" s="1"/>
      <c r="L37" s="1"/>
      <c r="M37" s="1"/>
      <c r="N37" s="1"/>
      <c r="O37" s="1"/>
      <c r="P37" s="1"/>
      <c r="Q37" s="1"/>
      <c r="R37" s="1"/>
      <c r="S37" s="1"/>
      <c r="T37" s="1"/>
      <c r="U37" s="1"/>
      <c r="V37" s="1"/>
      <c r="W37" s="1"/>
      <c r="X37" s="1"/>
      <c r="Y37" s="1"/>
      <c r="Z37" s="1"/>
      <c r="AA37" s="1"/>
      <c r="AB37" s="1"/>
    </row>
    <row r="38" spans="2:28" x14ac:dyDescent="0.3">
      <c r="B38" s="219"/>
      <c r="C38" s="220" t="s">
        <v>143</v>
      </c>
      <c r="D38" s="220"/>
      <c r="E38" s="220"/>
      <c r="F38" s="220"/>
      <c r="G38" s="47" t="s">
        <v>144</v>
      </c>
      <c r="H38" s="1">
        <v>128</v>
      </c>
      <c r="I38" s="1">
        <v>128</v>
      </c>
      <c r="J38" s="1">
        <v>128</v>
      </c>
      <c r="K38" s="1">
        <v>128</v>
      </c>
      <c r="L38" s="1">
        <v>128</v>
      </c>
      <c r="M38" s="1">
        <v>128</v>
      </c>
      <c r="N38" s="1">
        <v>128</v>
      </c>
      <c r="O38" s="1">
        <v>128</v>
      </c>
      <c r="P38" s="1">
        <v>128</v>
      </c>
      <c r="Q38" s="1">
        <v>128</v>
      </c>
      <c r="R38" s="1">
        <v>128</v>
      </c>
      <c r="S38" s="1">
        <v>128</v>
      </c>
      <c r="T38" s="1">
        <v>128</v>
      </c>
      <c r="U38" s="1">
        <v>128</v>
      </c>
      <c r="V38" s="1">
        <v>128</v>
      </c>
      <c r="W38" s="1">
        <v>128</v>
      </c>
      <c r="X38" s="1">
        <v>128</v>
      </c>
      <c r="Y38" s="1">
        <v>128</v>
      </c>
      <c r="Z38" s="1">
        <v>128</v>
      </c>
      <c r="AA38" s="1">
        <v>128</v>
      </c>
      <c r="AB38" s="1">
        <v>128</v>
      </c>
    </row>
    <row r="39" spans="2:28" x14ac:dyDescent="0.3">
      <c r="B39" s="219"/>
      <c r="C39" s="220" t="s">
        <v>145</v>
      </c>
      <c r="D39" s="220"/>
      <c r="E39" s="220"/>
      <c r="F39" s="220"/>
      <c r="G39" s="47" t="s">
        <v>132</v>
      </c>
      <c r="H39" s="48">
        <v>0.18</v>
      </c>
      <c r="I39" s="48">
        <v>0.18</v>
      </c>
      <c r="J39" s="48">
        <v>0.18</v>
      </c>
      <c r="K39" s="48">
        <v>0.18</v>
      </c>
      <c r="L39" s="48">
        <v>0.18</v>
      </c>
      <c r="M39" s="48">
        <v>0.18</v>
      </c>
      <c r="N39" s="48">
        <v>0.18</v>
      </c>
      <c r="O39" s="48">
        <v>0.18</v>
      </c>
      <c r="P39" s="48">
        <v>0.18</v>
      </c>
      <c r="Q39" s="48">
        <v>0.18</v>
      </c>
      <c r="R39" s="48">
        <v>0.18</v>
      </c>
      <c r="S39" s="48">
        <v>0.18</v>
      </c>
      <c r="T39" s="48">
        <v>0.18</v>
      </c>
      <c r="U39" s="48">
        <v>0.18</v>
      </c>
      <c r="V39" s="48">
        <v>0.18</v>
      </c>
      <c r="W39" s="48">
        <v>0.18</v>
      </c>
      <c r="X39" s="48">
        <v>0.18</v>
      </c>
      <c r="Y39" s="48">
        <v>0.18</v>
      </c>
      <c r="Z39" s="48">
        <v>0.18</v>
      </c>
      <c r="AA39" s="48">
        <v>0.18</v>
      </c>
      <c r="AB39" s="48">
        <v>0.18</v>
      </c>
    </row>
    <row r="40" spans="2:28" x14ac:dyDescent="0.3">
      <c r="B40" s="219">
        <v>6</v>
      </c>
      <c r="C40" s="220" t="s">
        <v>146</v>
      </c>
      <c r="D40" s="220"/>
      <c r="E40" s="220"/>
      <c r="F40" s="220"/>
      <c r="G40" s="47"/>
      <c r="H40" s="1"/>
      <c r="I40" s="1"/>
      <c r="J40" s="1"/>
      <c r="K40" s="1"/>
      <c r="L40" s="1"/>
      <c r="M40" s="1"/>
      <c r="N40" s="1"/>
      <c r="O40" s="1"/>
      <c r="P40" s="1"/>
      <c r="Q40" s="1"/>
      <c r="R40" s="1"/>
      <c r="S40" s="1"/>
      <c r="T40" s="1"/>
      <c r="U40" s="1"/>
      <c r="V40" s="1"/>
      <c r="W40" s="1"/>
      <c r="X40" s="1"/>
      <c r="Y40" s="1"/>
      <c r="Z40" s="1"/>
      <c r="AA40" s="1"/>
      <c r="AB40" s="1"/>
    </row>
    <row r="41" spans="2:28" x14ac:dyDescent="0.3">
      <c r="B41" s="219"/>
      <c r="C41" s="220" t="s">
        <v>147</v>
      </c>
      <c r="D41" s="220"/>
      <c r="E41" s="220"/>
      <c r="F41" s="220"/>
      <c r="G41" s="47" t="s">
        <v>148</v>
      </c>
      <c r="H41" s="49">
        <f>H38*H36</f>
        <v>7086772.6571056992</v>
      </c>
      <c r="I41" s="49">
        <f t="shared" ref="I41:AB41" si="3">I38*I36</f>
        <v>7297265.7583700102</v>
      </c>
      <c r="J41" s="49">
        <f t="shared" si="3"/>
        <v>7513040.6775877625</v>
      </c>
      <c r="K41" s="49">
        <f t="shared" si="3"/>
        <v>7648283.592984749</v>
      </c>
      <c r="L41" s="49">
        <f t="shared" si="3"/>
        <v>7873443.7363470346</v>
      </c>
      <c r="M41" s="49">
        <f t="shared" si="3"/>
        <v>8059703.0454600435</v>
      </c>
      <c r="N41" s="49">
        <f t="shared" si="3"/>
        <v>8250116.7909412663</v>
      </c>
      <c r="O41" s="49">
        <f t="shared" si="3"/>
        <v>8490920.4932587352</v>
      </c>
      <c r="P41" s="49">
        <f t="shared" si="3"/>
        <v>8643766.3104440365</v>
      </c>
      <c r="Q41" s="49">
        <f t="shared" si="3"/>
        <v>8895008.7744576</v>
      </c>
      <c r="R41" s="49">
        <f t="shared" si="3"/>
        <v>9152495.5952548515</v>
      </c>
      <c r="S41" s="49">
        <f t="shared" si="3"/>
        <v>9317250.48486338</v>
      </c>
      <c r="T41" s="49">
        <f t="shared" si="3"/>
        <v>9416370.1708725654</v>
      </c>
      <c r="U41" s="49">
        <f t="shared" si="3"/>
        <v>9585875.0902542733</v>
      </c>
      <c r="V41" s="49">
        <f t="shared" si="3"/>
        <v>9861151.6121022645</v>
      </c>
      <c r="W41" s="49">
        <f t="shared" si="3"/>
        <v>10143232.488984782</v>
      </c>
      <c r="X41" s="49">
        <f t="shared" si="3"/>
        <v>10432273.492118351</v>
      </c>
      <c r="Y41" s="49">
        <f t="shared" si="3"/>
        <v>10728433.795944765</v>
      </c>
      <c r="Z41" s="49">
        <f t="shared" si="3"/>
        <v>10921557.289676864</v>
      </c>
      <c r="AA41" s="49">
        <f t="shared" si="3"/>
        <v>11230461.834996119</v>
      </c>
      <c r="AB41" s="49">
        <f t="shared" si="3"/>
        <v>11432622.380239848</v>
      </c>
    </row>
    <row r="42" spans="2:28" x14ac:dyDescent="0.3">
      <c r="B42" s="219"/>
      <c r="C42" s="220" t="s">
        <v>145</v>
      </c>
      <c r="D42" s="220"/>
      <c r="E42" s="220"/>
      <c r="F42" s="220"/>
      <c r="G42" s="47" t="s">
        <v>148</v>
      </c>
      <c r="H42" s="49">
        <f>H41*H39</f>
        <v>1275619.0782790259</v>
      </c>
      <c r="I42" s="49">
        <f t="shared" ref="I42:AB42" si="4">I41*I39</f>
        <v>1313507.8365066019</v>
      </c>
      <c r="J42" s="49">
        <f t="shared" si="4"/>
        <v>1352347.3219657971</v>
      </c>
      <c r="K42" s="49">
        <f t="shared" si="4"/>
        <v>1376691.0467372548</v>
      </c>
      <c r="L42" s="49">
        <f t="shared" si="4"/>
        <v>1417219.8725424663</v>
      </c>
      <c r="M42" s="49">
        <f t="shared" si="4"/>
        <v>1450746.5481828079</v>
      </c>
      <c r="N42" s="49">
        <f t="shared" si="4"/>
        <v>1485021.0223694278</v>
      </c>
      <c r="O42" s="49">
        <f t="shared" si="4"/>
        <v>1528365.6887865723</v>
      </c>
      <c r="P42" s="49">
        <f t="shared" si="4"/>
        <v>1555877.9358799264</v>
      </c>
      <c r="Q42" s="49">
        <f t="shared" si="4"/>
        <v>1601101.5794023681</v>
      </c>
      <c r="R42" s="49">
        <f t="shared" si="4"/>
        <v>1647449.2071458732</v>
      </c>
      <c r="S42" s="49">
        <f t="shared" si="4"/>
        <v>1677105.0872754084</v>
      </c>
      <c r="T42" s="49">
        <f t="shared" si="4"/>
        <v>1694946.6307570618</v>
      </c>
      <c r="U42" s="49">
        <f t="shared" si="4"/>
        <v>1725457.5162457691</v>
      </c>
      <c r="V42" s="49">
        <f t="shared" si="4"/>
        <v>1775007.2901784074</v>
      </c>
      <c r="W42" s="49">
        <f t="shared" si="4"/>
        <v>1825781.8480172607</v>
      </c>
      <c r="X42" s="49">
        <f t="shared" si="4"/>
        <v>1877809.228581303</v>
      </c>
      <c r="Y42" s="49">
        <f t="shared" si="4"/>
        <v>1931118.0832700576</v>
      </c>
      <c r="Z42" s="49">
        <f t="shared" si="4"/>
        <v>1965880.3121418355</v>
      </c>
      <c r="AA42" s="49">
        <f t="shared" si="4"/>
        <v>2021483.1302993014</v>
      </c>
      <c r="AB42" s="49">
        <f t="shared" si="4"/>
        <v>2057872.0284431726</v>
      </c>
    </row>
    <row r="43" spans="2:28" x14ac:dyDescent="0.3">
      <c r="B43" s="219"/>
      <c r="C43" s="220" t="s">
        <v>149</v>
      </c>
      <c r="D43" s="220"/>
      <c r="E43" s="220"/>
      <c r="F43" s="220"/>
      <c r="G43" s="47" t="s">
        <v>148</v>
      </c>
      <c r="H43" s="49">
        <f>H41+H42</f>
        <v>8362391.735384725</v>
      </c>
      <c r="I43" s="49">
        <f t="shared" ref="I43:AB43" si="5">I41+I42</f>
        <v>8610773.5948766116</v>
      </c>
      <c r="J43" s="49">
        <f t="shared" si="5"/>
        <v>8865387.9995535593</v>
      </c>
      <c r="K43" s="49">
        <f t="shared" si="5"/>
        <v>9024974.6397220045</v>
      </c>
      <c r="L43" s="49">
        <f t="shared" si="5"/>
        <v>9290663.6088895015</v>
      </c>
      <c r="M43" s="49">
        <f t="shared" si="5"/>
        <v>9510449.5936428513</v>
      </c>
      <c r="N43" s="49">
        <f t="shared" si="5"/>
        <v>9735137.8133106939</v>
      </c>
      <c r="O43" s="49">
        <f t="shared" si="5"/>
        <v>10019286.182045307</v>
      </c>
      <c r="P43" s="49">
        <f t="shared" si="5"/>
        <v>10199644.246323964</v>
      </c>
      <c r="Q43" s="49">
        <f t="shared" si="5"/>
        <v>10496110.353859968</v>
      </c>
      <c r="R43" s="49">
        <f t="shared" si="5"/>
        <v>10799944.802400725</v>
      </c>
      <c r="S43" s="49">
        <f t="shared" si="5"/>
        <v>10994355.572138788</v>
      </c>
      <c r="T43" s="49">
        <f t="shared" si="5"/>
        <v>11111316.801629627</v>
      </c>
      <c r="U43" s="49">
        <f t="shared" si="5"/>
        <v>11311332.606500043</v>
      </c>
      <c r="V43" s="49">
        <f t="shared" si="5"/>
        <v>11636158.902280672</v>
      </c>
      <c r="W43" s="49">
        <f t="shared" si="5"/>
        <v>11969014.337002043</v>
      </c>
      <c r="X43" s="49">
        <f t="shared" si="5"/>
        <v>12310082.720699655</v>
      </c>
      <c r="Y43" s="49">
        <f t="shared" si="5"/>
        <v>12659551.879214823</v>
      </c>
      <c r="Z43" s="49">
        <f t="shared" si="5"/>
        <v>12887437.601818699</v>
      </c>
      <c r="AA43" s="49">
        <f t="shared" si="5"/>
        <v>13251944.965295421</v>
      </c>
      <c r="AB43" s="49">
        <f t="shared" si="5"/>
        <v>13490494.408683021</v>
      </c>
    </row>
    <row r="44" spans="2:28" x14ac:dyDescent="0.3">
      <c r="B44" s="219"/>
      <c r="C44" s="220" t="s">
        <v>147</v>
      </c>
      <c r="D44" s="220"/>
      <c r="E44" s="220"/>
      <c r="F44" s="220"/>
      <c r="G44" s="47" t="s">
        <v>150</v>
      </c>
      <c r="H44" s="49">
        <f>H41/1000</f>
        <v>7086.7726571056992</v>
      </c>
      <c r="I44" s="49">
        <f t="shared" ref="I44:AB44" si="6">I41/1000</f>
        <v>7297.2657583700102</v>
      </c>
      <c r="J44" s="49">
        <f t="shared" si="6"/>
        <v>7513.0406775877627</v>
      </c>
      <c r="K44" s="49">
        <f t="shared" si="6"/>
        <v>7648.2835929847488</v>
      </c>
      <c r="L44" s="49">
        <f t="shared" si="6"/>
        <v>7873.4437363470342</v>
      </c>
      <c r="M44" s="49">
        <f t="shared" si="6"/>
        <v>8059.7030454600435</v>
      </c>
      <c r="N44" s="49">
        <f t="shared" si="6"/>
        <v>8250.116790941267</v>
      </c>
      <c r="O44" s="49">
        <f t="shared" si="6"/>
        <v>8490.9204932587345</v>
      </c>
      <c r="P44" s="49">
        <f t="shared" si="6"/>
        <v>8643.7663104440362</v>
      </c>
      <c r="Q44" s="49">
        <f t="shared" si="6"/>
        <v>8895.0087744575994</v>
      </c>
      <c r="R44" s="49">
        <f t="shared" si="6"/>
        <v>9152.4955952548517</v>
      </c>
      <c r="S44" s="49">
        <f t="shared" si="6"/>
        <v>9317.2504848633798</v>
      </c>
      <c r="T44" s="49">
        <f t="shared" si="6"/>
        <v>9416.3701708725657</v>
      </c>
      <c r="U44" s="49">
        <f t="shared" si="6"/>
        <v>9585.8750902542724</v>
      </c>
      <c r="V44" s="49">
        <f t="shared" si="6"/>
        <v>9861.1516121022651</v>
      </c>
      <c r="W44" s="49">
        <f t="shared" si="6"/>
        <v>10143.232488984782</v>
      </c>
      <c r="X44" s="49">
        <f t="shared" si="6"/>
        <v>10432.273492118351</v>
      </c>
      <c r="Y44" s="49">
        <f t="shared" si="6"/>
        <v>10728.433795944766</v>
      </c>
      <c r="Z44" s="49">
        <f t="shared" si="6"/>
        <v>10921.557289676864</v>
      </c>
      <c r="AA44" s="49">
        <f t="shared" si="6"/>
        <v>11230.461834996118</v>
      </c>
      <c r="AB44" s="49">
        <f t="shared" si="6"/>
        <v>11432.622380239847</v>
      </c>
    </row>
    <row r="45" spans="2:28" x14ac:dyDescent="0.3">
      <c r="B45" s="219"/>
      <c r="C45" s="220" t="s">
        <v>145</v>
      </c>
      <c r="D45" s="220"/>
      <c r="E45" s="220"/>
      <c r="F45" s="220"/>
      <c r="G45" s="47" t="s">
        <v>150</v>
      </c>
      <c r="H45" s="49">
        <f>H42/1000</f>
        <v>1275.6190782790259</v>
      </c>
      <c r="I45" s="49">
        <f t="shared" ref="I45:AB45" si="7">I42/1000</f>
        <v>1313.507836506602</v>
      </c>
      <c r="J45" s="49">
        <f t="shared" si="7"/>
        <v>1352.3473219657972</v>
      </c>
      <c r="K45" s="49">
        <f t="shared" si="7"/>
        <v>1376.6910467372547</v>
      </c>
      <c r="L45" s="49">
        <f t="shared" si="7"/>
        <v>1417.2198725424662</v>
      </c>
      <c r="M45" s="49">
        <f t="shared" si="7"/>
        <v>1450.7465481828078</v>
      </c>
      <c r="N45" s="49">
        <f t="shared" si="7"/>
        <v>1485.0210223694278</v>
      </c>
      <c r="O45" s="49">
        <f t="shared" si="7"/>
        <v>1528.3656887865723</v>
      </c>
      <c r="P45" s="49">
        <f t="shared" si="7"/>
        <v>1555.8779358799263</v>
      </c>
      <c r="Q45" s="49">
        <f t="shared" si="7"/>
        <v>1601.1015794023681</v>
      </c>
      <c r="R45" s="49">
        <f t="shared" si="7"/>
        <v>1647.4492071458733</v>
      </c>
      <c r="S45" s="49">
        <f t="shared" si="7"/>
        <v>1677.1050872754086</v>
      </c>
      <c r="T45" s="49">
        <f t="shared" si="7"/>
        <v>1694.9466307570617</v>
      </c>
      <c r="U45" s="49">
        <f t="shared" si="7"/>
        <v>1725.4575162457691</v>
      </c>
      <c r="V45" s="49">
        <f t="shared" si="7"/>
        <v>1775.0072901784074</v>
      </c>
      <c r="W45" s="49">
        <f t="shared" si="7"/>
        <v>1825.7818480172607</v>
      </c>
      <c r="X45" s="49">
        <f t="shared" si="7"/>
        <v>1877.8092285813029</v>
      </c>
      <c r="Y45" s="49">
        <f t="shared" si="7"/>
        <v>1931.1180832700575</v>
      </c>
      <c r="Z45" s="49">
        <f t="shared" si="7"/>
        <v>1965.8803121418355</v>
      </c>
      <c r="AA45" s="49">
        <f t="shared" si="7"/>
        <v>2021.4831302993014</v>
      </c>
      <c r="AB45" s="49">
        <f t="shared" si="7"/>
        <v>2057.8720284431724</v>
      </c>
    </row>
    <row r="46" spans="2:28" x14ac:dyDescent="0.3">
      <c r="B46" s="219"/>
      <c r="C46" s="220" t="s">
        <v>149</v>
      </c>
      <c r="D46" s="220"/>
      <c r="E46" s="220"/>
      <c r="F46" s="220"/>
      <c r="G46" s="47" t="s">
        <v>150</v>
      </c>
      <c r="H46" s="49">
        <f>H43/1000</f>
        <v>8362.3917353847246</v>
      </c>
      <c r="I46" s="49">
        <f t="shared" ref="I46:AA46" si="8">I43/1000</f>
        <v>8610.7735948766112</v>
      </c>
      <c r="J46" s="49">
        <f t="shared" si="8"/>
        <v>8865.387999553559</v>
      </c>
      <c r="K46" s="49">
        <f t="shared" si="8"/>
        <v>9024.9746397220042</v>
      </c>
      <c r="L46" s="49">
        <f t="shared" si="8"/>
        <v>9290.6636088895011</v>
      </c>
      <c r="M46" s="49">
        <f t="shared" si="8"/>
        <v>9510.4495936428521</v>
      </c>
      <c r="N46" s="49">
        <f t="shared" si="8"/>
        <v>9735.1378133106937</v>
      </c>
      <c r="O46" s="49">
        <f t="shared" si="8"/>
        <v>10019.286182045307</v>
      </c>
      <c r="P46" s="49">
        <f t="shared" si="8"/>
        <v>10199.644246323964</v>
      </c>
      <c r="Q46" s="49">
        <f t="shared" si="8"/>
        <v>10496.110353859969</v>
      </c>
      <c r="R46" s="49">
        <f t="shared" si="8"/>
        <v>10799.944802400725</v>
      </c>
      <c r="S46" s="49">
        <f t="shared" si="8"/>
        <v>10994.355572138787</v>
      </c>
      <c r="T46" s="49">
        <f t="shared" si="8"/>
        <v>11111.316801629628</v>
      </c>
      <c r="U46" s="49">
        <f t="shared" si="8"/>
        <v>11311.332606500042</v>
      </c>
      <c r="V46" s="49">
        <f t="shared" si="8"/>
        <v>11636.158902280671</v>
      </c>
      <c r="W46" s="49">
        <f t="shared" si="8"/>
        <v>11969.014337002043</v>
      </c>
      <c r="X46" s="49">
        <f t="shared" si="8"/>
        <v>12310.082720699655</v>
      </c>
      <c r="Y46" s="49">
        <f t="shared" si="8"/>
        <v>12659.551879214823</v>
      </c>
      <c r="Z46" s="49">
        <f t="shared" si="8"/>
        <v>12887.437601818699</v>
      </c>
      <c r="AA46" s="49">
        <f t="shared" si="8"/>
        <v>13251.944965295421</v>
      </c>
      <c r="AB46" s="49">
        <f>AB43/1000</f>
        <v>13490.49440868302</v>
      </c>
    </row>
  </sheetData>
  <mergeCells count="61">
    <mergeCell ref="G26:G27"/>
    <mergeCell ref="C39:F39"/>
    <mergeCell ref="C40:F40"/>
    <mergeCell ref="C41:F41"/>
    <mergeCell ref="C33:F33"/>
    <mergeCell ref="C34:F34"/>
    <mergeCell ref="C35:F35"/>
    <mergeCell ref="C36:F36"/>
    <mergeCell ref="C37:F37"/>
    <mergeCell ref="B40:B46"/>
    <mergeCell ref="C32:F32"/>
    <mergeCell ref="B10:B11"/>
    <mergeCell ref="C45:F45"/>
    <mergeCell ref="C46:F46"/>
    <mergeCell ref="C42:F42"/>
    <mergeCell ref="C43:F43"/>
    <mergeCell ref="C44:F44"/>
    <mergeCell ref="C29:F29"/>
    <mergeCell ref="C30:F30"/>
    <mergeCell ref="C31:F31"/>
    <mergeCell ref="C38:F38"/>
    <mergeCell ref="B31:B33"/>
    <mergeCell ref="B34:B36"/>
    <mergeCell ref="B37:B39"/>
    <mergeCell ref="B18:B19"/>
    <mergeCell ref="G23:H23"/>
    <mergeCell ref="G24:H24"/>
    <mergeCell ref="B26:B27"/>
    <mergeCell ref="B29:B30"/>
    <mergeCell ref="G13:H13"/>
    <mergeCell ref="G14:H14"/>
    <mergeCell ref="G15:H15"/>
    <mergeCell ref="G16:H16"/>
    <mergeCell ref="G17:H17"/>
    <mergeCell ref="G20:H20"/>
    <mergeCell ref="C23:F23"/>
    <mergeCell ref="C24:F24"/>
    <mergeCell ref="C17:F17"/>
    <mergeCell ref="C20:F20"/>
    <mergeCell ref="C26:F27"/>
    <mergeCell ref="C28:F28"/>
    <mergeCell ref="B21:B22"/>
    <mergeCell ref="G8:H9"/>
    <mergeCell ref="G10:H11"/>
    <mergeCell ref="G18:H19"/>
    <mergeCell ref="G21:H22"/>
    <mergeCell ref="G12:H12"/>
    <mergeCell ref="C10:F11"/>
    <mergeCell ref="C18:F19"/>
    <mergeCell ref="C21:F22"/>
    <mergeCell ref="C12:F12"/>
    <mergeCell ref="C13:F13"/>
    <mergeCell ref="C14:F14"/>
    <mergeCell ref="C15:F15"/>
    <mergeCell ref="C16:F16"/>
    <mergeCell ref="C6:F7"/>
    <mergeCell ref="B6:B7"/>
    <mergeCell ref="G6:H6"/>
    <mergeCell ref="G7:H7"/>
    <mergeCell ref="C8:F9"/>
    <mergeCell ref="B8:B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85BFC-3EA7-4478-A4C1-B835B9DA05A7}">
  <dimension ref="A2:AD995"/>
  <sheetViews>
    <sheetView tabSelected="1" topLeftCell="A4" zoomScale="99" zoomScaleNormal="99" workbookViewId="0">
      <selection activeCell="P41" sqref="P41"/>
    </sheetView>
  </sheetViews>
  <sheetFormatPr defaultColWidth="14.44140625" defaultRowHeight="15" customHeight="1" x14ac:dyDescent="0.3"/>
  <cols>
    <col min="1" max="2" width="8.6640625" customWidth="1"/>
    <col min="3" max="3" width="23.33203125" customWidth="1"/>
    <col min="4" max="4" width="13.6640625" customWidth="1"/>
    <col min="5" max="5" width="13.109375" customWidth="1"/>
    <col min="6" max="6" width="9.33203125" customWidth="1"/>
    <col min="7" max="17" width="8.6640625" customWidth="1"/>
    <col min="18" max="18" width="10.6640625" customWidth="1"/>
    <col min="19" max="27" width="8.6640625" customWidth="1"/>
    <col min="28" max="28" width="14.44140625" customWidth="1"/>
    <col min="29" max="29" width="15.109375" customWidth="1"/>
    <col min="30" max="30" width="22.5546875" customWidth="1"/>
  </cols>
  <sheetData>
    <row r="2" spans="1:28" ht="15" customHeight="1" x14ac:dyDescent="0.3">
      <c r="B2" s="23">
        <v>1</v>
      </c>
      <c r="C2" s="24" t="s">
        <v>111</v>
      </c>
    </row>
    <row r="3" spans="1:28" ht="15" customHeight="1" x14ac:dyDescent="0.3">
      <c r="C3" s="25" t="s">
        <v>365</v>
      </c>
      <c r="D3" s="24"/>
      <c r="E3" s="24"/>
      <c r="F3" s="24"/>
      <c r="G3" s="24"/>
      <c r="H3" s="24"/>
    </row>
    <row r="4" spans="1:28" ht="14.25" customHeight="1" x14ac:dyDescent="0.3">
      <c r="A4" s="29"/>
      <c r="B4" s="29"/>
      <c r="C4" s="29"/>
      <c r="D4" s="29"/>
      <c r="E4" s="29"/>
      <c r="F4" s="29"/>
      <c r="G4" s="29"/>
      <c r="H4" s="29"/>
      <c r="Q4" s="29"/>
      <c r="R4" s="29"/>
      <c r="S4" s="29"/>
      <c r="T4" s="29"/>
      <c r="U4" s="29"/>
      <c r="V4" s="29"/>
      <c r="W4" s="29"/>
      <c r="X4" s="29"/>
      <c r="Y4" s="29"/>
      <c r="Z4" s="29"/>
      <c r="AA4" s="29"/>
      <c r="AB4" s="29"/>
    </row>
    <row r="5" spans="1:28" ht="14.25" customHeight="1" x14ac:dyDescent="0.3">
      <c r="A5" s="29"/>
      <c r="B5" s="29"/>
      <c r="C5" s="236" t="s">
        <v>152</v>
      </c>
      <c r="D5" s="236"/>
      <c r="E5" s="236"/>
      <c r="F5" s="236"/>
      <c r="G5" s="236"/>
      <c r="H5" s="236"/>
      <c r="S5" s="29"/>
      <c r="T5" s="29"/>
      <c r="U5" s="29"/>
      <c r="V5" s="29"/>
      <c r="W5" s="29"/>
      <c r="X5" s="29"/>
      <c r="Y5" s="29"/>
      <c r="Z5" s="29"/>
      <c r="AA5" s="29"/>
    </row>
    <row r="6" spans="1:28" ht="14.25" customHeight="1" x14ac:dyDescent="0.3">
      <c r="A6" s="29"/>
      <c r="B6" s="29"/>
      <c r="C6" s="230" t="s">
        <v>112</v>
      </c>
      <c r="D6" s="230" t="s">
        <v>113</v>
      </c>
      <c r="E6" s="236" t="s">
        <v>40</v>
      </c>
      <c r="F6" s="236"/>
      <c r="G6" s="236"/>
      <c r="H6" s="236"/>
      <c r="S6" s="29"/>
      <c r="T6" s="29"/>
      <c r="U6" s="29"/>
      <c r="V6" s="29"/>
      <c r="W6" s="29"/>
      <c r="X6" s="29"/>
      <c r="Y6" s="29"/>
      <c r="Z6" s="29"/>
      <c r="AA6" s="29"/>
    </row>
    <row r="7" spans="1:28" ht="14.25" customHeight="1" x14ac:dyDescent="0.3">
      <c r="A7" s="29"/>
      <c r="B7" s="29"/>
      <c r="C7" s="231"/>
      <c r="D7" s="231"/>
      <c r="E7" s="30">
        <v>2017</v>
      </c>
      <c r="F7" s="30">
        <v>2018</v>
      </c>
      <c r="G7" s="30">
        <v>2019</v>
      </c>
      <c r="H7" s="30">
        <v>2020</v>
      </c>
      <c r="S7" s="29"/>
      <c r="T7" s="29"/>
      <c r="U7" s="29"/>
      <c r="V7" s="29"/>
      <c r="W7" s="29"/>
      <c r="X7" s="29"/>
      <c r="Y7" s="29"/>
      <c r="Z7" s="29"/>
      <c r="AA7" s="29"/>
    </row>
    <row r="8" spans="1:28" ht="14.25" customHeight="1" x14ac:dyDescent="0.3">
      <c r="A8" s="29"/>
      <c r="B8" s="29"/>
      <c r="C8" s="32" t="s">
        <v>114</v>
      </c>
      <c r="D8" s="33"/>
      <c r="E8" s="34"/>
      <c r="F8" s="34"/>
      <c r="G8" s="34"/>
      <c r="H8" s="34"/>
      <c r="S8" s="29"/>
      <c r="T8" s="29"/>
      <c r="U8" s="29"/>
      <c r="V8" s="29"/>
      <c r="W8" s="29"/>
      <c r="X8" s="29"/>
      <c r="Y8" s="29"/>
      <c r="Z8" s="29"/>
      <c r="AA8" s="29"/>
    </row>
    <row r="9" spans="1:28" ht="14.25" customHeight="1" x14ac:dyDescent="0.3">
      <c r="A9" s="29"/>
      <c r="B9" s="29"/>
      <c r="C9" s="35" t="s">
        <v>72</v>
      </c>
      <c r="D9" s="233" t="s">
        <v>115</v>
      </c>
      <c r="E9" s="37">
        <f>69+(59+4)</f>
        <v>132</v>
      </c>
      <c r="F9" s="37">
        <f>69+49</f>
        <v>118</v>
      </c>
      <c r="G9" s="37">
        <f>79+51</f>
        <v>130</v>
      </c>
      <c r="H9" s="37">
        <f>78+51</f>
        <v>129</v>
      </c>
      <c r="S9" s="29"/>
      <c r="T9" s="29"/>
      <c r="U9" s="29"/>
      <c r="V9" s="29"/>
      <c r="W9" s="29"/>
      <c r="X9" s="29"/>
      <c r="Y9" s="29"/>
      <c r="Z9" s="29"/>
      <c r="AA9" s="29"/>
    </row>
    <row r="10" spans="1:28" ht="14.25" customHeight="1" x14ac:dyDescent="0.3">
      <c r="A10" s="29"/>
      <c r="B10" s="29"/>
      <c r="C10" s="35" t="s">
        <v>73</v>
      </c>
      <c r="D10" s="234"/>
      <c r="E10" s="37">
        <f>74+(57+10)</f>
        <v>141</v>
      </c>
      <c r="F10" s="37">
        <f>74+57</f>
        <v>131</v>
      </c>
      <c r="G10" s="37">
        <f>74+59</f>
        <v>133</v>
      </c>
      <c r="H10" s="37">
        <f>65+59</f>
        <v>124</v>
      </c>
      <c r="S10" s="29"/>
      <c r="T10" s="29"/>
      <c r="U10" s="29"/>
      <c r="V10" s="29"/>
      <c r="W10" s="29"/>
      <c r="X10" s="29"/>
      <c r="Y10" s="29"/>
      <c r="Z10" s="29"/>
      <c r="AA10" s="29"/>
    </row>
    <row r="11" spans="1:28" ht="14.25" customHeight="1" x14ac:dyDescent="0.3">
      <c r="A11" s="29"/>
      <c r="B11" s="29"/>
      <c r="C11" s="35" t="s">
        <v>74</v>
      </c>
      <c r="D11" s="234"/>
      <c r="E11" s="37">
        <f>8</f>
        <v>8</v>
      </c>
      <c r="F11" s="37">
        <f>8+13</f>
        <v>21</v>
      </c>
      <c r="G11" s="37">
        <f>8+14</f>
        <v>22</v>
      </c>
      <c r="H11" s="37">
        <f>8+14</f>
        <v>22</v>
      </c>
      <c r="S11" s="29"/>
      <c r="T11" s="29"/>
      <c r="U11" s="29"/>
      <c r="V11" s="29"/>
      <c r="W11" s="29"/>
      <c r="X11" s="29"/>
      <c r="Y11" s="29"/>
      <c r="Z11" s="29"/>
      <c r="AA11" s="29"/>
    </row>
    <row r="12" spans="1:28" ht="14.25" customHeight="1" x14ac:dyDescent="0.3">
      <c r="A12" s="29"/>
      <c r="B12" s="29"/>
      <c r="C12" s="35" t="s">
        <v>75</v>
      </c>
      <c r="D12" s="234"/>
      <c r="E12" s="37">
        <f>19+(4+12)</f>
        <v>35</v>
      </c>
      <c r="F12" s="37">
        <f>19+17</f>
        <v>36</v>
      </c>
      <c r="G12" s="37">
        <f>26+18</f>
        <v>44</v>
      </c>
      <c r="H12" s="37">
        <f>29+18</f>
        <v>47</v>
      </c>
      <c r="S12" s="29"/>
      <c r="T12" s="29"/>
      <c r="U12" s="29"/>
      <c r="V12" s="29"/>
      <c r="W12" s="29"/>
      <c r="X12" s="29"/>
      <c r="Y12" s="29"/>
      <c r="Z12" s="29"/>
      <c r="AA12" s="29"/>
    </row>
    <row r="13" spans="1:28" ht="14.25" customHeight="1" x14ac:dyDescent="0.3">
      <c r="A13" s="29"/>
      <c r="B13" s="29"/>
      <c r="C13" s="35" t="s">
        <v>76</v>
      </c>
      <c r="D13" s="234"/>
      <c r="E13" s="37">
        <f>9+6</f>
        <v>15</v>
      </c>
      <c r="F13" s="37">
        <f>9+13</f>
        <v>22</v>
      </c>
      <c r="G13" s="37">
        <f>9+12</f>
        <v>21</v>
      </c>
      <c r="H13" s="37">
        <f>9+12</f>
        <v>21</v>
      </c>
      <c r="S13" s="29"/>
      <c r="T13" s="29"/>
      <c r="U13" s="29"/>
      <c r="V13" s="29"/>
      <c r="W13" s="29"/>
      <c r="X13" s="29"/>
      <c r="Y13" s="29"/>
      <c r="Z13" s="29"/>
      <c r="AA13" s="29"/>
    </row>
    <row r="14" spans="1:28" ht="14.25" customHeight="1" x14ac:dyDescent="0.3">
      <c r="A14" s="29"/>
      <c r="B14" s="29"/>
      <c r="C14" s="35" t="s">
        <v>77</v>
      </c>
      <c r="D14" s="234"/>
      <c r="E14" s="37">
        <f>8+(8+1)</f>
        <v>17</v>
      </c>
      <c r="F14" s="37">
        <f>8+6</f>
        <v>14</v>
      </c>
      <c r="G14" s="37">
        <f>12+6</f>
        <v>18</v>
      </c>
      <c r="H14" s="37">
        <f>12+6</f>
        <v>18</v>
      </c>
      <c r="S14" s="29"/>
      <c r="T14" s="29"/>
      <c r="U14" s="29"/>
      <c r="V14" s="29"/>
      <c r="W14" s="29"/>
      <c r="X14" s="29"/>
      <c r="Y14" s="29"/>
      <c r="Z14" s="29"/>
      <c r="AA14" s="29"/>
    </row>
    <row r="15" spans="1:28" ht="14.25" customHeight="1" x14ac:dyDescent="0.3">
      <c r="A15" s="29"/>
      <c r="B15" s="29"/>
      <c r="C15" s="35" t="s">
        <v>78</v>
      </c>
      <c r="D15" s="234"/>
      <c r="E15" s="37">
        <f>9+(16+1)</f>
        <v>26</v>
      </c>
      <c r="F15" s="37">
        <f>9+19</f>
        <v>28</v>
      </c>
      <c r="G15" s="37">
        <f>21+20</f>
        <v>41</v>
      </c>
      <c r="H15" s="37">
        <f>21+20</f>
        <v>41</v>
      </c>
      <c r="S15" s="29"/>
      <c r="T15" s="29"/>
      <c r="U15" s="29"/>
      <c r="V15" s="29"/>
      <c r="W15" s="29"/>
      <c r="X15" s="29"/>
      <c r="Y15" s="29"/>
      <c r="Z15" s="29"/>
      <c r="AA15" s="29"/>
    </row>
    <row r="16" spans="1:28" ht="14.25" customHeight="1" x14ac:dyDescent="0.3">
      <c r="A16" s="29"/>
      <c r="B16" s="29"/>
      <c r="C16" s="35" t="s">
        <v>79</v>
      </c>
      <c r="D16" s="234"/>
      <c r="E16" s="37">
        <f>1+3</f>
        <v>4</v>
      </c>
      <c r="F16" s="37">
        <f>1+3</f>
        <v>4</v>
      </c>
      <c r="G16" s="37">
        <f>2+3</f>
        <v>5</v>
      </c>
      <c r="H16" s="37">
        <f>2+3</f>
        <v>5</v>
      </c>
      <c r="S16" s="29"/>
      <c r="T16" s="29"/>
      <c r="U16" s="29"/>
      <c r="V16" s="29"/>
      <c r="W16" s="29"/>
      <c r="X16" s="29"/>
      <c r="Y16" s="29"/>
      <c r="Z16" s="29"/>
      <c r="AA16" s="29"/>
    </row>
    <row r="17" spans="1:27" ht="14.25" customHeight="1" x14ac:dyDescent="0.3">
      <c r="A17" s="29"/>
      <c r="B17" s="29"/>
      <c r="C17" s="35" t="s">
        <v>80</v>
      </c>
      <c r="D17" s="235"/>
      <c r="E17" s="37"/>
      <c r="F17" s="37"/>
      <c r="G17" s="37"/>
      <c r="H17" s="37"/>
      <c r="S17" s="29"/>
      <c r="T17" s="29"/>
      <c r="U17" s="29"/>
      <c r="V17" s="29"/>
      <c r="W17" s="29"/>
      <c r="X17" s="29"/>
      <c r="Y17" s="29"/>
      <c r="Z17" s="29"/>
      <c r="AA17" s="29"/>
    </row>
    <row r="18" spans="1:27" ht="14.25" customHeight="1" x14ac:dyDescent="0.3">
      <c r="A18" s="29"/>
      <c r="B18" s="29"/>
      <c r="C18" s="38" t="s">
        <v>116</v>
      </c>
      <c r="D18" s="37"/>
      <c r="E18" s="37"/>
      <c r="F18" s="37"/>
      <c r="G18" s="37"/>
      <c r="H18" s="37"/>
      <c r="S18" s="29"/>
      <c r="T18" s="29"/>
      <c r="U18" s="29"/>
      <c r="V18" s="29"/>
      <c r="W18" s="29"/>
      <c r="X18" s="29"/>
      <c r="Y18" s="29"/>
      <c r="Z18" s="29"/>
      <c r="AA18" s="29"/>
    </row>
    <row r="19" spans="1:27" ht="14.25" customHeight="1" x14ac:dyDescent="0.3">
      <c r="A19" s="29"/>
      <c r="B19" s="29"/>
      <c r="C19" s="35" t="s">
        <v>117</v>
      </c>
      <c r="D19" s="233" t="s">
        <v>115</v>
      </c>
      <c r="E19" s="37">
        <f>3+2</f>
        <v>5</v>
      </c>
      <c r="F19" s="37">
        <f>3+2</f>
        <v>5</v>
      </c>
      <c r="G19" s="37">
        <f>3+2</f>
        <v>5</v>
      </c>
      <c r="H19" s="37">
        <f>3+2</f>
        <v>5</v>
      </c>
      <c r="S19" s="29"/>
      <c r="T19" s="29"/>
      <c r="U19" s="29"/>
      <c r="V19" s="29"/>
      <c r="W19" s="29"/>
      <c r="X19" s="29"/>
      <c r="Y19" s="29"/>
      <c r="Z19" s="29"/>
      <c r="AA19" s="29"/>
    </row>
    <row r="20" spans="1:27" ht="14.25" customHeight="1" x14ac:dyDescent="0.3">
      <c r="A20" s="29"/>
      <c r="B20" s="29"/>
      <c r="C20" s="35" t="s">
        <v>118</v>
      </c>
      <c r="D20" s="234"/>
      <c r="E20" s="37">
        <f>2820+453</f>
        <v>3273</v>
      </c>
      <c r="F20" s="37">
        <f>2820+408</f>
        <v>3228</v>
      </c>
      <c r="G20" s="37">
        <f>2820+383</f>
        <v>3203</v>
      </c>
      <c r="H20" s="37">
        <f>2820+383</f>
        <v>3203</v>
      </c>
      <c r="S20" s="29"/>
      <c r="T20" s="29"/>
      <c r="U20" s="29"/>
      <c r="V20" s="29"/>
      <c r="W20" s="29"/>
      <c r="X20" s="29"/>
      <c r="Y20" s="29"/>
      <c r="Z20" s="29"/>
      <c r="AA20" s="29"/>
    </row>
    <row r="21" spans="1:27" ht="14.25" customHeight="1" x14ac:dyDescent="0.3">
      <c r="A21" s="29"/>
      <c r="B21" s="29"/>
      <c r="C21" s="35" t="s">
        <v>119</v>
      </c>
      <c r="D21" s="234"/>
      <c r="E21" s="37">
        <f>67+25</f>
        <v>92</v>
      </c>
      <c r="F21" s="37">
        <f>63+31</f>
        <v>94</v>
      </c>
      <c r="G21" s="37">
        <f>63+35</f>
        <v>98</v>
      </c>
      <c r="H21" s="37">
        <f>63+45</f>
        <v>108</v>
      </c>
      <c r="S21" s="29"/>
      <c r="T21" s="29"/>
      <c r="U21" s="29"/>
      <c r="V21" s="29"/>
      <c r="W21" s="29"/>
      <c r="X21" s="29"/>
      <c r="Y21" s="29"/>
      <c r="Z21" s="29"/>
      <c r="AA21" s="29"/>
    </row>
    <row r="22" spans="1:27" ht="14.25" customHeight="1" x14ac:dyDescent="0.3">
      <c r="A22" s="29"/>
      <c r="B22" s="29"/>
      <c r="C22" s="35" t="s">
        <v>120</v>
      </c>
      <c r="D22" s="235"/>
      <c r="E22" s="37">
        <f>1938+1625</f>
        <v>3563</v>
      </c>
      <c r="F22" s="37">
        <f>1466+1869</f>
        <v>3335</v>
      </c>
      <c r="G22" s="37">
        <f>1466+1036</f>
        <v>2502</v>
      </c>
      <c r="H22" s="37">
        <f>1466+1318</f>
        <v>2784</v>
      </c>
      <c r="S22" s="29"/>
      <c r="T22" s="29"/>
      <c r="U22" s="29"/>
      <c r="V22" s="29"/>
      <c r="W22" s="29"/>
      <c r="X22" s="29"/>
      <c r="Y22" s="29"/>
      <c r="Z22" s="29"/>
      <c r="AA22" s="29"/>
    </row>
    <row r="23" spans="1:27" ht="14.25" customHeight="1" x14ac:dyDescent="0.3">
      <c r="A23" s="29"/>
      <c r="B23" s="29"/>
      <c r="C23" s="38" t="s">
        <v>121</v>
      </c>
      <c r="D23" s="37"/>
      <c r="E23" s="37"/>
      <c r="F23" s="37"/>
      <c r="G23" s="37"/>
      <c r="H23" s="37"/>
      <c r="S23" s="29"/>
      <c r="T23" s="29"/>
      <c r="U23" s="29"/>
      <c r="V23" s="29"/>
      <c r="W23" s="29"/>
      <c r="X23" s="29"/>
      <c r="Y23" s="29"/>
      <c r="Z23" s="29"/>
      <c r="AA23" s="29"/>
    </row>
    <row r="24" spans="1:27" ht="14.25" customHeight="1" x14ac:dyDescent="0.3">
      <c r="A24" s="29"/>
      <c r="B24" s="29"/>
      <c r="C24" s="35" t="s">
        <v>122</v>
      </c>
      <c r="D24" s="36" t="s">
        <v>115</v>
      </c>
      <c r="E24" s="37">
        <f>3+1</f>
        <v>4</v>
      </c>
      <c r="F24" s="37">
        <f>1+1</f>
        <v>2</v>
      </c>
      <c r="G24" s="37">
        <f>2+1</f>
        <v>3</v>
      </c>
      <c r="H24" s="37">
        <f>2+1</f>
        <v>3</v>
      </c>
      <c r="S24" s="29"/>
      <c r="T24" s="29"/>
      <c r="U24" s="29"/>
      <c r="V24" s="29"/>
      <c r="W24" s="29"/>
      <c r="X24" s="29"/>
      <c r="Y24" s="29"/>
      <c r="Z24" s="29"/>
      <c r="AA24" s="29"/>
    </row>
    <row r="25" spans="1:27" ht="14.25" customHeight="1" x14ac:dyDescent="0.3">
      <c r="A25" s="29"/>
      <c r="B25" s="29"/>
      <c r="C25" s="38" t="s">
        <v>123</v>
      </c>
      <c r="D25" s="29"/>
      <c r="E25" s="37"/>
      <c r="F25" s="37"/>
      <c r="G25" s="37"/>
      <c r="H25" s="37"/>
      <c r="S25" s="29"/>
      <c r="T25" s="29"/>
      <c r="U25" s="29"/>
      <c r="V25" s="29"/>
      <c r="W25" s="29"/>
      <c r="X25" s="29"/>
      <c r="Y25" s="29"/>
      <c r="Z25" s="29"/>
      <c r="AA25" s="29"/>
    </row>
    <row r="26" spans="1:27" ht="14.25" customHeight="1" x14ac:dyDescent="0.3">
      <c r="A26" s="29"/>
      <c r="B26" s="29"/>
      <c r="C26" s="39" t="s">
        <v>124</v>
      </c>
      <c r="D26" s="228" t="s">
        <v>115</v>
      </c>
      <c r="E26" s="41">
        <f>218+175</f>
        <v>393</v>
      </c>
      <c r="F26" s="37">
        <f>218+176</f>
        <v>394</v>
      </c>
      <c r="G26" s="37">
        <f>218+182</f>
        <v>400</v>
      </c>
      <c r="H26" s="37">
        <f>208+182</f>
        <v>390</v>
      </c>
      <c r="S26" s="29"/>
      <c r="T26" s="29"/>
      <c r="U26" s="29"/>
      <c r="V26" s="29"/>
      <c r="W26" s="29"/>
      <c r="X26" s="29"/>
      <c r="Y26" s="29"/>
      <c r="Z26" s="29"/>
      <c r="AA26" s="29"/>
    </row>
    <row r="27" spans="1:27" ht="14.25" customHeight="1" x14ac:dyDescent="0.3">
      <c r="A27" s="29"/>
      <c r="B27" s="29"/>
      <c r="C27" s="39" t="s">
        <v>125</v>
      </c>
      <c r="D27" s="229"/>
      <c r="E27" s="41">
        <f>386+681</f>
        <v>1067</v>
      </c>
      <c r="F27" s="37">
        <f>386+691</f>
        <v>1077</v>
      </c>
      <c r="G27" s="37">
        <f>386+706</f>
        <v>1092</v>
      </c>
      <c r="H27" s="36">
        <f>461+706</f>
        <v>1167</v>
      </c>
      <c r="S27" s="29"/>
      <c r="T27" s="29"/>
      <c r="U27" s="29"/>
      <c r="V27" s="29"/>
      <c r="W27" s="29"/>
      <c r="X27" s="29"/>
      <c r="Y27" s="29"/>
      <c r="Z27" s="29"/>
      <c r="AA27" s="29"/>
    </row>
    <row r="28" spans="1:27" ht="14.25" customHeight="1" x14ac:dyDescent="0.3">
      <c r="A28" s="29"/>
      <c r="B28" s="29"/>
      <c r="C28" s="39" t="s">
        <v>126</v>
      </c>
      <c r="D28" s="229"/>
      <c r="E28" s="41">
        <f>9+0</f>
        <v>9</v>
      </c>
      <c r="F28" s="37">
        <f>9+0</f>
        <v>9</v>
      </c>
      <c r="G28" s="37">
        <f>9+0</f>
        <v>9</v>
      </c>
      <c r="H28" s="37">
        <f>7+1</f>
        <v>8</v>
      </c>
      <c r="S28" s="29"/>
      <c r="T28" s="29"/>
      <c r="U28" s="29"/>
      <c r="V28" s="29"/>
      <c r="W28" s="29"/>
      <c r="X28" s="29"/>
      <c r="Y28" s="29"/>
      <c r="Z28" s="29"/>
      <c r="AA28" s="29"/>
    </row>
    <row r="29" spans="1:27" ht="14.25" customHeight="1" x14ac:dyDescent="0.3">
      <c r="A29" s="29"/>
      <c r="B29" s="29"/>
      <c r="C29" s="39" t="s">
        <v>127</v>
      </c>
      <c r="D29" s="229"/>
      <c r="E29" s="41">
        <f>2</f>
        <v>2</v>
      </c>
      <c r="F29" s="37">
        <f>2</f>
        <v>2</v>
      </c>
      <c r="G29" s="37">
        <f>2</f>
        <v>2</v>
      </c>
      <c r="H29" s="37">
        <f>2</f>
        <v>2</v>
      </c>
      <c r="S29" s="29"/>
      <c r="T29" s="29"/>
      <c r="U29" s="29"/>
      <c r="V29" s="29"/>
      <c r="W29" s="29"/>
      <c r="X29" s="29"/>
      <c r="Y29" s="29"/>
      <c r="Z29" s="29"/>
      <c r="AA29" s="29"/>
    </row>
    <row r="30" spans="1:27" ht="14.25" customHeight="1" x14ac:dyDescent="0.3">
      <c r="A30" s="29"/>
      <c r="B30" s="29"/>
      <c r="C30" s="43"/>
      <c r="D30" s="29"/>
      <c r="E30" s="29"/>
      <c r="F30" s="29"/>
      <c r="G30" s="29"/>
      <c r="H30" s="29"/>
      <c r="I30" s="29"/>
      <c r="J30" s="29"/>
      <c r="K30" s="29"/>
      <c r="L30" s="29"/>
      <c r="M30" s="29"/>
      <c r="N30" s="29"/>
      <c r="O30" s="29"/>
      <c r="P30" s="29"/>
      <c r="Q30" s="29"/>
      <c r="R30" s="29"/>
      <c r="S30" s="29"/>
      <c r="T30" s="29"/>
      <c r="U30" s="29"/>
      <c r="V30" s="29"/>
      <c r="W30" s="29"/>
      <c r="X30" s="29"/>
      <c r="Y30" s="29"/>
      <c r="Z30" s="29"/>
      <c r="AA30" s="29"/>
    </row>
    <row r="31" spans="1:27" ht="14.25" customHeight="1" x14ac:dyDescent="0.3">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row>
    <row r="32" spans="1:27" ht="14.25" customHeight="1" x14ac:dyDescent="0.3">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row>
    <row r="33" spans="1:30" ht="14.25" customHeight="1" x14ac:dyDescent="0.3">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row>
    <row r="34" spans="1:30" ht="14.25" customHeight="1" x14ac:dyDescent="0.3">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row>
    <row r="35" spans="1:30" ht="14.25" customHeight="1" x14ac:dyDescent="0.3">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row>
    <row r="36" spans="1:30" ht="14.25" customHeight="1" x14ac:dyDescent="0.3">
      <c r="A36" s="29"/>
      <c r="B36" s="29"/>
      <c r="C36" s="75"/>
      <c r="D36" s="76"/>
      <c r="E36" s="76"/>
      <c r="F36" s="76"/>
      <c r="G36" s="76"/>
      <c r="H36" s="76"/>
      <c r="I36" s="76"/>
      <c r="J36" s="76"/>
      <c r="K36" s="76"/>
      <c r="L36" s="76"/>
      <c r="M36" s="76"/>
      <c r="N36" s="76"/>
      <c r="O36" s="226" t="s">
        <v>153</v>
      </c>
      <c r="P36" s="226"/>
      <c r="Q36" s="226"/>
      <c r="R36" s="226"/>
      <c r="S36" s="226"/>
      <c r="T36" s="226"/>
      <c r="U36" s="226"/>
      <c r="V36" s="226"/>
      <c r="W36" s="226"/>
      <c r="X36" s="226"/>
      <c r="Y36" s="226"/>
      <c r="Z36" s="226"/>
      <c r="AA36" s="227"/>
      <c r="AB36" s="29"/>
      <c r="AC36" s="194" t="s">
        <v>70</v>
      </c>
      <c r="AD36" s="194"/>
    </row>
    <row r="37" spans="1:30" ht="14.25" customHeight="1" x14ac:dyDescent="0.3">
      <c r="A37" s="29"/>
      <c r="B37" s="29"/>
      <c r="C37" s="230" t="s">
        <v>112</v>
      </c>
      <c r="D37" s="230" t="s">
        <v>113</v>
      </c>
      <c r="E37" s="232" t="s">
        <v>40</v>
      </c>
      <c r="F37" s="226"/>
      <c r="G37" s="226"/>
      <c r="H37" s="226"/>
      <c r="I37" s="226"/>
      <c r="J37" s="226"/>
      <c r="K37" s="226"/>
      <c r="L37" s="226"/>
      <c r="M37" s="226"/>
      <c r="N37" s="226"/>
      <c r="O37" s="226"/>
      <c r="P37" s="226"/>
      <c r="Q37" s="226"/>
      <c r="R37" s="226"/>
      <c r="S37" s="226"/>
      <c r="T37" s="226"/>
      <c r="U37" s="226"/>
      <c r="V37" s="226"/>
      <c r="W37" s="226"/>
      <c r="X37" s="226"/>
      <c r="Y37" s="226"/>
      <c r="Z37" s="226"/>
      <c r="AA37" s="227"/>
      <c r="AB37" s="29"/>
      <c r="AC37" s="194"/>
      <c r="AD37" s="194"/>
    </row>
    <row r="38" spans="1:30" ht="14.25" customHeight="1" x14ac:dyDescent="0.3">
      <c r="A38" s="29"/>
      <c r="B38" s="29"/>
      <c r="C38" s="231"/>
      <c r="D38" s="231"/>
      <c r="E38" s="31">
        <v>2021</v>
      </c>
      <c r="F38" s="31">
        <v>2022</v>
      </c>
      <c r="G38" s="31">
        <v>2023</v>
      </c>
      <c r="H38" s="31">
        <v>2024</v>
      </c>
      <c r="I38" s="31">
        <v>2025</v>
      </c>
      <c r="J38" s="31">
        <v>2026</v>
      </c>
      <c r="K38" s="31">
        <v>2027</v>
      </c>
      <c r="L38" s="31">
        <v>2028</v>
      </c>
      <c r="M38" s="31">
        <v>2029</v>
      </c>
      <c r="N38" s="31">
        <v>2030</v>
      </c>
      <c r="O38" s="31">
        <v>2031</v>
      </c>
      <c r="P38" s="31">
        <v>2032</v>
      </c>
      <c r="Q38" s="31">
        <v>2033</v>
      </c>
      <c r="R38" s="31">
        <v>2034</v>
      </c>
      <c r="S38" s="31">
        <v>2035</v>
      </c>
      <c r="T38" s="31">
        <v>2036</v>
      </c>
      <c r="U38" s="31">
        <v>2037</v>
      </c>
      <c r="V38" s="31">
        <v>2038</v>
      </c>
      <c r="W38" s="31">
        <v>2039</v>
      </c>
      <c r="X38" s="31">
        <v>2040</v>
      </c>
      <c r="Y38" s="31">
        <v>2041</v>
      </c>
      <c r="Z38" s="31">
        <v>2042</v>
      </c>
      <c r="AA38" s="31">
        <v>2043</v>
      </c>
      <c r="AB38" s="29"/>
      <c r="AC38" s="194" t="s">
        <v>40</v>
      </c>
      <c r="AD38" s="186" t="s">
        <v>50</v>
      </c>
    </row>
    <row r="39" spans="1:30" ht="14.25" customHeight="1" x14ac:dyDescent="0.3">
      <c r="A39" s="29"/>
      <c r="B39" s="29"/>
      <c r="C39" s="44" t="s">
        <v>114</v>
      </c>
      <c r="D39" s="42"/>
      <c r="E39" s="77"/>
      <c r="F39" s="78"/>
      <c r="G39" s="78"/>
      <c r="H39" s="78"/>
      <c r="I39" s="78"/>
      <c r="J39" s="78"/>
      <c r="K39" s="78"/>
      <c r="L39" s="78"/>
      <c r="M39" s="78"/>
      <c r="N39" s="78"/>
      <c r="O39" s="78"/>
      <c r="P39" s="78"/>
      <c r="Q39" s="78"/>
      <c r="R39" s="78"/>
      <c r="S39" s="78"/>
      <c r="T39" s="78"/>
      <c r="U39" s="78"/>
      <c r="V39" s="78"/>
      <c r="W39" s="78"/>
      <c r="X39" s="78"/>
      <c r="Y39" s="78"/>
      <c r="Z39" s="78"/>
      <c r="AA39" s="79"/>
      <c r="AB39" s="29"/>
      <c r="AC39" s="194"/>
      <c r="AD39" s="186"/>
    </row>
    <row r="40" spans="1:30" ht="14.25" customHeight="1" x14ac:dyDescent="0.3">
      <c r="A40" s="29"/>
      <c r="B40" s="29"/>
      <c r="C40" s="45" t="s">
        <v>72</v>
      </c>
      <c r="D40" s="223" t="s">
        <v>115</v>
      </c>
      <c r="E40" s="3">
        <f>($AD$47/$AD$46)*H9</f>
        <v>130.86133842115711</v>
      </c>
      <c r="F40" s="3">
        <f t="shared" ref="F40:F47" si="0">($AD$48/$AD$46)*H9</f>
        <v>133.095418752895</v>
      </c>
      <c r="G40" s="3">
        <f t="shared" ref="G40:G47" si="1">($AD$49/$AD$46)*H9</f>
        <v>83.830577650499293</v>
      </c>
      <c r="H40" s="3">
        <f t="shared" ref="H40:H47" si="2">($AD$50/$AD$46)*H9</f>
        <v>85.339619356434397</v>
      </c>
      <c r="I40" s="3">
        <f t="shared" ref="I40:I47" si="3">($AD$51/$AD$46)*H9</f>
        <v>86.875825456723859</v>
      </c>
      <c r="J40" s="3">
        <f t="shared" ref="J40:J47" si="4">($AD$52/$AD$46)*H9</f>
        <v>88.43968494005351</v>
      </c>
      <c r="K40" s="3">
        <f t="shared" ref="K40:K47" si="5">($AD$53/$AD$46)*H9</f>
        <v>90.031695597438102</v>
      </c>
      <c r="L40" s="3">
        <f t="shared" ref="L40:L47" si="6">($AD$54/$AD$46)*H9</f>
        <v>91.65236418067289</v>
      </c>
      <c r="M40" s="3">
        <f t="shared" ref="M40:M47" si="7">($AD$55/$AD$46)*H9</f>
        <v>93.302206563637384</v>
      </c>
      <c r="N40" s="3">
        <f t="shared" ref="N40:N47" si="8">($AD$56/$AD$46)*H9</f>
        <v>94.98174790650279</v>
      </c>
      <c r="O40" s="3">
        <f t="shared" ref="O40:O47" si="9">($AD$57/$AD$46)*H9</f>
        <v>96.691522822895394</v>
      </c>
      <c r="P40" s="3">
        <f>($AD$58/$AD$46)*H9</f>
        <v>98.432075550069143</v>
      </c>
      <c r="Q40" s="3">
        <f t="shared" ref="Q40:Q47" si="10">($AD$59/$AD$46)*H9</f>
        <v>100.20396012214121</v>
      </c>
      <c r="R40" s="3">
        <f t="shared" ref="R40:R47" si="11">($AD$60/$AD$46)*H9</f>
        <v>102.00774054644646</v>
      </c>
      <c r="S40" s="3">
        <f t="shared" ref="S40:S47" si="12">($AD$61/$AD$46)*H9</f>
        <v>102.00774054644646</v>
      </c>
      <c r="T40" s="3">
        <f t="shared" ref="T40:T47" si="13">($AD$62/$AD$46)*H9</f>
        <v>103.84399098306596</v>
      </c>
      <c r="U40" s="3">
        <f t="shared" ref="U40:U47" si="14">($AD$63/$AD$46)*H9</f>
        <v>105.71329592758777</v>
      </c>
      <c r="V40" s="3">
        <f t="shared" ref="V40:V47" si="15">($AD$64/$AD$46)*H9</f>
        <v>107.61625039715699</v>
      </c>
      <c r="W40" s="3">
        <f t="shared" ref="W40:W47" si="16">($AD$65/$AD$46)*H9</f>
        <v>109.55346011987564</v>
      </c>
      <c r="X40" s="3">
        <f t="shared" ref="X40:X47" si="17">($AD$66/$AD$46)*H9</f>
        <v>111.52554172761113</v>
      </c>
      <c r="Y40" s="3">
        <f t="shared" ref="Y40:Y47" si="18">($AD$67/$AD$46)*H9</f>
        <v>113.53312295227622</v>
      </c>
      <c r="Z40" s="3">
        <f t="shared" ref="Z40:Z47" si="19">($AD$68/$AD$46)*H9</f>
        <v>115.57684282564182</v>
      </c>
      <c r="AA40" s="3">
        <f t="shared" ref="AA40:AA47" si="20">($AD$69/$AD$46)*H9</f>
        <v>117.65735188274674</v>
      </c>
      <c r="AC40" s="10">
        <v>2014</v>
      </c>
      <c r="AD40" s="11">
        <f>163213+138366+77134+100712</f>
        <v>479425</v>
      </c>
    </row>
    <row r="41" spans="1:30" ht="14.25" customHeight="1" x14ac:dyDescent="0.3">
      <c r="A41" s="29"/>
      <c r="B41" s="29"/>
      <c r="C41" s="45" t="s">
        <v>73</v>
      </c>
      <c r="D41" s="224"/>
      <c r="E41" s="3">
        <f t="shared" ref="E41:E47" si="21">($AD$47/$AD$46)*H10</f>
        <v>125.78919352111227</v>
      </c>
      <c r="F41" s="3">
        <f t="shared" si="0"/>
        <v>127.93668159193008</v>
      </c>
      <c r="G41" s="3">
        <f t="shared" si="1"/>
        <v>80.581330454743508</v>
      </c>
      <c r="H41" s="3">
        <f t="shared" si="2"/>
        <v>82.031882172076479</v>
      </c>
      <c r="I41" s="3">
        <f t="shared" si="3"/>
        <v>83.508545400261696</v>
      </c>
      <c r="J41" s="3">
        <f t="shared" si="4"/>
        <v>85.011790174935157</v>
      </c>
      <c r="K41" s="3">
        <f t="shared" si="5"/>
        <v>86.542094992886248</v>
      </c>
      <c r="L41" s="3">
        <f t="shared" si="6"/>
        <v>88.099946964367746</v>
      </c>
      <c r="M41" s="3">
        <f t="shared" si="7"/>
        <v>89.685841968147557</v>
      </c>
      <c r="N41" s="3">
        <f t="shared" si="8"/>
        <v>91.30028480935151</v>
      </c>
      <c r="O41" s="3">
        <f t="shared" si="9"/>
        <v>92.943789380147521</v>
      </c>
      <c r="P41" s="3">
        <f t="shared" ref="P40:P47" si="22">($AD$58/$AD$46)*H10</f>
        <v>94.616878823322281</v>
      </c>
      <c r="Q41" s="3">
        <f t="shared" si="10"/>
        <v>96.320085698802401</v>
      </c>
      <c r="R41" s="3">
        <f t="shared" si="11"/>
        <v>98.053952153173327</v>
      </c>
      <c r="S41" s="3">
        <f t="shared" si="12"/>
        <v>98.053952153173327</v>
      </c>
      <c r="T41" s="3">
        <f t="shared" si="13"/>
        <v>99.819030092249449</v>
      </c>
      <c r="U41" s="3">
        <f t="shared" si="14"/>
        <v>101.61588135675103</v>
      </c>
      <c r="V41" s="3">
        <f t="shared" si="15"/>
        <v>103.44507790114315</v>
      </c>
      <c r="W41" s="3">
        <f t="shared" si="16"/>
        <v>105.30720197569441</v>
      </c>
      <c r="X41" s="3">
        <f t="shared" si="17"/>
        <v>107.20284631181225</v>
      </c>
      <c r="Y41" s="3">
        <f t="shared" si="18"/>
        <v>109.13261431071513</v>
      </c>
      <c r="Z41" s="3">
        <f t="shared" si="19"/>
        <v>111.09712023550067</v>
      </c>
      <c r="AA41" s="3">
        <f t="shared" si="20"/>
        <v>113.09698940667128</v>
      </c>
      <c r="AC41" s="10">
        <v>2015</v>
      </c>
      <c r="AD41" s="11">
        <f>163828+138891+77427+101094</f>
        <v>481240</v>
      </c>
    </row>
    <row r="42" spans="1:30" ht="14.25" customHeight="1" x14ac:dyDescent="0.3">
      <c r="A42" s="29"/>
      <c r="B42" s="29"/>
      <c r="C42" s="45" t="s">
        <v>74</v>
      </c>
      <c r="D42" s="224"/>
      <c r="E42" s="3">
        <f t="shared" si="21"/>
        <v>22.317437560197337</v>
      </c>
      <c r="F42" s="3">
        <f t="shared" si="0"/>
        <v>22.69844350824566</v>
      </c>
      <c r="G42" s="3">
        <f t="shared" si="1"/>
        <v>14.296687661325461</v>
      </c>
      <c r="H42" s="3">
        <f t="shared" si="2"/>
        <v>14.554043611174858</v>
      </c>
      <c r="I42" s="3">
        <f t="shared" si="3"/>
        <v>14.816032248433526</v>
      </c>
      <c r="J42" s="3">
        <f t="shared" si="4"/>
        <v>15.082736966520756</v>
      </c>
      <c r="K42" s="3">
        <f t="shared" si="5"/>
        <v>15.354242660028204</v>
      </c>
      <c r="L42" s="3">
        <f t="shared" si="6"/>
        <v>15.630635751742664</v>
      </c>
      <c r="M42" s="3">
        <f t="shared" si="7"/>
        <v>15.912004220155213</v>
      </c>
      <c r="N42" s="3">
        <f t="shared" si="8"/>
        <v>16.198437627465591</v>
      </c>
      <c r="O42" s="3">
        <f t="shared" si="9"/>
        <v>16.490027148090689</v>
      </c>
      <c r="P42" s="3">
        <f t="shared" si="22"/>
        <v>16.786865597686212</v>
      </c>
      <c r="Q42" s="3">
        <f t="shared" si="10"/>
        <v>17.08904746269075</v>
      </c>
      <c r="R42" s="3">
        <f t="shared" si="11"/>
        <v>17.39666893040172</v>
      </c>
      <c r="S42" s="3">
        <f t="shared" si="12"/>
        <v>17.39666893040172</v>
      </c>
      <c r="T42" s="3">
        <f t="shared" si="13"/>
        <v>17.709827919592644</v>
      </c>
      <c r="U42" s="3">
        <f t="shared" si="14"/>
        <v>18.028624111681633</v>
      </c>
      <c r="V42" s="3">
        <f t="shared" si="15"/>
        <v>18.353158982460883</v>
      </c>
      <c r="W42" s="3">
        <f t="shared" si="16"/>
        <v>18.683535834397397</v>
      </c>
      <c r="X42" s="3">
        <f t="shared" si="17"/>
        <v>19.019859829515077</v>
      </c>
      <c r="Y42" s="3">
        <f t="shared" si="18"/>
        <v>19.362238022868812</v>
      </c>
      <c r="Z42" s="3">
        <f t="shared" si="19"/>
        <v>19.710779396621085</v>
      </c>
      <c r="AA42" s="3">
        <f t="shared" si="20"/>
        <v>20.065594894732001</v>
      </c>
      <c r="AC42" s="10">
        <v>2016</v>
      </c>
      <c r="AD42" s="11">
        <f>164548+139502+77768+101539</f>
        <v>483357</v>
      </c>
    </row>
    <row r="43" spans="1:30" ht="14.25" customHeight="1" x14ac:dyDescent="0.3">
      <c r="A43" s="29"/>
      <c r="B43" s="29"/>
      <c r="C43" s="45" t="s">
        <v>75</v>
      </c>
      <c r="D43" s="224"/>
      <c r="E43" s="3">
        <f t="shared" si="21"/>
        <v>47.678162060421585</v>
      </c>
      <c r="F43" s="3">
        <f t="shared" si="0"/>
        <v>48.492129313070272</v>
      </c>
      <c r="G43" s="3">
        <f t="shared" si="1"/>
        <v>30.542923640104394</v>
      </c>
      <c r="H43" s="3">
        <f t="shared" si="2"/>
        <v>31.092729532964469</v>
      </c>
      <c r="I43" s="3">
        <f t="shared" si="3"/>
        <v>31.652432530744353</v>
      </c>
      <c r="J43" s="3">
        <f t="shared" si="4"/>
        <v>32.22221079211252</v>
      </c>
      <c r="K43" s="3">
        <f t="shared" si="5"/>
        <v>32.802245682787529</v>
      </c>
      <c r="L43" s="3">
        <f t="shared" si="6"/>
        <v>33.392721833268418</v>
      </c>
      <c r="M43" s="3">
        <f t="shared" si="7"/>
        <v>33.993827197604318</v>
      </c>
      <c r="N43" s="3">
        <f t="shared" si="8"/>
        <v>34.605753113221944</v>
      </c>
      <c r="O43" s="3">
        <f t="shared" si="9"/>
        <v>35.228694361830108</v>
      </c>
      <c r="P43" s="3">
        <f t="shared" si="22"/>
        <v>35.86284923142054</v>
      </c>
      <c r="Q43" s="3">
        <f t="shared" si="10"/>
        <v>36.508419579384785</v>
      </c>
      <c r="R43" s="3">
        <f t="shared" si="11"/>
        <v>37.165610896767312</v>
      </c>
      <c r="S43" s="3">
        <f t="shared" si="12"/>
        <v>37.165610896767312</v>
      </c>
      <c r="T43" s="3">
        <f t="shared" si="13"/>
        <v>37.834632373675198</v>
      </c>
      <c r="U43" s="3">
        <f t="shared" si="14"/>
        <v>38.51569696586531</v>
      </c>
      <c r="V43" s="3">
        <f t="shared" si="15"/>
        <v>39.209021462530067</v>
      </c>
      <c r="W43" s="3">
        <f t="shared" si="16"/>
        <v>39.914826555303527</v>
      </c>
      <c r="X43" s="3">
        <f t="shared" si="17"/>
        <v>40.633336908509484</v>
      </c>
      <c r="Y43" s="3">
        <f t="shared" si="18"/>
        <v>41.364781230674282</v>
      </c>
      <c r="Z43" s="3">
        <f t="shared" si="19"/>
        <v>42.109392347326867</v>
      </c>
      <c r="AA43" s="3">
        <f t="shared" si="20"/>
        <v>42.867407275109279</v>
      </c>
      <c r="AC43" s="10">
        <v>2017</v>
      </c>
      <c r="AD43" s="11">
        <f>164753+139709+77865+101662</f>
        <v>483989</v>
      </c>
    </row>
    <row r="44" spans="1:30" ht="14.25" customHeight="1" x14ac:dyDescent="0.3">
      <c r="A44" s="29"/>
      <c r="B44" s="29"/>
      <c r="C44" s="45" t="s">
        <v>76</v>
      </c>
      <c r="D44" s="224"/>
      <c r="E44" s="3">
        <f t="shared" si="21"/>
        <v>21.303008580188369</v>
      </c>
      <c r="F44" s="3">
        <f t="shared" si="0"/>
        <v>21.666696076052673</v>
      </c>
      <c r="G44" s="3">
        <f t="shared" si="1"/>
        <v>13.646838222174305</v>
      </c>
      <c r="H44" s="3">
        <f t="shared" si="2"/>
        <v>13.892496174303274</v>
      </c>
      <c r="I44" s="3">
        <f t="shared" si="3"/>
        <v>14.142576237141094</v>
      </c>
      <c r="J44" s="3">
        <f t="shared" si="4"/>
        <v>14.397158013497084</v>
      </c>
      <c r="K44" s="3">
        <f t="shared" si="5"/>
        <v>14.656322539117831</v>
      </c>
      <c r="L44" s="3">
        <f t="shared" si="6"/>
        <v>14.920152308481635</v>
      </c>
      <c r="M44" s="3">
        <f t="shared" si="7"/>
        <v>15.188731301057249</v>
      </c>
      <c r="N44" s="3">
        <f t="shared" si="8"/>
        <v>15.462145008035337</v>
      </c>
      <c r="O44" s="3">
        <f t="shared" si="9"/>
        <v>15.740480459541111</v>
      </c>
      <c r="P44" s="3">
        <f t="shared" si="22"/>
        <v>16.023826252336839</v>
      </c>
      <c r="Q44" s="3">
        <f t="shared" si="10"/>
        <v>16.312272578022988</v>
      </c>
      <c r="R44" s="3">
        <f t="shared" si="11"/>
        <v>16.605911251747095</v>
      </c>
      <c r="S44" s="3">
        <f t="shared" si="12"/>
        <v>16.605911251747095</v>
      </c>
      <c r="T44" s="3">
        <f t="shared" si="13"/>
        <v>16.904835741429341</v>
      </c>
      <c r="U44" s="3">
        <f t="shared" si="14"/>
        <v>17.209141197514285</v>
      </c>
      <c r="V44" s="3">
        <f t="shared" si="15"/>
        <v>17.518924483258115</v>
      </c>
      <c r="W44" s="3">
        <f t="shared" si="16"/>
        <v>17.834284205561151</v>
      </c>
      <c r="X44" s="3">
        <f t="shared" si="17"/>
        <v>18.155320746355301</v>
      </c>
      <c r="Y44" s="3">
        <f t="shared" si="18"/>
        <v>18.482136294556593</v>
      </c>
      <c r="Z44" s="3">
        <f t="shared" si="19"/>
        <v>18.814834878592855</v>
      </c>
      <c r="AA44" s="3">
        <f t="shared" si="20"/>
        <v>19.153522399516913</v>
      </c>
      <c r="AC44" s="10">
        <v>2018</v>
      </c>
      <c r="AD44" s="11">
        <f>165062+139981+78004+101844</f>
        <v>484891</v>
      </c>
    </row>
    <row r="45" spans="1:30" ht="14.25" customHeight="1" x14ac:dyDescent="0.3">
      <c r="A45" s="29"/>
      <c r="B45" s="29"/>
      <c r="C45" s="45" t="s">
        <v>77</v>
      </c>
      <c r="D45" s="224"/>
      <c r="E45" s="3">
        <f t="shared" si="21"/>
        <v>18.259721640161459</v>
      </c>
      <c r="F45" s="3">
        <f t="shared" si="0"/>
        <v>18.571453779473721</v>
      </c>
      <c r="G45" s="3">
        <f t="shared" si="1"/>
        <v>11.697289904720833</v>
      </c>
      <c r="H45" s="3">
        <f t="shared" si="2"/>
        <v>11.907853863688521</v>
      </c>
      <c r="I45" s="3">
        <f t="shared" si="3"/>
        <v>12.122208203263796</v>
      </c>
      <c r="J45" s="3">
        <f t="shared" si="4"/>
        <v>12.340421154426071</v>
      </c>
      <c r="K45" s="3">
        <f t="shared" si="5"/>
        <v>12.562562176386713</v>
      </c>
      <c r="L45" s="3">
        <f t="shared" si="6"/>
        <v>12.788701978698544</v>
      </c>
      <c r="M45" s="3">
        <f t="shared" si="7"/>
        <v>13.018912543763356</v>
      </c>
      <c r="N45" s="3">
        <f t="shared" si="8"/>
        <v>13.253267149744575</v>
      </c>
      <c r="O45" s="3">
        <f t="shared" si="9"/>
        <v>13.491840393892382</v>
      </c>
      <c r="P45" s="3">
        <f t="shared" si="22"/>
        <v>13.734708216288718</v>
      </c>
      <c r="Q45" s="3">
        <f t="shared" si="10"/>
        <v>13.981947924019703</v>
      </c>
      <c r="R45" s="3">
        <f t="shared" si="11"/>
        <v>14.233638215783225</v>
      </c>
      <c r="S45" s="3">
        <f t="shared" si="12"/>
        <v>14.233638215783225</v>
      </c>
      <c r="T45" s="3">
        <f t="shared" si="13"/>
        <v>14.489859206939437</v>
      </c>
      <c r="U45" s="3">
        <f t="shared" si="14"/>
        <v>14.750692455012246</v>
      </c>
      <c r="V45" s="3">
        <f t="shared" si="15"/>
        <v>15.016220985649813</v>
      </c>
      <c r="W45" s="3">
        <f t="shared" si="16"/>
        <v>15.286529319052415</v>
      </c>
      <c r="X45" s="3">
        <f t="shared" si="17"/>
        <v>15.561703496875973</v>
      </c>
      <c r="Y45" s="3">
        <f t="shared" si="18"/>
        <v>15.841831109619939</v>
      </c>
      <c r="Z45" s="3">
        <f t="shared" si="19"/>
        <v>16.127001324508161</v>
      </c>
      <c r="AA45" s="3">
        <f t="shared" si="20"/>
        <v>16.417304913871639</v>
      </c>
      <c r="AC45" s="10">
        <v>2019</v>
      </c>
      <c r="AD45" s="11">
        <f>168851+153643+84102+108621</f>
        <v>515217</v>
      </c>
    </row>
    <row r="46" spans="1:30" ht="14.25" customHeight="1" x14ac:dyDescent="0.3">
      <c r="A46" s="29"/>
      <c r="B46" s="29"/>
      <c r="C46" s="45" t="s">
        <v>78</v>
      </c>
      <c r="D46" s="224"/>
      <c r="E46" s="3">
        <f t="shared" si="21"/>
        <v>41.591588180367765</v>
      </c>
      <c r="F46" s="3">
        <f t="shared" si="0"/>
        <v>42.30164471991236</v>
      </c>
      <c r="G46" s="3">
        <f t="shared" si="1"/>
        <v>26.643827005197451</v>
      </c>
      <c r="H46" s="3">
        <f t="shared" si="2"/>
        <v>27.123444911734964</v>
      </c>
      <c r="I46" s="3">
        <f t="shared" si="3"/>
        <v>27.611696462989755</v>
      </c>
      <c r="J46" s="3">
        <f t="shared" si="4"/>
        <v>28.108737073970499</v>
      </c>
      <c r="K46" s="3">
        <f t="shared" si="5"/>
        <v>28.61472495732529</v>
      </c>
      <c r="L46" s="3">
        <f t="shared" si="6"/>
        <v>29.129821173702236</v>
      </c>
      <c r="M46" s="3">
        <f t="shared" si="7"/>
        <v>29.654189683016533</v>
      </c>
      <c r="N46" s="3">
        <f t="shared" si="8"/>
        <v>30.187997396640419</v>
      </c>
      <c r="O46" s="3">
        <f t="shared" si="9"/>
        <v>30.731414230532646</v>
      </c>
      <c r="P46" s="3">
        <f t="shared" si="22"/>
        <v>31.284613159324302</v>
      </c>
      <c r="Q46" s="3">
        <f t="shared" si="10"/>
        <v>31.847770271378216</v>
      </c>
      <c r="R46" s="3">
        <f t="shared" si="11"/>
        <v>32.421064824839569</v>
      </c>
      <c r="S46" s="3">
        <f t="shared" si="12"/>
        <v>32.421064824839569</v>
      </c>
      <c r="T46" s="3">
        <f t="shared" si="13"/>
        <v>33.004679304695387</v>
      </c>
      <c r="U46" s="3">
        <f t="shared" si="14"/>
        <v>33.598799480861224</v>
      </c>
      <c r="V46" s="3">
        <f t="shared" si="15"/>
        <v>34.203614467313464</v>
      </c>
      <c r="W46" s="3">
        <f t="shared" si="16"/>
        <v>34.819316782286059</v>
      </c>
      <c r="X46" s="3">
        <f t="shared" si="17"/>
        <v>35.446102409550825</v>
      </c>
      <c r="Y46" s="3">
        <f t="shared" si="18"/>
        <v>36.084170860800967</v>
      </c>
      <c r="Z46" s="3">
        <f t="shared" si="19"/>
        <v>36.733725239157479</v>
      </c>
      <c r="AA46" s="3">
        <f t="shared" si="20"/>
        <v>37.394972303818733</v>
      </c>
      <c r="AC46" s="10">
        <v>2020</v>
      </c>
      <c r="AD46" s="11">
        <f>173265+164367+88754+117658</f>
        <v>544044</v>
      </c>
    </row>
    <row r="47" spans="1:30" ht="14.25" customHeight="1" x14ac:dyDescent="0.3">
      <c r="A47" s="29"/>
      <c r="B47" s="29"/>
      <c r="C47" s="45" t="s">
        <v>79</v>
      </c>
      <c r="D47" s="225"/>
      <c r="E47" s="3">
        <f t="shared" si="21"/>
        <v>5.0721449000448491</v>
      </c>
      <c r="F47" s="3">
        <f t="shared" si="0"/>
        <v>5.1587371609649226</v>
      </c>
      <c r="G47" s="3">
        <f t="shared" si="1"/>
        <v>3.2492471957557867</v>
      </c>
      <c r="H47" s="3">
        <f t="shared" si="2"/>
        <v>3.3077371843579222</v>
      </c>
      <c r="I47" s="3">
        <f t="shared" si="3"/>
        <v>3.3672800564621652</v>
      </c>
      <c r="J47" s="3">
        <f t="shared" si="4"/>
        <v>3.4278947651183533</v>
      </c>
      <c r="K47" s="3">
        <f t="shared" si="5"/>
        <v>3.4896006045518648</v>
      </c>
      <c r="L47" s="3">
        <f t="shared" si="6"/>
        <v>3.5524172163051508</v>
      </c>
      <c r="M47" s="3">
        <f t="shared" si="7"/>
        <v>3.6163645954898209</v>
      </c>
      <c r="N47" s="3">
        <f t="shared" si="8"/>
        <v>3.681463097151271</v>
      </c>
      <c r="O47" s="3">
        <f t="shared" si="9"/>
        <v>3.7477334427478839</v>
      </c>
      <c r="P47" s="3">
        <f t="shared" si="22"/>
        <v>3.8151967267468661</v>
      </c>
      <c r="Q47" s="3">
        <f t="shared" si="10"/>
        <v>3.8838744233388067</v>
      </c>
      <c r="R47" s="3">
        <f t="shared" si="11"/>
        <v>3.9537883932731184</v>
      </c>
      <c r="S47" s="3">
        <f t="shared" si="12"/>
        <v>3.9537883932731184</v>
      </c>
      <c r="T47" s="3">
        <f t="shared" si="13"/>
        <v>4.0249608908165104</v>
      </c>
      <c r="U47" s="3">
        <f t="shared" si="14"/>
        <v>4.0974145708367349</v>
      </c>
      <c r="V47" s="3">
        <f t="shared" si="15"/>
        <v>4.1711724960138366</v>
      </c>
      <c r="W47" s="3">
        <f t="shared" si="16"/>
        <v>4.2462581441812262</v>
      </c>
      <c r="X47" s="3">
        <f t="shared" si="17"/>
        <v>4.3226954157988811</v>
      </c>
      <c r="Y47" s="3">
        <f t="shared" si="18"/>
        <v>4.4005086415610943</v>
      </c>
      <c r="Z47" s="3">
        <f t="shared" si="19"/>
        <v>4.4797225901411561</v>
      </c>
      <c r="AA47" s="3">
        <f t="shared" si="20"/>
        <v>4.5603624760754551</v>
      </c>
      <c r="AC47" s="10">
        <v>2021</v>
      </c>
      <c r="AD47" s="11">
        <f>174587+167398+90163+119746</f>
        <v>551894</v>
      </c>
    </row>
    <row r="48" spans="1:30" ht="14.25" customHeight="1" x14ac:dyDescent="0.3">
      <c r="A48" s="29"/>
      <c r="B48" s="29"/>
      <c r="C48" s="45" t="s">
        <v>80</v>
      </c>
      <c r="D48" s="83"/>
      <c r="E48" s="3"/>
      <c r="F48" s="3"/>
      <c r="G48" s="3"/>
      <c r="H48" s="3"/>
      <c r="I48" s="3"/>
      <c r="J48" s="3"/>
      <c r="K48" s="3"/>
      <c r="L48" s="3"/>
      <c r="M48" s="3"/>
      <c r="N48" s="3"/>
      <c r="O48" s="3"/>
      <c r="P48" s="3"/>
      <c r="Q48" s="3"/>
      <c r="R48" s="3"/>
      <c r="S48" s="3"/>
      <c r="T48" s="3"/>
      <c r="U48" s="3"/>
      <c r="V48" s="3"/>
      <c r="W48" s="3"/>
      <c r="X48" s="3"/>
      <c r="Y48" s="3"/>
      <c r="Z48" s="3"/>
      <c r="AA48" s="3"/>
      <c r="AC48" s="7">
        <v>2022</v>
      </c>
      <c r="AD48" s="8">
        <f>176368+170927+91833+122188</f>
        <v>561316</v>
      </c>
    </row>
    <row r="49" spans="1:30" ht="14.25" customHeight="1" x14ac:dyDescent="0.3">
      <c r="A49" s="29"/>
      <c r="B49" s="29"/>
      <c r="C49" s="44" t="s">
        <v>116</v>
      </c>
      <c r="D49" s="42"/>
      <c r="E49" s="80"/>
      <c r="F49" s="81"/>
      <c r="G49" s="81"/>
      <c r="H49" s="81"/>
      <c r="I49" s="81"/>
      <c r="J49" s="81"/>
      <c r="K49" s="81"/>
      <c r="L49" s="81"/>
      <c r="M49" s="81"/>
      <c r="N49" s="81"/>
      <c r="O49" s="81"/>
      <c r="P49" s="81"/>
      <c r="Q49" s="81"/>
      <c r="R49" s="81"/>
      <c r="S49" s="81"/>
      <c r="T49" s="81"/>
      <c r="U49" s="81"/>
      <c r="V49" s="81"/>
      <c r="W49" s="81"/>
      <c r="X49" s="81"/>
      <c r="Y49" s="81"/>
      <c r="Z49" s="81"/>
      <c r="AA49" s="82"/>
      <c r="AC49" s="10">
        <v>2023</v>
      </c>
      <c r="AD49" s="14">
        <f>'[1]Proyeksi Penduduk'!C74</f>
        <v>353546.68827355222</v>
      </c>
    </row>
    <row r="50" spans="1:30" ht="14.25" customHeight="1" x14ac:dyDescent="0.3">
      <c r="A50" s="29"/>
      <c r="B50" s="29"/>
      <c r="C50" s="45" t="s">
        <v>117</v>
      </c>
      <c r="D50" s="228" t="s">
        <v>115</v>
      </c>
      <c r="E50" s="3">
        <f>($AD$47/$AD$46)*H19</f>
        <v>5.0721449000448491</v>
      </c>
      <c r="F50" s="3">
        <f>($AD$48/$AD$46)*H19</f>
        <v>5.1587371609649226</v>
      </c>
      <c r="G50" s="3">
        <f>($AD$49/$AD$46)*H19</f>
        <v>3.2492471957557867</v>
      </c>
      <c r="H50" s="3">
        <f>($AD$50/$AD$46)*H19</f>
        <v>3.3077371843579222</v>
      </c>
      <c r="I50" s="3">
        <f>($AD$51/$AD$46)*H19</f>
        <v>3.3672800564621652</v>
      </c>
      <c r="J50" s="3">
        <f>($AD$52/$AD$46)*H19</f>
        <v>3.4278947651183533</v>
      </c>
      <c r="K50" s="3">
        <f>($AD$53/$AD$46)*H19</f>
        <v>3.4896006045518648</v>
      </c>
      <c r="L50" s="3">
        <f>($AD$54/$AD$46)*H19</f>
        <v>3.5524172163051508</v>
      </c>
      <c r="M50" s="3">
        <f>($AD$55/$AD$46)*H19</f>
        <v>3.6163645954898209</v>
      </c>
      <c r="N50" s="3">
        <f>($AD$56/$AD$46)*H19</f>
        <v>3.681463097151271</v>
      </c>
      <c r="O50" s="3">
        <f>($AD$57/$AD$46)*H19</f>
        <v>3.7477334427478839</v>
      </c>
      <c r="P50" s="3">
        <f>($AD$58/$AD$46)*H19</f>
        <v>3.8151967267468661</v>
      </c>
      <c r="Q50" s="3">
        <f>($AD$59/$AD$46)*H19</f>
        <v>3.8838744233388067</v>
      </c>
      <c r="R50" s="3">
        <f>($AD$60/$AD$46)*H19</f>
        <v>3.9537883932731184</v>
      </c>
      <c r="S50" s="3">
        <f>($AD$61/$AD$46)*H19</f>
        <v>3.9537883932731184</v>
      </c>
      <c r="T50" s="3">
        <f>($AD$62/$AD$46)*H19</f>
        <v>4.0249608908165104</v>
      </c>
      <c r="U50" s="3">
        <f>($AD$63/$AD$46)*H19</f>
        <v>4.0974145708367349</v>
      </c>
      <c r="V50" s="3">
        <f>($AD$64/$AD$46)*H19</f>
        <v>4.1711724960138366</v>
      </c>
      <c r="W50" s="3">
        <f>($AD$65/$AD$46)*H19</f>
        <v>4.2462581441812262</v>
      </c>
      <c r="X50" s="3">
        <f>($AD$66/$AD$46)*H19</f>
        <v>4.3226954157988811</v>
      </c>
      <c r="Y50" s="3">
        <f>($AD$67/$AD$46)*H19</f>
        <v>4.4005086415610943</v>
      </c>
      <c r="Z50" s="3">
        <f>($AD$68/$AD$46)*H19</f>
        <v>4.4797225901411561</v>
      </c>
      <c r="AA50" s="3">
        <f>($AD$69/$AD$46)*H19</f>
        <v>4.5603624760754551</v>
      </c>
      <c r="AC50" s="13">
        <v>2024</v>
      </c>
      <c r="AD50" s="14">
        <f>'[1]Proyeksi Penduduk'!C75</f>
        <v>359910.91374536429</v>
      </c>
    </row>
    <row r="51" spans="1:30" ht="14.25" customHeight="1" x14ac:dyDescent="0.3">
      <c r="A51" s="29"/>
      <c r="B51" s="29"/>
      <c r="C51" s="45" t="s">
        <v>118</v>
      </c>
      <c r="D51" s="228"/>
      <c r="E51" s="3">
        <f>($AD$47/$AD$46)*H20</f>
        <v>3249.2160229687306</v>
      </c>
      <c r="F51" s="3">
        <f>($AD$48/$AD$46)*H20</f>
        <v>3304.6870253141292</v>
      </c>
      <c r="G51" s="3">
        <f>($AD$49/$AD$46)*H20</f>
        <v>2081.4677536011568</v>
      </c>
      <c r="H51" s="3">
        <f>($AD$50/$AD$46)*H20</f>
        <v>2118.9364402996848</v>
      </c>
      <c r="I51" s="3">
        <f>($AD$51/$AD$46)*H20</f>
        <v>2157.0796041696631</v>
      </c>
      <c r="J51" s="3">
        <f>($AD$52/$AD$46)*H20</f>
        <v>2195.9093865348173</v>
      </c>
      <c r="K51" s="3">
        <f>($AD$53/$AD$46)*H20</f>
        <v>2235.4381472759246</v>
      </c>
      <c r="L51" s="3">
        <f>($AD$54/$AD$46)*H20</f>
        <v>2275.6784687650797</v>
      </c>
      <c r="M51" s="3">
        <f>($AD$55/$AD$46)*H20</f>
        <v>2316.6431598707795</v>
      </c>
      <c r="N51" s="3">
        <f>($AD$56/$AD$46)*H20</f>
        <v>2358.3452600351038</v>
      </c>
      <c r="O51" s="3">
        <f>($AD$57/$AD$46)*H20</f>
        <v>2400.7980434242941</v>
      </c>
      <c r="P51" s="3">
        <f>($AD$58/$AD$46)*H20</f>
        <v>2444.0150231540424</v>
      </c>
      <c r="Q51" s="3">
        <f>($AD$59/$AD$46)*H20</f>
        <v>2488.0099555908396</v>
      </c>
      <c r="R51" s="3">
        <f>($AD$60/$AD$46)*H20</f>
        <v>2532.7968447307594</v>
      </c>
      <c r="S51" s="3">
        <f>($AD$61/$AD$46)*H20</f>
        <v>2532.7968447307594</v>
      </c>
      <c r="T51" s="3">
        <f>($AD$62/$AD$46)*H20</f>
        <v>2578.3899466570565</v>
      </c>
      <c r="U51" s="3">
        <f>($AD$63/$AD$46)*H20</f>
        <v>2624.8037740780123</v>
      </c>
      <c r="V51" s="3">
        <f>($AD$64/$AD$46)*H20</f>
        <v>2672.0531009464639</v>
      </c>
      <c r="W51" s="3">
        <f>($AD$65/$AD$46)*H20</f>
        <v>2720.1529671624935</v>
      </c>
      <c r="X51" s="3">
        <f>($AD$66/$AD$46)*H20</f>
        <v>2769.1186833607635</v>
      </c>
      <c r="Y51" s="3">
        <f>($AD$67/$AD$46)*H20</f>
        <v>2818.9658357840367</v>
      </c>
      <c r="Z51" s="3">
        <f>($AD$68/$AD$46)*H20</f>
        <v>2869.7102912444243</v>
      </c>
      <c r="AA51" s="3">
        <f>($AD$69/$AD$46)*H20</f>
        <v>2921.3682021739364</v>
      </c>
      <c r="AC51" s="10">
        <v>2025</v>
      </c>
      <c r="AD51" s="14">
        <f>'[1]Proyeksi Penduduk'!C76</f>
        <v>366389.70220758044</v>
      </c>
    </row>
    <row r="52" spans="1:30" ht="14.25" customHeight="1" x14ac:dyDescent="0.3">
      <c r="A52" s="29"/>
      <c r="B52" s="29"/>
      <c r="C52" s="45" t="s">
        <v>119</v>
      </c>
      <c r="D52" s="228"/>
      <c r="E52" s="3">
        <f>($AD$47/$AD$46)*H21</f>
        <v>109.55832984096874</v>
      </c>
      <c r="F52" s="3">
        <f>($AD$48/$AD$46)*H21</f>
        <v>111.42872267684233</v>
      </c>
      <c r="G52" s="3">
        <f>($AD$49/$AD$46)*H21</f>
        <v>70.183739428324998</v>
      </c>
      <c r="H52" s="3">
        <f>($AD$50/$AD$46)*H21</f>
        <v>71.447123182131122</v>
      </c>
      <c r="I52" s="3">
        <f>($AD$51/$AD$46)*H21</f>
        <v>72.733249219582774</v>
      </c>
      <c r="J52" s="3">
        <f>($AD$52/$AD$46)*H21</f>
        <v>74.042526926556434</v>
      </c>
      <c r="K52" s="3">
        <f>($AD$53/$AD$46)*H21</f>
        <v>75.375373058320278</v>
      </c>
      <c r="L52" s="3">
        <f>($AD$54/$AD$46)*H21</f>
        <v>76.732211872191257</v>
      </c>
      <c r="M52" s="3">
        <f>($AD$55/$AD$46)*H21</f>
        <v>78.113475262580138</v>
      </c>
      <c r="N52" s="3">
        <f>($AD$56/$AD$46)*H21</f>
        <v>79.519602898467454</v>
      </c>
      <c r="O52" s="3">
        <f>($AD$57/$AD$46)*H21</f>
        <v>80.95104236335429</v>
      </c>
      <c r="P52" s="3">
        <f>($AD$58/$AD$46)*H21</f>
        <v>82.408249297732311</v>
      </c>
      <c r="Q52" s="3">
        <f>($AD$59/$AD$46)*H21</f>
        <v>83.891687544118227</v>
      </c>
      <c r="R52" s="3">
        <f>($AD$60/$AD$46)*H21</f>
        <v>85.401829294699354</v>
      </c>
      <c r="S52" s="3">
        <f>($AD$61/$AD$46)*H21</f>
        <v>85.401829294699354</v>
      </c>
      <c r="T52" s="3">
        <f>($AD$62/$AD$46)*H21</f>
        <v>86.939155241636627</v>
      </c>
      <c r="U52" s="3">
        <f>($AD$63/$AD$46)*H21</f>
        <v>88.504154730073481</v>
      </c>
      <c r="V52" s="3">
        <f>($AD$64/$AD$46)*H21</f>
        <v>90.097325913898871</v>
      </c>
      <c r="W52" s="3">
        <f>($AD$65/$AD$46)*H21</f>
        <v>91.719175914314491</v>
      </c>
      <c r="X52" s="3">
        <f>($AD$66/$AD$46)*H21</f>
        <v>93.370220981255827</v>
      </c>
      <c r="Y52" s="3">
        <f>($AD$67/$AD$46)*H21</f>
        <v>95.050986657719633</v>
      </c>
      <c r="Z52" s="3">
        <f>($AD$68/$AD$46)*H21</f>
        <v>96.762007947048971</v>
      </c>
      <c r="AA52" s="3">
        <f>($AD$69/$AD$46)*H21</f>
        <v>98.503829483229836</v>
      </c>
      <c r="AC52" s="13">
        <v>2026</v>
      </c>
      <c r="AD52" s="14">
        <f>'[1]Proyeksi Penduduk'!C77</f>
        <v>372985.1159188099</v>
      </c>
    </row>
    <row r="53" spans="1:30" ht="14.25" customHeight="1" x14ac:dyDescent="0.3">
      <c r="A53" s="29"/>
      <c r="B53" s="29"/>
      <c r="C53" s="45" t="s">
        <v>120</v>
      </c>
      <c r="D53" s="228"/>
      <c r="E53" s="3">
        <f>($AD$47/$AD$46)*H22</f>
        <v>2824.1702803449721</v>
      </c>
      <c r="F53" s="3">
        <f>($AD$48/$AD$46)*H22</f>
        <v>2872.3848512252689</v>
      </c>
      <c r="G53" s="3">
        <f>($AD$49/$AD$46)*H22</f>
        <v>1809.180838596822</v>
      </c>
      <c r="H53" s="3">
        <f>($AD$50/$AD$46)*H22</f>
        <v>1841.7480642504911</v>
      </c>
      <c r="I53" s="3">
        <f>($AD$51/$AD$46)*H22</f>
        <v>1874.9015354381336</v>
      </c>
      <c r="J53" s="3">
        <f>($AD$52/$AD$46)*H22</f>
        <v>1908.6518052178992</v>
      </c>
      <c r="K53" s="3">
        <f>($AD$53/$AD$46)*H22</f>
        <v>1943.0096166144783</v>
      </c>
      <c r="L53" s="3">
        <f>($AD$54/$AD$46)*H22</f>
        <v>1977.985906038708</v>
      </c>
      <c r="M53" s="3">
        <f>($AD$55/$AD$46)*H22</f>
        <v>2013.5918067687323</v>
      </c>
      <c r="N53" s="3">
        <f>($AD$56/$AD$46)*H22</f>
        <v>2049.8386524938273</v>
      </c>
      <c r="O53" s="3">
        <f>($AD$57/$AD$46)*H22</f>
        <v>2086.7379809220215</v>
      </c>
      <c r="P53" s="3">
        <f>($AD$58/$AD$46)*H22</f>
        <v>2124.3015374526549</v>
      </c>
      <c r="Q53" s="3">
        <f>($AD$59/$AD$46)*H22</f>
        <v>2162.5412789150478</v>
      </c>
      <c r="R53" s="3">
        <f>($AD$60/$AD$46)*H22</f>
        <v>2201.4693773744721</v>
      </c>
      <c r="S53" s="3">
        <f>($AD$61/$AD$46)*H22</f>
        <v>2201.4693773744721</v>
      </c>
      <c r="T53" s="3">
        <f>($AD$62/$AD$46)*H22</f>
        <v>2241.0982240066328</v>
      </c>
      <c r="U53" s="3">
        <f>($AD$63/$AD$46)*H22</f>
        <v>2281.4404330418938</v>
      </c>
      <c r="V53" s="3">
        <f>($AD$64/$AD$46)*H22</f>
        <v>2322.5088457805045</v>
      </c>
      <c r="W53" s="3">
        <f>($AD$65/$AD$46)*H22</f>
        <v>2364.316534680107</v>
      </c>
      <c r="X53" s="3">
        <f>($AD$66/$AD$46)*H22</f>
        <v>2406.8768075168168</v>
      </c>
      <c r="Y53" s="3">
        <f>($AD$67/$AD$46)*H22</f>
        <v>2450.2032116212172</v>
      </c>
      <c r="Z53" s="3">
        <f>($AD$68/$AD$46)*H22</f>
        <v>2494.3095381905955</v>
      </c>
      <c r="AA53" s="3">
        <f>($AD$69/$AD$46)*H22</f>
        <v>2539.2098266788134</v>
      </c>
      <c r="AC53" s="10">
        <v>2027</v>
      </c>
      <c r="AD53" s="14">
        <f>'[1]Proyeksi Penduduk'!C78</f>
        <v>379699.25426056294</v>
      </c>
    </row>
    <row r="54" spans="1:30" ht="14.25" customHeight="1" x14ac:dyDescent="0.3">
      <c r="A54" s="29"/>
      <c r="B54" s="29"/>
      <c r="C54" s="44" t="s">
        <v>121</v>
      </c>
      <c r="D54" s="45"/>
      <c r="E54" s="80"/>
      <c r="F54" s="81"/>
      <c r="G54" s="81"/>
      <c r="H54" s="81"/>
      <c r="I54" s="81"/>
      <c r="J54" s="81"/>
      <c r="K54" s="81"/>
      <c r="L54" s="81"/>
      <c r="M54" s="81"/>
      <c r="N54" s="81"/>
      <c r="O54" s="81"/>
      <c r="P54" s="81"/>
      <c r="Q54" s="81"/>
      <c r="R54" s="81"/>
      <c r="S54" s="81"/>
      <c r="T54" s="81"/>
      <c r="U54" s="81"/>
      <c r="V54" s="81"/>
      <c r="W54" s="81"/>
      <c r="X54" s="81"/>
      <c r="Y54" s="81"/>
      <c r="Z54" s="81"/>
      <c r="AA54" s="82"/>
      <c r="AC54" s="13">
        <v>2028</v>
      </c>
      <c r="AD54" s="14">
        <f>'[1]Proyeksi Penduduk'!C79</f>
        <v>386534.25440550392</v>
      </c>
    </row>
    <row r="55" spans="1:30" ht="14.25" customHeight="1" x14ac:dyDescent="0.3">
      <c r="A55" s="29"/>
      <c r="B55" s="29"/>
      <c r="C55" s="45" t="s">
        <v>122</v>
      </c>
      <c r="D55" s="40" t="s">
        <v>115</v>
      </c>
      <c r="E55" s="3">
        <f>($AD$47/$AD$46)*H24</f>
        <v>3.0432869400269098</v>
      </c>
      <c r="F55" s="3">
        <f>($AD$48/$AD$46)*H24</f>
        <v>3.0952422965789532</v>
      </c>
      <c r="G55" s="3">
        <f>($AD$49/$AD$46)*H24</f>
        <v>1.949548317453472</v>
      </c>
      <c r="H55" s="3">
        <f>($AD$50/$AD$46)*H24</f>
        <v>1.9846423106147535</v>
      </c>
      <c r="I55" s="3">
        <f>($AD$51/$AD$46)*H24</f>
        <v>2.0203680338772991</v>
      </c>
      <c r="J55" s="3">
        <f>($AD$52/$AD$46)*H24</f>
        <v>2.056736859071012</v>
      </c>
      <c r="K55" s="3">
        <f>($AD$53/$AD$46)*H24</f>
        <v>2.0937603627311185</v>
      </c>
      <c r="L55" s="3">
        <f>($AD$54/$AD$46)*H24</f>
        <v>2.1314503297830907</v>
      </c>
      <c r="M55" s="3">
        <f>($AD$55/$AD$46)*H24</f>
        <v>2.1698187572938927</v>
      </c>
      <c r="N55" s="3">
        <f>($AD$56/$AD$46)*H24</f>
        <v>2.2088778582907622</v>
      </c>
      <c r="O55" s="3">
        <f>($AD$57/$AD$46)*H24</f>
        <v>2.24864006564873</v>
      </c>
      <c r="P55" s="3">
        <f>($AD$58/$AD$46)*H24</f>
        <v>2.2891180360481198</v>
      </c>
      <c r="Q55" s="3">
        <f>($AD$59/$AD$46)*H24</f>
        <v>2.330324654003284</v>
      </c>
      <c r="R55" s="3">
        <f>($AD$60/$AD$46)*H24</f>
        <v>2.3722730359638708</v>
      </c>
      <c r="S55" s="3">
        <f>($AD$61/$AD$46)*H24</f>
        <v>2.3722730359638708</v>
      </c>
      <c r="T55" s="3">
        <f>($AD$62/$AD$46)*H24</f>
        <v>2.4149765344899059</v>
      </c>
      <c r="U55" s="3">
        <f>($AD$63/$AD$46)*H24</f>
        <v>2.4584487425020409</v>
      </c>
      <c r="V55" s="3">
        <f>($AD$64/$AD$46)*H24</f>
        <v>2.502703497608302</v>
      </c>
      <c r="W55" s="3">
        <f>($AD$65/$AD$46)*H24</f>
        <v>2.547754886508736</v>
      </c>
      <c r="X55" s="3">
        <f>($AD$66/$AD$46)*H24</f>
        <v>2.5936172494793288</v>
      </c>
      <c r="Y55" s="3">
        <f>($AD$67/$AD$46)*H24</f>
        <v>2.6403051849366563</v>
      </c>
      <c r="Z55" s="3">
        <f>($AD$68/$AD$46)*H24</f>
        <v>2.6878335540846936</v>
      </c>
      <c r="AA55" s="3">
        <f>($AD$69/$AD$46)*H24</f>
        <v>2.7362174856452732</v>
      </c>
      <c r="AC55" s="10">
        <v>2029</v>
      </c>
      <c r="AD55" s="14">
        <f>'[1]Proyeksi Penduduk'!C80</f>
        <v>393492.29199773283</v>
      </c>
    </row>
    <row r="56" spans="1:30" ht="14.25" customHeight="1" x14ac:dyDescent="0.3">
      <c r="A56" s="29"/>
      <c r="B56" s="29"/>
      <c r="C56" s="44" t="s">
        <v>123</v>
      </c>
      <c r="D56" s="42"/>
      <c r="E56" s="80"/>
      <c r="F56" s="81"/>
      <c r="G56" s="81"/>
      <c r="H56" s="81"/>
      <c r="I56" s="81"/>
      <c r="J56" s="81"/>
      <c r="K56" s="81"/>
      <c r="L56" s="81"/>
      <c r="M56" s="81"/>
      <c r="N56" s="81"/>
      <c r="O56" s="81"/>
      <c r="P56" s="81"/>
      <c r="Q56" s="81"/>
      <c r="R56" s="81"/>
      <c r="S56" s="81"/>
      <c r="T56" s="81"/>
      <c r="U56" s="81"/>
      <c r="V56" s="81"/>
      <c r="W56" s="81"/>
      <c r="X56" s="81"/>
      <c r="Y56" s="81"/>
      <c r="Z56" s="81"/>
      <c r="AA56" s="82"/>
      <c r="AC56" s="13">
        <v>2030</v>
      </c>
      <c r="AD56" s="14">
        <f>'[1]Proyeksi Penduduk'!C81</f>
        <v>400575.58184531319</v>
      </c>
    </row>
    <row r="57" spans="1:30" ht="14.25" customHeight="1" x14ac:dyDescent="0.3">
      <c r="A57" s="29"/>
      <c r="B57" s="29"/>
      <c r="C57" s="45" t="s">
        <v>124</v>
      </c>
      <c r="D57" s="228" t="s">
        <v>115</v>
      </c>
      <c r="E57" s="3">
        <f>($AD$47/$AD$46)*H26</f>
        <v>395.62730220349823</v>
      </c>
      <c r="F57" s="3">
        <f>($AD$48/$AD$46)*H26</f>
        <v>402.38149855526393</v>
      </c>
      <c r="G57" s="3">
        <f>($AD$49/$AD$46)*H26</f>
        <v>253.44128126895137</v>
      </c>
      <c r="H57" s="3">
        <f>($AD$50/$AD$46)*H26</f>
        <v>258.00350037991797</v>
      </c>
      <c r="I57" s="3">
        <f>($AD$51/$AD$46)*H26</f>
        <v>262.6478444040489</v>
      </c>
      <c r="J57" s="3">
        <f>($AD$52/$AD$46)*H26</f>
        <v>267.37579167923155</v>
      </c>
      <c r="K57" s="3">
        <f>($AD$53/$AD$46)*H26</f>
        <v>272.18884715504544</v>
      </c>
      <c r="L57" s="3">
        <f>($AD$54/$AD$46)*H26</f>
        <v>277.08854287180179</v>
      </c>
      <c r="M57" s="3">
        <f>($AD$55/$AD$46)*H26</f>
        <v>282.07643844820603</v>
      </c>
      <c r="N57" s="3">
        <f>($AD$56/$AD$46)*H26</f>
        <v>287.15412157779912</v>
      </c>
      <c r="O57" s="3">
        <f>($AD$57/$AD$46)*H26</f>
        <v>292.32320853433492</v>
      </c>
      <c r="P57" s="3">
        <f>($AD$58/$AD$46)*H26</f>
        <v>297.58534468625555</v>
      </c>
      <c r="Q57" s="3">
        <f>($AD$59/$AD$46)*H26</f>
        <v>302.94220502042691</v>
      </c>
      <c r="R57" s="3">
        <f>($AD$60/$AD$46)*H26</f>
        <v>308.39549467530321</v>
      </c>
      <c r="S57" s="3">
        <f>($AD$61/$AD$46)*H26</f>
        <v>308.39549467530321</v>
      </c>
      <c r="T57" s="3">
        <f>($AD$62/$AD$46)*H26</f>
        <v>313.94694948368777</v>
      </c>
      <c r="U57" s="3">
        <f>($AD$63/$AD$46)*H26</f>
        <v>319.59833652526532</v>
      </c>
      <c r="V57" s="3">
        <f>($AD$64/$AD$46)*H26</f>
        <v>325.35145468907928</v>
      </c>
      <c r="W57" s="3">
        <f>($AD$65/$AD$46)*H26</f>
        <v>331.20813524613567</v>
      </c>
      <c r="X57" s="3">
        <f>($AD$66/$AD$46)*H26</f>
        <v>337.1702424323127</v>
      </c>
      <c r="Y57" s="3">
        <f>($AD$67/$AD$46)*H26</f>
        <v>343.23967404176534</v>
      </c>
      <c r="Z57" s="3">
        <f>($AD$68/$AD$46)*H26</f>
        <v>349.41836203101013</v>
      </c>
      <c r="AA57" s="3">
        <f>($AD$69/$AD$46)*H26</f>
        <v>355.70827313388548</v>
      </c>
      <c r="AC57" s="10">
        <v>2031</v>
      </c>
      <c r="AD57" s="14">
        <f>'[1]Proyeksi Penduduk'!C82</f>
        <v>407786.3786252659</v>
      </c>
    </row>
    <row r="58" spans="1:30" ht="14.25" customHeight="1" x14ac:dyDescent="0.3">
      <c r="A58" s="29"/>
      <c r="B58" s="29"/>
      <c r="C58" s="45" t="s">
        <v>125</v>
      </c>
      <c r="D58" s="228"/>
      <c r="E58" s="3">
        <f>($AD$47/$AD$46)*H27</f>
        <v>1183.8386196704678</v>
      </c>
      <c r="F58" s="3">
        <f>($AD$48/$AD$46)*H27</f>
        <v>1204.0492533692129</v>
      </c>
      <c r="G58" s="3">
        <f>($AD$49/$AD$46)*H27</f>
        <v>758.37429548940065</v>
      </c>
      <c r="H58" s="3">
        <f>($AD$50/$AD$46)*H27</f>
        <v>772.02585882913911</v>
      </c>
      <c r="I58" s="3">
        <f>($AD$51/$AD$46)*H27</f>
        <v>785.92316517826941</v>
      </c>
      <c r="J58" s="3">
        <f>($AD$52/$AD$46)*H27</f>
        <v>800.07063817862365</v>
      </c>
      <c r="K58" s="3">
        <f>($AD$53/$AD$46)*H27</f>
        <v>814.47278110240518</v>
      </c>
      <c r="L58" s="3">
        <f>($AD$54/$AD$46)*H27</f>
        <v>829.13417828562228</v>
      </c>
      <c r="M58" s="3">
        <f>($AD$55/$AD$46)*H27</f>
        <v>844.05949658732425</v>
      </c>
      <c r="N58" s="3">
        <f>($AD$56/$AD$46)*H27</f>
        <v>859.25348687510655</v>
      </c>
      <c r="O58" s="3">
        <f>($AD$57/$AD$46)*H27</f>
        <v>874.720985537356</v>
      </c>
      <c r="P58" s="3">
        <f>($AD$58/$AD$46)*H27</f>
        <v>890.46691602271858</v>
      </c>
      <c r="Q58" s="3">
        <f>($AD$59/$AD$46)*H27</f>
        <v>906.49629040727746</v>
      </c>
      <c r="R58" s="3">
        <f>($AD$60/$AD$46)*H27</f>
        <v>922.81421098994576</v>
      </c>
      <c r="S58" s="3">
        <f>($AD$61/$AD$46)*H27</f>
        <v>922.81421098994576</v>
      </c>
      <c r="T58" s="3">
        <f>($AD$62/$AD$46)*H27</f>
        <v>939.42587191657344</v>
      </c>
      <c r="U58" s="3">
        <f>($AD$63/$AD$46)*H27</f>
        <v>956.3365608332939</v>
      </c>
      <c r="V58" s="3">
        <f>($AD$64/$AD$46)*H27</f>
        <v>973.55166056962958</v>
      </c>
      <c r="W58" s="3">
        <f>($AD$65/$AD$46)*H27</f>
        <v>991.07665085189819</v>
      </c>
      <c r="X58" s="3">
        <f>($AD$66/$AD$46)*H27</f>
        <v>1008.9171100474589</v>
      </c>
      <c r="Y58" s="3">
        <f>($AD$67/$AD$46)*H27</f>
        <v>1027.0787169403593</v>
      </c>
      <c r="Z58" s="3">
        <f>($AD$68/$AD$46)*H27</f>
        <v>1045.5672525389457</v>
      </c>
      <c r="AA58" s="3">
        <f>($AD$69/$AD$46)*H27</f>
        <v>1064.3886019160113</v>
      </c>
      <c r="AC58" s="13">
        <v>2032</v>
      </c>
      <c r="AD58" s="14">
        <f>'[1]Proyeksi Penduduk'!C83</f>
        <v>415126.97760125442</v>
      </c>
    </row>
    <row r="59" spans="1:30" ht="14.25" customHeight="1" x14ac:dyDescent="0.3">
      <c r="A59" s="29"/>
      <c r="B59" s="29"/>
      <c r="C59" s="45" t="s">
        <v>126</v>
      </c>
      <c r="D59" s="228"/>
      <c r="E59" s="3">
        <f>($AD$47/$AD$46)*H28</f>
        <v>8.1154318400717589</v>
      </c>
      <c r="F59" s="3">
        <f>($AD$48/$AD$46)*H28</f>
        <v>8.2539794575438759</v>
      </c>
      <c r="G59" s="3">
        <f>($AD$49/$AD$46)*H28</f>
        <v>5.1987955132092587</v>
      </c>
      <c r="H59" s="3">
        <f>($AD$50/$AD$46)*H28</f>
        <v>5.2923794949726757</v>
      </c>
      <c r="I59" s="3">
        <f>($AD$51/$AD$46)*H28</f>
        <v>5.3876480903394643</v>
      </c>
      <c r="J59" s="3">
        <f>($AD$52/$AD$46)*H28</f>
        <v>5.4846316241893653</v>
      </c>
      <c r="K59" s="3">
        <f>($AD$53/$AD$46)*H28</f>
        <v>5.5833609672829834</v>
      </c>
      <c r="L59" s="3">
        <f>($AD$54/$AD$46)*H28</f>
        <v>5.6838675460882415</v>
      </c>
      <c r="M59" s="3">
        <f>($AD$55/$AD$46)*H28</f>
        <v>5.7861833527837137</v>
      </c>
      <c r="N59" s="3">
        <f>($AD$56/$AD$46)*H28</f>
        <v>5.8903409554420332</v>
      </c>
      <c r="O59" s="3">
        <f>($AD$57/$AD$46)*H28</f>
        <v>5.9963735083966139</v>
      </c>
      <c r="P59" s="3">
        <f>($AD$58/$AD$46)*H28</f>
        <v>6.1043147627949859</v>
      </c>
      <c r="Q59" s="3">
        <f>($AD$59/$AD$46)*H28</f>
        <v>6.2141990773420908</v>
      </c>
      <c r="R59" s="3">
        <f>($AD$60/$AD$46)*H28</f>
        <v>6.3260614292369892</v>
      </c>
      <c r="S59" s="3">
        <f>($AD$61/$AD$46)*H28</f>
        <v>6.3260614292369892</v>
      </c>
      <c r="T59" s="3">
        <f>($AD$62/$AD$46)*H28</f>
        <v>6.4399374253064163</v>
      </c>
      <c r="U59" s="3">
        <f>($AD$63/$AD$46)*H28</f>
        <v>6.5558633133387758</v>
      </c>
      <c r="V59" s="3">
        <f>($AD$64/$AD$46)*H28</f>
        <v>6.673875993622139</v>
      </c>
      <c r="W59" s="3">
        <f>($AD$65/$AD$46)*H28</f>
        <v>6.7940130306899622</v>
      </c>
      <c r="X59" s="3">
        <f>($AD$66/$AD$46)*H28</f>
        <v>6.9163126652782099</v>
      </c>
      <c r="Y59" s="3">
        <f>($AD$67/$AD$46)*H28</f>
        <v>7.0408138264977502</v>
      </c>
      <c r="Z59" s="3">
        <f>($AD$68/$AD$46)*H28</f>
        <v>7.1675561442258493</v>
      </c>
      <c r="AA59" s="3">
        <f>($AD$69/$AD$46)*H28</f>
        <v>7.2965799617207283</v>
      </c>
      <c r="AC59" s="10">
        <v>2033</v>
      </c>
      <c r="AD59" s="14">
        <f>'[1]Proyeksi Penduduk'!C84</f>
        <v>422599.71535418753</v>
      </c>
    </row>
    <row r="60" spans="1:30" ht="14.25" customHeight="1" x14ac:dyDescent="0.3">
      <c r="A60" s="29"/>
      <c r="B60" s="29"/>
      <c r="C60" s="45" t="s">
        <v>127</v>
      </c>
      <c r="D60" s="228"/>
      <c r="E60" s="3">
        <f>($AD$47/$AD$46)*H29</f>
        <v>2.0288579600179397</v>
      </c>
      <c r="F60" s="3">
        <f>($AD$48/$AD$46)*H29</f>
        <v>2.063494864385969</v>
      </c>
      <c r="G60" s="3">
        <f>($AD$49/$AD$46)*H29</f>
        <v>1.2996988783023147</v>
      </c>
      <c r="H60" s="3">
        <f>($AD$50/$AD$46)*H29</f>
        <v>1.3230948737431689</v>
      </c>
      <c r="I60" s="3">
        <f>($AD$51/$AD$46)*H29</f>
        <v>1.3469120225848661</v>
      </c>
      <c r="J60" s="3">
        <f>($AD$52/$AD$46)*H29</f>
        <v>1.3711579060473413</v>
      </c>
      <c r="K60" s="3">
        <f>($AD$53/$AD$46)*H29</f>
        <v>1.3958402418207458</v>
      </c>
      <c r="L60" s="3">
        <f>($AD$54/$AD$46)*H29</f>
        <v>1.4209668865220604</v>
      </c>
      <c r="M60" s="3">
        <f>($AD$55/$AD$46)*H29</f>
        <v>1.4465458381959284</v>
      </c>
      <c r="N60" s="3">
        <f>($AD$56/$AD$46)*H29</f>
        <v>1.4725852388605083</v>
      </c>
      <c r="O60" s="3">
        <f>($AD$57/$AD$46)*H29</f>
        <v>1.4990933770991535</v>
      </c>
      <c r="P60" s="3">
        <f>($AD$58/$AD$46)*H29</f>
        <v>1.5260786906987465</v>
      </c>
      <c r="Q60" s="3">
        <f>($AD$59/$AD$46)*H29</f>
        <v>1.5535497693355227</v>
      </c>
      <c r="R60" s="3">
        <f>($AD$60/$AD$46)*H29</f>
        <v>1.5815153573092473</v>
      </c>
      <c r="S60" s="3">
        <f>($AD$61/$AD$46)*H29</f>
        <v>1.5815153573092473</v>
      </c>
      <c r="T60" s="3">
        <f>($AD$62/$AD$46)*H29</f>
        <v>1.6099843563266041</v>
      </c>
      <c r="U60" s="3">
        <f>($AD$63/$AD$46)*H29</f>
        <v>1.638965828334694</v>
      </c>
      <c r="V60" s="3">
        <f>($AD$64/$AD$46)*H29</f>
        <v>1.6684689984055348</v>
      </c>
      <c r="W60" s="3">
        <f>($AD$65/$AD$46)*H29</f>
        <v>1.6985032576724906</v>
      </c>
      <c r="X60" s="3">
        <f>($AD$66/$AD$46)*H29</f>
        <v>1.7290781663195525</v>
      </c>
      <c r="Y60" s="3">
        <f>($AD$67/$AD$46)*H29</f>
        <v>1.7602034566244376</v>
      </c>
      <c r="Z60" s="3">
        <f>($AD$68/$AD$46)*H29</f>
        <v>1.7918890360564623</v>
      </c>
      <c r="AA60" s="3">
        <f>($AD$69/$AD$46)*H29</f>
        <v>1.8241449904301821</v>
      </c>
      <c r="AC60" s="13">
        <v>2034</v>
      </c>
      <c r="AD60" s="14">
        <f>'[1]Proyeksi Penduduk'!C85</f>
        <v>430206.9705259761</v>
      </c>
    </row>
    <row r="61" spans="1:30" ht="14.25" customHeight="1" x14ac:dyDescent="0.3">
      <c r="A61" s="29"/>
      <c r="B61" s="29"/>
      <c r="AC61" s="10">
        <v>2035</v>
      </c>
      <c r="AD61" s="14">
        <f>'[1]Proyeksi Penduduk'!C86</f>
        <v>430206.9705259761</v>
      </c>
    </row>
    <row r="62" spans="1:30" ht="14.25" customHeight="1" x14ac:dyDescent="0.3">
      <c r="A62" s="29"/>
      <c r="B62" s="29"/>
      <c r="AC62" s="13">
        <v>2036</v>
      </c>
      <c r="AD62" s="14">
        <f>'[1]Proyeksi Penduduk'!C87</f>
        <v>437951.16457667551</v>
      </c>
    </row>
    <row r="63" spans="1:30" ht="14.25" customHeight="1" x14ac:dyDescent="0.3">
      <c r="A63" s="29"/>
      <c r="B63" s="29"/>
      <c r="AB63" s="29"/>
      <c r="AC63" s="10">
        <v>2037</v>
      </c>
      <c r="AD63" s="14">
        <f>'[1]Proyeksi Penduduk'!C88</f>
        <v>445834.76255526009</v>
      </c>
    </row>
    <row r="64" spans="1:30" ht="14.25" customHeight="1" x14ac:dyDescent="0.3">
      <c r="A64" s="29"/>
      <c r="B64" s="29"/>
      <c r="AC64" s="13">
        <v>2038</v>
      </c>
      <c r="AD64" s="14">
        <f>'[1]Proyeksi Penduduk'!C89</f>
        <v>453860.2738842704</v>
      </c>
    </row>
    <row r="65" spans="1:30" ht="14.25" customHeight="1" x14ac:dyDescent="0.3">
      <c r="A65" s="29"/>
      <c r="B65" s="29"/>
      <c r="AC65" s="10">
        <v>2039</v>
      </c>
      <c r="AD65" s="14">
        <f>'[1]Proyeksi Penduduk'!C90</f>
        <v>462030.25315858622</v>
      </c>
    </row>
    <row r="66" spans="1:30" ht="14.25" customHeight="1" x14ac:dyDescent="0.3">
      <c r="A66" s="29"/>
      <c r="B66" s="29"/>
      <c r="AC66" s="13">
        <v>2040</v>
      </c>
      <c r="AD66" s="14">
        <f>'[1]Proyeksi Penduduk'!C91</f>
        <v>470347.30095857731</v>
      </c>
    </row>
    <row r="67" spans="1:30" ht="14.25" customHeight="1" x14ac:dyDescent="0.3">
      <c r="A67" s="29"/>
      <c r="B67" s="29"/>
      <c r="AC67" s="11">
        <v>2041</v>
      </c>
      <c r="AD67" s="14">
        <f>'[1]Proyeksi Penduduk'!C92</f>
        <v>478814.06467789278</v>
      </c>
    </row>
    <row r="68" spans="1:30" ht="14.25" customHeight="1" x14ac:dyDescent="0.3">
      <c r="A68" s="29"/>
      <c r="B68" s="29"/>
      <c r="AC68" s="11">
        <v>2042</v>
      </c>
      <c r="AD68" s="14">
        <f>'[1]Proyeksi Penduduk'!C93</f>
        <v>487433.23936615099</v>
      </c>
    </row>
    <row r="69" spans="1:30" ht="14.25" customHeight="1" x14ac:dyDescent="0.3">
      <c r="A69" s="29"/>
      <c r="B69" s="29"/>
      <c r="AC69" s="11">
        <v>2043</v>
      </c>
      <c r="AD69" s="14">
        <f>'[1]Proyeksi Penduduk'!C94</f>
        <v>496207.56858679897</v>
      </c>
    </row>
    <row r="70" spans="1:30" ht="14.25" customHeight="1" x14ac:dyDescent="0.3">
      <c r="A70" s="29"/>
      <c r="B70" s="29"/>
      <c r="AC70" s="29"/>
    </row>
    <row r="71" spans="1:30" ht="14.25" customHeight="1" x14ac:dyDescent="0.3">
      <c r="A71" s="29"/>
      <c r="B71" s="29"/>
      <c r="AC71" s="29"/>
    </row>
    <row r="72" spans="1:30" ht="14.25" customHeight="1" x14ac:dyDescent="0.3">
      <c r="A72" s="29"/>
      <c r="B72" s="29"/>
      <c r="AC72" s="29"/>
    </row>
    <row r="73" spans="1:30" ht="14.25" customHeight="1" x14ac:dyDescent="0.3">
      <c r="A73" s="29"/>
      <c r="B73" s="29"/>
      <c r="C73" s="29"/>
      <c r="D73" s="29"/>
      <c r="E73" s="29"/>
      <c r="F73" s="29"/>
      <c r="G73" s="29"/>
      <c r="H73" s="29"/>
      <c r="I73" s="29"/>
      <c r="J73" s="29"/>
      <c r="K73" s="29"/>
      <c r="L73" s="29"/>
      <c r="M73" s="29"/>
      <c r="N73" s="29"/>
      <c r="O73" s="29"/>
      <c r="P73" s="29"/>
      <c r="Q73" s="29"/>
      <c r="R73" s="29"/>
      <c r="U73" s="29"/>
      <c r="V73" s="29"/>
      <c r="W73" s="29"/>
      <c r="X73" s="29"/>
      <c r="Y73" s="29"/>
      <c r="Z73" s="29"/>
      <c r="AA73" s="29"/>
      <c r="AB73" s="29"/>
      <c r="AC73" s="29"/>
    </row>
    <row r="74" spans="1:30" ht="14.25" customHeight="1" x14ac:dyDescent="0.3">
      <c r="A74" s="29"/>
      <c r="B74" s="29"/>
      <c r="C74" s="29"/>
      <c r="D74" s="29"/>
      <c r="E74" s="29"/>
      <c r="F74" s="29"/>
      <c r="G74" s="29"/>
      <c r="H74" s="29"/>
      <c r="I74" s="29"/>
      <c r="J74" s="29"/>
      <c r="K74" s="29"/>
      <c r="L74" s="29"/>
      <c r="M74" s="29"/>
      <c r="N74" s="29"/>
      <c r="O74" s="29"/>
      <c r="P74" s="29"/>
      <c r="Q74" s="29"/>
      <c r="R74" s="29"/>
      <c r="U74" s="29"/>
      <c r="V74" s="29"/>
      <c r="W74" s="29"/>
      <c r="X74" s="29"/>
      <c r="Y74" s="29"/>
      <c r="Z74" s="29"/>
      <c r="AA74" s="29"/>
      <c r="AB74" s="29"/>
      <c r="AC74" s="29"/>
    </row>
    <row r="75" spans="1:30" ht="14.25" customHeight="1" x14ac:dyDescent="0.3">
      <c r="A75" s="29"/>
      <c r="B75" s="29"/>
      <c r="C75" s="29"/>
      <c r="D75" s="29"/>
      <c r="E75" s="29"/>
      <c r="F75" s="29"/>
      <c r="G75" s="29"/>
      <c r="H75" s="29"/>
      <c r="I75" s="29"/>
      <c r="J75" s="29"/>
      <c r="K75" s="29"/>
      <c r="L75" s="29"/>
      <c r="M75" s="29"/>
      <c r="N75" s="29"/>
      <c r="O75" s="29"/>
      <c r="P75" s="29"/>
      <c r="Q75" s="29"/>
      <c r="R75" s="29"/>
      <c r="U75" s="29"/>
      <c r="V75" s="29"/>
      <c r="W75" s="29"/>
      <c r="X75" s="29"/>
      <c r="Y75" s="29"/>
      <c r="Z75" s="29"/>
      <c r="AA75" s="29"/>
      <c r="AB75" s="29"/>
      <c r="AC75" s="29"/>
    </row>
    <row r="76" spans="1:30" ht="14.25" customHeight="1" x14ac:dyDescent="0.3">
      <c r="A76" s="29"/>
      <c r="B76" s="29"/>
      <c r="C76" s="29"/>
      <c r="D76" s="29"/>
      <c r="E76" s="29"/>
      <c r="F76" s="29"/>
      <c r="G76" s="29"/>
      <c r="H76" s="29"/>
      <c r="I76" s="29"/>
      <c r="J76" s="29"/>
      <c r="K76" s="29"/>
      <c r="L76" s="29"/>
      <c r="M76" s="29"/>
      <c r="N76" s="29"/>
      <c r="O76" s="29"/>
      <c r="P76" s="29"/>
      <c r="Q76" s="29"/>
      <c r="R76" s="29"/>
      <c r="U76" s="29"/>
      <c r="V76" s="29"/>
      <c r="W76" s="29"/>
      <c r="X76" s="29"/>
      <c r="Y76" s="29"/>
      <c r="Z76" s="29"/>
      <c r="AA76" s="29"/>
      <c r="AB76" s="29"/>
      <c r="AC76" s="29"/>
    </row>
    <row r="77" spans="1:30" ht="14.25" customHeight="1" x14ac:dyDescent="0.3">
      <c r="A77" s="29"/>
      <c r="B77" s="29"/>
      <c r="C77" s="29"/>
      <c r="D77" s="29"/>
      <c r="E77" s="29"/>
      <c r="F77" s="29"/>
      <c r="G77" s="29"/>
      <c r="H77" s="29"/>
      <c r="I77" s="29"/>
      <c r="J77" s="29"/>
      <c r="K77" s="29"/>
      <c r="L77" s="29"/>
      <c r="M77" s="29"/>
      <c r="N77" s="29"/>
      <c r="O77" s="29"/>
      <c r="P77" s="29"/>
      <c r="Q77" s="29"/>
      <c r="R77" s="29"/>
      <c r="U77" s="29"/>
      <c r="V77" s="29"/>
      <c r="W77" s="29"/>
      <c r="X77" s="29"/>
      <c r="Y77" s="29"/>
      <c r="Z77" s="29"/>
      <c r="AA77" s="29"/>
      <c r="AB77" s="29"/>
      <c r="AC77" s="29"/>
    </row>
    <row r="78" spans="1:30" ht="14.25" customHeight="1" x14ac:dyDescent="0.3">
      <c r="A78" s="29"/>
      <c r="B78" s="29"/>
      <c r="C78" s="29"/>
      <c r="D78" s="29"/>
      <c r="E78" s="29"/>
      <c r="F78" s="29"/>
      <c r="G78" s="29"/>
      <c r="H78" s="29"/>
      <c r="I78" s="29"/>
      <c r="J78" s="29"/>
      <c r="K78" s="29"/>
      <c r="L78" s="29"/>
      <c r="M78" s="29"/>
      <c r="N78" s="29"/>
      <c r="O78" s="29"/>
      <c r="P78" s="29"/>
      <c r="Q78" s="29"/>
      <c r="R78" s="29"/>
      <c r="U78" s="29"/>
      <c r="V78" s="29"/>
      <c r="W78" s="29"/>
      <c r="X78" s="29"/>
      <c r="Y78" s="29"/>
      <c r="Z78" s="29"/>
      <c r="AA78" s="29"/>
      <c r="AB78" s="29"/>
      <c r="AC78" s="29"/>
    </row>
    <row r="79" spans="1:30" ht="14.25" customHeight="1" x14ac:dyDescent="0.3">
      <c r="A79" s="29"/>
      <c r="B79" s="29"/>
      <c r="C79" s="29"/>
      <c r="D79" s="29"/>
      <c r="E79" s="29"/>
      <c r="F79" s="29"/>
      <c r="G79" s="29"/>
      <c r="H79" s="29"/>
      <c r="I79" s="29"/>
      <c r="J79" s="29"/>
      <c r="K79" s="29"/>
      <c r="L79" s="29"/>
      <c r="M79" s="29"/>
      <c r="N79" s="29"/>
      <c r="O79" s="29"/>
      <c r="P79" s="29"/>
      <c r="Q79" s="29"/>
      <c r="R79" s="29"/>
      <c r="U79" s="29"/>
      <c r="V79" s="29"/>
      <c r="W79" s="29"/>
      <c r="X79" s="29"/>
      <c r="Y79" s="29"/>
      <c r="Z79" s="29"/>
      <c r="AA79" s="29"/>
      <c r="AB79" s="29"/>
      <c r="AC79" s="29"/>
    </row>
    <row r="80" spans="1:30" ht="14.25" customHeight="1" x14ac:dyDescent="0.3">
      <c r="A80" s="29"/>
      <c r="B80" s="29"/>
      <c r="C80" s="29"/>
      <c r="D80" s="29"/>
      <c r="E80" s="29"/>
      <c r="F80" s="29"/>
      <c r="G80" s="29"/>
      <c r="H80" s="29"/>
      <c r="I80" s="29"/>
      <c r="J80" s="29"/>
      <c r="K80" s="29"/>
      <c r="L80" s="29"/>
      <c r="M80" s="29"/>
      <c r="N80" s="29"/>
      <c r="O80" s="29"/>
      <c r="P80" s="29"/>
      <c r="Q80" s="29"/>
      <c r="R80" s="29"/>
      <c r="U80" s="29"/>
      <c r="V80" s="29"/>
      <c r="W80" s="29"/>
      <c r="X80" s="29"/>
      <c r="Y80" s="29"/>
      <c r="Z80" s="29"/>
      <c r="AA80" s="29"/>
      <c r="AB80" s="29"/>
      <c r="AC80" s="29"/>
    </row>
    <row r="81" spans="1:29" ht="14.25" customHeight="1" x14ac:dyDescent="0.3">
      <c r="A81" s="29"/>
      <c r="B81" s="29"/>
      <c r="C81" s="29"/>
      <c r="D81" s="29"/>
      <c r="E81" s="29"/>
      <c r="F81" s="29"/>
      <c r="G81" s="29"/>
      <c r="H81" s="29"/>
      <c r="I81" s="29"/>
      <c r="J81" s="29"/>
      <c r="K81" s="29"/>
      <c r="L81" s="29"/>
      <c r="M81" s="29"/>
      <c r="N81" s="29"/>
      <c r="O81" s="29"/>
      <c r="P81" s="29"/>
      <c r="Q81" s="29"/>
      <c r="R81" s="29"/>
      <c r="U81" s="29"/>
      <c r="V81" s="29"/>
      <c r="W81" s="29"/>
      <c r="X81" s="29"/>
      <c r="Y81" s="29"/>
      <c r="Z81" s="29"/>
      <c r="AA81" s="29"/>
      <c r="AB81" s="29"/>
      <c r="AC81" s="29"/>
    </row>
    <row r="82" spans="1:29" ht="14.25" customHeight="1" x14ac:dyDescent="0.3">
      <c r="A82" s="29"/>
      <c r="B82" s="29"/>
      <c r="C82" s="29"/>
      <c r="D82" s="29"/>
      <c r="E82" s="29"/>
      <c r="F82" s="29"/>
      <c r="G82" s="29"/>
      <c r="H82" s="29"/>
      <c r="I82" s="29"/>
      <c r="J82" s="29"/>
      <c r="K82" s="29"/>
      <c r="L82" s="29"/>
      <c r="M82" s="29"/>
      <c r="N82" s="29"/>
      <c r="O82" s="29"/>
      <c r="P82" s="29"/>
      <c r="Q82" s="29"/>
      <c r="R82" s="29"/>
      <c r="U82" s="29"/>
      <c r="V82" s="29"/>
      <c r="W82" s="29"/>
      <c r="X82" s="29"/>
      <c r="Y82" s="29"/>
      <c r="Z82" s="29"/>
      <c r="AA82" s="29"/>
      <c r="AB82" s="29"/>
      <c r="AC82" s="29"/>
    </row>
    <row r="83" spans="1:29" ht="14.25" customHeight="1" x14ac:dyDescent="0.3">
      <c r="A83" s="29"/>
      <c r="B83" s="29"/>
      <c r="C83" s="29"/>
      <c r="D83" s="29"/>
      <c r="E83" s="29"/>
      <c r="F83" s="29"/>
      <c r="G83" s="29"/>
      <c r="H83" s="29"/>
      <c r="I83" s="29"/>
      <c r="J83" s="29"/>
      <c r="K83" s="29"/>
      <c r="L83" s="29"/>
      <c r="M83" s="29"/>
      <c r="N83" s="29"/>
      <c r="O83" s="29"/>
      <c r="P83" s="29"/>
      <c r="Q83" s="29"/>
      <c r="R83" s="29"/>
      <c r="U83" s="29"/>
      <c r="V83" s="29"/>
      <c r="W83" s="29"/>
      <c r="X83" s="29"/>
      <c r="Y83" s="29"/>
      <c r="Z83" s="29"/>
      <c r="AA83" s="29"/>
      <c r="AB83" s="29"/>
      <c r="AC83" s="29"/>
    </row>
    <row r="84" spans="1:29" ht="14.25" customHeight="1" x14ac:dyDescent="0.3">
      <c r="A84" s="29"/>
      <c r="B84" s="29"/>
      <c r="C84" s="29"/>
      <c r="D84" s="29"/>
      <c r="E84" s="29"/>
      <c r="F84" s="29"/>
      <c r="G84" s="29"/>
      <c r="H84" s="29"/>
      <c r="I84" s="29"/>
      <c r="J84" s="29"/>
      <c r="K84" s="29"/>
      <c r="L84" s="29"/>
      <c r="M84" s="29"/>
      <c r="N84" s="29"/>
      <c r="O84" s="29"/>
      <c r="P84" s="29"/>
      <c r="Q84" s="29"/>
      <c r="R84" s="29"/>
      <c r="U84" s="29"/>
      <c r="V84" s="29"/>
      <c r="W84" s="29"/>
      <c r="X84" s="29"/>
      <c r="Y84" s="29"/>
      <c r="Z84" s="29"/>
      <c r="AA84" s="29"/>
      <c r="AB84" s="29"/>
      <c r="AC84" s="29"/>
    </row>
    <row r="85" spans="1:29" ht="14.25" customHeight="1" x14ac:dyDescent="0.3">
      <c r="A85" s="29"/>
      <c r="B85" s="29"/>
      <c r="C85" s="29"/>
      <c r="D85" s="29"/>
      <c r="E85" s="29"/>
      <c r="F85" s="29"/>
      <c r="G85" s="29"/>
      <c r="H85" s="29"/>
      <c r="I85" s="29"/>
      <c r="J85" s="29"/>
      <c r="K85" s="29"/>
      <c r="L85" s="29"/>
      <c r="M85" s="29"/>
      <c r="N85" s="29"/>
      <c r="O85" s="29"/>
      <c r="P85" s="29"/>
      <c r="Q85" s="29"/>
      <c r="R85" s="29"/>
      <c r="U85" s="29"/>
      <c r="V85" s="29"/>
      <c r="W85" s="29"/>
      <c r="X85" s="29"/>
      <c r="Y85" s="29"/>
      <c r="Z85" s="29"/>
      <c r="AA85" s="29"/>
      <c r="AB85" s="29"/>
      <c r="AC85" s="29"/>
    </row>
    <row r="86" spans="1:29" ht="14.25" customHeight="1" x14ac:dyDescent="0.3">
      <c r="A86" s="29"/>
      <c r="B86" s="29"/>
      <c r="C86" s="29"/>
      <c r="D86" s="29"/>
      <c r="E86" s="29"/>
      <c r="F86" s="29"/>
      <c r="G86" s="29"/>
      <c r="H86" s="29"/>
      <c r="I86" s="29"/>
      <c r="J86" s="29"/>
      <c r="K86" s="29"/>
      <c r="L86" s="29"/>
      <c r="M86" s="29"/>
      <c r="N86" s="29"/>
      <c r="O86" s="29"/>
      <c r="P86" s="29"/>
      <c r="Q86" s="29"/>
      <c r="R86" s="29"/>
      <c r="U86" s="29"/>
      <c r="V86" s="29"/>
      <c r="W86" s="29"/>
      <c r="X86" s="29"/>
      <c r="Y86" s="29"/>
      <c r="Z86" s="29"/>
      <c r="AA86" s="29"/>
      <c r="AB86" s="29"/>
      <c r="AC86" s="29"/>
    </row>
    <row r="87" spans="1:29" ht="14.25" customHeight="1" x14ac:dyDescent="0.3">
      <c r="A87" s="29"/>
      <c r="B87" s="29"/>
      <c r="C87" s="29"/>
      <c r="D87" s="29"/>
      <c r="E87" s="29"/>
      <c r="F87" s="29"/>
      <c r="G87" s="29"/>
      <c r="H87" s="29"/>
      <c r="I87" s="29"/>
      <c r="J87" s="29"/>
      <c r="K87" s="29"/>
      <c r="L87" s="29"/>
      <c r="M87" s="29"/>
      <c r="N87" s="29"/>
      <c r="O87" s="29"/>
      <c r="P87" s="29"/>
      <c r="Q87" s="29"/>
      <c r="R87" s="29"/>
      <c r="U87" s="29"/>
      <c r="V87" s="29"/>
      <c r="W87" s="29"/>
      <c r="X87" s="29"/>
      <c r="Y87" s="29"/>
      <c r="Z87" s="29"/>
      <c r="AA87" s="29"/>
      <c r="AB87" s="29"/>
      <c r="AC87" s="29"/>
    </row>
    <row r="88" spans="1:29" ht="14.25" customHeight="1" x14ac:dyDescent="0.3">
      <c r="A88" s="29"/>
      <c r="B88" s="29"/>
      <c r="C88" s="29"/>
      <c r="D88" s="29"/>
      <c r="E88" s="29"/>
      <c r="F88" s="29"/>
      <c r="G88" s="29"/>
      <c r="H88" s="29"/>
      <c r="I88" s="29"/>
      <c r="J88" s="29"/>
      <c r="K88" s="29"/>
      <c r="L88" s="29"/>
      <c r="M88" s="29"/>
      <c r="N88" s="29"/>
      <c r="O88" s="29"/>
      <c r="P88" s="29"/>
      <c r="Q88" s="29"/>
      <c r="R88" s="29"/>
      <c r="U88" s="29"/>
      <c r="V88" s="29"/>
      <c r="W88" s="29"/>
      <c r="X88" s="29"/>
      <c r="Y88" s="29"/>
      <c r="Z88" s="29"/>
      <c r="AA88" s="29"/>
      <c r="AB88" s="29"/>
      <c r="AC88" s="29"/>
    </row>
    <row r="89" spans="1:29" ht="14.25" customHeight="1" x14ac:dyDescent="0.3">
      <c r="A89" s="29"/>
      <c r="B89" s="29"/>
      <c r="C89" s="29"/>
      <c r="D89" s="29"/>
      <c r="E89" s="29"/>
      <c r="F89" s="29"/>
      <c r="G89" s="29"/>
      <c r="H89" s="29"/>
      <c r="I89" s="29"/>
      <c r="J89" s="29"/>
      <c r="K89" s="29"/>
      <c r="L89" s="29"/>
      <c r="M89" s="29"/>
      <c r="N89" s="29"/>
      <c r="O89" s="29"/>
      <c r="P89" s="29"/>
      <c r="Q89" s="29"/>
      <c r="R89" s="29"/>
      <c r="U89" s="29"/>
      <c r="V89" s="29"/>
      <c r="W89" s="29"/>
      <c r="X89" s="29"/>
      <c r="Y89" s="29"/>
      <c r="Z89" s="29"/>
      <c r="AA89" s="29"/>
      <c r="AB89" s="29"/>
      <c r="AC89" s="29"/>
    </row>
    <row r="90" spans="1:29" ht="14.25" customHeight="1" x14ac:dyDescent="0.3">
      <c r="A90" s="29"/>
      <c r="B90" s="29"/>
      <c r="C90" s="29"/>
      <c r="D90" s="29"/>
      <c r="E90" s="29"/>
      <c r="F90" s="29"/>
      <c r="G90" s="29"/>
      <c r="H90" s="29"/>
      <c r="I90" s="29"/>
      <c r="J90" s="29"/>
      <c r="K90" s="29"/>
      <c r="L90" s="29"/>
      <c r="M90" s="29"/>
      <c r="N90" s="29"/>
      <c r="O90" s="29"/>
      <c r="P90" s="29"/>
      <c r="Q90" s="29"/>
      <c r="R90" s="29"/>
      <c r="U90" s="29"/>
      <c r="V90" s="29"/>
      <c r="W90" s="29"/>
      <c r="X90" s="29"/>
      <c r="Y90" s="29"/>
      <c r="Z90" s="29"/>
      <c r="AA90" s="29"/>
      <c r="AB90" s="29"/>
      <c r="AC90" s="29"/>
    </row>
    <row r="91" spans="1:29" ht="14.25" customHeight="1" x14ac:dyDescent="0.3">
      <c r="A91" s="29"/>
      <c r="B91" s="29"/>
      <c r="C91" s="29"/>
      <c r="D91" s="29"/>
      <c r="E91" s="29"/>
      <c r="F91" s="29"/>
      <c r="G91" s="29"/>
      <c r="H91" s="29"/>
      <c r="I91" s="29"/>
      <c r="J91" s="29"/>
      <c r="K91" s="29"/>
      <c r="L91" s="29"/>
      <c r="M91" s="29"/>
      <c r="N91" s="29"/>
      <c r="O91" s="29"/>
      <c r="P91" s="29"/>
      <c r="Q91" s="29"/>
      <c r="R91" s="29"/>
      <c r="U91" s="29"/>
      <c r="V91" s="29"/>
      <c r="W91" s="29"/>
      <c r="X91" s="29"/>
      <c r="Y91" s="29"/>
      <c r="Z91" s="29"/>
      <c r="AA91" s="29"/>
      <c r="AB91" s="29"/>
      <c r="AC91" s="29"/>
    </row>
    <row r="92" spans="1:29" ht="14.25" customHeight="1" x14ac:dyDescent="0.3">
      <c r="A92" s="29"/>
      <c r="B92" s="29"/>
      <c r="C92" s="29"/>
      <c r="D92" s="29"/>
      <c r="E92" s="29"/>
      <c r="F92" s="29"/>
      <c r="G92" s="29"/>
      <c r="H92" s="29"/>
      <c r="I92" s="29"/>
      <c r="J92" s="29"/>
      <c r="K92" s="29"/>
      <c r="L92" s="29"/>
      <c r="M92" s="29"/>
      <c r="N92" s="29"/>
      <c r="O92" s="29"/>
      <c r="P92" s="29"/>
      <c r="Q92" s="29"/>
      <c r="R92" s="29"/>
      <c r="U92" s="29"/>
      <c r="V92" s="29"/>
      <c r="W92" s="29"/>
      <c r="X92" s="29"/>
      <c r="Y92" s="29"/>
      <c r="Z92" s="29"/>
      <c r="AA92" s="29"/>
      <c r="AB92" s="29"/>
      <c r="AC92" s="29"/>
    </row>
    <row r="93" spans="1:29" ht="14.25" customHeight="1" x14ac:dyDescent="0.3">
      <c r="A93" s="29"/>
      <c r="B93" s="29"/>
      <c r="C93" s="29"/>
      <c r="D93" s="29"/>
      <c r="E93" s="29"/>
      <c r="F93" s="29"/>
      <c r="G93" s="29"/>
      <c r="H93" s="29"/>
      <c r="I93" s="29"/>
      <c r="J93" s="29"/>
      <c r="K93" s="29"/>
      <c r="L93" s="29"/>
      <c r="M93" s="29"/>
      <c r="N93" s="29"/>
      <c r="O93" s="29"/>
      <c r="P93" s="29"/>
      <c r="Q93" s="29"/>
      <c r="R93" s="29"/>
      <c r="U93" s="29"/>
      <c r="V93" s="29"/>
      <c r="W93" s="29"/>
      <c r="X93" s="29"/>
      <c r="Y93" s="29"/>
      <c r="Z93" s="29"/>
      <c r="AA93" s="29"/>
      <c r="AB93" s="29"/>
      <c r="AC93" s="29"/>
    </row>
    <row r="94" spans="1:29" ht="14.25" customHeight="1" x14ac:dyDescent="0.3">
      <c r="A94" s="29"/>
      <c r="B94" s="29"/>
      <c r="C94" s="29"/>
      <c r="D94" s="29"/>
      <c r="E94" s="29"/>
      <c r="F94" s="29"/>
      <c r="G94" s="29"/>
      <c r="H94" s="29"/>
      <c r="I94" s="29"/>
      <c r="J94" s="29"/>
      <c r="K94" s="29"/>
      <c r="L94" s="29"/>
      <c r="M94" s="29"/>
      <c r="N94" s="29"/>
      <c r="O94" s="29"/>
      <c r="P94" s="29"/>
      <c r="Q94" s="29"/>
      <c r="R94" s="29"/>
      <c r="U94" s="29"/>
      <c r="V94" s="29"/>
      <c r="W94" s="29"/>
      <c r="X94" s="29"/>
      <c r="Y94" s="29"/>
      <c r="Z94" s="29"/>
      <c r="AA94" s="29"/>
      <c r="AB94" s="29"/>
      <c r="AC94" s="29"/>
    </row>
    <row r="95" spans="1:29" ht="14.25" customHeight="1" x14ac:dyDescent="0.3">
      <c r="A95" s="29"/>
      <c r="B95" s="29"/>
      <c r="C95" s="29"/>
      <c r="D95" s="29"/>
      <c r="E95" s="29"/>
      <c r="F95" s="29"/>
      <c r="G95" s="29"/>
      <c r="H95" s="29"/>
      <c r="I95" s="29"/>
      <c r="J95" s="29"/>
      <c r="K95" s="29"/>
      <c r="L95" s="29"/>
      <c r="M95" s="29"/>
      <c r="N95" s="29"/>
      <c r="O95" s="29"/>
      <c r="P95" s="29"/>
      <c r="Q95" s="29"/>
      <c r="R95" s="29"/>
      <c r="U95" s="29"/>
      <c r="V95" s="29"/>
      <c r="W95" s="29"/>
      <c r="X95" s="29"/>
      <c r="Y95" s="29"/>
      <c r="Z95" s="29"/>
      <c r="AA95" s="29"/>
      <c r="AB95" s="29"/>
      <c r="AC95" s="29"/>
    </row>
    <row r="96" spans="1:29" ht="14.25" customHeight="1" x14ac:dyDescent="0.3">
      <c r="A96" s="29"/>
      <c r="B96" s="29"/>
      <c r="C96" s="29"/>
      <c r="D96" s="29"/>
      <c r="E96" s="29"/>
      <c r="F96" s="29"/>
      <c r="G96" s="29"/>
      <c r="H96" s="29"/>
      <c r="I96" s="29"/>
      <c r="J96" s="29"/>
      <c r="K96" s="29"/>
      <c r="L96" s="29"/>
      <c r="M96" s="29"/>
      <c r="N96" s="29"/>
      <c r="O96" s="29"/>
      <c r="P96" s="29"/>
      <c r="Q96" s="29"/>
      <c r="R96" s="29"/>
      <c r="U96" s="29"/>
      <c r="V96" s="29"/>
      <c r="W96" s="29"/>
      <c r="X96" s="29"/>
      <c r="Y96" s="29"/>
      <c r="Z96" s="29"/>
      <c r="AA96" s="29"/>
      <c r="AB96" s="29"/>
      <c r="AC96" s="29"/>
    </row>
    <row r="97" spans="1:29" ht="14.25" customHeight="1" x14ac:dyDescent="0.3">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row>
    <row r="98" spans="1:29" ht="14.25" customHeight="1" x14ac:dyDescent="0.3">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row>
    <row r="99" spans="1:29" ht="14.25" customHeight="1" x14ac:dyDescent="0.3">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row>
    <row r="100" spans="1:29" ht="14.25" customHeight="1" x14ac:dyDescent="0.3">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row>
    <row r="101" spans="1:29" ht="14.25" customHeight="1" x14ac:dyDescent="0.3">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row>
    <row r="102" spans="1:29" ht="14.25" customHeight="1" x14ac:dyDescent="0.3">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row>
    <row r="103" spans="1:29" ht="14.25" customHeight="1" x14ac:dyDescent="0.3">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row>
    <row r="104" spans="1:29" ht="14.25" customHeight="1" x14ac:dyDescent="0.3">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row>
    <row r="105" spans="1:29" ht="14.25" customHeight="1" x14ac:dyDescent="0.3">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row>
    <row r="106" spans="1:29" ht="14.25" customHeight="1" x14ac:dyDescent="0.3">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row>
    <row r="107" spans="1:29" ht="14.25" customHeight="1" x14ac:dyDescent="0.3">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row>
    <row r="108" spans="1:29" ht="14.25" customHeight="1" x14ac:dyDescent="0.3">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row>
    <row r="109" spans="1:29" ht="14.25" customHeight="1" x14ac:dyDescent="0.3">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row>
    <row r="110" spans="1:29" ht="14.25" customHeight="1" x14ac:dyDescent="0.3">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row>
    <row r="111" spans="1:29" ht="14.25" customHeight="1" x14ac:dyDescent="0.3">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row>
    <row r="112" spans="1:29" ht="14.25" customHeight="1" x14ac:dyDescent="0.3">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row>
    <row r="113" spans="1:29" ht="14.25" customHeight="1" x14ac:dyDescent="0.3">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row>
    <row r="114" spans="1:29" ht="14.25" customHeight="1" x14ac:dyDescent="0.3">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row>
    <row r="115" spans="1:29" ht="14.25" customHeight="1" x14ac:dyDescent="0.3">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row>
    <row r="116" spans="1:29" ht="14.25" customHeight="1" x14ac:dyDescent="0.3">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row>
    <row r="117" spans="1:29" ht="14.25" customHeight="1" x14ac:dyDescent="0.3">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row>
    <row r="118" spans="1:29" ht="14.25" customHeight="1" x14ac:dyDescent="0.3">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row>
    <row r="119" spans="1:29" ht="14.25" customHeight="1" x14ac:dyDescent="0.3">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row>
    <row r="120" spans="1:29" ht="14.25" customHeight="1" x14ac:dyDescent="0.3">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row>
    <row r="121" spans="1:29" ht="14.25" customHeight="1" x14ac:dyDescent="0.3">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row>
    <row r="122" spans="1:29" ht="14.25" customHeight="1" x14ac:dyDescent="0.3">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row>
    <row r="123" spans="1:29" ht="14.25" customHeight="1" x14ac:dyDescent="0.3">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row>
    <row r="124" spans="1:29" ht="14.25" customHeight="1" x14ac:dyDescent="0.3">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row>
    <row r="125" spans="1:29" ht="14.25" customHeight="1" x14ac:dyDescent="0.3">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row>
    <row r="126" spans="1:29" ht="14.25" customHeight="1" x14ac:dyDescent="0.3">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row>
    <row r="127" spans="1:29" ht="14.25" customHeight="1" x14ac:dyDescent="0.3">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row>
    <row r="128" spans="1:29" ht="14.25" customHeight="1" x14ac:dyDescent="0.3">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row>
    <row r="129" spans="1:29" ht="14.25" customHeight="1" x14ac:dyDescent="0.3">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row>
    <row r="130" spans="1:29" ht="14.25" customHeight="1" x14ac:dyDescent="0.3">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row>
    <row r="131" spans="1:29" ht="14.25" customHeight="1" x14ac:dyDescent="0.3">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row>
    <row r="132" spans="1:29" ht="14.25" customHeight="1" x14ac:dyDescent="0.3">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row>
    <row r="133" spans="1:29" ht="14.25" customHeight="1" x14ac:dyDescent="0.3">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row>
    <row r="134" spans="1:29" ht="14.25" customHeight="1" x14ac:dyDescent="0.3">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row>
    <row r="135" spans="1:29" ht="14.25" customHeight="1" x14ac:dyDescent="0.3">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row>
    <row r="136" spans="1:29" ht="14.25" customHeight="1" x14ac:dyDescent="0.3">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row>
    <row r="137" spans="1:29" ht="14.25" customHeight="1" x14ac:dyDescent="0.3">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row>
    <row r="138" spans="1:29" ht="14.25" customHeight="1" x14ac:dyDescent="0.3">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row>
    <row r="139" spans="1:29" ht="14.25" customHeight="1" x14ac:dyDescent="0.3">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row>
    <row r="140" spans="1:29" ht="14.25" customHeight="1" x14ac:dyDescent="0.3">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row>
    <row r="141" spans="1:29" ht="14.25" customHeight="1" x14ac:dyDescent="0.3">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row>
    <row r="142" spans="1:29" ht="14.25" customHeight="1" x14ac:dyDescent="0.3">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row>
    <row r="143" spans="1:29" ht="14.25" customHeight="1" x14ac:dyDescent="0.3">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row>
    <row r="144" spans="1:29" ht="14.25" customHeight="1" x14ac:dyDescent="0.3">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row>
    <row r="145" spans="1:29" ht="14.25" customHeight="1" x14ac:dyDescent="0.3">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row>
    <row r="146" spans="1:29" ht="14.25" customHeight="1" x14ac:dyDescent="0.3">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row>
    <row r="147" spans="1:29" ht="14.25" customHeight="1" x14ac:dyDescent="0.3">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row>
    <row r="148" spans="1:29" ht="14.25" customHeight="1" x14ac:dyDescent="0.3">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row>
    <row r="149" spans="1:29" ht="14.25" customHeight="1" x14ac:dyDescent="0.3">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row>
    <row r="150" spans="1:29" ht="14.25" customHeight="1" x14ac:dyDescent="0.3">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row>
    <row r="151" spans="1:29" ht="14.25" customHeight="1" x14ac:dyDescent="0.3">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row>
    <row r="152" spans="1:29" ht="14.25" customHeight="1" x14ac:dyDescent="0.3">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row>
    <row r="153" spans="1:29" ht="14.25" customHeight="1" x14ac:dyDescent="0.3">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row>
    <row r="154" spans="1:29" ht="14.25" customHeight="1" x14ac:dyDescent="0.3">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row>
    <row r="155" spans="1:29" ht="14.25" customHeight="1" x14ac:dyDescent="0.3">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row>
    <row r="156" spans="1:29" ht="14.25" customHeight="1" x14ac:dyDescent="0.3">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row>
    <row r="157" spans="1:29" ht="14.25" customHeight="1" x14ac:dyDescent="0.3">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row>
    <row r="158" spans="1:29" ht="14.25" customHeight="1" x14ac:dyDescent="0.3">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row>
    <row r="159" spans="1:29" ht="14.25" customHeight="1" x14ac:dyDescent="0.3">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row>
    <row r="160" spans="1:29" ht="14.25" customHeight="1" x14ac:dyDescent="0.3">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row>
    <row r="161" spans="1:29" ht="14.25" customHeight="1" x14ac:dyDescent="0.3">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row>
    <row r="162" spans="1:29" ht="14.25" customHeight="1" x14ac:dyDescent="0.3">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row>
    <row r="163" spans="1:29" ht="14.25" customHeight="1" x14ac:dyDescent="0.3">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row>
    <row r="164" spans="1:29" ht="14.25" customHeight="1" x14ac:dyDescent="0.3">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row>
    <row r="165" spans="1:29" ht="14.25" customHeight="1" x14ac:dyDescent="0.3">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row>
    <row r="166" spans="1:29" ht="14.25" customHeight="1" x14ac:dyDescent="0.3">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row>
    <row r="167" spans="1:29" ht="14.25" customHeight="1" x14ac:dyDescent="0.3">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row>
    <row r="168" spans="1:29" ht="14.25" customHeight="1" x14ac:dyDescent="0.3">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row>
    <row r="169" spans="1:29" ht="14.25" customHeight="1" x14ac:dyDescent="0.3">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row>
    <row r="170" spans="1:29" ht="14.25" customHeight="1" x14ac:dyDescent="0.3">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row>
    <row r="171" spans="1:29" ht="14.25" customHeight="1" x14ac:dyDescent="0.3">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row>
    <row r="172" spans="1:29" ht="14.25" customHeight="1" x14ac:dyDescent="0.3">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row>
    <row r="173" spans="1:29" ht="14.25" customHeight="1" x14ac:dyDescent="0.3">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row>
    <row r="174" spans="1:29" ht="14.25" customHeight="1" x14ac:dyDescent="0.3">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row>
    <row r="175" spans="1:29" ht="14.25" customHeight="1" x14ac:dyDescent="0.3">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row>
    <row r="176" spans="1:29" ht="14.25" customHeight="1" x14ac:dyDescent="0.3">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row>
    <row r="177" spans="1:29" ht="14.25" customHeight="1" x14ac:dyDescent="0.3">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row>
    <row r="178" spans="1:29" ht="14.25" customHeight="1" x14ac:dyDescent="0.3">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row>
    <row r="179" spans="1:29" ht="14.25" customHeight="1" x14ac:dyDescent="0.3">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row>
    <row r="180" spans="1:29" ht="14.25" customHeight="1" x14ac:dyDescent="0.3">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row>
    <row r="181" spans="1:29" ht="14.25" customHeight="1" x14ac:dyDescent="0.3">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row>
    <row r="182" spans="1:29" ht="14.25" customHeight="1" x14ac:dyDescent="0.3">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row>
    <row r="183" spans="1:29" ht="14.25" customHeight="1" x14ac:dyDescent="0.3">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row>
    <row r="184" spans="1:29" ht="14.25" customHeight="1" x14ac:dyDescent="0.3">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row>
    <row r="185" spans="1:29" ht="14.25" customHeight="1" x14ac:dyDescent="0.3">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row>
    <row r="186" spans="1:29" ht="14.25" customHeight="1" x14ac:dyDescent="0.3">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row>
    <row r="187" spans="1:29" ht="14.25" customHeight="1" x14ac:dyDescent="0.3">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row>
    <row r="188" spans="1:29" ht="14.25" customHeight="1" x14ac:dyDescent="0.3">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row>
    <row r="189" spans="1:29" ht="14.25" customHeight="1" x14ac:dyDescent="0.3">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row>
    <row r="190" spans="1:29" ht="14.25" customHeight="1" x14ac:dyDescent="0.3">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row>
    <row r="191" spans="1:29" ht="14.25" customHeight="1" x14ac:dyDescent="0.3">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row>
    <row r="192" spans="1:29" ht="14.25" customHeight="1" x14ac:dyDescent="0.3">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row>
    <row r="193" spans="1:29" ht="14.25" customHeight="1" x14ac:dyDescent="0.3">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row>
    <row r="194" spans="1:29" ht="14.25" customHeight="1" x14ac:dyDescent="0.3">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row>
    <row r="195" spans="1:29" ht="14.25" customHeight="1" x14ac:dyDescent="0.3">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row>
    <row r="196" spans="1:29" ht="14.25" customHeight="1" x14ac:dyDescent="0.3">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row>
    <row r="197" spans="1:29" ht="14.25" customHeight="1" x14ac:dyDescent="0.3">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row>
    <row r="198" spans="1:29" ht="14.25" customHeight="1" x14ac:dyDescent="0.3">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row>
    <row r="199" spans="1:29" ht="14.25" customHeight="1" x14ac:dyDescent="0.3">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row>
    <row r="200" spans="1:29" ht="14.25" customHeight="1" x14ac:dyDescent="0.3">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row>
    <row r="201" spans="1:29" ht="14.25" customHeight="1" x14ac:dyDescent="0.3">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row>
    <row r="202" spans="1:29" ht="14.25" customHeight="1" x14ac:dyDescent="0.3">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row>
    <row r="203" spans="1:29" ht="14.25" customHeight="1" x14ac:dyDescent="0.3">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row>
    <row r="204" spans="1:29" ht="14.25" customHeight="1" x14ac:dyDescent="0.3">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row>
    <row r="205" spans="1:29" ht="14.25" customHeight="1" x14ac:dyDescent="0.3">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row>
    <row r="206" spans="1:29" ht="14.25" customHeight="1" x14ac:dyDescent="0.3">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row>
    <row r="207" spans="1:29" ht="14.25" customHeight="1" x14ac:dyDescent="0.3">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row>
    <row r="208" spans="1:29" ht="14.25" customHeight="1" x14ac:dyDescent="0.3">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row>
    <row r="209" spans="1:29" ht="14.25" customHeight="1" x14ac:dyDescent="0.3">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row>
    <row r="210" spans="1:29" ht="14.25" customHeight="1" x14ac:dyDescent="0.3">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row>
    <row r="211" spans="1:29" ht="14.25" customHeight="1" x14ac:dyDescent="0.3">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row>
    <row r="212" spans="1:29" ht="14.25" customHeight="1" x14ac:dyDescent="0.3">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row>
    <row r="213" spans="1:29" ht="14.25" customHeight="1" x14ac:dyDescent="0.3">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row>
    <row r="214" spans="1:29" ht="14.25" customHeight="1" x14ac:dyDescent="0.3">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row>
    <row r="215" spans="1:29" ht="14.25" customHeight="1" x14ac:dyDescent="0.3">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row>
    <row r="216" spans="1:29" ht="14.25" customHeight="1" x14ac:dyDescent="0.3">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row>
    <row r="217" spans="1:29" ht="14.25" customHeight="1" x14ac:dyDescent="0.3">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row>
    <row r="218" spans="1:29" ht="14.25" customHeight="1" x14ac:dyDescent="0.3">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row>
    <row r="219" spans="1:29" ht="14.25" customHeight="1" x14ac:dyDescent="0.3">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row>
    <row r="220" spans="1:29" ht="14.25" customHeight="1" x14ac:dyDescent="0.3">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row>
    <row r="221" spans="1:29" ht="14.25" customHeight="1" x14ac:dyDescent="0.3">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row>
    <row r="222" spans="1:29" ht="14.25" customHeight="1" x14ac:dyDescent="0.3">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row>
    <row r="223" spans="1:29" ht="14.25" customHeight="1" x14ac:dyDescent="0.3">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row>
    <row r="224" spans="1:29" ht="14.25" customHeight="1" x14ac:dyDescent="0.3">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row>
    <row r="225" spans="1:29" ht="14.25" customHeight="1" x14ac:dyDescent="0.3">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row>
    <row r="226" spans="1:29" ht="14.25" customHeight="1" x14ac:dyDescent="0.3">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row>
    <row r="227" spans="1:29" ht="14.25" customHeight="1" x14ac:dyDescent="0.3">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row>
    <row r="228" spans="1:29" ht="14.25" customHeight="1" x14ac:dyDescent="0.3">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row>
    <row r="229" spans="1:29" ht="14.25" customHeight="1" x14ac:dyDescent="0.3">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row>
    <row r="230" spans="1:29" ht="14.25" customHeight="1" x14ac:dyDescent="0.3">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row>
    <row r="231" spans="1:29" ht="14.25" customHeight="1" x14ac:dyDescent="0.3">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row>
    <row r="232" spans="1:29" ht="14.25" customHeight="1" x14ac:dyDescent="0.3">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row>
    <row r="233" spans="1:29" ht="14.25" customHeight="1" x14ac:dyDescent="0.3">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row>
    <row r="234" spans="1:29" ht="14.25" customHeight="1" x14ac:dyDescent="0.3">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row>
    <row r="235" spans="1:29" ht="14.25" customHeight="1" x14ac:dyDescent="0.3">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row>
    <row r="236" spans="1:29" ht="14.25" customHeight="1" x14ac:dyDescent="0.3">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row>
    <row r="237" spans="1:29" ht="14.25" customHeight="1" x14ac:dyDescent="0.3">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row>
    <row r="238" spans="1:29" ht="14.25" customHeight="1" x14ac:dyDescent="0.3">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row>
    <row r="239" spans="1:29" ht="14.25" customHeight="1" x14ac:dyDescent="0.3">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row>
    <row r="240" spans="1:29" ht="14.25" customHeight="1" x14ac:dyDescent="0.3">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row>
    <row r="241" spans="1:29" ht="14.25" customHeight="1" x14ac:dyDescent="0.3">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row>
    <row r="242" spans="1:29" ht="14.25" customHeight="1" x14ac:dyDescent="0.3">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row>
    <row r="243" spans="1:29" ht="14.25" customHeight="1" x14ac:dyDescent="0.3">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row>
    <row r="244" spans="1:29" ht="14.25" customHeight="1" x14ac:dyDescent="0.3">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row>
    <row r="245" spans="1:29" ht="14.25" customHeight="1" x14ac:dyDescent="0.3">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row>
    <row r="246" spans="1:29" ht="14.25" customHeight="1" x14ac:dyDescent="0.3">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row>
    <row r="247" spans="1:29" ht="14.25" customHeight="1" x14ac:dyDescent="0.3">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row>
    <row r="248" spans="1:29" ht="14.25" customHeight="1" x14ac:dyDescent="0.3">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row>
    <row r="249" spans="1:29" ht="14.25" customHeight="1" x14ac:dyDescent="0.3">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row>
    <row r="250" spans="1:29" ht="14.25" customHeight="1" x14ac:dyDescent="0.3">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row>
    <row r="251" spans="1:29" ht="14.25" customHeight="1" x14ac:dyDescent="0.3">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row>
    <row r="252" spans="1:29" ht="14.25" customHeight="1" x14ac:dyDescent="0.3">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row>
    <row r="253" spans="1:29" ht="14.25" customHeight="1" x14ac:dyDescent="0.3">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row>
    <row r="254" spans="1:29" ht="14.25" customHeight="1" x14ac:dyDescent="0.3">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row>
    <row r="255" spans="1:29" ht="14.25" customHeight="1" x14ac:dyDescent="0.3">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row>
    <row r="256" spans="1:29" ht="14.25" customHeight="1" x14ac:dyDescent="0.3">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row>
    <row r="257" spans="1:29" ht="14.25" customHeight="1" x14ac:dyDescent="0.3">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row>
    <row r="258" spans="1:29" ht="14.25" customHeight="1" x14ac:dyDescent="0.3">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row>
    <row r="259" spans="1:29" ht="14.25" customHeight="1" x14ac:dyDescent="0.3">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row>
    <row r="260" spans="1:29" ht="14.25" customHeight="1" x14ac:dyDescent="0.3">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row>
    <row r="261" spans="1:29" ht="14.25" customHeight="1" x14ac:dyDescent="0.3">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row>
    <row r="262" spans="1:29" ht="14.25" customHeight="1" x14ac:dyDescent="0.3">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row>
    <row r="263" spans="1:29" ht="14.25" customHeight="1" x14ac:dyDescent="0.3">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row>
    <row r="264" spans="1:29" ht="14.25" customHeight="1" x14ac:dyDescent="0.3">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row>
    <row r="265" spans="1:29" ht="14.25" customHeight="1" x14ac:dyDescent="0.3">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row>
    <row r="266" spans="1:29" ht="14.25" customHeight="1" x14ac:dyDescent="0.3">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row>
    <row r="267" spans="1:29" ht="14.25" customHeight="1" x14ac:dyDescent="0.3">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row>
    <row r="268" spans="1:29" ht="14.25" customHeight="1" x14ac:dyDescent="0.3">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row>
    <row r="269" spans="1:29" ht="15.75" customHeight="1" x14ac:dyDescent="0.3">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row>
    <row r="270" spans="1:29" ht="15.75" customHeight="1" x14ac:dyDescent="0.3">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row>
    <row r="271" spans="1:29" ht="15.75" customHeight="1" x14ac:dyDescent="0.3">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row>
    <row r="272" spans="1:29" ht="15.75" customHeight="1" x14ac:dyDescent="0.3">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row>
    <row r="273" spans="1:29" ht="15.75" customHeight="1" x14ac:dyDescent="0.3">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row>
    <row r="274" spans="1:29" ht="15.75" customHeight="1" x14ac:dyDescent="0.3">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row>
    <row r="275" spans="1:29" ht="15.75" customHeight="1" x14ac:dyDescent="0.3">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row>
    <row r="276" spans="1:29" ht="15.75" customHeight="1" x14ac:dyDescent="0.3">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row>
    <row r="277" spans="1:29" ht="15.75" customHeight="1" x14ac:dyDescent="0.3">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row>
    <row r="278" spans="1:29" ht="15.75" customHeight="1" x14ac:dyDescent="0.3">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row>
    <row r="279" spans="1:29" ht="15.75" customHeight="1" x14ac:dyDescent="0.3">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row>
    <row r="280" spans="1:29" ht="15.75" customHeight="1" x14ac:dyDescent="0.3">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row>
    <row r="281" spans="1:29" ht="15.75" customHeight="1" x14ac:dyDescent="0.3">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row>
    <row r="282" spans="1:29" ht="15.75" customHeight="1" x14ac:dyDescent="0.3">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row>
    <row r="283" spans="1:29" ht="15.75" customHeight="1" x14ac:dyDescent="0.3">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row>
    <row r="284" spans="1:29" ht="15.75" customHeight="1" x14ac:dyDescent="0.3">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row>
    <row r="285" spans="1:29" ht="15.75" customHeight="1" x14ac:dyDescent="0.3">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row>
    <row r="286" spans="1:29" ht="15.75" customHeight="1" x14ac:dyDescent="0.3">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row>
    <row r="287" spans="1:29" ht="15.75" customHeight="1" x14ac:dyDescent="0.3">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row>
    <row r="288" spans="1:29" ht="15.75" customHeight="1" x14ac:dyDescent="0.3">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row>
    <row r="289" spans="1:29" ht="15.75" customHeight="1" x14ac:dyDescent="0.3">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row>
    <row r="290" spans="1:29" ht="15.75" customHeight="1" x14ac:dyDescent="0.3">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row>
    <row r="291" spans="1:29" ht="15.75" customHeight="1" x14ac:dyDescent="0.3">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row>
    <row r="292" spans="1:29" ht="15.75" customHeight="1" x14ac:dyDescent="0.3">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row>
    <row r="293" spans="1:29" ht="15.75" customHeight="1" x14ac:dyDescent="0.3">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row>
    <row r="294" spans="1:29" ht="15.75" customHeight="1" x14ac:dyDescent="0.3">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row>
    <row r="295" spans="1:29" ht="15.75" customHeight="1" x14ac:dyDescent="0.3">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row>
    <row r="296" spans="1:29" ht="15.75" customHeight="1" x14ac:dyDescent="0.3">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row>
    <row r="297" spans="1:29" ht="15.75" customHeight="1" x14ac:dyDescent="0.3">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row>
    <row r="298" spans="1:29" ht="15.75" customHeight="1" x14ac:dyDescent="0.3">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row>
    <row r="299" spans="1:29" ht="15.75" customHeight="1" x14ac:dyDescent="0.3">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row>
    <row r="300" spans="1:29" ht="15.75" customHeight="1" x14ac:dyDescent="0.3">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row>
    <row r="301" spans="1:29" ht="15.75" customHeight="1" x14ac:dyDescent="0.3">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row>
    <row r="302" spans="1:29" ht="15.75" customHeight="1" x14ac:dyDescent="0.3">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row>
    <row r="303" spans="1:29" ht="15.75" customHeight="1" x14ac:dyDescent="0.3">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row>
    <row r="304" spans="1:29" ht="15.75" customHeight="1" x14ac:dyDescent="0.3">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row>
    <row r="305" spans="1:29" ht="15.75" customHeight="1" x14ac:dyDescent="0.3">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row>
    <row r="306" spans="1:29" ht="15.75" customHeight="1" x14ac:dyDescent="0.3">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row>
    <row r="307" spans="1:29" ht="15.75" customHeight="1" x14ac:dyDescent="0.3">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row>
    <row r="308" spans="1:29" ht="15.75" customHeight="1" x14ac:dyDescent="0.3">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row>
    <row r="309" spans="1:29" ht="15.75" customHeight="1" x14ac:dyDescent="0.3">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row>
    <row r="310" spans="1:29" ht="15.75" customHeight="1" x14ac:dyDescent="0.3">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row>
    <row r="311" spans="1:29" ht="15.75" customHeight="1" x14ac:dyDescent="0.3">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row>
    <row r="312" spans="1:29" ht="15.75" customHeight="1" x14ac:dyDescent="0.3">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row>
    <row r="313" spans="1:29" ht="15.75" customHeight="1" x14ac:dyDescent="0.3">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row>
    <row r="314" spans="1:29" ht="15.75" customHeight="1" x14ac:dyDescent="0.3">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row>
    <row r="315" spans="1:29" ht="15.75" customHeight="1" x14ac:dyDescent="0.3">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row>
    <row r="316" spans="1:29" ht="15.75" customHeight="1" x14ac:dyDescent="0.3">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row>
    <row r="317" spans="1:29" ht="15.75" customHeight="1" x14ac:dyDescent="0.3">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row>
    <row r="318" spans="1:29" ht="15.75" customHeight="1" x14ac:dyDescent="0.3">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row>
    <row r="319" spans="1:29" ht="15.75" customHeight="1" x14ac:dyDescent="0.3">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row>
    <row r="320" spans="1:29" ht="15.75" customHeight="1" x14ac:dyDescent="0.3">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row>
    <row r="321" spans="1:29" ht="15.75" customHeight="1" x14ac:dyDescent="0.3">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row>
    <row r="322" spans="1:29" ht="15.75" customHeight="1" x14ac:dyDescent="0.3">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row>
    <row r="323" spans="1:29" ht="15.75" customHeight="1" x14ac:dyDescent="0.3">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row>
    <row r="324" spans="1:29" ht="15.75" customHeight="1" x14ac:dyDescent="0.3">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row>
    <row r="325" spans="1:29" ht="15.75" customHeight="1" x14ac:dyDescent="0.3">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row>
    <row r="326" spans="1:29" ht="15.75" customHeight="1" x14ac:dyDescent="0.3">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row>
    <row r="327" spans="1:29" ht="15.75" customHeight="1" x14ac:dyDescent="0.3">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row>
    <row r="328" spans="1:29" ht="15.75" customHeight="1" x14ac:dyDescent="0.3">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row>
    <row r="329" spans="1:29" ht="15.75" customHeight="1" x14ac:dyDescent="0.3">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row>
    <row r="330" spans="1:29" ht="15.75" customHeight="1" x14ac:dyDescent="0.3">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row>
    <row r="331" spans="1:29" ht="15.75" customHeight="1" x14ac:dyDescent="0.3">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row>
    <row r="332" spans="1:29" ht="15.75" customHeight="1" x14ac:dyDescent="0.3">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row>
    <row r="333" spans="1:29" ht="15.75" customHeight="1" x14ac:dyDescent="0.3">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row>
    <row r="334" spans="1:29" ht="15.75" customHeight="1" x14ac:dyDescent="0.3">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row>
    <row r="335" spans="1:29" ht="15.75" customHeight="1" x14ac:dyDescent="0.3">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row>
    <row r="336" spans="1:29" ht="15.75" customHeight="1" x14ac:dyDescent="0.3">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row>
    <row r="337" spans="1:29" ht="15.75" customHeight="1" x14ac:dyDescent="0.3">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row>
    <row r="338" spans="1:29" ht="15.75" customHeight="1" x14ac:dyDescent="0.3">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row>
    <row r="339" spans="1:29" ht="15.75" customHeight="1" x14ac:dyDescent="0.3">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row>
    <row r="340" spans="1:29" ht="15.75" customHeight="1" x14ac:dyDescent="0.3">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row>
    <row r="341" spans="1:29" ht="15.75" customHeight="1" x14ac:dyDescent="0.3">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row>
    <row r="342" spans="1:29" ht="15.75" customHeight="1" x14ac:dyDescent="0.3">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row>
    <row r="343" spans="1:29" ht="15.75" customHeight="1" x14ac:dyDescent="0.3">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row>
    <row r="344" spans="1:29" ht="15.75" customHeight="1" x14ac:dyDescent="0.3">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row>
    <row r="345" spans="1:29" ht="15.75" customHeight="1" x14ac:dyDescent="0.3">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row>
    <row r="346" spans="1:29" ht="15.75" customHeight="1" x14ac:dyDescent="0.3">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row>
    <row r="347" spans="1:29" ht="15.75" customHeight="1" x14ac:dyDescent="0.3">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row>
    <row r="348" spans="1:29" ht="15.75" customHeight="1" x14ac:dyDescent="0.3">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row>
    <row r="349" spans="1:29" ht="15.75" customHeight="1" x14ac:dyDescent="0.3">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row>
    <row r="350" spans="1:29" ht="15.75" customHeight="1" x14ac:dyDescent="0.3">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row>
    <row r="351" spans="1:29" ht="15.75" customHeight="1" x14ac:dyDescent="0.3">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row>
    <row r="352" spans="1:29" ht="15.75" customHeight="1" x14ac:dyDescent="0.3">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row>
    <row r="353" spans="1:29" ht="15.75" customHeight="1" x14ac:dyDescent="0.3">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row>
    <row r="354" spans="1:29" ht="15.75" customHeight="1" x14ac:dyDescent="0.3">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row>
    <row r="355" spans="1:29" ht="15.75" customHeight="1" x14ac:dyDescent="0.3">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row>
    <row r="356" spans="1:29" ht="15.75" customHeight="1" x14ac:dyDescent="0.3">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row>
    <row r="357" spans="1:29" ht="15.75" customHeight="1" x14ac:dyDescent="0.3">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row>
    <row r="358" spans="1:29" ht="15.75" customHeight="1" x14ac:dyDescent="0.3">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row>
    <row r="359" spans="1:29" ht="15.75" customHeight="1" x14ac:dyDescent="0.3">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row>
    <row r="360" spans="1:29" ht="15.75" customHeight="1" x14ac:dyDescent="0.3">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row>
    <row r="361" spans="1:29" ht="15.75" customHeight="1" x14ac:dyDescent="0.3">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row>
    <row r="362" spans="1:29" ht="15.75" customHeight="1" x14ac:dyDescent="0.3">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row>
    <row r="363" spans="1:29" ht="15.75" customHeight="1" x14ac:dyDescent="0.3">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row>
    <row r="364" spans="1:29" ht="15.75" customHeight="1" x14ac:dyDescent="0.3">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row>
    <row r="365" spans="1:29" ht="15.75" customHeight="1" x14ac:dyDescent="0.3">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row>
    <row r="366" spans="1:29" ht="15.75" customHeight="1" x14ac:dyDescent="0.3">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row>
    <row r="367" spans="1:29" ht="15.75" customHeight="1" x14ac:dyDescent="0.3">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row>
    <row r="368" spans="1:29" ht="15.75" customHeight="1" x14ac:dyDescent="0.3">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row>
    <row r="369" spans="1:29" ht="15.75" customHeight="1" x14ac:dyDescent="0.3">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row>
    <row r="370" spans="1:29" ht="15.75" customHeight="1" x14ac:dyDescent="0.3">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row>
    <row r="371" spans="1:29" ht="15.75" customHeight="1" x14ac:dyDescent="0.3">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row>
    <row r="372" spans="1:29" ht="15.75" customHeight="1" x14ac:dyDescent="0.3">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row>
    <row r="373" spans="1:29" ht="15.75" customHeight="1" x14ac:dyDescent="0.3">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row>
    <row r="374" spans="1:29" ht="15.75" customHeight="1" x14ac:dyDescent="0.3">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row>
    <row r="375" spans="1:29" ht="15.75" customHeight="1" x14ac:dyDescent="0.3">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row>
    <row r="376" spans="1:29" ht="15.75" customHeight="1" x14ac:dyDescent="0.3">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row>
    <row r="377" spans="1:29" ht="15.75" customHeight="1" x14ac:dyDescent="0.3">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row>
    <row r="378" spans="1:29" ht="15.75" customHeight="1" x14ac:dyDescent="0.3">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row>
    <row r="379" spans="1:29" ht="15.75" customHeight="1" x14ac:dyDescent="0.3">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row>
    <row r="380" spans="1:29" ht="15.75" customHeight="1" x14ac:dyDescent="0.3">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row>
    <row r="381" spans="1:29" ht="15.75" customHeight="1" x14ac:dyDescent="0.3">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row>
    <row r="382" spans="1:29" ht="15.75" customHeight="1" x14ac:dyDescent="0.3">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row>
    <row r="383" spans="1:29" ht="15.75" customHeight="1" x14ac:dyDescent="0.3">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row>
    <row r="384" spans="1:29" ht="15.75" customHeight="1" x14ac:dyDescent="0.3">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row>
    <row r="385" spans="1:29" ht="15.75" customHeight="1" x14ac:dyDescent="0.3">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row>
    <row r="386" spans="1:29" ht="15.75" customHeight="1" x14ac:dyDescent="0.3">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row>
    <row r="387" spans="1:29" ht="15.75" customHeight="1" x14ac:dyDescent="0.3">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row>
    <row r="388" spans="1:29" ht="15.75" customHeight="1" x14ac:dyDescent="0.3">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row>
    <row r="389" spans="1:29" ht="15.75" customHeight="1" x14ac:dyDescent="0.3">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row>
    <row r="390" spans="1:29" ht="15.75" customHeight="1" x14ac:dyDescent="0.3">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row>
    <row r="391" spans="1:29" ht="15.75" customHeight="1" x14ac:dyDescent="0.3">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row>
    <row r="392" spans="1:29" ht="15.75" customHeight="1" x14ac:dyDescent="0.3">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row>
    <row r="393" spans="1:29" ht="15.75" customHeight="1" x14ac:dyDescent="0.3">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row>
    <row r="394" spans="1:29" ht="15.75" customHeight="1" x14ac:dyDescent="0.3">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row>
    <row r="395" spans="1:29" ht="15.75" customHeight="1" x14ac:dyDescent="0.3">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row>
    <row r="396" spans="1:29" ht="15.75" customHeight="1" x14ac:dyDescent="0.3">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row>
    <row r="397" spans="1:29" ht="15.75" customHeight="1" x14ac:dyDescent="0.3">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row>
    <row r="398" spans="1:29" ht="15.75" customHeight="1" x14ac:dyDescent="0.3">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row>
    <row r="399" spans="1:29" ht="15.75" customHeight="1" x14ac:dyDescent="0.3">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row>
    <row r="400" spans="1:29" ht="15.75" customHeight="1" x14ac:dyDescent="0.3">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row>
    <row r="401" spans="1:29" ht="15.75" customHeight="1" x14ac:dyDescent="0.3">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row>
    <row r="402" spans="1:29" ht="15.75" customHeight="1" x14ac:dyDescent="0.3">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row>
    <row r="403" spans="1:29" ht="15.75" customHeight="1" x14ac:dyDescent="0.3">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row>
    <row r="404" spans="1:29" ht="15.75" customHeight="1" x14ac:dyDescent="0.3">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row>
    <row r="405" spans="1:29" ht="15.75" customHeight="1" x14ac:dyDescent="0.3">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row>
    <row r="406" spans="1:29" ht="15.75" customHeight="1" x14ac:dyDescent="0.3">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row>
    <row r="407" spans="1:29" ht="15.75" customHeight="1" x14ac:dyDescent="0.3">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row>
    <row r="408" spans="1:29" ht="15.75" customHeight="1" x14ac:dyDescent="0.3">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row>
    <row r="409" spans="1:29" ht="15.75" customHeight="1" x14ac:dyDescent="0.3">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row>
    <row r="410" spans="1:29" ht="15.75" customHeight="1" x14ac:dyDescent="0.3">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row>
    <row r="411" spans="1:29" ht="15.75" customHeight="1" x14ac:dyDescent="0.3">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row>
    <row r="412" spans="1:29" ht="15.75" customHeight="1" x14ac:dyDescent="0.3">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row>
    <row r="413" spans="1:29" ht="15.75" customHeight="1" x14ac:dyDescent="0.3">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row>
    <row r="414" spans="1:29" ht="15.75" customHeight="1" x14ac:dyDescent="0.3">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row>
    <row r="415" spans="1:29" ht="15.75" customHeight="1" x14ac:dyDescent="0.3">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row>
    <row r="416" spans="1:29" ht="15.75" customHeight="1" x14ac:dyDescent="0.3">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row>
    <row r="417" spans="1:29" ht="15.75" customHeight="1" x14ac:dyDescent="0.3">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row>
    <row r="418" spans="1:29" ht="15.75" customHeight="1" x14ac:dyDescent="0.3">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row>
    <row r="419" spans="1:29" ht="15.75" customHeight="1" x14ac:dyDescent="0.3">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row>
    <row r="420" spans="1:29" ht="15.75" customHeight="1" x14ac:dyDescent="0.3">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row>
    <row r="421" spans="1:29" ht="15.75" customHeight="1" x14ac:dyDescent="0.3">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row>
    <row r="422" spans="1:29" ht="15.75" customHeight="1" x14ac:dyDescent="0.3">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row>
    <row r="423" spans="1:29" ht="15.75" customHeight="1" x14ac:dyDescent="0.3">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row>
    <row r="424" spans="1:29" ht="15.75" customHeight="1" x14ac:dyDescent="0.3">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row>
    <row r="425" spans="1:29" ht="15.75" customHeight="1" x14ac:dyDescent="0.3">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row>
    <row r="426" spans="1:29" ht="15.75" customHeight="1" x14ac:dyDescent="0.3">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row>
    <row r="427" spans="1:29" ht="15.75" customHeight="1" x14ac:dyDescent="0.3">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row>
    <row r="428" spans="1:29" ht="15.75" customHeight="1" x14ac:dyDescent="0.3">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row>
    <row r="429" spans="1:29" ht="15.75" customHeight="1" x14ac:dyDescent="0.3">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row>
    <row r="430" spans="1:29" ht="15.75" customHeight="1" x14ac:dyDescent="0.3">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row>
    <row r="431" spans="1:29" ht="15.75" customHeight="1" x14ac:dyDescent="0.3">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row>
    <row r="432" spans="1:29" ht="15.75" customHeight="1" x14ac:dyDescent="0.3">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row>
    <row r="433" spans="1:29" ht="15.75" customHeight="1" x14ac:dyDescent="0.3">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row>
    <row r="434" spans="1:29" ht="15.75" customHeight="1" x14ac:dyDescent="0.3">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row>
    <row r="435" spans="1:29" ht="15.75" customHeight="1" x14ac:dyDescent="0.3">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row>
    <row r="436" spans="1:29" ht="15.75" customHeight="1" x14ac:dyDescent="0.3">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row>
    <row r="437" spans="1:29" ht="15.75" customHeight="1" x14ac:dyDescent="0.3">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row>
    <row r="438" spans="1:29" ht="15.75" customHeight="1" x14ac:dyDescent="0.3">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row>
    <row r="439" spans="1:29" ht="15.75" customHeight="1" x14ac:dyDescent="0.3">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row>
    <row r="440" spans="1:29" ht="15.75" customHeight="1" x14ac:dyDescent="0.3">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row>
    <row r="441" spans="1:29" ht="15.75" customHeight="1" x14ac:dyDescent="0.3">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row>
    <row r="442" spans="1:29" ht="15.75" customHeight="1" x14ac:dyDescent="0.3">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row>
    <row r="443" spans="1:29" ht="15.75" customHeight="1" x14ac:dyDescent="0.3">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row>
    <row r="444" spans="1:29" ht="15.75" customHeight="1" x14ac:dyDescent="0.3">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row>
    <row r="445" spans="1:29" ht="15.75" customHeight="1" x14ac:dyDescent="0.3">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row>
    <row r="446" spans="1:29" ht="15.75" customHeight="1" x14ac:dyDescent="0.3">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row>
    <row r="447" spans="1:29" ht="15.75" customHeight="1" x14ac:dyDescent="0.3">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row>
    <row r="448" spans="1:29" ht="15.75" customHeight="1" x14ac:dyDescent="0.3">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row>
    <row r="449" spans="1:29" ht="15.75" customHeight="1" x14ac:dyDescent="0.3">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row>
    <row r="450" spans="1:29" ht="15.75" customHeight="1" x14ac:dyDescent="0.3">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row>
    <row r="451" spans="1:29" ht="15.75" customHeight="1" x14ac:dyDescent="0.3">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row>
    <row r="452" spans="1:29" ht="15.75" customHeight="1" x14ac:dyDescent="0.3">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row>
    <row r="453" spans="1:29" ht="15.75" customHeight="1" x14ac:dyDescent="0.3">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row>
    <row r="454" spans="1:29" ht="15.75" customHeight="1" x14ac:dyDescent="0.3">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row>
    <row r="455" spans="1:29" ht="15.75" customHeight="1" x14ac:dyDescent="0.3">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row>
    <row r="456" spans="1:29" ht="15.75" customHeight="1" x14ac:dyDescent="0.3">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row>
    <row r="457" spans="1:29" ht="15.75" customHeight="1" x14ac:dyDescent="0.3">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row>
    <row r="458" spans="1:29" ht="15.75" customHeight="1" x14ac:dyDescent="0.3">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row>
    <row r="459" spans="1:29" ht="15.75" customHeight="1" x14ac:dyDescent="0.3">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row>
    <row r="460" spans="1:29" ht="15.75" customHeight="1" x14ac:dyDescent="0.3">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row>
    <row r="461" spans="1:29" ht="15.75" customHeight="1" x14ac:dyDescent="0.3">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row>
    <row r="462" spans="1:29" ht="15.75" customHeight="1" x14ac:dyDescent="0.3">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row>
    <row r="463" spans="1:29" ht="15.75" customHeight="1" x14ac:dyDescent="0.3">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row>
    <row r="464" spans="1:29" ht="15.75" customHeight="1" x14ac:dyDescent="0.3">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row>
    <row r="465" spans="1:29" ht="15.75" customHeight="1" x14ac:dyDescent="0.3">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row>
    <row r="466" spans="1:29" ht="15.75" customHeight="1" x14ac:dyDescent="0.3">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row>
    <row r="467" spans="1:29" ht="15.75" customHeight="1" x14ac:dyDescent="0.3">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row>
    <row r="468" spans="1:29" ht="15.75" customHeight="1" x14ac:dyDescent="0.3">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row>
    <row r="469" spans="1:29" ht="15.75" customHeight="1" x14ac:dyDescent="0.3">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row>
    <row r="470" spans="1:29" ht="15.75" customHeight="1" x14ac:dyDescent="0.3">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row>
    <row r="471" spans="1:29" ht="15.75" customHeight="1" x14ac:dyDescent="0.3">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row>
    <row r="472" spans="1:29" ht="15.75" customHeight="1" x14ac:dyDescent="0.3">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row>
    <row r="473" spans="1:29" ht="15.75" customHeight="1" x14ac:dyDescent="0.3">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row>
    <row r="474" spans="1:29" ht="15.75" customHeight="1" x14ac:dyDescent="0.3">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row>
    <row r="475" spans="1:29" ht="15.75" customHeight="1" x14ac:dyDescent="0.3">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row>
    <row r="476" spans="1:29" ht="15.75" customHeight="1" x14ac:dyDescent="0.3">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row>
    <row r="477" spans="1:29" ht="15.75" customHeight="1" x14ac:dyDescent="0.3">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row>
    <row r="478" spans="1:29" ht="15.75" customHeight="1" x14ac:dyDescent="0.3">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row>
    <row r="479" spans="1:29" ht="15.75" customHeight="1" x14ac:dyDescent="0.3">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row>
    <row r="480" spans="1:29" ht="15.75" customHeight="1" x14ac:dyDescent="0.3">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row>
    <row r="481" spans="1:29" ht="15.75" customHeight="1" x14ac:dyDescent="0.3">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row>
    <row r="482" spans="1:29" ht="15.75" customHeight="1" x14ac:dyDescent="0.3">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row>
    <row r="483" spans="1:29" ht="15.75" customHeight="1" x14ac:dyDescent="0.3">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row>
    <row r="484" spans="1:29" ht="15.75" customHeight="1" x14ac:dyDescent="0.3">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row>
    <row r="485" spans="1:29" ht="15.75" customHeight="1" x14ac:dyDescent="0.3">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row>
    <row r="486" spans="1:29" ht="15.75" customHeight="1" x14ac:dyDescent="0.3">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row>
    <row r="487" spans="1:29" ht="15.75" customHeight="1" x14ac:dyDescent="0.3">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row>
    <row r="488" spans="1:29" ht="15.75" customHeight="1" x14ac:dyDescent="0.3">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row>
    <row r="489" spans="1:29" ht="15.75" customHeight="1" x14ac:dyDescent="0.3">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row>
    <row r="490" spans="1:29" ht="15.75" customHeight="1" x14ac:dyDescent="0.3">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row>
    <row r="491" spans="1:29" ht="15.75" customHeight="1" x14ac:dyDescent="0.3">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row>
    <row r="492" spans="1:29" ht="15.75" customHeight="1" x14ac:dyDescent="0.3">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row>
    <row r="493" spans="1:29" ht="15.75" customHeight="1" x14ac:dyDescent="0.3">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row>
    <row r="494" spans="1:29" ht="15.75" customHeight="1" x14ac:dyDescent="0.3">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row>
    <row r="495" spans="1:29" ht="15.75" customHeight="1" x14ac:dyDescent="0.3">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row>
    <row r="496" spans="1:29" ht="15.75" customHeight="1" x14ac:dyDescent="0.3">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row>
    <row r="497" spans="1:29" ht="15.75" customHeight="1" x14ac:dyDescent="0.3">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row>
    <row r="498" spans="1:29" ht="15.75" customHeight="1" x14ac:dyDescent="0.3">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row>
    <row r="499" spans="1:29" ht="15.75" customHeight="1" x14ac:dyDescent="0.3">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row>
    <row r="500" spans="1:29" ht="15.75" customHeight="1" x14ac:dyDescent="0.3">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row>
    <row r="501" spans="1:29" ht="15.75" customHeight="1" x14ac:dyDescent="0.3">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row>
    <row r="502" spans="1:29" ht="15.75" customHeight="1" x14ac:dyDescent="0.3">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row>
    <row r="503" spans="1:29" ht="15.75" customHeight="1" x14ac:dyDescent="0.3">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row>
    <row r="504" spans="1:29" ht="15.75" customHeight="1" x14ac:dyDescent="0.3">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row>
    <row r="505" spans="1:29" ht="15.75" customHeight="1" x14ac:dyDescent="0.3">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row>
    <row r="506" spans="1:29" ht="15.75" customHeight="1" x14ac:dyDescent="0.3">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row>
    <row r="507" spans="1:29" ht="15.75" customHeight="1" x14ac:dyDescent="0.3">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row>
    <row r="508" spans="1:29" ht="15.75" customHeight="1" x14ac:dyDescent="0.3">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row>
    <row r="509" spans="1:29" ht="15.75" customHeight="1" x14ac:dyDescent="0.3">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row>
    <row r="510" spans="1:29" ht="15.75" customHeight="1" x14ac:dyDescent="0.3">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row>
    <row r="511" spans="1:29" ht="15.75" customHeight="1" x14ac:dyDescent="0.3">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row>
    <row r="512" spans="1:29" ht="15.75" customHeight="1" x14ac:dyDescent="0.3">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row>
    <row r="513" spans="1:29" ht="15.75" customHeight="1" x14ac:dyDescent="0.3">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row>
    <row r="514" spans="1:29" ht="15.75" customHeight="1" x14ac:dyDescent="0.3">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row>
    <row r="515" spans="1:29" ht="15.75" customHeight="1" x14ac:dyDescent="0.3">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row>
    <row r="516" spans="1:29" ht="15.75" customHeight="1" x14ac:dyDescent="0.3">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row>
    <row r="517" spans="1:29" ht="15.75" customHeight="1" x14ac:dyDescent="0.3">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row>
    <row r="518" spans="1:29" ht="15.75" customHeight="1" x14ac:dyDescent="0.3">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row>
    <row r="519" spans="1:29" ht="15.75" customHeight="1" x14ac:dyDescent="0.3">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row>
    <row r="520" spans="1:29" ht="15.75" customHeight="1" x14ac:dyDescent="0.3">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row>
    <row r="521" spans="1:29" ht="15.75" customHeight="1" x14ac:dyDescent="0.3">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row>
    <row r="522" spans="1:29" ht="15.75" customHeight="1" x14ac:dyDescent="0.3">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row>
    <row r="523" spans="1:29" ht="15.75" customHeight="1" x14ac:dyDescent="0.3">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row>
    <row r="524" spans="1:29" ht="15.75" customHeight="1" x14ac:dyDescent="0.3">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row>
    <row r="525" spans="1:29" ht="15.75" customHeight="1" x14ac:dyDescent="0.3">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row>
    <row r="526" spans="1:29" ht="15.75" customHeight="1" x14ac:dyDescent="0.3">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row>
    <row r="527" spans="1:29" ht="15.75" customHeight="1" x14ac:dyDescent="0.3">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row>
    <row r="528" spans="1:29" ht="15.75" customHeight="1" x14ac:dyDescent="0.3">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row>
    <row r="529" spans="1:29" ht="15.75" customHeight="1" x14ac:dyDescent="0.3">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row>
    <row r="530" spans="1:29" ht="15.75" customHeight="1" x14ac:dyDescent="0.3">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row>
    <row r="531" spans="1:29" ht="15.75" customHeight="1" x14ac:dyDescent="0.3">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row>
    <row r="532" spans="1:29" ht="15.75" customHeight="1" x14ac:dyDescent="0.3">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row>
    <row r="533" spans="1:29" ht="15.75" customHeight="1" x14ac:dyDescent="0.3">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row>
    <row r="534" spans="1:29" ht="15.75" customHeight="1" x14ac:dyDescent="0.3">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row>
    <row r="535" spans="1:29" ht="15.75" customHeight="1" x14ac:dyDescent="0.3">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row>
    <row r="536" spans="1:29" ht="15.75" customHeight="1" x14ac:dyDescent="0.3">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row>
    <row r="537" spans="1:29" ht="15.75" customHeight="1" x14ac:dyDescent="0.3">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row>
    <row r="538" spans="1:29" ht="15.75" customHeight="1" x14ac:dyDescent="0.3">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row>
    <row r="539" spans="1:29" ht="15.75" customHeight="1" x14ac:dyDescent="0.3">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row>
    <row r="540" spans="1:29" ht="15.75" customHeight="1" x14ac:dyDescent="0.3">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row>
    <row r="541" spans="1:29" ht="15.75" customHeight="1" x14ac:dyDescent="0.3">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row>
    <row r="542" spans="1:29" ht="15.75" customHeight="1" x14ac:dyDescent="0.3">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row>
    <row r="543" spans="1:29" ht="15.75" customHeight="1" x14ac:dyDescent="0.3">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row>
    <row r="544" spans="1:29" ht="15.75" customHeight="1" x14ac:dyDescent="0.3">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row>
    <row r="545" spans="1:29" ht="15.75" customHeight="1" x14ac:dyDescent="0.3">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row>
    <row r="546" spans="1:29" ht="15.75" customHeight="1" x14ac:dyDescent="0.3">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row>
    <row r="547" spans="1:29" ht="15.75" customHeight="1" x14ac:dyDescent="0.3">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row>
    <row r="548" spans="1:29" ht="15.75" customHeight="1" x14ac:dyDescent="0.3">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row>
    <row r="549" spans="1:29" ht="15.75" customHeight="1" x14ac:dyDescent="0.3">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row>
    <row r="550" spans="1:29" ht="15.75" customHeight="1" x14ac:dyDescent="0.3">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row>
    <row r="551" spans="1:29" ht="15.75" customHeight="1" x14ac:dyDescent="0.3">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row>
    <row r="552" spans="1:29" ht="15.75" customHeight="1" x14ac:dyDescent="0.3">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row>
    <row r="553" spans="1:29" ht="15.75" customHeight="1" x14ac:dyDescent="0.3">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row>
    <row r="554" spans="1:29" ht="15.75" customHeight="1" x14ac:dyDescent="0.3">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row>
    <row r="555" spans="1:29" ht="15.75" customHeight="1" x14ac:dyDescent="0.3">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row>
    <row r="556" spans="1:29" ht="15.75" customHeight="1" x14ac:dyDescent="0.3">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row>
    <row r="557" spans="1:29" ht="15.75" customHeight="1" x14ac:dyDescent="0.3">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row>
    <row r="558" spans="1:29" ht="15.75" customHeight="1" x14ac:dyDescent="0.3">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row>
    <row r="559" spans="1:29" ht="15.75" customHeight="1" x14ac:dyDescent="0.3">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row>
    <row r="560" spans="1:29" ht="15.75" customHeight="1" x14ac:dyDescent="0.3">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row>
    <row r="561" spans="1:29" ht="15.75" customHeight="1" x14ac:dyDescent="0.3">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row>
    <row r="562" spans="1:29" ht="15.75" customHeight="1" x14ac:dyDescent="0.3">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row>
    <row r="563" spans="1:29" ht="15.75" customHeight="1" x14ac:dyDescent="0.3">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row>
    <row r="564" spans="1:29" ht="15.75" customHeight="1" x14ac:dyDescent="0.3">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row>
    <row r="565" spans="1:29" ht="15.75" customHeight="1" x14ac:dyDescent="0.3">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row>
    <row r="566" spans="1:29" ht="15.75" customHeight="1" x14ac:dyDescent="0.3">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row>
    <row r="567" spans="1:29" ht="15.75" customHeight="1" x14ac:dyDescent="0.3">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row>
    <row r="568" spans="1:29" ht="15.75" customHeight="1" x14ac:dyDescent="0.3">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row>
    <row r="569" spans="1:29" ht="15.75" customHeight="1" x14ac:dyDescent="0.3">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row>
    <row r="570" spans="1:29" ht="15.75" customHeight="1" x14ac:dyDescent="0.3">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row>
    <row r="571" spans="1:29" ht="15.75" customHeight="1" x14ac:dyDescent="0.3">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row>
    <row r="572" spans="1:29" ht="15.75" customHeight="1" x14ac:dyDescent="0.3">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row>
    <row r="573" spans="1:29" ht="15.75" customHeight="1" x14ac:dyDescent="0.3">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row>
    <row r="574" spans="1:29" ht="15.75" customHeight="1" x14ac:dyDescent="0.3">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row>
    <row r="575" spans="1:29" ht="15.75" customHeight="1" x14ac:dyDescent="0.3">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row>
    <row r="576" spans="1:29" ht="15.75" customHeight="1" x14ac:dyDescent="0.3">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row>
    <row r="577" spans="1:29" ht="15.75" customHeight="1" x14ac:dyDescent="0.3">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row>
    <row r="578" spans="1:29" ht="15.75" customHeight="1" x14ac:dyDescent="0.3">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row>
    <row r="579" spans="1:29" ht="15.75" customHeight="1" x14ac:dyDescent="0.3">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row>
    <row r="580" spans="1:29" ht="15.75" customHeight="1" x14ac:dyDescent="0.3">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row>
    <row r="581" spans="1:29" ht="15.75" customHeight="1" x14ac:dyDescent="0.3">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row>
    <row r="582" spans="1:29" ht="15.75" customHeight="1" x14ac:dyDescent="0.3">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row>
    <row r="583" spans="1:29" ht="15.75" customHeight="1" x14ac:dyDescent="0.3">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row>
    <row r="584" spans="1:29" ht="15.75" customHeight="1" x14ac:dyDescent="0.3">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row>
    <row r="585" spans="1:29" ht="15.75" customHeight="1" x14ac:dyDescent="0.3">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row>
    <row r="586" spans="1:29" ht="15.75" customHeight="1" x14ac:dyDescent="0.3">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row>
    <row r="587" spans="1:29" ht="15.75" customHeight="1" x14ac:dyDescent="0.3">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row>
    <row r="588" spans="1:29" ht="15.75" customHeight="1" x14ac:dyDescent="0.3">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row>
    <row r="589" spans="1:29" ht="15.75" customHeight="1" x14ac:dyDescent="0.3">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row>
    <row r="590" spans="1:29" ht="15.75" customHeight="1" x14ac:dyDescent="0.3">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row>
    <row r="591" spans="1:29" ht="15.75" customHeight="1" x14ac:dyDescent="0.3">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row>
    <row r="592" spans="1:29" ht="15.75" customHeight="1" x14ac:dyDescent="0.3">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row>
    <row r="593" spans="1:29" ht="15.75" customHeight="1" x14ac:dyDescent="0.3">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row>
    <row r="594" spans="1:29" ht="15.75" customHeight="1" x14ac:dyDescent="0.3">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row>
    <row r="595" spans="1:29" ht="15.75" customHeight="1" x14ac:dyDescent="0.3">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row>
    <row r="596" spans="1:29" ht="15.75" customHeight="1" x14ac:dyDescent="0.3">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row>
    <row r="597" spans="1:29" ht="15.75" customHeight="1" x14ac:dyDescent="0.3">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row>
    <row r="598" spans="1:29" ht="15.75" customHeight="1" x14ac:dyDescent="0.3">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row>
    <row r="599" spans="1:29" ht="15.75" customHeight="1" x14ac:dyDescent="0.3">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row>
    <row r="600" spans="1:29" ht="15.75" customHeight="1" x14ac:dyDescent="0.3">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row>
    <row r="601" spans="1:29" ht="15.75" customHeight="1" x14ac:dyDescent="0.3">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row>
    <row r="602" spans="1:29" ht="15.75" customHeight="1" x14ac:dyDescent="0.3">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row>
    <row r="603" spans="1:29" ht="15.75" customHeight="1" x14ac:dyDescent="0.3">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row>
    <row r="604" spans="1:29" ht="15.75" customHeight="1" x14ac:dyDescent="0.3">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row>
    <row r="605" spans="1:29" ht="15.75" customHeight="1" x14ac:dyDescent="0.3">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row>
    <row r="606" spans="1:29" ht="15.75" customHeight="1" x14ac:dyDescent="0.3">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row>
    <row r="607" spans="1:29" ht="15.75" customHeight="1" x14ac:dyDescent="0.3">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row>
    <row r="608" spans="1:29" ht="15.75" customHeight="1" x14ac:dyDescent="0.3">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row>
    <row r="609" spans="1:29" ht="15.75" customHeight="1" x14ac:dyDescent="0.3">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row>
    <row r="610" spans="1:29" ht="15.75" customHeight="1" x14ac:dyDescent="0.3">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row>
    <row r="611" spans="1:29" ht="15.75" customHeight="1" x14ac:dyDescent="0.3">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row>
    <row r="612" spans="1:29" ht="15.75" customHeight="1" x14ac:dyDescent="0.3">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row>
    <row r="613" spans="1:29" ht="15.75" customHeight="1" x14ac:dyDescent="0.3">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row>
    <row r="614" spans="1:29" ht="15.75" customHeight="1" x14ac:dyDescent="0.3">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row>
    <row r="615" spans="1:29" ht="15.75" customHeight="1" x14ac:dyDescent="0.3">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row>
    <row r="616" spans="1:29" ht="15.75" customHeight="1" x14ac:dyDescent="0.3">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row>
    <row r="617" spans="1:29" ht="15.75" customHeight="1" x14ac:dyDescent="0.3">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row>
    <row r="618" spans="1:29" ht="15.75" customHeight="1" x14ac:dyDescent="0.3">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row>
    <row r="619" spans="1:29" ht="15.75" customHeight="1" x14ac:dyDescent="0.3">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row>
    <row r="620" spans="1:29" ht="15.75" customHeight="1" x14ac:dyDescent="0.3">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row>
    <row r="621" spans="1:29" ht="15.75" customHeight="1" x14ac:dyDescent="0.3">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row>
    <row r="622" spans="1:29" ht="15.75" customHeight="1" x14ac:dyDescent="0.3">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row>
    <row r="623" spans="1:29" ht="15.75" customHeight="1" x14ac:dyDescent="0.3">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row>
    <row r="624" spans="1:29" ht="15.75" customHeight="1" x14ac:dyDescent="0.3">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row>
    <row r="625" spans="1:29" ht="15.75" customHeight="1" x14ac:dyDescent="0.3">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row>
    <row r="626" spans="1:29" ht="15.75" customHeight="1" x14ac:dyDescent="0.3">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row>
    <row r="627" spans="1:29" ht="15.75" customHeight="1" x14ac:dyDescent="0.3">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row>
    <row r="628" spans="1:29" ht="15.75" customHeight="1" x14ac:dyDescent="0.3">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row>
    <row r="629" spans="1:29" ht="15.75" customHeight="1" x14ac:dyDescent="0.3">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row>
    <row r="630" spans="1:29" ht="15.75" customHeight="1" x14ac:dyDescent="0.3">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row>
    <row r="631" spans="1:29" ht="15.75" customHeight="1" x14ac:dyDescent="0.3">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row>
    <row r="632" spans="1:29" ht="15.75" customHeight="1" x14ac:dyDescent="0.3">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row>
    <row r="633" spans="1:29" ht="15.75" customHeight="1" x14ac:dyDescent="0.3">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row>
    <row r="634" spans="1:29" ht="15.75" customHeight="1" x14ac:dyDescent="0.3">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row>
    <row r="635" spans="1:29" ht="15.75" customHeight="1" x14ac:dyDescent="0.3">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row>
    <row r="636" spans="1:29" ht="15.75" customHeight="1" x14ac:dyDescent="0.3">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row>
    <row r="637" spans="1:29" ht="15.75" customHeight="1" x14ac:dyDescent="0.3">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row>
    <row r="638" spans="1:29" ht="15.75" customHeight="1" x14ac:dyDescent="0.3">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row>
    <row r="639" spans="1:29" ht="15.75" customHeight="1" x14ac:dyDescent="0.3">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row>
    <row r="640" spans="1:29" ht="15.75" customHeight="1" x14ac:dyDescent="0.3">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row>
    <row r="641" spans="1:29" ht="15.75" customHeight="1" x14ac:dyDescent="0.3">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row>
    <row r="642" spans="1:29" ht="15.75" customHeight="1" x14ac:dyDescent="0.3">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row>
    <row r="643" spans="1:29" ht="15.75" customHeight="1" x14ac:dyDescent="0.3">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row>
    <row r="644" spans="1:29" ht="15.75" customHeight="1" x14ac:dyDescent="0.3">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row>
    <row r="645" spans="1:29" ht="15.75" customHeight="1" x14ac:dyDescent="0.3">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row>
    <row r="646" spans="1:29" ht="15.75" customHeight="1" x14ac:dyDescent="0.3">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row>
    <row r="647" spans="1:29" ht="15.75" customHeight="1" x14ac:dyDescent="0.3">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row>
    <row r="648" spans="1:29" ht="15.75" customHeight="1" x14ac:dyDescent="0.3">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row>
    <row r="649" spans="1:29" ht="15.75" customHeight="1" x14ac:dyDescent="0.3">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row>
    <row r="650" spans="1:29" ht="15.75" customHeight="1" x14ac:dyDescent="0.3">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row>
    <row r="651" spans="1:29" ht="15.75" customHeight="1" x14ac:dyDescent="0.3">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row>
    <row r="652" spans="1:29" ht="15.75" customHeight="1" x14ac:dyDescent="0.3">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row>
    <row r="653" spans="1:29" ht="15.75" customHeight="1" x14ac:dyDescent="0.3">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row>
    <row r="654" spans="1:29" ht="15.75" customHeight="1" x14ac:dyDescent="0.3">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row>
    <row r="655" spans="1:29" ht="15.75" customHeight="1" x14ac:dyDescent="0.3">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row>
    <row r="656" spans="1:29" ht="15.75" customHeight="1" x14ac:dyDescent="0.3">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row>
    <row r="657" spans="1:29" ht="15.75" customHeight="1" x14ac:dyDescent="0.3">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row>
    <row r="658" spans="1:29" ht="15.75" customHeight="1" x14ac:dyDescent="0.3">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row>
    <row r="659" spans="1:29" ht="15.75" customHeight="1" x14ac:dyDescent="0.3">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row>
    <row r="660" spans="1:29" ht="15.75" customHeight="1" x14ac:dyDescent="0.3">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row>
    <row r="661" spans="1:29" ht="15.75" customHeight="1" x14ac:dyDescent="0.3">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row>
    <row r="662" spans="1:29" ht="15.75" customHeight="1" x14ac:dyDescent="0.3">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row>
    <row r="663" spans="1:29" ht="15.75" customHeight="1" x14ac:dyDescent="0.3">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row>
    <row r="664" spans="1:29" ht="15.75" customHeight="1" x14ac:dyDescent="0.3">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row>
    <row r="665" spans="1:29" ht="15.75" customHeight="1" x14ac:dyDescent="0.3">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row>
    <row r="666" spans="1:29" ht="15.75" customHeight="1" x14ac:dyDescent="0.3">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row>
    <row r="667" spans="1:29" ht="15.75" customHeight="1" x14ac:dyDescent="0.3">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row>
    <row r="668" spans="1:29" ht="15.75" customHeight="1" x14ac:dyDescent="0.3">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row>
    <row r="669" spans="1:29" ht="15.75" customHeight="1" x14ac:dyDescent="0.3">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row>
    <row r="670" spans="1:29" ht="15.75" customHeight="1" x14ac:dyDescent="0.3">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row>
    <row r="671" spans="1:29" ht="15.75" customHeight="1" x14ac:dyDescent="0.3">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row>
    <row r="672" spans="1:29" ht="15.75" customHeight="1" x14ac:dyDescent="0.3">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row>
    <row r="673" spans="1:29" ht="15.75" customHeight="1" x14ac:dyDescent="0.3">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row>
    <row r="674" spans="1:29" ht="15.75" customHeight="1" x14ac:dyDescent="0.3">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row>
    <row r="675" spans="1:29" ht="15.75" customHeight="1" x14ac:dyDescent="0.3">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row>
    <row r="676" spans="1:29" ht="15.75" customHeight="1" x14ac:dyDescent="0.3">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row>
    <row r="677" spans="1:29" ht="15.75" customHeight="1" x14ac:dyDescent="0.3">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row>
    <row r="678" spans="1:29" ht="15.75" customHeight="1" x14ac:dyDescent="0.3">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row>
    <row r="679" spans="1:29" ht="15.75" customHeight="1" x14ac:dyDescent="0.3">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row>
    <row r="680" spans="1:29" ht="15.75" customHeight="1" x14ac:dyDescent="0.3">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row>
    <row r="681" spans="1:29" ht="15.75" customHeight="1" x14ac:dyDescent="0.3">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row>
    <row r="682" spans="1:29" ht="15.75" customHeight="1" x14ac:dyDescent="0.3">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row>
    <row r="683" spans="1:29" ht="15.75" customHeight="1" x14ac:dyDescent="0.3">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row>
    <row r="684" spans="1:29" ht="15.75" customHeight="1" x14ac:dyDescent="0.3">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row>
    <row r="685" spans="1:29" ht="15.75" customHeight="1" x14ac:dyDescent="0.3">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row>
    <row r="686" spans="1:29" ht="15.75" customHeight="1" x14ac:dyDescent="0.3">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row>
    <row r="687" spans="1:29" ht="15.75" customHeight="1" x14ac:dyDescent="0.3">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row>
    <row r="688" spans="1:29" ht="15.75" customHeight="1" x14ac:dyDescent="0.3">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row>
    <row r="689" spans="1:29" ht="15.75" customHeight="1" x14ac:dyDescent="0.3">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row>
    <row r="690" spans="1:29" ht="15.75" customHeight="1" x14ac:dyDescent="0.3">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row>
    <row r="691" spans="1:29" ht="15.75" customHeight="1" x14ac:dyDescent="0.3">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row>
    <row r="692" spans="1:29" ht="15.75" customHeight="1" x14ac:dyDescent="0.3">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row>
    <row r="693" spans="1:29" ht="15.75" customHeight="1" x14ac:dyDescent="0.3">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row>
    <row r="694" spans="1:29" ht="15.75" customHeight="1" x14ac:dyDescent="0.3">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row>
    <row r="695" spans="1:29" ht="15.75" customHeight="1" x14ac:dyDescent="0.3">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row>
    <row r="696" spans="1:29" ht="15.75" customHeight="1" x14ac:dyDescent="0.3">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row>
    <row r="697" spans="1:29" ht="15.75" customHeight="1" x14ac:dyDescent="0.3">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row>
    <row r="698" spans="1:29" ht="15.75" customHeight="1" x14ac:dyDescent="0.3">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row>
    <row r="699" spans="1:29" ht="15.75" customHeight="1" x14ac:dyDescent="0.3">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row>
    <row r="700" spans="1:29" ht="15.75" customHeight="1" x14ac:dyDescent="0.3">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row>
    <row r="701" spans="1:29" ht="15.75" customHeight="1" x14ac:dyDescent="0.3">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row>
    <row r="702" spans="1:29" ht="15.75" customHeight="1" x14ac:dyDescent="0.3">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row>
    <row r="703" spans="1:29" ht="15.75" customHeight="1" x14ac:dyDescent="0.3">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row>
    <row r="704" spans="1:29" ht="15.75" customHeight="1" x14ac:dyDescent="0.3">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row>
    <row r="705" spans="1:29" ht="15.75" customHeight="1" x14ac:dyDescent="0.3">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row>
    <row r="706" spans="1:29" ht="15.75" customHeight="1" x14ac:dyDescent="0.3">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row>
    <row r="707" spans="1:29" ht="15.75" customHeight="1" x14ac:dyDescent="0.3">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row>
    <row r="708" spans="1:29" ht="15.75" customHeight="1" x14ac:dyDescent="0.3">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row>
    <row r="709" spans="1:29" ht="15.75" customHeight="1" x14ac:dyDescent="0.3">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row>
    <row r="710" spans="1:29" ht="15.75" customHeight="1" x14ac:dyDescent="0.3">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row>
    <row r="711" spans="1:29" ht="15.75" customHeight="1" x14ac:dyDescent="0.3">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row>
    <row r="712" spans="1:29" ht="15.75" customHeight="1" x14ac:dyDescent="0.3">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row>
    <row r="713" spans="1:29" ht="15.75" customHeight="1" x14ac:dyDescent="0.3">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row>
    <row r="714" spans="1:29" ht="15.75" customHeight="1" x14ac:dyDescent="0.3">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row>
    <row r="715" spans="1:29" ht="15.75" customHeight="1" x14ac:dyDescent="0.3">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row>
    <row r="716" spans="1:29" ht="15.75" customHeight="1" x14ac:dyDescent="0.3">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row>
    <row r="717" spans="1:29" ht="15.75" customHeight="1" x14ac:dyDescent="0.3">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row>
    <row r="718" spans="1:29" ht="15.75" customHeight="1" x14ac:dyDescent="0.3">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row>
    <row r="719" spans="1:29" ht="15.75" customHeight="1" x14ac:dyDescent="0.3">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row>
    <row r="720" spans="1:29" ht="15.75" customHeight="1" x14ac:dyDescent="0.3">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row>
    <row r="721" spans="1:29" ht="15.75" customHeight="1" x14ac:dyDescent="0.3">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row>
    <row r="722" spans="1:29" ht="15.75" customHeight="1" x14ac:dyDescent="0.3">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row>
    <row r="723" spans="1:29" ht="15.75" customHeight="1" x14ac:dyDescent="0.3">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row>
    <row r="724" spans="1:29" ht="15.75" customHeight="1" x14ac:dyDescent="0.3">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row>
    <row r="725" spans="1:29" ht="15.75" customHeight="1" x14ac:dyDescent="0.3">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row>
    <row r="726" spans="1:29" ht="15.75" customHeight="1" x14ac:dyDescent="0.3">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row>
    <row r="727" spans="1:29" ht="15.75" customHeight="1" x14ac:dyDescent="0.3">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row>
    <row r="728" spans="1:29" ht="15.75" customHeight="1" x14ac:dyDescent="0.3">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row>
    <row r="729" spans="1:29" ht="15.75" customHeight="1" x14ac:dyDescent="0.3">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row>
    <row r="730" spans="1:29" ht="15.75" customHeight="1" x14ac:dyDescent="0.3">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row>
    <row r="731" spans="1:29" ht="15.75" customHeight="1" x14ac:dyDescent="0.3">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row>
    <row r="732" spans="1:29" ht="15.75" customHeight="1" x14ac:dyDescent="0.3">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row>
    <row r="733" spans="1:29" ht="15.75" customHeight="1" x14ac:dyDescent="0.3">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row>
    <row r="734" spans="1:29" ht="15.75" customHeight="1" x14ac:dyDescent="0.3">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row>
    <row r="735" spans="1:29" ht="15.75" customHeight="1" x14ac:dyDescent="0.3">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row>
    <row r="736" spans="1:29" ht="15.75" customHeight="1" x14ac:dyDescent="0.3">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row>
    <row r="737" spans="1:29" ht="15.75" customHeight="1" x14ac:dyDescent="0.3">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row>
    <row r="738" spans="1:29" ht="15.75" customHeight="1" x14ac:dyDescent="0.3">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row>
    <row r="739" spans="1:29" ht="15.75" customHeight="1" x14ac:dyDescent="0.3">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row>
    <row r="740" spans="1:29" ht="15.75" customHeight="1" x14ac:dyDescent="0.3">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row>
    <row r="741" spans="1:29" ht="15.75" customHeight="1" x14ac:dyDescent="0.3">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row>
    <row r="742" spans="1:29" ht="15.75" customHeight="1" x14ac:dyDescent="0.3">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row>
    <row r="743" spans="1:29" ht="15.75" customHeight="1" x14ac:dyDescent="0.3">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row>
    <row r="744" spans="1:29" ht="15.75" customHeight="1" x14ac:dyDescent="0.3">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row>
    <row r="745" spans="1:29" ht="15.75" customHeight="1" x14ac:dyDescent="0.3">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row>
    <row r="746" spans="1:29" ht="15.75" customHeight="1" x14ac:dyDescent="0.3">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row>
    <row r="747" spans="1:29" ht="15.75" customHeight="1" x14ac:dyDescent="0.3">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row>
    <row r="748" spans="1:29" ht="15.75" customHeight="1" x14ac:dyDescent="0.3">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row>
    <row r="749" spans="1:29" ht="15.75" customHeight="1" x14ac:dyDescent="0.3">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row>
    <row r="750" spans="1:29" ht="15.75" customHeight="1" x14ac:dyDescent="0.3">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row>
    <row r="751" spans="1:29" ht="15.75" customHeight="1" x14ac:dyDescent="0.3">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row>
    <row r="752" spans="1:29" ht="15.75" customHeight="1" x14ac:dyDescent="0.3">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row>
    <row r="753" spans="1:29" ht="15.75" customHeight="1" x14ac:dyDescent="0.3">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row>
    <row r="754" spans="1:29" ht="15.75" customHeight="1" x14ac:dyDescent="0.3">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row>
    <row r="755" spans="1:29" ht="15.75" customHeight="1" x14ac:dyDescent="0.3">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row>
    <row r="756" spans="1:29" ht="15.75" customHeight="1" x14ac:dyDescent="0.3">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row>
    <row r="757" spans="1:29" ht="15.75" customHeight="1" x14ac:dyDescent="0.3">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row>
    <row r="758" spans="1:29" ht="15.75" customHeight="1" x14ac:dyDescent="0.3">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row>
    <row r="759" spans="1:29" ht="15.75" customHeight="1" x14ac:dyDescent="0.3">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row>
    <row r="760" spans="1:29" ht="15.75" customHeight="1" x14ac:dyDescent="0.3">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row>
    <row r="761" spans="1:29" ht="15.75" customHeight="1" x14ac:dyDescent="0.3">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row>
    <row r="762" spans="1:29" ht="15.75" customHeight="1" x14ac:dyDescent="0.3">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row>
    <row r="763" spans="1:29" ht="15.75" customHeight="1" x14ac:dyDescent="0.3">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row>
    <row r="764" spans="1:29" ht="15.75" customHeight="1" x14ac:dyDescent="0.3">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row>
    <row r="765" spans="1:29" ht="15.75" customHeight="1" x14ac:dyDescent="0.3">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row>
    <row r="766" spans="1:29" ht="15.75" customHeight="1" x14ac:dyDescent="0.3">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row>
    <row r="767" spans="1:29" ht="15.75" customHeight="1" x14ac:dyDescent="0.3">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row>
    <row r="768" spans="1:29" ht="15.75" customHeight="1" x14ac:dyDescent="0.3">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row>
    <row r="769" spans="1:29" ht="15.75" customHeight="1" x14ac:dyDescent="0.3">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row>
    <row r="770" spans="1:29" ht="15.75" customHeight="1" x14ac:dyDescent="0.3">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row>
    <row r="771" spans="1:29" ht="15.75" customHeight="1" x14ac:dyDescent="0.3">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row>
    <row r="772" spans="1:29" ht="15.75" customHeight="1" x14ac:dyDescent="0.3">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row>
    <row r="773" spans="1:29" ht="15.75" customHeight="1" x14ac:dyDescent="0.3">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row>
    <row r="774" spans="1:29" ht="15.75" customHeight="1" x14ac:dyDescent="0.3">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row>
    <row r="775" spans="1:29" ht="15.75" customHeight="1" x14ac:dyDescent="0.3">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row>
    <row r="776" spans="1:29" ht="15.75" customHeight="1" x14ac:dyDescent="0.3">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row>
    <row r="777" spans="1:29" ht="15.75" customHeight="1" x14ac:dyDescent="0.3">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row>
    <row r="778" spans="1:29" ht="15.75" customHeight="1" x14ac:dyDescent="0.3">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row>
    <row r="779" spans="1:29" ht="15.75" customHeight="1" x14ac:dyDescent="0.3">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row>
    <row r="780" spans="1:29" ht="15.75" customHeight="1" x14ac:dyDescent="0.3">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row>
    <row r="781" spans="1:29" ht="15.75" customHeight="1" x14ac:dyDescent="0.3">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row>
    <row r="782" spans="1:29" ht="15.75" customHeight="1" x14ac:dyDescent="0.3">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row>
    <row r="783" spans="1:29" ht="15.75" customHeight="1" x14ac:dyDescent="0.3">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row>
    <row r="784" spans="1:29" ht="15.75" customHeight="1" x14ac:dyDescent="0.3">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row>
    <row r="785" spans="1:29" ht="15.75" customHeight="1" x14ac:dyDescent="0.3">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row>
    <row r="786" spans="1:29" ht="15.75" customHeight="1" x14ac:dyDescent="0.3">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row>
    <row r="787" spans="1:29" ht="15.75" customHeight="1" x14ac:dyDescent="0.3">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row>
    <row r="788" spans="1:29" ht="15.75" customHeight="1" x14ac:dyDescent="0.3">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row>
    <row r="789" spans="1:29" ht="15.75" customHeight="1" x14ac:dyDescent="0.3">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row>
    <row r="790" spans="1:29" ht="15.75" customHeight="1" x14ac:dyDescent="0.3">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row>
    <row r="791" spans="1:29" ht="15.75" customHeight="1" x14ac:dyDescent="0.3">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row>
    <row r="792" spans="1:29" ht="15.75" customHeight="1" x14ac:dyDescent="0.3">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row>
    <row r="793" spans="1:29" ht="15.75" customHeight="1" x14ac:dyDescent="0.3">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row>
    <row r="794" spans="1:29" ht="15.75" customHeight="1" x14ac:dyDescent="0.3">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row>
    <row r="795" spans="1:29" ht="15.75" customHeight="1" x14ac:dyDescent="0.3">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row>
    <row r="796" spans="1:29" ht="15.75" customHeight="1" x14ac:dyDescent="0.3">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row>
    <row r="797" spans="1:29" ht="15.75" customHeight="1" x14ac:dyDescent="0.3">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row>
    <row r="798" spans="1:29" ht="15.75" customHeight="1" x14ac:dyDescent="0.3">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row>
    <row r="799" spans="1:29" ht="15.75" customHeight="1" x14ac:dyDescent="0.3">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row>
    <row r="800" spans="1:29" ht="15.75" customHeight="1" x14ac:dyDescent="0.3">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row>
    <row r="801" spans="1:29" ht="15.75" customHeight="1" x14ac:dyDescent="0.3">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row>
    <row r="802" spans="1:29" ht="15.75" customHeight="1" x14ac:dyDescent="0.3">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row>
    <row r="803" spans="1:29" ht="15.75" customHeight="1" x14ac:dyDescent="0.3">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row>
    <row r="804" spans="1:29" ht="15.75" customHeight="1" x14ac:dyDescent="0.3">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row>
    <row r="805" spans="1:29" ht="15.75" customHeight="1" x14ac:dyDescent="0.3">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row>
    <row r="806" spans="1:29" ht="15.75" customHeight="1" x14ac:dyDescent="0.3">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row>
    <row r="807" spans="1:29" ht="15.75" customHeight="1" x14ac:dyDescent="0.3">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row>
    <row r="808" spans="1:29" ht="15.75" customHeight="1" x14ac:dyDescent="0.3">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row>
    <row r="809" spans="1:29" ht="15.75" customHeight="1" x14ac:dyDescent="0.3">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row>
    <row r="810" spans="1:29" ht="15.75" customHeight="1" x14ac:dyDescent="0.3">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row>
    <row r="811" spans="1:29" ht="15.75" customHeight="1" x14ac:dyDescent="0.3">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row>
    <row r="812" spans="1:29" ht="15.75" customHeight="1" x14ac:dyDescent="0.3">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row>
    <row r="813" spans="1:29" ht="15.75" customHeight="1" x14ac:dyDescent="0.3">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row>
    <row r="814" spans="1:29" ht="15.75" customHeight="1" x14ac:dyDescent="0.3">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row>
    <row r="815" spans="1:29" ht="15.75" customHeight="1" x14ac:dyDescent="0.3">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row>
    <row r="816" spans="1:29" ht="15.75" customHeight="1" x14ac:dyDescent="0.3">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row>
    <row r="817" spans="1:29" ht="15.75" customHeight="1" x14ac:dyDescent="0.3">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row>
    <row r="818" spans="1:29" ht="15.75" customHeight="1" x14ac:dyDescent="0.3">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row>
    <row r="819" spans="1:29" ht="15.75" customHeight="1" x14ac:dyDescent="0.3">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row>
    <row r="820" spans="1:29" ht="15.75" customHeight="1" x14ac:dyDescent="0.3">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row>
    <row r="821" spans="1:29" ht="15.75" customHeight="1" x14ac:dyDescent="0.3">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row>
    <row r="822" spans="1:29" ht="15.75" customHeight="1" x14ac:dyDescent="0.3">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row>
    <row r="823" spans="1:29" ht="15.75" customHeight="1" x14ac:dyDescent="0.3">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row>
    <row r="824" spans="1:29" ht="15.75" customHeight="1" x14ac:dyDescent="0.3">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row>
    <row r="825" spans="1:29" ht="15.75" customHeight="1" x14ac:dyDescent="0.3">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row>
    <row r="826" spans="1:29" ht="15.75" customHeight="1" x14ac:dyDescent="0.3">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row>
    <row r="827" spans="1:29" ht="15.75" customHeight="1" x14ac:dyDescent="0.3">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row>
    <row r="828" spans="1:29" ht="15.75" customHeight="1" x14ac:dyDescent="0.3">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row>
    <row r="829" spans="1:29" ht="15.75" customHeight="1" x14ac:dyDescent="0.3">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row>
    <row r="830" spans="1:29" ht="15.75" customHeight="1" x14ac:dyDescent="0.3">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row>
    <row r="831" spans="1:29" ht="15.75" customHeight="1" x14ac:dyDescent="0.3">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row>
    <row r="832" spans="1:29" ht="15.75" customHeight="1" x14ac:dyDescent="0.3">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row>
    <row r="833" spans="1:29" ht="15.75" customHeight="1" x14ac:dyDescent="0.3">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row>
    <row r="834" spans="1:29" ht="15.75" customHeight="1" x14ac:dyDescent="0.3">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row>
    <row r="835" spans="1:29" ht="15.75" customHeight="1" x14ac:dyDescent="0.3">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row>
    <row r="836" spans="1:29" ht="15.75" customHeight="1" x14ac:dyDescent="0.3">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row>
    <row r="837" spans="1:29" ht="15.75" customHeight="1" x14ac:dyDescent="0.3">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row>
    <row r="838" spans="1:29" ht="15.75" customHeight="1" x14ac:dyDescent="0.3">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row>
    <row r="839" spans="1:29" ht="15.75" customHeight="1" x14ac:dyDescent="0.3">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row>
    <row r="840" spans="1:29" ht="15.75" customHeight="1" x14ac:dyDescent="0.3">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row>
    <row r="841" spans="1:29" ht="15.75" customHeight="1" x14ac:dyDescent="0.3">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row>
    <row r="842" spans="1:29" ht="15.75" customHeight="1" x14ac:dyDescent="0.3">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row>
    <row r="843" spans="1:29" ht="15.75" customHeight="1" x14ac:dyDescent="0.3">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row>
    <row r="844" spans="1:29" ht="15.75" customHeight="1" x14ac:dyDescent="0.3">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row>
    <row r="845" spans="1:29" ht="15.75" customHeight="1" x14ac:dyDescent="0.3">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row>
    <row r="846" spans="1:29" ht="15.75" customHeight="1" x14ac:dyDescent="0.3">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row>
    <row r="847" spans="1:29" ht="15.75" customHeight="1" x14ac:dyDescent="0.3">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row>
    <row r="848" spans="1:29" ht="15.75" customHeight="1" x14ac:dyDescent="0.3">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row>
    <row r="849" spans="1:29" ht="15.75" customHeight="1" x14ac:dyDescent="0.3">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row>
    <row r="850" spans="1:29" ht="15.75" customHeight="1" x14ac:dyDescent="0.3">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row>
    <row r="851" spans="1:29" ht="15.75" customHeight="1" x14ac:dyDescent="0.3">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row>
    <row r="852" spans="1:29" ht="15.75" customHeight="1" x14ac:dyDescent="0.3">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row>
    <row r="853" spans="1:29" ht="15.75" customHeight="1" x14ac:dyDescent="0.3">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row>
    <row r="854" spans="1:29" ht="15.75" customHeight="1" x14ac:dyDescent="0.3">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row>
    <row r="855" spans="1:29" ht="15.75" customHeight="1" x14ac:dyDescent="0.3">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row>
    <row r="856" spans="1:29" ht="15.75" customHeight="1" x14ac:dyDescent="0.3">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row>
    <row r="857" spans="1:29" ht="15.75" customHeight="1" x14ac:dyDescent="0.3">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row>
    <row r="858" spans="1:29" ht="15.75" customHeight="1" x14ac:dyDescent="0.3">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row>
    <row r="859" spans="1:29" ht="15.75" customHeight="1" x14ac:dyDescent="0.3">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row>
    <row r="860" spans="1:29" ht="15.75" customHeight="1" x14ac:dyDescent="0.3">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row>
    <row r="861" spans="1:29" ht="15.75" customHeight="1" x14ac:dyDescent="0.3">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row>
    <row r="862" spans="1:29" ht="15.75" customHeight="1" x14ac:dyDescent="0.3">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row>
    <row r="863" spans="1:29" ht="15.75" customHeight="1" x14ac:dyDescent="0.3">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row>
    <row r="864" spans="1:29" ht="15.75" customHeight="1" x14ac:dyDescent="0.3">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row>
    <row r="865" spans="1:29" ht="15.75" customHeight="1" x14ac:dyDescent="0.3">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row>
    <row r="866" spans="1:29" ht="15.75" customHeight="1" x14ac:dyDescent="0.3">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row>
    <row r="867" spans="1:29" ht="15.75" customHeight="1" x14ac:dyDescent="0.3">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row>
    <row r="868" spans="1:29" ht="15.75" customHeight="1" x14ac:dyDescent="0.3">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row>
    <row r="869" spans="1:29" ht="15.75" customHeight="1" x14ac:dyDescent="0.3">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row>
    <row r="870" spans="1:29" ht="15.75" customHeight="1" x14ac:dyDescent="0.3">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row>
    <row r="871" spans="1:29" ht="15.75" customHeight="1" x14ac:dyDescent="0.3">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row>
    <row r="872" spans="1:29" ht="15.75" customHeight="1" x14ac:dyDescent="0.3">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row>
    <row r="873" spans="1:29" ht="15.75" customHeight="1" x14ac:dyDescent="0.3">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row>
    <row r="874" spans="1:29" ht="15.75" customHeight="1" x14ac:dyDescent="0.3">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row>
    <row r="875" spans="1:29" ht="15.75" customHeight="1" x14ac:dyDescent="0.3">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row>
    <row r="876" spans="1:29" ht="15.75" customHeight="1" x14ac:dyDescent="0.3">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row>
    <row r="877" spans="1:29" ht="15.75" customHeight="1" x14ac:dyDescent="0.3">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row>
    <row r="878" spans="1:29" ht="15.75" customHeight="1" x14ac:dyDescent="0.3">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row>
    <row r="879" spans="1:29" ht="15.75" customHeight="1" x14ac:dyDescent="0.3">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row>
    <row r="880" spans="1:29" ht="15.75" customHeight="1" x14ac:dyDescent="0.3">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row>
    <row r="881" spans="1:29" ht="15.75" customHeight="1" x14ac:dyDescent="0.3">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row>
    <row r="882" spans="1:29" ht="15.75" customHeight="1" x14ac:dyDescent="0.3">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row>
    <row r="883" spans="1:29" ht="15.75" customHeight="1" x14ac:dyDescent="0.3">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row>
    <row r="884" spans="1:29" ht="15.75" customHeight="1" x14ac:dyDescent="0.3">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row>
    <row r="885" spans="1:29" ht="15.75" customHeight="1" x14ac:dyDescent="0.3">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row>
    <row r="886" spans="1:29" ht="15.75" customHeight="1" x14ac:dyDescent="0.3">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row>
    <row r="887" spans="1:29" ht="15.75" customHeight="1" x14ac:dyDescent="0.3">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row>
    <row r="888" spans="1:29" ht="15.75" customHeight="1" x14ac:dyDescent="0.3">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row>
    <row r="889" spans="1:29" ht="15.75" customHeight="1" x14ac:dyDescent="0.3">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row>
    <row r="890" spans="1:29" ht="15.75" customHeight="1" x14ac:dyDescent="0.3">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row>
    <row r="891" spans="1:29" ht="15.75" customHeight="1" x14ac:dyDescent="0.3">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row>
    <row r="892" spans="1:29" ht="15.75" customHeight="1" x14ac:dyDescent="0.3">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row>
    <row r="893" spans="1:29" ht="15.75" customHeight="1" x14ac:dyDescent="0.3">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row>
    <row r="894" spans="1:29" ht="15.75" customHeight="1" x14ac:dyDescent="0.3">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row>
    <row r="895" spans="1:29" ht="15.75" customHeight="1" x14ac:dyDescent="0.3">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row>
    <row r="896" spans="1:29" ht="15.75" customHeight="1" x14ac:dyDescent="0.3">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row>
    <row r="897" spans="1:29" ht="15.75" customHeight="1" x14ac:dyDescent="0.3">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row>
    <row r="898" spans="1:29" ht="15.75" customHeight="1" x14ac:dyDescent="0.3">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row>
    <row r="899" spans="1:29" ht="15.75" customHeight="1" x14ac:dyDescent="0.3">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row>
    <row r="900" spans="1:29" ht="15.75" customHeight="1" x14ac:dyDescent="0.3">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row>
    <row r="901" spans="1:29" ht="15.75" customHeight="1" x14ac:dyDescent="0.3">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row>
    <row r="902" spans="1:29" ht="15.75" customHeight="1" x14ac:dyDescent="0.3">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row>
    <row r="903" spans="1:29" ht="15.75" customHeight="1" x14ac:dyDescent="0.3">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row>
    <row r="904" spans="1:29" ht="15.75" customHeight="1" x14ac:dyDescent="0.3">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row>
    <row r="905" spans="1:29" ht="15.75" customHeight="1" x14ac:dyDescent="0.3">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row>
    <row r="906" spans="1:29" ht="15.75" customHeight="1" x14ac:dyDescent="0.3">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row>
    <row r="907" spans="1:29" ht="15.75" customHeight="1" x14ac:dyDescent="0.3">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row>
    <row r="908" spans="1:29" ht="15.75" customHeight="1" x14ac:dyDescent="0.3">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row>
    <row r="909" spans="1:29" ht="15.75" customHeight="1" x14ac:dyDescent="0.3">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row>
    <row r="910" spans="1:29" ht="15.75" customHeight="1" x14ac:dyDescent="0.3">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row>
    <row r="911" spans="1:29" ht="15.75" customHeight="1" x14ac:dyDescent="0.3">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row>
    <row r="912" spans="1:29" ht="15.75" customHeight="1" x14ac:dyDescent="0.3">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row>
    <row r="913" spans="1:29" ht="15.75" customHeight="1" x14ac:dyDescent="0.3">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row>
    <row r="914" spans="1:29" ht="15.75" customHeight="1" x14ac:dyDescent="0.3">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row>
    <row r="915" spans="1:29" ht="15.75" customHeight="1" x14ac:dyDescent="0.3">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row>
    <row r="916" spans="1:29" ht="15.75" customHeight="1" x14ac:dyDescent="0.3">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row>
    <row r="917" spans="1:29" ht="15.75" customHeight="1" x14ac:dyDescent="0.3">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row>
    <row r="918" spans="1:29" ht="15.75" customHeight="1" x14ac:dyDescent="0.3">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row>
    <row r="919" spans="1:29" ht="15.75" customHeight="1" x14ac:dyDescent="0.3">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row>
    <row r="920" spans="1:29" ht="15.75" customHeight="1" x14ac:dyDescent="0.3">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row>
    <row r="921" spans="1:29" ht="15.75" customHeight="1" x14ac:dyDescent="0.3">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row>
    <row r="922" spans="1:29" ht="15.75" customHeight="1" x14ac:dyDescent="0.3">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row>
    <row r="923" spans="1:29" ht="15.75" customHeight="1" x14ac:dyDescent="0.3">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row>
    <row r="924" spans="1:29" ht="15.75" customHeight="1" x14ac:dyDescent="0.3">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row>
    <row r="925" spans="1:29" ht="15.75" customHeight="1" x14ac:dyDescent="0.3">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row>
    <row r="926" spans="1:29" ht="15.75" customHeight="1" x14ac:dyDescent="0.3">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row>
    <row r="927" spans="1:29" ht="15.75" customHeight="1" x14ac:dyDescent="0.3">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row>
    <row r="928" spans="1:29" ht="15.75" customHeight="1" x14ac:dyDescent="0.3">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row>
    <row r="929" spans="1:29" ht="15.75" customHeight="1" x14ac:dyDescent="0.3">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row>
    <row r="930" spans="1:29" ht="15.75" customHeight="1" x14ac:dyDescent="0.3">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row>
    <row r="931" spans="1:29" ht="15.75" customHeight="1" x14ac:dyDescent="0.3">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row>
    <row r="932" spans="1:29" ht="15.75" customHeight="1" x14ac:dyDescent="0.3">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row>
    <row r="933" spans="1:29" ht="15.75" customHeight="1" x14ac:dyDescent="0.3">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row>
    <row r="934" spans="1:29" ht="15.75" customHeight="1" x14ac:dyDescent="0.3">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row>
    <row r="935" spans="1:29" ht="15.75" customHeight="1" x14ac:dyDescent="0.3">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row>
    <row r="936" spans="1:29" ht="15.75" customHeight="1" x14ac:dyDescent="0.3">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row>
    <row r="937" spans="1:29" ht="15.75" customHeight="1" x14ac:dyDescent="0.3">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row>
    <row r="938" spans="1:29" ht="15.75" customHeight="1" x14ac:dyDescent="0.3">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row>
    <row r="939" spans="1:29" ht="15.75" customHeight="1" x14ac:dyDescent="0.3">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row>
    <row r="940" spans="1:29" ht="15.75" customHeight="1" x14ac:dyDescent="0.3">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row>
    <row r="941" spans="1:29" ht="15.75" customHeight="1" x14ac:dyDescent="0.3">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row>
    <row r="942" spans="1:29" ht="15.75" customHeight="1" x14ac:dyDescent="0.3">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row>
    <row r="943" spans="1:29" ht="15.75" customHeight="1" x14ac:dyDescent="0.3">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row>
    <row r="944" spans="1:29" ht="15.75" customHeight="1" x14ac:dyDescent="0.3">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row>
    <row r="945" spans="1:29" ht="15.75" customHeight="1" x14ac:dyDescent="0.3">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row>
    <row r="946" spans="1:29" ht="15.75" customHeight="1" x14ac:dyDescent="0.3">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row>
    <row r="947" spans="1:29" ht="15.75" customHeight="1" x14ac:dyDescent="0.3">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row>
    <row r="948" spans="1:29" ht="15.75" customHeight="1" x14ac:dyDescent="0.3">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row>
    <row r="949" spans="1:29" ht="15.75" customHeight="1" x14ac:dyDescent="0.3">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row>
    <row r="950" spans="1:29" ht="15.75" customHeight="1" x14ac:dyDescent="0.3">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row>
    <row r="951" spans="1:29" ht="15.75" customHeight="1" x14ac:dyDescent="0.3">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row>
    <row r="952" spans="1:29" ht="15.75" customHeight="1" x14ac:dyDescent="0.3">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row>
    <row r="953" spans="1:29" ht="15.75" customHeight="1" x14ac:dyDescent="0.3">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row>
    <row r="954" spans="1:29" ht="15.75" customHeight="1" x14ac:dyDescent="0.3">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row>
    <row r="955" spans="1:29" ht="15.75" customHeight="1" x14ac:dyDescent="0.3">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row>
    <row r="956" spans="1:29" ht="15.75" customHeight="1" x14ac:dyDescent="0.3">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row>
    <row r="957" spans="1:29" ht="15.75" customHeight="1" x14ac:dyDescent="0.3">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row>
    <row r="958" spans="1:29" ht="15.75" customHeight="1" x14ac:dyDescent="0.3">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row>
    <row r="959" spans="1:29" ht="15.75" customHeight="1" x14ac:dyDescent="0.3">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row>
    <row r="960" spans="1:29" ht="15.75" customHeight="1" x14ac:dyDescent="0.3">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row>
    <row r="961" spans="1:29" ht="15.75" customHeight="1" x14ac:dyDescent="0.3">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row>
    <row r="962" spans="1:29" ht="15.75" customHeight="1" x14ac:dyDescent="0.3">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row>
    <row r="963" spans="1:29" ht="15.75" customHeight="1" x14ac:dyDescent="0.3">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row>
    <row r="964" spans="1:29" ht="15.75" customHeight="1" x14ac:dyDescent="0.3">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row>
    <row r="965" spans="1:29" ht="15.75" customHeight="1" x14ac:dyDescent="0.3">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row>
    <row r="966" spans="1:29" ht="15.75" customHeight="1" x14ac:dyDescent="0.3">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row>
    <row r="967" spans="1:29" ht="15.75" customHeight="1" x14ac:dyDescent="0.3">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row>
    <row r="968" spans="1:29" ht="15.75" customHeight="1" x14ac:dyDescent="0.3">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row>
    <row r="969" spans="1:29" ht="15.75" customHeight="1" x14ac:dyDescent="0.3">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row>
    <row r="970" spans="1:29" ht="15.75" customHeight="1" x14ac:dyDescent="0.3">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row>
    <row r="971" spans="1:29" ht="15.75" customHeight="1" x14ac:dyDescent="0.3">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row>
    <row r="972" spans="1:29" ht="15.75" customHeight="1" x14ac:dyDescent="0.3">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row>
    <row r="973" spans="1:29" ht="15.75" customHeight="1" x14ac:dyDescent="0.3">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row>
    <row r="974" spans="1:29" ht="15.75" customHeight="1" x14ac:dyDescent="0.3">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row>
    <row r="975" spans="1:29" ht="15.75" customHeight="1" x14ac:dyDescent="0.3">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row>
    <row r="976" spans="1:29" ht="15.75" customHeight="1" x14ac:dyDescent="0.3">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row>
    <row r="977" spans="1:29" ht="15.75" customHeight="1" x14ac:dyDescent="0.3">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row>
    <row r="978" spans="1:29" ht="15.75" customHeight="1" x14ac:dyDescent="0.3">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row>
    <row r="979" spans="1:29" ht="15.75" customHeight="1" x14ac:dyDescent="0.3">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row>
    <row r="980" spans="1:29" ht="15.75" customHeight="1" x14ac:dyDescent="0.3">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row>
    <row r="981" spans="1:29" ht="15.75" customHeight="1" x14ac:dyDescent="0.3">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row>
    <row r="982" spans="1:29" ht="15.75" customHeight="1" x14ac:dyDescent="0.3">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row>
    <row r="983" spans="1:29" ht="15.75" customHeight="1" x14ac:dyDescent="0.3">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row>
    <row r="984" spans="1:29" ht="15.75" customHeight="1" x14ac:dyDescent="0.3">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row>
    <row r="985" spans="1:29" ht="15.75" customHeight="1" x14ac:dyDescent="0.3">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row>
    <row r="986" spans="1:29" ht="15.75" customHeight="1" x14ac:dyDescent="0.3">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row>
    <row r="987" spans="1:29" ht="15.75" customHeight="1" x14ac:dyDescent="0.3">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row>
    <row r="988" spans="1:29" ht="15.75" customHeight="1" x14ac:dyDescent="0.3">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row>
    <row r="989" spans="1:29" ht="15.75" customHeight="1" x14ac:dyDescent="0.3">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row>
    <row r="990" spans="1:29" ht="15.75" customHeight="1" x14ac:dyDescent="0.3">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row>
    <row r="991" spans="1:29" ht="15.75" customHeight="1" x14ac:dyDescent="0.3">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row>
    <row r="992" spans="1:29" ht="15.75" customHeight="1" x14ac:dyDescent="0.3">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row>
    <row r="993" spans="1:29" ht="15.75" customHeight="1" x14ac:dyDescent="0.3">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row>
    <row r="994" spans="1:29" ht="15.75" customHeight="1" x14ac:dyDescent="0.3">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row>
    <row r="995" spans="1:29" ht="15.75" customHeight="1" x14ac:dyDescent="0.3">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row>
  </sheetData>
  <mergeCells count="17">
    <mergeCell ref="D19:D22"/>
    <mergeCell ref="C5:H5"/>
    <mergeCell ref="C6:C7"/>
    <mergeCell ref="D6:D7"/>
    <mergeCell ref="E6:H6"/>
    <mergeCell ref="D9:D17"/>
    <mergeCell ref="C37:C38"/>
    <mergeCell ref="D37:D38"/>
    <mergeCell ref="E37:AA37"/>
    <mergeCell ref="AC38:AC39"/>
    <mergeCell ref="AD38:AD39"/>
    <mergeCell ref="D40:D47"/>
    <mergeCell ref="O36:AA36"/>
    <mergeCell ref="D57:D60"/>
    <mergeCell ref="D26:D29"/>
    <mergeCell ref="AC36:AD37"/>
    <mergeCell ref="D50:D53"/>
  </mergeCells>
  <pageMargins left="0.7" right="0.7" top="0.75" bottom="0.75"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A6764-0AD4-4FF3-9EC1-B1AEC4945853}">
  <dimension ref="B3:S284"/>
  <sheetViews>
    <sheetView topLeftCell="E33" workbookViewId="0">
      <selection activeCell="J42" sqref="J42"/>
    </sheetView>
  </sheetViews>
  <sheetFormatPr defaultRowHeight="13.8" x14ac:dyDescent="0.25"/>
  <cols>
    <col min="1" max="1" width="8.88671875" style="9"/>
    <col min="2" max="2" width="20.5546875" style="9" customWidth="1"/>
    <col min="3" max="3" width="9.21875" style="9" customWidth="1"/>
    <col min="4" max="4" width="18.21875" style="9" customWidth="1"/>
    <col min="5" max="5" width="14.6640625" style="9" customWidth="1"/>
    <col min="6" max="7" width="15.109375" style="9" customWidth="1"/>
    <col min="8" max="8" width="21.44140625" style="9" customWidth="1"/>
    <col min="9" max="9" width="20.109375" style="9" customWidth="1"/>
    <col min="10" max="10" width="19.109375" style="93" customWidth="1"/>
    <col min="11" max="11" width="8.88671875" style="9"/>
    <col min="12" max="12" width="13.44140625" style="9" customWidth="1"/>
    <col min="13" max="13" width="14.5546875" style="9" customWidth="1"/>
    <col min="14" max="14" width="13.5546875" style="9" customWidth="1"/>
    <col min="15" max="15" width="10.33203125" style="9" customWidth="1"/>
    <col min="16" max="16" width="12.109375" style="9" customWidth="1"/>
    <col min="17" max="17" width="13.109375" style="9" customWidth="1"/>
    <col min="18" max="18" width="16.5546875" style="9" customWidth="1"/>
    <col min="19" max="19" width="17.109375" style="9" customWidth="1"/>
    <col min="20" max="20" width="28.33203125" style="9" customWidth="1"/>
    <col min="21" max="16384" width="8.88671875" style="9"/>
  </cols>
  <sheetData>
    <row r="3" spans="2:10" x14ac:dyDescent="0.25">
      <c r="B3" s="242" t="s">
        <v>112</v>
      </c>
      <c r="C3" s="241" t="s">
        <v>154</v>
      </c>
      <c r="D3" s="241" t="s">
        <v>155</v>
      </c>
      <c r="E3" s="241" t="s">
        <v>156</v>
      </c>
      <c r="F3" s="241" t="s">
        <v>157</v>
      </c>
      <c r="G3" s="244" t="s">
        <v>129</v>
      </c>
      <c r="H3" s="241" t="s">
        <v>158</v>
      </c>
      <c r="J3" s="9"/>
    </row>
    <row r="4" spans="2:10" ht="14.4" customHeight="1" x14ac:dyDescent="0.25">
      <c r="B4" s="243"/>
      <c r="C4" s="241"/>
      <c r="D4" s="241"/>
      <c r="E4" s="241"/>
      <c r="F4" s="241"/>
      <c r="G4" s="245"/>
      <c r="H4" s="241"/>
      <c r="J4" s="9"/>
    </row>
    <row r="5" spans="2:10" x14ac:dyDescent="0.25">
      <c r="B5" s="84" t="s">
        <v>114</v>
      </c>
      <c r="C5" s="11"/>
      <c r="D5" s="11"/>
      <c r="E5" s="11"/>
      <c r="F5" s="11"/>
      <c r="G5" s="11"/>
      <c r="H5" s="11"/>
      <c r="J5" s="9"/>
    </row>
    <row r="6" spans="2:10" x14ac:dyDescent="0.25">
      <c r="B6" s="85" t="s">
        <v>72</v>
      </c>
      <c r="C6" s="19">
        <f>'[2]Proyeksi Fasum'!AA40</f>
        <v>267.64749840977242</v>
      </c>
      <c r="D6" s="11">
        <f>15*12</f>
        <v>180</v>
      </c>
      <c r="E6" s="19">
        <f>C6*D6</f>
        <v>48176.549713759036</v>
      </c>
      <c r="F6" s="11">
        <v>40</v>
      </c>
      <c r="G6" s="11" t="s">
        <v>159</v>
      </c>
      <c r="H6" s="86">
        <f t="shared" ref="H6:H13" si="0">E6*F6</f>
        <v>1927061.9885503615</v>
      </c>
      <c r="J6" s="9"/>
    </row>
    <row r="7" spans="2:10" x14ac:dyDescent="0.25">
      <c r="B7" s="85" t="s">
        <v>73</v>
      </c>
      <c r="C7" s="19">
        <f>'[2]Proyeksi Fasum'!AA41</f>
        <v>344.55769910223574</v>
      </c>
      <c r="D7" s="11">
        <f>25*12</f>
        <v>300</v>
      </c>
      <c r="E7" s="19">
        <f t="shared" ref="E7:E13" si="1">C7*D7</f>
        <v>103367.30973067072</v>
      </c>
      <c r="F7" s="11">
        <v>40</v>
      </c>
      <c r="G7" s="11" t="s">
        <v>159</v>
      </c>
      <c r="H7" s="86">
        <f t="shared" si="0"/>
        <v>4134692.3892268287</v>
      </c>
      <c r="J7" s="9"/>
    </row>
    <row r="8" spans="2:10" x14ac:dyDescent="0.25">
      <c r="B8" s="85" t="s">
        <v>74</v>
      </c>
      <c r="C8" s="19">
        <f>'[2]Proyeksi Fasum'!AA42</f>
        <v>50.760732457025803</v>
      </c>
      <c r="D8" s="11">
        <f>25*12</f>
        <v>300</v>
      </c>
      <c r="E8" s="19">
        <f t="shared" si="1"/>
        <v>15228.21973710774</v>
      </c>
      <c r="F8" s="11">
        <v>40</v>
      </c>
      <c r="G8" s="11" t="s">
        <v>159</v>
      </c>
      <c r="H8" s="86">
        <f t="shared" si="0"/>
        <v>609128.78948430961</v>
      </c>
      <c r="J8" s="9"/>
    </row>
    <row r="9" spans="2:10" x14ac:dyDescent="0.25">
      <c r="B9" s="85" t="s">
        <v>75</v>
      </c>
      <c r="C9" s="19">
        <f>'[2]Proyeksi Fasum'!AA43</f>
        <v>130.74734117718768</v>
      </c>
      <c r="D9" s="11">
        <f>30*18</f>
        <v>540</v>
      </c>
      <c r="E9" s="19">
        <f t="shared" si="1"/>
        <v>70603.564235681348</v>
      </c>
      <c r="F9" s="11">
        <v>50</v>
      </c>
      <c r="G9" s="11" t="s">
        <v>159</v>
      </c>
      <c r="H9" s="86">
        <f t="shared" si="0"/>
        <v>3530178.2117840676</v>
      </c>
      <c r="J9" s="9"/>
    </row>
    <row r="10" spans="2:10" x14ac:dyDescent="0.25">
      <c r="B10" s="85" t="s">
        <v>76</v>
      </c>
      <c r="C10" s="19">
        <f>'[2]Proyeksi Fasum'!AA44</f>
        <v>75.371996678614067</v>
      </c>
      <c r="D10" s="11">
        <f>30*18</f>
        <v>540</v>
      </c>
      <c r="E10" s="19">
        <f t="shared" si="1"/>
        <v>40700.878206451598</v>
      </c>
      <c r="F10" s="11">
        <v>50</v>
      </c>
      <c r="G10" s="11" t="s">
        <v>159</v>
      </c>
      <c r="H10" s="86">
        <f t="shared" si="0"/>
        <v>2035043.91032258</v>
      </c>
      <c r="J10" s="9"/>
    </row>
    <row r="11" spans="2:10" x14ac:dyDescent="0.25">
      <c r="B11" s="85" t="s">
        <v>77</v>
      </c>
      <c r="C11" s="19">
        <f>'[2]Proyeksi Fasum'!AA45</f>
        <v>50.760732457025803</v>
      </c>
      <c r="D11" s="11">
        <f>30*24</f>
        <v>720</v>
      </c>
      <c r="E11" s="19">
        <f t="shared" si="1"/>
        <v>36547.727369058579</v>
      </c>
      <c r="F11" s="11">
        <v>80</v>
      </c>
      <c r="G11" s="11" t="s">
        <v>159</v>
      </c>
      <c r="H11" s="86">
        <f t="shared" si="0"/>
        <v>2923818.1895246864</v>
      </c>
      <c r="J11" s="9"/>
    </row>
    <row r="12" spans="2:10" x14ac:dyDescent="0.25">
      <c r="B12" s="85" t="s">
        <v>78</v>
      </c>
      <c r="C12" s="19">
        <f>'[2]Proyeksi Fasum'!AA46</f>
        <v>93.830444844805271</v>
      </c>
      <c r="D12" s="11">
        <f>30*24</f>
        <v>720</v>
      </c>
      <c r="E12" s="19">
        <f t="shared" si="1"/>
        <v>67557.920288259789</v>
      </c>
      <c r="F12" s="11">
        <v>80</v>
      </c>
      <c r="G12" s="11" t="s">
        <v>159</v>
      </c>
      <c r="H12" s="86">
        <f t="shared" si="0"/>
        <v>5404633.6230607834</v>
      </c>
      <c r="J12" s="9"/>
    </row>
    <row r="13" spans="2:10" x14ac:dyDescent="0.25">
      <c r="B13" s="85" t="s">
        <v>79</v>
      </c>
      <c r="C13" s="19">
        <f>'[2]Proyeksi Fasum'!AA47</f>
        <v>24.611264221588268</v>
      </c>
      <c r="D13" s="11">
        <f>30*24</f>
        <v>720</v>
      </c>
      <c r="E13" s="19">
        <f t="shared" si="1"/>
        <v>17720.110239543552</v>
      </c>
      <c r="F13" s="11">
        <v>80</v>
      </c>
      <c r="G13" s="11" t="s">
        <v>159</v>
      </c>
      <c r="H13" s="86">
        <f t="shared" si="0"/>
        <v>1417608.819163484</v>
      </c>
      <c r="J13" s="9"/>
    </row>
    <row r="14" spans="2:10" x14ac:dyDescent="0.25">
      <c r="B14" s="85" t="s">
        <v>80</v>
      </c>
      <c r="C14" s="19"/>
      <c r="D14" s="11"/>
      <c r="E14" s="19"/>
      <c r="F14" s="11"/>
      <c r="G14" s="11"/>
      <c r="H14" s="86"/>
      <c r="J14" s="9"/>
    </row>
    <row r="15" spans="2:10" x14ac:dyDescent="0.25">
      <c r="B15" s="242" t="s">
        <v>112</v>
      </c>
      <c r="C15" s="241" t="s">
        <v>154</v>
      </c>
      <c r="D15" s="241" t="s">
        <v>160</v>
      </c>
      <c r="E15" s="241" t="s">
        <v>161</v>
      </c>
      <c r="F15" s="241" t="s">
        <v>157</v>
      </c>
      <c r="G15" s="244" t="s">
        <v>129</v>
      </c>
      <c r="H15" s="246" t="s">
        <v>158</v>
      </c>
      <c r="J15" s="9"/>
    </row>
    <row r="16" spans="2:10" x14ac:dyDescent="0.25">
      <c r="B16" s="243"/>
      <c r="C16" s="241"/>
      <c r="D16" s="241"/>
      <c r="E16" s="241"/>
      <c r="F16" s="241"/>
      <c r="G16" s="245"/>
      <c r="H16" s="246"/>
      <c r="J16" s="9"/>
    </row>
    <row r="17" spans="2:19" x14ac:dyDescent="0.25">
      <c r="B17" s="87" t="s">
        <v>116</v>
      </c>
      <c r="C17" s="19"/>
      <c r="D17" s="11"/>
      <c r="E17" s="19"/>
      <c r="F17" s="11"/>
      <c r="G17" s="11"/>
      <c r="H17" s="86"/>
      <c r="J17" s="9"/>
    </row>
    <row r="18" spans="2:19" x14ac:dyDescent="0.25">
      <c r="B18" s="85" t="s">
        <v>117</v>
      </c>
      <c r="C18" s="19">
        <f>'[2]Proyeksi Fasum'!AA50</f>
        <v>16.920244152341933</v>
      </c>
      <c r="D18" s="11">
        <f>8.5*100</f>
        <v>850</v>
      </c>
      <c r="E18" s="19">
        <f>C18*D18</f>
        <v>14382.207529490643</v>
      </c>
      <c r="F18" s="11">
        <v>5</v>
      </c>
      <c r="G18" s="11" t="s">
        <v>162</v>
      </c>
      <c r="H18" s="86">
        <f>D18*E18*F18</f>
        <v>61124382.000335231</v>
      </c>
      <c r="J18" s="9"/>
    </row>
    <row r="19" spans="2:19" x14ac:dyDescent="0.25">
      <c r="B19" s="85" t="s">
        <v>118</v>
      </c>
      <c r="C19" s="19">
        <f>'[2]Proyeksi Fasum'!AA51</f>
        <v>12462.52892020676</v>
      </c>
      <c r="D19" s="11">
        <v>25</v>
      </c>
      <c r="E19" s="19">
        <f>C19*D19</f>
        <v>311563.22300516901</v>
      </c>
      <c r="F19" s="11">
        <v>5</v>
      </c>
      <c r="G19" s="11" t="s">
        <v>162</v>
      </c>
      <c r="H19" s="86">
        <f>D19*E19*F19</f>
        <v>38945402.875646122</v>
      </c>
      <c r="J19" s="9"/>
      <c r="L19" s="88" t="s">
        <v>164</v>
      </c>
      <c r="S19" s="88" t="s">
        <v>163</v>
      </c>
    </row>
    <row r="20" spans="2:19" x14ac:dyDescent="0.25">
      <c r="B20" s="85" t="s">
        <v>119</v>
      </c>
      <c r="C20" s="19">
        <f>'[2]Proyeksi Fasum'!AA52</f>
        <v>207.657541869651</v>
      </c>
      <c r="D20" s="11">
        <v>150</v>
      </c>
      <c r="E20" s="19">
        <f>C20*D20</f>
        <v>31148.631280447651</v>
      </c>
      <c r="F20" s="11">
        <v>5</v>
      </c>
      <c r="G20" s="11" t="s">
        <v>162</v>
      </c>
      <c r="H20" s="86">
        <f>D20*E20*F20</f>
        <v>23361473.460335735</v>
      </c>
      <c r="J20" s="9"/>
    </row>
    <row r="21" spans="2:19" x14ac:dyDescent="0.25">
      <c r="B21" s="85" t="s">
        <v>120</v>
      </c>
      <c r="C21" s="19">
        <f>'[2]Proyeksi Fasum'!AA53</f>
        <v>4854.5718677082859</v>
      </c>
      <c r="D21" s="11">
        <v>25</v>
      </c>
      <c r="E21" s="19">
        <f>C21*D21</f>
        <v>121364.29669270715</v>
      </c>
      <c r="F21" s="11">
        <v>5</v>
      </c>
      <c r="G21" s="11" t="s">
        <v>162</v>
      </c>
      <c r="H21" s="86">
        <f>D21*E21*F21</f>
        <v>15170537.086588394</v>
      </c>
      <c r="J21" s="9"/>
    </row>
    <row r="22" spans="2:19" x14ac:dyDescent="0.25">
      <c r="B22" s="242" t="s">
        <v>112</v>
      </c>
      <c r="C22" s="241" t="s">
        <v>154</v>
      </c>
      <c r="D22" s="241" t="s">
        <v>155</v>
      </c>
      <c r="E22" s="241" t="s">
        <v>156</v>
      </c>
      <c r="F22" s="241" t="s">
        <v>157</v>
      </c>
      <c r="G22" s="244" t="s">
        <v>129</v>
      </c>
      <c r="H22" s="246" t="s">
        <v>158</v>
      </c>
      <c r="J22" s="9"/>
    </row>
    <row r="23" spans="2:19" x14ac:dyDescent="0.25">
      <c r="B23" s="243"/>
      <c r="C23" s="241"/>
      <c r="D23" s="241"/>
      <c r="E23" s="241"/>
      <c r="F23" s="241"/>
      <c r="G23" s="245"/>
      <c r="H23" s="246"/>
      <c r="J23" s="9"/>
    </row>
    <row r="24" spans="2:19" x14ac:dyDescent="0.25">
      <c r="B24" s="87" t="s">
        <v>121</v>
      </c>
      <c r="C24" s="19"/>
      <c r="D24" s="11"/>
      <c r="E24" s="19"/>
      <c r="F24" s="11"/>
      <c r="G24" s="11"/>
      <c r="H24" s="86"/>
      <c r="J24" s="9"/>
    </row>
    <row r="25" spans="2:19" x14ac:dyDescent="0.25">
      <c r="B25" s="85" t="s">
        <v>122</v>
      </c>
      <c r="C25" s="19">
        <f>'[2]Proyeksi Fasum'!AA55</f>
        <v>4.6146120415478</v>
      </c>
      <c r="D25" s="11">
        <v>250</v>
      </c>
      <c r="E25" s="19">
        <f>C25*D25</f>
        <v>1153.65301038695</v>
      </c>
      <c r="F25" s="11">
        <v>500</v>
      </c>
      <c r="G25" s="11" t="s">
        <v>165</v>
      </c>
      <c r="H25" s="86">
        <f>E25*F25</f>
        <v>576826.50519347494</v>
      </c>
      <c r="J25" s="9"/>
    </row>
    <row r="26" spans="2:19" x14ac:dyDescent="0.25">
      <c r="B26" s="242" t="s">
        <v>112</v>
      </c>
      <c r="C26" s="241" t="s">
        <v>154</v>
      </c>
      <c r="D26" s="241" t="s">
        <v>166</v>
      </c>
      <c r="E26" s="241" t="s">
        <v>167</v>
      </c>
      <c r="F26" s="241" t="s">
        <v>157</v>
      </c>
      <c r="G26" s="244" t="s">
        <v>129</v>
      </c>
      <c r="H26" s="246" t="s">
        <v>158</v>
      </c>
      <c r="J26" s="9"/>
    </row>
    <row r="27" spans="2:19" x14ac:dyDescent="0.25">
      <c r="B27" s="243"/>
      <c r="C27" s="241"/>
      <c r="D27" s="241"/>
      <c r="E27" s="241"/>
      <c r="F27" s="241"/>
      <c r="G27" s="245"/>
      <c r="H27" s="246"/>
      <c r="J27" s="9"/>
    </row>
    <row r="28" spans="2:19" x14ac:dyDescent="0.25">
      <c r="B28" s="89" t="s">
        <v>123</v>
      </c>
      <c r="C28" s="19"/>
      <c r="D28" s="11"/>
      <c r="E28" s="19"/>
      <c r="F28" s="11"/>
      <c r="G28" s="11"/>
      <c r="H28" s="86"/>
      <c r="J28" s="9"/>
    </row>
    <row r="29" spans="2:19" x14ac:dyDescent="0.25">
      <c r="B29" s="90" t="s">
        <v>124</v>
      </c>
      <c r="C29" s="19">
        <f>'[2]Proyeksi Fasum'!AA57</f>
        <v>1150.5766023592516</v>
      </c>
      <c r="D29" s="11">
        <v>1</v>
      </c>
      <c r="E29" s="19">
        <f>C29*D29</f>
        <v>1150.5766023592516</v>
      </c>
      <c r="F29" s="11">
        <v>3000</v>
      </c>
      <c r="G29" s="11" t="s">
        <v>168</v>
      </c>
      <c r="H29" s="86">
        <f>E29*F29</f>
        <v>3451729.8070777548</v>
      </c>
      <c r="J29" s="9"/>
    </row>
    <row r="30" spans="2:19" x14ac:dyDescent="0.25">
      <c r="B30" s="90" t="s">
        <v>125</v>
      </c>
      <c r="C30" s="19">
        <f>'[2]Proyeksi Fasum'!AA58</f>
        <v>3385.587034482236</v>
      </c>
      <c r="D30" s="11">
        <v>1</v>
      </c>
      <c r="E30" s="19">
        <f>C30*D30</f>
        <v>3385.587034482236</v>
      </c>
      <c r="F30" s="11">
        <v>3000</v>
      </c>
      <c r="G30" s="11" t="s">
        <v>168</v>
      </c>
      <c r="H30" s="86">
        <f>E30*F30</f>
        <v>10156761.103446709</v>
      </c>
      <c r="J30" s="9"/>
    </row>
    <row r="31" spans="2:19" ht="14.4" customHeight="1" x14ac:dyDescent="0.25">
      <c r="B31" s="242" t="s">
        <v>112</v>
      </c>
      <c r="C31" s="241" t="s">
        <v>154</v>
      </c>
      <c r="D31" s="241" t="s">
        <v>166</v>
      </c>
      <c r="E31" s="241" t="s">
        <v>167</v>
      </c>
      <c r="F31" s="241" t="s">
        <v>157</v>
      </c>
      <c r="G31" s="244" t="s">
        <v>129</v>
      </c>
      <c r="H31" s="246" t="s">
        <v>158</v>
      </c>
      <c r="J31" s="9"/>
    </row>
    <row r="32" spans="2:19" x14ac:dyDescent="0.25">
      <c r="B32" s="243"/>
      <c r="C32" s="241"/>
      <c r="D32" s="241"/>
      <c r="E32" s="241"/>
      <c r="F32" s="241"/>
      <c r="G32" s="245"/>
      <c r="H32" s="246"/>
      <c r="J32" s="9"/>
    </row>
    <row r="33" spans="2:19" x14ac:dyDescent="0.25">
      <c r="B33" s="90" t="s">
        <v>126</v>
      </c>
      <c r="C33" s="19">
        <f>'[2]Proyeksi Fasum'!AA59</f>
        <v>30.764080276985336</v>
      </c>
      <c r="D33" s="19">
        <v>1</v>
      </c>
      <c r="E33" s="19">
        <f>C33*D33</f>
        <v>30.764080276985336</v>
      </c>
      <c r="F33" s="11">
        <v>1000</v>
      </c>
      <c r="G33" s="11" t="s">
        <v>168</v>
      </c>
      <c r="H33" s="86">
        <f>E33*F33</f>
        <v>30764.080276985336</v>
      </c>
      <c r="J33" s="9"/>
    </row>
    <row r="34" spans="2:19" x14ac:dyDescent="0.25">
      <c r="B34" s="90" t="s">
        <v>127</v>
      </c>
      <c r="C34" s="19">
        <f>'[2]Proyeksi Fasum'!AA60</f>
        <v>3.0764080276985335</v>
      </c>
      <c r="D34" s="11">
        <v>1</v>
      </c>
      <c r="E34" s="19">
        <f>C34*D34</f>
        <v>3.0764080276985335</v>
      </c>
      <c r="F34" s="11">
        <v>1000</v>
      </c>
      <c r="G34" s="11" t="s">
        <v>168</v>
      </c>
      <c r="H34" s="86">
        <f>E34*F34</f>
        <v>3076.4080276985337</v>
      </c>
      <c r="J34" s="9"/>
    </row>
    <row r="35" spans="2:19" x14ac:dyDescent="0.25">
      <c r="J35" s="9"/>
    </row>
    <row r="36" spans="2:19" x14ac:dyDescent="0.25">
      <c r="B36" s="237" t="s">
        <v>72</v>
      </c>
      <c r="C36" s="238"/>
      <c r="D36" s="238"/>
      <c r="E36" s="238"/>
      <c r="F36" s="238"/>
      <c r="G36" s="238"/>
      <c r="H36" s="238"/>
      <c r="I36" s="239"/>
      <c r="J36" s="9"/>
      <c r="L36" s="237" t="s">
        <v>169</v>
      </c>
      <c r="M36" s="238"/>
      <c r="N36" s="238"/>
      <c r="O36" s="238"/>
      <c r="P36" s="238"/>
      <c r="Q36" s="238"/>
      <c r="R36" s="238"/>
      <c r="S36" s="239"/>
    </row>
    <row r="37" spans="2:19" ht="14.4" customHeight="1" x14ac:dyDescent="0.25">
      <c r="B37" s="240" t="s">
        <v>40</v>
      </c>
      <c r="C37" s="241" t="s">
        <v>154</v>
      </c>
      <c r="D37" s="241" t="s">
        <v>155</v>
      </c>
      <c r="E37" s="241" t="s">
        <v>156</v>
      </c>
      <c r="F37" s="241" t="s">
        <v>157</v>
      </c>
      <c r="G37" s="241" t="s">
        <v>129</v>
      </c>
      <c r="H37" s="241" t="s">
        <v>158</v>
      </c>
      <c r="I37" s="241" t="s">
        <v>178</v>
      </c>
      <c r="J37" s="9"/>
      <c r="L37" s="242" t="s">
        <v>40</v>
      </c>
      <c r="M37" s="241" t="s">
        <v>154</v>
      </c>
      <c r="N37" s="241" t="s">
        <v>160</v>
      </c>
      <c r="O37" s="241" t="s">
        <v>161</v>
      </c>
      <c r="P37" s="241" t="s">
        <v>157</v>
      </c>
      <c r="Q37" s="244" t="s">
        <v>129</v>
      </c>
      <c r="R37" s="246" t="s">
        <v>158</v>
      </c>
      <c r="S37" s="241" t="s">
        <v>178</v>
      </c>
    </row>
    <row r="38" spans="2:19" x14ac:dyDescent="0.25">
      <c r="B38" s="240"/>
      <c r="C38" s="241"/>
      <c r="D38" s="241"/>
      <c r="E38" s="241"/>
      <c r="F38" s="241"/>
      <c r="G38" s="241"/>
      <c r="H38" s="241"/>
      <c r="I38" s="241"/>
      <c r="J38" s="9"/>
      <c r="L38" s="243"/>
      <c r="M38" s="241"/>
      <c r="N38" s="241"/>
      <c r="O38" s="241"/>
      <c r="P38" s="241"/>
      <c r="Q38" s="245"/>
      <c r="R38" s="246"/>
      <c r="S38" s="241"/>
    </row>
    <row r="39" spans="2:19" x14ac:dyDescent="0.25">
      <c r="B39" s="19">
        <f>'[2]Debit AL Domestik'!B14</f>
        <v>2023</v>
      </c>
      <c r="C39" s="19">
        <f>'[2]Proyeksi Fasum'!G40</f>
        <v>183.14483366051525</v>
      </c>
      <c r="D39" s="19">
        <v>180</v>
      </c>
      <c r="E39" s="19">
        <f t="shared" ref="E39:E59" si="2">D39*C39</f>
        <v>32966.070058892743</v>
      </c>
      <c r="F39" s="86">
        <v>40</v>
      </c>
      <c r="G39" s="86" t="s">
        <v>159</v>
      </c>
      <c r="H39" s="86">
        <f t="shared" ref="H39:H59" si="3">F39*E39</f>
        <v>1318642.8023557097</v>
      </c>
      <c r="I39" s="86">
        <f t="shared" ref="I39:I59" si="4">H39/1000</f>
        <v>1318.6428023557098</v>
      </c>
      <c r="J39" s="9"/>
      <c r="L39" s="19">
        <f>'[2]Proyeksi Fasum'!AC49</f>
        <v>2023</v>
      </c>
      <c r="M39" s="19">
        <f>'[2]Proyeksi Fasum'!G52</f>
        <v>142.09512956419286</v>
      </c>
      <c r="N39" s="19">
        <f>D20</f>
        <v>150</v>
      </c>
      <c r="O39" s="19">
        <f t="shared" ref="O39:O59" si="5">N39*M39</f>
        <v>21314.269434628928</v>
      </c>
      <c r="P39" s="19">
        <f t="shared" ref="P39:P59" si="6">$F$18</f>
        <v>5</v>
      </c>
      <c r="Q39" s="86" t="str">
        <f t="shared" ref="Q39:Q59" si="7">$G$18</f>
        <v xml:space="preserve"> (L/m2)</v>
      </c>
      <c r="R39" s="86">
        <f t="shared" ref="R39:R59" si="8">P39*O39</f>
        <v>106571.34717314463</v>
      </c>
      <c r="S39" s="86">
        <f t="shared" ref="S39:S59" si="9">R39/1000</f>
        <v>106.57134717314463</v>
      </c>
    </row>
    <row r="40" spans="2:19" x14ac:dyDescent="0.25">
      <c r="B40" s="19">
        <f>'[2]Debit AL Domestik'!B15</f>
        <v>2024</v>
      </c>
      <c r="C40" s="19">
        <f>'[2]Proyeksi Fasum'!H40</f>
        <v>186.83864083034604</v>
      </c>
      <c r="D40" s="19">
        <v>180</v>
      </c>
      <c r="E40" s="19">
        <f t="shared" si="2"/>
        <v>33630.955349462289</v>
      </c>
      <c r="F40" s="86">
        <v>40</v>
      </c>
      <c r="G40" s="86" t="s">
        <v>159</v>
      </c>
      <c r="H40" s="86">
        <f t="shared" si="3"/>
        <v>1345238.2139784915</v>
      </c>
      <c r="I40" s="86">
        <f t="shared" si="4"/>
        <v>1345.2382139784916</v>
      </c>
      <c r="J40" s="9"/>
      <c r="L40" s="19">
        <f>'[2]Proyeksi Fasum'!AC50</f>
        <v>2024</v>
      </c>
      <c r="M40" s="19">
        <f>'[2]Proyeksi Fasum'!H52</f>
        <v>144.96101443733744</v>
      </c>
      <c r="N40" s="19">
        <v>150</v>
      </c>
      <c r="O40" s="19">
        <f t="shared" si="5"/>
        <v>21744.152165600615</v>
      </c>
      <c r="P40" s="19">
        <f t="shared" si="6"/>
        <v>5</v>
      </c>
      <c r="Q40" s="86" t="str">
        <f t="shared" si="7"/>
        <v xml:space="preserve"> (L/m2)</v>
      </c>
      <c r="R40" s="86">
        <f t="shared" si="8"/>
        <v>108720.76082800308</v>
      </c>
      <c r="S40" s="86">
        <f t="shared" si="9"/>
        <v>108.72076082800308</v>
      </c>
    </row>
    <row r="41" spans="2:19" x14ac:dyDescent="0.25">
      <c r="B41" s="19">
        <f>'[2]Debit AL Domestik'!B16</f>
        <v>2025</v>
      </c>
      <c r="C41" s="19">
        <f>'[2]Proyeksi Fasum'!I40</f>
        <v>190.60694757046321</v>
      </c>
      <c r="D41" s="19">
        <v>180</v>
      </c>
      <c r="E41" s="19">
        <f t="shared" si="2"/>
        <v>34309.250562683374</v>
      </c>
      <c r="F41" s="86">
        <v>40</v>
      </c>
      <c r="G41" s="86" t="s">
        <v>159</v>
      </c>
      <c r="H41" s="86">
        <f t="shared" si="3"/>
        <v>1372370.0225073351</v>
      </c>
      <c r="I41" s="86">
        <f t="shared" si="4"/>
        <v>1372.3700225073351</v>
      </c>
      <c r="J41" s="9"/>
      <c r="L41" s="19">
        <f>'[2]Proyeksi Fasum'!AC51</f>
        <v>2025</v>
      </c>
      <c r="M41" s="19">
        <f>'[2]Proyeksi Fasum'!I52</f>
        <v>147.88470070122145</v>
      </c>
      <c r="N41" s="19">
        <v>150</v>
      </c>
      <c r="O41" s="19">
        <f t="shared" si="5"/>
        <v>22182.705105183217</v>
      </c>
      <c r="P41" s="19">
        <f t="shared" si="6"/>
        <v>5</v>
      </c>
      <c r="Q41" s="86" t="str">
        <f t="shared" si="7"/>
        <v xml:space="preserve"> (L/m2)</v>
      </c>
      <c r="R41" s="86">
        <f t="shared" si="8"/>
        <v>110913.52552591608</v>
      </c>
      <c r="S41" s="86">
        <f t="shared" si="9"/>
        <v>110.91352552591607</v>
      </c>
    </row>
    <row r="42" spans="2:19" x14ac:dyDescent="0.25">
      <c r="B42" s="19">
        <f>'[2]Debit AL Domestik'!B17</f>
        <v>2026</v>
      </c>
      <c r="C42" s="19">
        <f>'[2]Proyeksi Fasum'!J40</f>
        <v>194.4512564460301</v>
      </c>
      <c r="D42" s="19">
        <v>180</v>
      </c>
      <c r="E42" s="19">
        <f t="shared" si="2"/>
        <v>35001.22616028542</v>
      </c>
      <c r="F42" s="86">
        <v>40</v>
      </c>
      <c r="G42" s="86" t="s">
        <v>159</v>
      </c>
      <c r="H42" s="86">
        <f t="shared" si="3"/>
        <v>1400049.0464114167</v>
      </c>
      <c r="I42" s="86">
        <f t="shared" si="4"/>
        <v>1400.0490464114168</v>
      </c>
      <c r="J42" s="9"/>
      <c r="L42" s="19">
        <f>'[2]Proyeksi Fasum'!AC52</f>
        <v>2026</v>
      </c>
      <c r="M42" s="19">
        <f>'[2]Proyeksi Fasum'!J52</f>
        <v>150.86735413916128</v>
      </c>
      <c r="N42" s="19">
        <v>150</v>
      </c>
      <c r="O42" s="19">
        <f t="shared" si="5"/>
        <v>22630.103120874192</v>
      </c>
      <c r="P42" s="19">
        <f t="shared" si="6"/>
        <v>5</v>
      </c>
      <c r="Q42" s="86" t="str">
        <f t="shared" si="7"/>
        <v xml:space="preserve"> (L/m2)</v>
      </c>
      <c r="R42" s="86">
        <f t="shared" si="8"/>
        <v>113150.51560437096</v>
      </c>
      <c r="S42" s="86">
        <f t="shared" si="9"/>
        <v>113.15051560437095</v>
      </c>
    </row>
    <row r="43" spans="2:19" x14ac:dyDescent="0.25">
      <c r="B43" s="19">
        <f>'[2]Debit AL Domestik'!B18</f>
        <v>2027</v>
      </c>
      <c r="C43" s="19">
        <f>'[2]Proyeksi Fasum'!K40</f>
        <v>198.37310032711028</v>
      </c>
      <c r="D43" s="19">
        <v>180</v>
      </c>
      <c r="E43" s="19">
        <f t="shared" si="2"/>
        <v>35707.158058879853</v>
      </c>
      <c r="F43" s="86">
        <v>40</v>
      </c>
      <c r="G43" s="86" t="s">
        <v>159</v>
      </c>
      <c r="H43" s="86">
        <f t="shared" si="3"/>
        <v>1428286.322355194</v>
      </c>
      <c r="I43" s="86">
        <f t="shared" si="4"/>
        <v>1428.286322355194</v>
      </c>
      <c r="J43" s="9"/>
      <c r="L43" s="19">
        <f>'[2]Proyeksi Fasum'!AC53</f>
        <v>2027</v>
      </c>
      <c r="M43" s="19">
        <f>'[2]Proyeksi Fasum'!K52</f>
        <v>153.91016404689591</v>
      </c>
      <c r="N43" s="19">
        <v>150</v>
      </c>
      <c r="O43" s="19">
        <f t="shared" si="5"/>
        <v>23086.524607034386</v>
      </c>
      <c r="P43" s="19">
        <f t="shared" si="6"/>
        <v>5</v>
      </c>
      <c r="Q43" s="86" t="str">
        <f t="shared" si="7"/>
        <v xml:space="preserve"> (L/m2)</v>
      </c>
      <c r="R43" s="86">
        <f t="shared" si="8"/>
        <v>115432.62303517193</v>
      </c>
      <c r="S43" s="86">
        <f t="shared" si="9"/>
        <v>115.43262303517193</v>
      </c>
    </row>
    <row r="44" spans="2:19" x14ac:dyDescent="0.25">
      <c r="B44" s="19">
        <f>'[2]Debit AL Domestik'!B19</f>
        <v>2028</v>
      </c>
      <c r="C44" s="19">
        <f>'[2]Proyeksi Fasum'!L40</f>
        <v>202.37404299988091</v>
      </c>
      <c r="D44" s="19">
        <v>180</v>
      </c>
      <c r="E44" s="19">
        <f t="shared" si="2"/>
        <v>36427.327739978566</v>
      </c>
      <c r="F44" s="86">
        <v>40</v>
      </c>
      <c r="G44" s="86" t="s">
        <v>159</v>
      </c>
      <c r="H44" s="86">
        <f t="shared" si="3"/>
        <v>1457093.1095991426</v>
      </c>
      <c r="I44" s="86">
        <f t="shared" si="4"/>
        <v>1457.0931095991425</v>
      </c>
      <c r="J44" s="9"/>
      <c r="L44" s="19">
        <f>'[2]Proyeksi Fasum'!AC54</f>
        <v>2028</v>
      </c>
      <c r="M44" s="19">
        <f>'[2]Proyeksi Fasum'!L52</f>
        <v>157.01434370680417</v>
      </c>
      <c r="N44" s="19">
        <v>150</v>
      </c>
      <c r="O44" s="19">
        <f t="shared" si="5"/>
        <v>23552.151556020624</v>
      </c>
      <c r="P44" s="19">
        <f t="shared" si="6"/>
        <v>5</v>
      </c>
      <c r="Q44" s="86" t="str">
        <f t="shared" si="7"/>
        <v xml:space="preserve"> (L/m2)</v>
      </c>
      <c r="R44" s="86">
        <f t="shared" si="8"/>
        <v>117760.75778010313</v>
      </c>
      <c r="S44" s="86">
        <f t="shared" si="9"/>
        <v>117.76075778010313</v>
      </c>
    </row>
    <row r="45" spans="2:19" x14ac:dyDescent="0.25">
      <c r="B45" s="19">
        <f>'[2]Debit AL Domestik'!B20</f>
        <v>2029</v>
      </c>
      <c r="C45" s="19">
        <f>'[2]Proyeksi Fasum'!M40</f>
        <v>206.45567979017247</v>
      </c>
      <c r="D45" s="19">
        <v>180</v>
      </c>
      <c r="E45" s="19">
        <f t="shared" si="2"/>
        <v>37162.022362231044</v>
      </c>
      <c r="F45" s="86">
        <v>40</v>
      </c>
      <c r="G45" s="86" t="s">
        <v>159</v>
      </c>
      <c r="H45" s="86">
        <f t="shared" si="3"/>
        <v>1486480.8944892418</v>
      </c>
      <c r="I45" s="86">
        <f t="shared" si="4"/>
        <v>1486.4808944892418</v>
      </c>
      <c r="J45" s="9"/>
      <c r="L45" s="19">
        <f>'[2]Proyeksi Fasum'!AC55</f>
        <v>2029</v>
      </c>
      <c r="M45" s="19">
        <f>'[2]Proyeksi Fasum'!M52</f>
        <v>160.18113087168553</v>
      </c>
      <c r="N45" s="19">
        <v>150</v>
      </c>
      <c r="O45" s="19">
        <f t="shared" si="5"/>
        <v>24027.169630752829</v>
      </c>
      <c r="P45" s="19">
        <f t="shared" si="6"/>
        <v>5</v>
      </c>
      <c r="Q45" s="86" t="str">
        <f t="shared" si="7"/>
        <v xml:space="preserve"> (L/m2)</v>
      </c>
      <c r="R45" s="86">
        <f t="shared" si="8"/>
        <v>120135.84815376415</v>
      </c>
      <c r="S45" s="86">
        <f t="shared" si="9"/>
        <v>120.13584815376414</v>
      </c>
    </row>
    <row r="46" spans="2:19" x14ac:dyDescent="0.25">
      <c r="B46" s="19">
        <f>'[2]Debit AL Domestik'!B21</f>
        <v>2030</v>
      </c>
      <c r="C46" s="19">
        <f>'[2]Proyeksi Fasum'!N40</f>
        <v>210.61963819958538</v>
      </c>
      <c r="D46" s="19">
        <v>180</v>
      </c>
      <c r="E46" s="19">
        <f t="shared" si="2"/>
        <v>37911.534875925368</v>
      </c>
      <c r="F46" s="86">
        <v>40</v>
      </c>
      <c r="G46" s="86" t="s">
        <v>159</v>
      </c>
      <c r="H46" s="86">
        <f t="shared" si="3"/>
        <v>1516461.3950370147</v>
      </c>
      <c r="I46" s="86">
        <f t="shared" si="4"/>
        <v>1516.4613950370147</v>
      </c>
      <c r="J46" s="9"/>
      <c r="L46" s="19">
        <f>'[2]Proyeksi Fasum'!AC56</f>
        <v>2030</v>
      </c>
      <c r="M46" s="19">
        <f>'[2]Proyeksi Fasum'!N52</f>
        <v>163.411788258299</v>
      </c>
      <c r="N46" s="19">
        <v>150</v>
      </c>
      <c r="O46" s="19">
        <f t="shared" si="5"/>
        <v>24511.768238744851</v>
      </c>
      <c r="P46" s="19">
        <f t="shared" si="6"/>
        <v>5</v>
      </c>
      <c r="Q46" s="86" t="str">
        <f t="shared" si="7"/>
        <v xml:space="preserve"> (L/m2)</v>
      </c>
      <c r="R46" s="86">
        <f t="shared" si="8"/>
        <v>122558.84119372425</v>
      </c>
      <c r="S46" s="86">
        <f t="shared" si="9"/>
        <v>122.55884119372425</v>
      </c>
    </row>
    <row r="47" spans="2:19" x14ac:dyDescent="0.25">
      <c r="B47" s="19">
        <f>'[2]Debit AL Domestik'!B22</f>
        <v>2031</v>
      </c>
      <c r="C47" s="19">
        <f>'[2]Proyeksi Fasum'!O40</f>
        <v>214.86757855443534</v>
      </c>
      <c r="D47" s="19">
        <v>180</v>
      </c>
      <c r="E47" s="19">
        <f t="shared" si="2"/>
        <v>38676.164139798362</v>
      </c>
      <c r="F47" s="86">
        <v>40</v>
      </c>
      <c r="G47" s="86" t="s">
        <v>159</v>
      </c>
      <c r="H47" s="86">
        <f t="shared" si="3"/>
        <v>1547046.5655919346</v>
      </c>
      <c r="I47" s="86">
        <f t="shared" si="4"/>
        <v>1547.0465655919345</v>
      </c>
      <c r="J47" s="9"/>
      <c r="L47" s="19">
        <f>'[2]Proyeksi Fasum'!AC57</f>
        <v>2031</v>
      </c>
      <c r="M47" s="19">
        <f>'[2]Proyeksi Fasum'!O52</f>
        <v>166.707604050855</v>
      </c>
      <c r="N47" s="19">
        <v>150</v>
      </c>
      <c r="O47" s="19">
        <f t="shared" si="5"/>
        <v>25006.140607628251</v>
      </c>
      <c r="P47" s="19">
        <f t="shared" si="6"/>
        <v>5</v>
      </c>
      <c r="Q47" s="86" t="str">
        <f t="shared" si="7"/>
        <v xml:space="preserve"> (L/m2)</v>
      </c>
      <c r="R47" s="86">
        <f t="shared" si="8"/>
        <v>125030.70303814125</v>
      </c>
      <c r="S47" s="86">
        <f t="shared" si="9"/>
        <v>125.03070303814125</v>
      </c>
    </row>
    <row r="48" spans="2:19" x14ac:dyDescent="0.25">
      <c r="B48" s="19">
        <f>'[2]Debit AL Domestik'!B23</f>
        <v>2032</v>
      </c>
      <c r="C48" s="19">
        <f>'[2]Proyeksi Fasum'!P40</f>
        <v>219.20119466778817</v>
      </c>
      <c r="D48" s="19">
        <v>180</v>
      </c>
      <c r="E48" s="19">
        <f t="shared" si="2"/>
        <v>39456.215040201874</v>
      </c>
      <c r="F48" s="86">
        <v>40</v>
      </c>
      <c r="G48" s="86" t="s">
        <v>159</v>
      </c>
      <c r="H48" s="86">
        <f t="shared" si="3"/>
        <v>1578248.601608075</v>
      </c>
      <c r="I48" s="86">
        <f t="shared" si="4"/>
        <v>1578.248601608075</v>
      </c>
      <c r="J48" s="9"/>
      <c r="L48" s="19">
        <f>'[2]Proyeksi Fasum'!AC58</f>
        <v>2032</v>
      </c>
      <c r="M48" s="19">
        <f>'[2]Proyeksi Fasum'!P52</f>
        <v>170.06989241466323</v>
      </c>
      <c r="N48" s="19">
        <v>150</v>
      </c>
      <c r="O48" s="19">
        <f t="shared" si="5"/>
        <v>25510.483862199486</v>
      </c>
      <c r="P48" s="19">
        <f t="shared" si="6"/>
        <v>5</v>
      </c>
      <c r="Q48" s="86" t="str">
        <f t="shared" si="7"/>
        <v xml:space="preserve"> (L/m2)</v>
      </c>
      <c r="R48" s="86">
        <f t="shared" si="8"/>
        <v>127552.41931099743</v>
      </c>
      <c r="S48" s="86">
        <f t="shared" si="9"/>
        <v>127.55241931099744</v>
      </c>
    </row>
    <row r="49" spans="2:19" x14ac:dyDescent="0.25">
      <c r="B49" s="19">
        <f>'[2]Debit AL Domestik'!B24</f>
        <v>2033</v>
      </c>
      <c r="C49" s="19">
        <f>'[2]Proyeksi Fasum'!Q40</f>
        <v>223.62221451484658</v>
      </c>
      <c r="D49" s="19">
        <v>180</v>
      </c>
      <c r="E49" s="19">
        <f t="shared" si="2"/>
        <v>40251.998612672382</v>
      </c>
      <c r="F49" s="86">
        <v>40</v>
      </c>
      <c r="G49" s="86" t="s">
        <v>159</v>
      </c>
      <c r="H49" s="86">
        <f t="shared" si="3"/>
        <v>1610079.9445068953</v>
      </c>
      <c r="I49" s="86">
        <f t="shared" si="4"/>
        <v>1610.0799445068953</v>
      </c>
      <c r="J49" s="9"/>
      <c r="L49" s="19">
        <f>'[2]Proyeksi Fasum'!AC59</f>
        <v>2033</v>
      </c>
      <c r="M49" s="19">
        <f>'[2]Proyeksi Fasum'!Q52</f>
        <v>173.49999402013958</v>
      </c>
      <c r="N49" s="19">
        <v>150</v>
      </c>
      <c r="O49" s="19">
        <f t="shared" si="5"/>
        <v>26024.999103020938</v>
      </c>
      <c r="P49" s="19">
        <f t="shared" si="6"/>
        <v>5</v>
      </c>
      <c r="Q49" s="86" t="str">
        <f t="shared" si="7"/>
        <v xml:space="preserve"> (L/m2)</v>
      </c>
      <c r="R49" s="86">
        <f t="shared" si="8"/>
        <v>130124.99551510469</v>
      </c>
      <c r="S49" s="86">
        <f t="shared" si="9"/>
        <v>130.1249955151047</v>
      </c>
    </row>
    <row r="50" spans="2:19" x14ac:dyDescent="0.25">
      <c r="B50" s="19">
        <f>'[2]Debit AL Domestik'!B25</f>
        <v>2034</v>
      </c>
      <c r="C50" s="19">
        <f>'[2]Proyeksi Fasum'!R40</f>
        <v>228.13240092195821</v>
      </c>
      <c r="D50" s="19">
        <v>180</v>
      </c>
      <c r="E50" s="19">
        <f t="shared" si="2"/>
        <v>41063.832165952481</v>
      </c>
      <c r="F50" s="86">
        <v>40</v>
      </c>
      <c r="G50" s="86" t="s">
        <v>159</v>
      </c>
      <c r="H50" s="86">
        <f t="shared" si="3"/>
        <v>1642553.2866380992</v>
      </c>
      <c r="I50" s="86">
        <f t="shared" si="4"/>
        <v>1642.5532866380993</v>
      </c>
      <c r="J50" s="9"/>
      <c r="L50" s="19">
        <f>'[2]Proyeksi Fasum'!AC60</f>
        <v>2034</v>
      </c>
      <c r="M50" s="19">
        <f>'[2]Proyeksi Fasum'!R52</f>
        <v>176.99927657738135</v>
      </c>
      <c r="N50" s="19">
        <v>150</v>
      </c>
      <c r="O50" s="19">
        <f t="shared" si="5"/>
        <v>26549.891486607201</v>
      </c>
      <c r="P50" s="19">
        <f t="shared" si="6"/>
        <v>5</v>
      </c>
      <c r="Q50" s="86" t="str">
        <f t="shared" si="7"/>
        <v xml:space="preserve"> (L/m2)</v>
      </c>
      <c r="R50" s="86">
        <f t="shared" si="8"/>
        <v>132749.457433036</v>
      </c>
      <c r="S50" s="86">
        <f t="shared" si="9"/>
        <v>132.74945743303601</v>
      </c>
    </row>
    <row r="51" spans="2:19" x14ac:dyDescent="0.25">
      <c r="B51" s="19">
        <f>'[2]Debit AL Domestik'!B26</f>
        <v>2035</v>
      </c>
      <c r="C51" s="19">
        <f>'[2]Proyeksi Fasum'!S40</f>
        <v>228.13240092195821</v>
      </c>
      <c r="D51" s="19">
        <v>180</v>
      </c>
      <c r="E51" s="19">
        <f t="shared" si="2"/>
        <v>41063.832165952481</v>
      </c>
      <c r="F51" s="86">
        <v>40</v>
      </c>
      <c r="G51" s="86" t="s">
        <v>159</v>
      </c>
      <c r="H51" s="86">
        <f t="shared" si="3"/>
        <v>1642553.2866380992</v>
      </c>
      <c r="I51" s="86">
        <f t="shared" si="4"/>
        <v>1642.5532866380993</v>
      </c>
      <c r="J51" s="9"/>
      <c r="L51" s="19">
        <f>'[2]Proyeksi Fasum'!AC61</f>
        <v>2035</v>
      </c>
      <c r="M51" s="19">
        <f>'[2]Proyeksi Fasum'!S52</f>
        <v>176.99927657738135</v>
      </c>
      <c r="N51" s="19">
        <v>150</v>
      </c>
      <c r="O51" s="19">
        <f t="shared" si="5"/>
        <v>26549.891486607201</v>
      </c>
      <c r="P51" s="19">
        <f t="shared" si="6"/>
        <v>5</v>
      </c>
      <c r="Q51" s="86" t="str">
        <f t="shared" si="7"/>
        <v xml:space="preserve"> (L/m2)</v>
      </c>
      <c r="R51" s="86">
        <f t="shared" si="8"/>
        <v>132749.457433036</v>
      </c>
      <c r="S51" s="86">
        <f t="shared" si="9"/>
        <v>132.74945743303601</v>
      </c>
    </row>
    <row r="52" spans="2:19" x14ac:dyDescent="0.25">
      <c r="B52" s="19">
        <f>'[2]Debit AL Domestik'!B27</f>
        <v>2036</v>
      </c>
      <c r="C52" s="19">
        <f>'[2]Proyeksi Fasum'!T40</f>
        <v>232.73355226952097</v>
      </c>
      <c r="D52" s="19">
        <v>180</v>
      </c>
      <c r="E52" s="19">
        <f t="shared" si="2"/>
        <v>41892.039408513774</v>
      </c>
      <c r="F52" s="86">
        <v>40</v>
      </c>
      <c r="G52" s="86" t="s">
        <v>159</v>
      </c>
      <c r="H52" s="86">
        <f t="shared" si="3"/>
        <v>1675681.576340551</v>
      </c>
      <c r="I52" s="86">
        <f t="shared" si="4"/>
        <v>1675.6815763405509</v>
      </c>
      <c r="J52" s="9"/>
      <c r="L52" s="19">
        <f>'[2]Proyeksi Fasum'!AC62</f>
        <v>2036</v>
      </c>
      <c r="M52" s="19">
        <f>'[2]Proyeksi Fasum'!T52</f>
        <v>180.56913538152489</v>
      </c>
      <c r="N52" s="19">
        <v>150</v>
      </c>
      <c r="O52" s="19">
        <f t="shared" si="5"/>
        <v>27085.370307228732</v>
      </c>
      <c r="P52" s="19">
        <f t="shared" si="6"/>
        <v>5</v>
      </c>
      <c r="Q52" s="86" t="str">
        <f t="shared" si="7"/>
        <v xml:space="preserve"> (L/m2)</v>
      </c>
      <c r="R52" s="86">
        <f t="shared" si="8"/>
        <v>135426.85153614366</v>
      </c>
      <c r="S52" s="86">
        <f t="shared" si="9"/>
        <v>135.42685153614366</v>
      </c>
    </row>
    <row r="53" spans="2:19" x14ac:dyDescent="0.25">
      <c r="B53" s="19">
        <f>'[2]Debit AL Domestik'!B28</f>
        <v>2037</v>
      </c>
      <c r="C53" s="19">
        <f>'[2]Proyeksi Fasum'!U40</f>
        <v>237.42750320906455</v>
      </c>
      <c r="D53" s="19">
        <v>180</v>
      </c>
      <c r="E53" s="19">
        <f t="shared" si="2"/>
        <v>42736.950577631622</v>
      </c>
      <c r="F53" s="86">
        <v>40</v>
      </c>
      <c r="G53" s="86" t="s">
        <v>159</v>
      </c>
      <c r="H53" s="86">
        <f t="shared" si="3"/>
        <v>1709478.0231052649</v>
      </c>
      <c r="I53" s="86">
        <f t="shared" si="4"/>
        <v>1709.4780231052648</v>
      </c>
      <c r="J53" s="9"/>
      <c r="L53" s="19">
        <f>'[2]Proyeksi Fasum'!AC63</f>
        <v>2037</v>
      </c>
      <c r="M53" s="19">
        <f>'[2]Proyeksi Fasum'!U52</f>
        <v>184.2109938691018</v>
      </c>
      <c r="N53" s="19">
        <v>150</v>
      </c>
      <c r="O53" s="19">
        <f t="shared" si="5"/>
        <v>27631.64908036527</v>
      </c>
      <c r="P53" s="19">
        <f t="shared" si="6"/>
        <v>5</v>
      </c>
      <c r="Q53" s="86" t="str">
        <f t="shared" si="7"/>
        <v xml:space="preserve"> (L/m2)</v>
      </c>
      <c r="R53" s="86">
        <f t="shared" si="8"/>
        <v>138158.24540182634</v>
      </c>
      <c r="S53" s="86">
        <f t="shared" si="9"/>
        <v>138.15824540182635</v>
      </c>
    </row>
    <row r="54" spans="2:19" x14ac:dyDescent="0.25">
      <c r="B54" s="19">
        <f>'[2]Debit AL Domestik'!B29</f>
        <v>2038</v>
      </c>
      <c r="C54" s="19">
        <f>'[2]Proyeksi Fasum'!V40</f>
        <v>242.21612539479503</v>
      </c>
      <c r="D54" s="19">
        <v>180</v>
      </c>
      <c r="E54" s="19">
        <f t="shared" si="2"/>
        <v>43598.902571063103</v>
      </c>
      <c r="F54" s="86">
        <v>40</v>
      </c>
      <c r="G54" s="86" t="s">
        <v>159</v>
      </c>
      <c r="H54" s="86">
        <f t="shared" si="3"/>
        <v>1743956.1028425242</v>
      </c>
      <c r="I54" s="86">
        <f t="shared" si="4"/>
        <v>1743.9561028425242</v>
      </c>
      <c r="J54" s="9"/>
      <c r="L54" s="19">
        <f>'[2]Proyeksi Fasum'!AC64</f>
        <v>2038</v>
      </c>
      <c r="M54" s="19">
        <f>'[2]Proyeksi Fasum'!V52</f>
        <v>187.92630418561683</v>
      </c>
      <c r="N54" s="19">
        <v>150</v>
      </c>
      <c r="O54" s="19">
        <f t="shared" si="5"/>
        <v>28188.945627842524</v>
      </c>
      <c r="P54" s="19">
        <f t="shared" si="6"/>
        <v>5</v>
      </c>
      <c r="Q54" s="86" t="str">
        <f t="shared" si="7"/>
        <v xml:space="preserve"> (L/m2)</v>
      </c>
      <c r="R54" s="86">
        <f t="shared" si="8"/>
        <v>140944.72813921262</v>
      </c>
      <c r="S54" s="86">
        <f t="shared" si="9"/>
        <v>140.94472813921263</v>
      </c>
    </row>
    <row r="55" spans="2:19" x14ac:dyDescent="0.25">
      <c r="B55" s="19">
        <f>'[2]Debit AL Domestik'!B30</f>
        <v>2039</v>
      </c>
      <c r="C55" s="19">
        <f>'[2]Proyeksi Fasum'!W40</f>
        <v>247.10132822989311</v>
      </c>
      <c r="D55" s="19">
        <v>180</v>
      </c>
      <c r="E55" s="19">
        <f t="shared" si="2"/>
        <v>44478.239081380758</v>
      </c>
      <c r="F55" s="86">
        <v>40</v>
      </c>
      <c r="G55" s="86" t="s">
        <v>159</v>
      </c>
      <c r="H55" s="86">
        <f t="shared" si="3"/>
        <v>1779129.5632552304</v>
      </c>
      <c r="I55" s="86">
        <f t="shared" si="4"/>
        <v>1779.1295632552303</v>
      </c>
      <c r="J55" s="9"/>
      <c r="L55" s="19">
        <f>'[2]Proyeksi Fasum'!AC65</f>
        <v>2039</v>
      </c>
      <c r="M55" s="19">
        <f>'[2]Proyeksi Fasum'!W52</f>
        <v>191.71654776457225</v>
      </c>
      <c r="N55" s="19">
        <v>150</v>
      </c>
      <c r="O55" s="19">
        <f t="shared" si="5"/>
        <v>28757.48216468584</v>
      </c>
      <c r="P55" s="19">
        <f t="shared" si="6"/>
        <v>5</v>
      </c>
      <c r="Q55" s="86" t="str">
        <f t="shared" si="7"/>
        <v xml:space="preserve"> (L/m2)</v>
      </c>
      <c r="R55" s="86">
        <f t="shared" si="8"/>
        <v>143787.41082342921</v>
      </c>
      <c r="S55" s="86">
        <f t="shared" si="9"/>
        <v>143.78741082342921</v>
      </c>
    </row>
    <row r="56" spans="2:19" x14ac:dyDescent="0.25">
      <c r="B56" s="19">
        <f>'[2]Debit AL Domestik'!B31</f>
        <v>2040</v>
      </c>
      <c r="C56" s="19">
        <f>'[2]Proyeksi Fasum'!X40</f>
        <v>252.08505962786518</v>
      </c>
      <c r="D56" s="19">
        <v>180</v>
      </c>
      <c r="E56" s="19">
        <f t="shared" si="2"/>
        <v>45375.310733015729</v>
      </c>
      <c r="F56" s="86">
        <v>40</v>
      </c>
      <c r="G56" s="86" t="s">
        <v>159</v>
      </c>
      <c r="H56" s="86">
        <f t="shared" si="3"/>
        <v>1815012.4293206292</v>
      </c>
      <c r="I56" s="86">
        <f t="shared" si="4"/>
        <v>1815.0124293206293</v>
      </c>
      <c r="J56" s="9"/>
      <c r="L56" s="19">
        <f>'[2]Proyeksi Fasum'!AC66</f>
        <v>2040</v>
      </c>
      <c r="M56" s="19">
        <f>'[2]Proyeksi Fasum'!X52</f>
        <v>195.58323591817125</v>
      </c>
      <c r="N56" s="19">
        <v>150</v>
      </c>
      <c r="O56" s="19">
        <f t="shared" si="5"/>
        <v>29337.485387725686</v>
      </c>
      <c r="P56" s="19">
        <f t="shared" si="6"/>
        <v>5</v>
      </c>
      <c r="Q56" s="86" t="str">
        <f t="shared" si="7"/>
        <v xml:space="preserve"> (L/m2)</v>
      </c>
      <c r="R56" s="86">
        <f t="shared" si="8"/>
        <v>146687.42693862843</v>
      </c>
      <c r="S56" s="86">
        <f t="shared" si="9"/>
        <v>146.68742693862842</v>
      </c>
    </row>
    <row r="57" spans="2:19" x14ac:dyDescent="0.25">
      <c r="B57" s="19">
        <f>'[2]Debit AL Domestik'!B32</f>
        <v>2041</v>
      </c>
      <c r="C57" s="19">
        <f>'[2]Proyeksi Fasum'!Y40</f>
        <v>257.16930678924922</v>
      </c>
      <c r="D57" s="19">
        <v>180</v>
      </c>
      <c r="E57" s="19">
        <f t="shared" si="2"/>
        <v>46290.475222064859</v>
      </c>
      <c r="F57" s="86">
        <v>40</v>
      </c>
      <c r="G57" s="86" t="s">
        <v>159</v>
      </c>
      <c r="H57" s="86">
        <f t="shared" si="3"/>
        <v>1851619.0088825943</v>
      </c>
      <c r="I57" s="86">
        <f t="shared" si="4"/>
        <v>1851.6190088825942</v>
      </c>
      <c r="J57" s="9"/>
      <c r="L57" s="19">
        <f>'[2]Proyeksi Fasum'!AC67</f>
        <v>2041</v>
      </c>
      <c r="M57" s="19">
        <f>'[2]Proyeksi Fasum'!Y52</f>
        <v>199.52791043993471</v>
      </c>
      <c r="N57" s="19">
        <v>150</v>
      </c>
      <c r="O57" s="19">
        <f t="shared" si="5"/>
        <v>29929.186565990207</v>
      </c>
      <c r="P57" s="19">
        <f t="shared" si="6"/>
        <v>5</v>
      </c>
      <c r="Q57" s="86" t="str">
        <f t="shared" si="7"/>
        <v xml:space="preserve"> (L/m2)</v>
      </c>
      <c r="R57" s="86">
        <f t="shared" si="8"/>
        <v>149645.93282995102</v>
      </c>
      <c r="S57" s="86">
        <f t="shared" si="9"/>
        <v>149.64593282995102</v>
      </c>
    </row>
    <row r="58" spans="2:19" x14ac:dyDescent="0.25">
      <c r="B58" s="19">
        <f>'[2]Debit AL Domestik'!B33</f>
        <v>2042</v>
      </c>
      <c r="C58" s="19">
        <f>'[2]Proyeksi Fasum'!Z40</f>
        <v>262.35609699398606</v>
      </c>
      <c r="D58" s="19">
        <v>180</v>
      </c>
      <c r="E58" s="19">
        <f t="shared" si="2"/>
        <v>47224.097458917488</v>
      </c>
      <c r="F58" s="86">
        <v>40</v>
      </c>
      <c r="G58" s="86" t="s">
        <v>159</v>
      </c>
      <c r="H58" s="86">
        <f t="shared" si="3"/>
        <v>1888963.8983566994</v>
      </c>
      <c r="I58" s="86">
        <f t="shared" si="4"/>
        <v>1888.9638983566995</v>
      </c>
      <c r="J58" s="9"/>
      <c r="L58" s="19">
        <f>'[2]Proyeksi Fasum'!AC68</f>
        <v>2042</v>
      </c>
      <c r="M58" s="19">
        <f>'[2]Proyeksi Fasum'!Z52</f>
        <v>203.55214421947196</v>
      </c>
      <c r="N58" s="19">
        <v>150</v>
      </c>
      <c r="O58" s="19">
        <f t="shared" si="5"/>
        <v>30532.821632920793</v>
      </c>
      <c r="P58" s="19">
        <f t="shared" si="6"/>
        <v>5</v>
      </c>
      <c r="Q58" s="86" t="str">
        <f t="shared" si="7"/>
        <v xml:space="preserve"> (L/m2)</v>
      </c>
      <c r="R58" s="86">
        <f t="shared" si="8"/>
        <v>152664.10816460397</v>
      </c>
      <c r="S58" s="86">
        <f t="shared" si="9"/>
        <v>152.66410816460396</v>
      </c>
    </row>
    <row r="59" spans="2:19" x14ac:dyDescent="0.25">
      <c r="B59" s="19">
        <f>'[2]Debit AL Domestik'!B34</f>
        <v>2043</v>
      </c>
      <c r="C59" s="19">
        <f>'[2]Proyeksi Fasum'!AA40</f>
        <v>267.64749840977242</v>
      </c>
      <c r="D59" s="19">
        <v>180</v>
      </c>
      <c r="E59" s="19">
        <f t="shared" si="2"/>
        <v>48176.549713759036</v>
      </c>
      <c r="F59" s="86">
        <v>40</v>
      </c>
      <c r="G59" s="86" t="s">
        <v>159</v>
      </c>
      <c r="H59" s="86">
        <f t="shared" si="3"/>
        <v>1927061.9885503615</v>
      </c>
      <c r="I59" s="86">
        <f t="shared" si="4"/>
        <v>1927.0619885503615</v>
      </c>
      <c r="J59" s="9"/>
      <c r="L59" s="19">
        <f>'[2]Proyeksi Fasum'!AC69</f>
        <v>2043</v>
      </c>
      <c r="M59" s="19">
        <f>'[2]Proyeksi Fasum'!AA52</f>
        <v>207.657541869651</v>
      </c>
      <c r="N59" s="19">
        <v>150</v>
      </c>
      <c r="O59" s="19">
        <f t="shared" si="5"/>
        <v>31148.631280447651</v>
      </c>
      <c r="P59" s="19">
        <f t="shared" si="6"/>
        <v>5</v>
      </c>
      <c r="Q59" s="86" t="str">
        <f t="shared" si="7"/>
        <v xml:space="preserve"> (L/m2)</v>
      </c>
      <c r="R59" s="86">
        <f t="shared" si="8"/>
        <v>155743.15640223827</v>
      </c>
      <c r="S59" s="86">
        <f t="shared" si="9"/>
        <v>155.74315640223827</v>
      </c>
    </row>
    <row r="60" spans="2:19" x14ac:dyDescent="0.25">
      <c r="J60" s="9"/>
    </row>
    <row r="61" spans="2:19" x14ac:dyDescent="0.25">
      <c r="B61" s="237" t="s">
        <v>73</v>
      </c>
      <c r="C61" s="238"/>
      <c r="D61" s="238"/>
      <c r="E61" s="238"/>
      <c r="F61" s="238"/>
      <c r="G61" s="238"/>
      <c r="H61" s="238"/>
      <c r="I61" s="239"/>
      <c r="J61" s="9"/>
      <c r="L61" s="237" t="s">
        <v>170</v>
      </c>
      <c r="M61" s="238"/>
      <c r="N61" s="238"/>
      <c r="O61" s="238"/>
      <c r="P61" s="238"/>
      <c r="Q61" s="238"/>
      <c r="R61" s="238"/>
      <c r="S61" s="239"/>
    </row>
    <row r="62" spans="2:19" ht="14.4" customHeight="1" x14ac:dyDescent="0.25">
      <c r="B62" s="240" t="s">
        <v>40</v>
      </c>
      <c r="C62" s="241" t="s">
        <v>154</v>
      </c>
      <c r="D62" s="241" t="s">
        <v>155</v>
      </c>
      <c r="E62" s="241" t="s">
        <v>156</v>
      </c>
      <c r="F62" s="241" t="s">
        <v>157</v>
      </c>
      <c r="G62" s="241" t="s">
        <v>129</v>
      </c>
      <c r="H62" s="241" t="s">
        <v>158</v>
      </c>
      <c r="I62" s="241" t="s">
        <v>178</v>
      </c>
      <c r="J62" s="9"/>
      <c r="L62" s="242" t="s">
        <v>40</v>
      </c>
      <c r="M62" s="241" t="s">
        <v>154</v>
      </c>
      <c r="N62" s="241" t="s">
        <v>160</v>
      </c>
      <c r="O62" s="241" t="s">
        <v>161</v>
      </c>
      <c r="P62" s="241" t="s">
        <v>157</v>
      </c>
      <c r="Q62" s="244" t="s">
        <v>129</v>
      </c>
      <c r="R62" s="246" t="s">
        <v>158</v>
      </c>
      <c r="S62" s="241" t="s">
        <v>178</v>
      </c>
    </row>
    <row r="63" spans="2:19" x14ac:dyDescent="0.25">
      <c r="B63" s="240"/>
      <c r="C63" s="241"/>
      <c r="D63" s="241"/>
      <c r="E63" s="241"/>
      <c r="F63" s="241"/>
      <c r="G63" s="241"/>
      <c r="H63" s="241"/>
      <c r="I63" s="241"/>
      <c r="J63" s="9"/>
      <c r="L63" s="243"/>
      <c r="M63" s="241"/>
      <c r="N63" s="241"/>
      <c r="O63" s="241"/>
      <c r="P63" s="241"/>
      <c r="Q63" s="245"/>
      <c r="R63" s="246"/>
      <c r="S63" s="241"/>
    </row>
    <row r="64" spans="2:19" x14ac:dyDescent="0.25">
      <c r="B64" s="19">
        <f>'[2]Proyeksi Fasum'!AC49</f>
        <v>2023</v>
      </c>
      <c r="C64" s="19">
        <f>'[2]Proyeksi Fasum'!G41</f>
        <v>235.77265942503112</v>
      </c>
      <c r="D64" s="19">
        <v>300</v>
      </c>
      <c r="E64" s="19">
        <f t="shared" ref="E64:E84" si="10">D64*C64</f>
        <v>70731.797827509334</v>
      </c>
      <c r="F64" s="19">
        <v>40</v>
      </c>
      <c r="G64" s="86" t="s">
        <v>159</v>
      </c>
      <c r="H64" s="86">
        <f t="shared" ref="H64:H84" si="11">F64*E64</f>
        <v>2829271.9131003735</v>
      </c>
      <c r="I64" s="86">
        <f t="shared" ref="I64:I84" si="12">H64/1000</f>
        <v>2829.2719131003732</v>
      </c>
      <c r="J64" s="9"/>
      <c r="L64" s="19">
        <f>'[2]Proyeksi Fasum'!AC49</f>
        <v>2023</v>
      </c>
      <c r="M64" s="19">
        <f>'[2]Proyeksi Fasum'!G53</f>
        <v>3321.8683622562421</v>
      </c>
      <c r="N64" s="19">
        <f>D21</f>
        <v>25</v>
      </c>
      <c r="O64" s="19">
        <f t="shared" ref="O64:O84" si="13">N64*M64</f>
        <v>83046.709056406049</v>
      </c>
      <c r="P64" s="19">
        <f t="shared" ref="P64:P84" si="14">$F$18</f>
        <v>5</v>
      </c>
      <c r="Q64" s="86" t="str">
        <f t="shared" ref="Q64:Q84" si="15">$G$18</f>
        <v xml:space="preserve"> (L/m2)</v>
      </c>
      <c r="R64" s="86">
        <f t="shared" ref="R64:R84" si="16">P64*O64</f>
        <v>415233.54528203025</v>
      </c>
      <c r="S64" s="86">
        <f t="shared" ref="S64:S84" si="17">R64/1000</f>
        <v>415.23354528203026</v>
      </c>
    </row>
    <row r="65" spans="2:19" x14ac:dyDescent="0.25">
      <c r="B65" s="19">
        <f>'[2]Proyeksi Fasum'!AC50</f>
        <v>2024</v>
      </c>
      <c r="C65" s="19">
        <f>'[2]Proyeksi Fasum'!H41</f>
        <v>240.5279054367673</v>
      </c>
      <c r="D65" s="19">
        <v>300</v>
      </c>
      <c r="E65" s="19">
        <f t="shared" si="10"/>
        <v>72158.371631030182</v>
      </c>
      <c r="F65" s="19">
        <v>40</v>
      </c>
      <c r="G65" s="86" t="s">
        <v>159</v>
      </c>
      <c r="H65" s="86">
        <f t="shared" si="11"/>
        <v>2886334.8652412072</v>
      </c>
      <c r="I65" s="86">
        <f t="shared" si="12"/>
        <v>2886.3348652412074</v>
      </c>
      <c r="J65" s="9"/>
      <c r="L65" s="19">
        <f>'[2]Proyeksi Fasum'!AC50</f>
        <v>2024</v>
      </c>
      <c r="M65" s="19">
        <f>'[2]Proyeksi Fasum'!H53</f>
        <v>3388.8663819573108</v>
      </c>
      <c r="N65" s="19">
        <v>25</v>
      </c>
      <c r="O65" s="19">
        <f t="shared" si="13"/>
        <v>84721.659548932774</v>
      </c>
      <c r="P65" s="19">
        <f t="shared" si="14"/>
        <v>5</v>
      </c>
      <c r="Q65" s="86" t="str">
        <f t="shared" si="15"/>
        <v xml:space="preserve"> (L/m2)</v>
      </c>
      <c r="R65" s="86">
        <f t="shared" si="16"/>
        <v>423608.2977446639</v>
      </c>
      <c r="S65" s="86">
        <f t="shared" si="17"/>
        <v>423.6082977446639</v>
      </c>
    </row>
    <row r="66" spans="2:19" x14ac:dyDescent="0.25">
      <c r="B66" s="19">
        <f>'[2]Proyeksi Fasum'!AC51</f>
        <v>2025</v>
      </c>
      <c r="C66" s="19">
        <f>'[2]Proyeksi Fasum'!I41</f>
        <v>245.37905894128596</v>
      </c>
      <c r="D66" s="19">
        <v>300</v>
      </c>
      <c r="E66" s="19">
        <f t="shared" si="10"/>
        <v>73613.717682385788</v>
      </c>
      <c r="F66" s="19">
        <v>40</v>
      </c>
      <c r="G66" s="86" t="s">
        <v>159</v>
      </c>
      <c r="H66" s="86">
        <f t="shared" si="11"/>
        <v>2944548.7072954318</v>
      </c>
      <c r="I66" s="86">
        <f t="shared" si="12"/>
        <v>2944.5487072954315</v>
      </c>
      <c r="J66" s="9"/>
      <c r="L66" s="19">
        <f>'[2]Proyeksi Fasum'!AC51</f>
        <v>2025</v>
      </c>
      <c r="M66" s="19">
        <f>'[2]Proyeksi Fasum'!I53</f>
        <v>3457.2156697263326</v>
      </c>
      <c r="N66" s="19">
        <v>25</v>
      </c>
      <c r="O66" s="19">
        <f t="shared" si="13"/>
        <v>86430.39174315831</v>
      </c>
      <c r="P66" s="19">
        <f t="shared" si="14"/>
        <v>5</v>
      </c>
      <c r="Q66" s="86" t="str">
        <f t="shared" si="15"/>
        <v xml:space="preserve"> (L/m2)</v>
      </c>
      <c r="R66" s="86">
        <f t="shared" si="16"/>
        <v>432151.95871579158</v>
      </c>
      <c r="S66" s="86">
        <f t="shared" si="17"/>
        <v>432.15195871579158</v>
      </c>
    </row>
    <row r="67" spans="2:19" x14ac:dyDescent="0.25">
      <c r="B67" s="19">
        <f>'[2]Proyeksi Fasum'!AC52</f>
        <v>2026</v>
      </c>
      <c r="C67" s="19">
        <f>'[2]Proyeksi Fasum'!J41</f>
        <v>250.32805427534907</v>
      </c>
      <c r="D67" s="19">
        <v>300</v>
      </c>
      <c r="E67" s="19">
        <f t="shared" si="10"/>
        <v>75098.416282604725</v>
      </c>
      <c r="F67" s="19">
        <v>40</v>
      </c>
      <c r="G67" s="86" t="s">
        <v>159</v>
      </c>
      <c r="H67" s="86">
        <f t="shared" si="11"/>
        <v>3003936.6513041891</v>
      </c>
      <c r="I67" s="86">
        <f t="shared" si="12"/>
        <v>3003.9366513041891</v>
      </c>
      <c r="J67" s="9"/>
      <c r="L67" s="19">
        <f>'[2]Proyeksi Fasum'!AC52</f>
        <v>2026</v>
      </c>
      <c r="M67" s="19">
        <f>'[2]Proyeksi Fasum'!J53</f>
        <v>3526.9434789866145</v>
      </c>
      <c r="N67" s="19">
        <v>25</v>
      </c>
      <c r="O67" s="19">
        <f t="shared" si="13"/>
        <v>88173.586974665363</v>
      </c>
      <c r="P67" s="19">
        <f t="shared" si="14"/>
        <v>5</v>
      </c>
      <c r="Q67" s="86" t="str">
        <f t="shared" si="15"/>
        <v xml:space="preserve"> (L/m2)</v>
      </c>
      <c r="R67" s="86">
        <f t="shared" si="16"/>
        <v>440867.9348733268</v>
      </c>
      <c r="S67" s="86">
        <f t="shared" si="17"/>
        <v>440.86793487332682</v>
      </c>
    </row>
    <row r="68" spans="2:19" x14ac:dyDescent="0.25">
      <c r="B68" s="19">
        <f>'[2]Proyeksi Fasum'!AC53</f>
        <v>2027</v>
      </c>
      <c r="C68" s="19">
        <f>'[2]Proyeksi Fasum'!K41</f>
        <v>255.37686478892357</v>
      </c>
      <c r="D68" s="19">
        <v>300</v>
      </c>
      <c r="E68" s="19">
        <f t="shared" si="10"/>
        <v>76613.059436677067</v>
      </c>
      <c r="F68" s="19">
        <v>40</v>
      </c>
      <c r="G68" s="86" t="s">
        <v>159</v>
      </c>
      <c r="H68" s="86">
        <f t="shared" si="11"/>
        <v>3064522.3774670828</v>
      </c>
      <c r="I68" s="86">
        <f t="shared" si="12"/>
        <v>3064.5223774670826</v>
      </c>
      <c r="J68" s="9"/>
      <c r="L68" s="19">
        <f>'[2]Proyeksi Fasum'!AC53</f>
        <v>2027</v>
      </c>
      <c r="M68" s="19">
        <f>'[2]Proyeksi Fasum'!K53</f>
        <v>3598.0776128296557</v>
      </c>
      <c r="N68" s="19">
        <v>25</v>
      </c>
      <c r="O68" s="19">
        <f t="shared" si="13"/>
        <v>89951.940320741385</v>
      </c>
      <c r="P68" s="19">
        <f t="shared" si="14"/>
        <v>5</v>
      </c>
      <c r="Q68" s="86" t="str">
        <f t="shared" si="15"/>
        <v xml:space="preserve"> (L/m2)</v>
      </c>
      <c r="R68" s="86">
        <f t="shared" si="16"/>
        <v>449759.70160370693</v>
      </c>
      <c r="S68" s="86">
        <f t="shared" si="17"/>
        <v>449.7597016037069</v>
      </c>
    </row>
    <row r="69" spans="2:19" x14ac:dyDescent="0.25">
      <c r="B69" s="19">
        <f>'[2]Proyeksi Fasum'!AC54</f>
        <v>2028</v>
      </c>
      <c r="C69" s="19">
        <f>'[2]Proyeksi Fasum'!L41</f>
        <v>260.52750363203063</v>
      </c>
      <c r="D69" s="19">
        <v>300</v>
      </c>
      <c r="E69" s="19">
        <f t="shared" si="10"/>
        <v>78158.251089609184</v>
      </c>
      <c r="F69" s="19">
        <v>40</v>
      </c>
      <c r="G69" s="86" t="s">
        <v>159</v>
      </c>
      <c r="H69" s="86">
        <f t="shared" si="11"/>
        <v>3126330.0435843673</v>
      </c>
      <c r="I69" s="86">
        <f t="shared" si="12"/>
        <v>3126.3300435843671</v>
      </c>
      <c r="J69" s="9"/>
      <c r="L69" s="19">
        <f>'[2]Proyeksi Fasum'!AC54</f>
        <v>2028</v>
      </c>
      <c r="M69" s="19">
        <f>'[2]Proyeksi Fasum'!L53</f>
        <v>3670.6464351012883</v>
      </c>
      <c r="N69" s="19">
        <v>25</v>
      </c>
      <c r="O69" s="19">
        <f t="shared" si="13"/>
        <v>91766.160877532209</v>
      </c>
      <c r="P69" s="19">
        <f t="shared" si="14"/>
        <v>5</v>
      </c>
      <c r="Q69" s="86" t="str">
        <f t="shared" si="15"/>
        <v xml:space="preserve"> (L/m2)</v>
      </c>
      <c r="R69" s="86">
        <f t="shared" si="16"/>
        <v>458830.80438766105</v>
      </c>
      <c r="S69" s="86">
        <f t="shared" si="17"/>
        <v>458.83080438766103</v>
      </c>
    </row>
    <row r="70" spans="2:19" x14ac:dyDescent="0.25">
      <c r="B70" s="19">
        <f>'[2]Proyeksi Fasum'!AC55</f>
        <v>2029</v>
      </c>
      <c r="C70" s="19">
        <f>'[2]Proyeksi Fasum'!M41</f>
        <v>265.78202455746339</v>
      </c>
      <c r="D70" s="19">
        <v>300</v>
      </c>
      <c r="E70" s="19">
        <f t="shared" si="10"/>
        <v>79734.607367239019</v>
      </c>
      <c r="F70" s="19">
        <v>40</v>
      </c>
      <c r="G70" s="86" t="s">
        <v>159</v>
      </c>
      <c r="H70" s="86">
        <f t="shared" si="11"/>
        <v>3189384.2946895608</v>
      </c>
      <c r="I70" s="86">
        <f t="shared" si="12"/>
        <v>3189.3842946895606</v>
      </c>
      <c r="J70" s="9"/>
      <c r="L70" s="19">
        <f>'[2]Proyeksi Fasum'!AC55</f>
        <v>2029</v>
      </c>
      <c r="M70" s="19">
        <f>'[2]Proyeksi Fasum'!M53</f>
        <v>3744.6788817114043</v>
      </c>
      <c r="N70" s="19">
        <v>25</v>
      </c>
      <c r="O70" s="19">
        <f t="shared" si="13"/>
        <v>93616.972042785113</v>
      </c>
      <c r="P70" s="19">
        <f t="shared" si="14"/>
        <v>5</v>
      </c>
      <c r="Q70" s="86" t="str">
        <f t="shared" si="15"/>
        <v xml:space="preserve"> (L/m2)</v>
      </c>
      <c r="R70" s="86">
        <f t="shared" si="16"/>
        <v>468084.8602139256</v>
      </c>
      <c r="S70" s="86">
        <f t="shared" si="17"/>
        <v>468.08486021392559</v>
      </c>
    </row>
    <row r="71" spans="2:19" x14ac:dyDescent="0.25">
      <c r="B71" s="19">
        <f>'[2]Proyeksi Fasum'!AC56</f>
        <v>2030</v>
      </c>
      <c r="C71" s="19">
        <f>'[2]Proyeksi Fasum'!N41</f>
        <v>271.14252273969612</v>
      </c>
      <c r="D71" s="19">
        <v>300</v>
      </c>
      <c r="E71" s="19">
        <f t="shared" si="10"/>
        <v>81342.756821908843</v>
      </c>
      <c r="F71" s="19">
        <v>40</v>
      </c>
      <c r="G71" s="86" t="s">
        <v>159</v>
      </c>
      <c r="H71" s="86">
        <f t="shared" si="11"/>
        <v>3253710.2728763539</v>
      </c>
      <c r="I71" s="86">
        <f t="shared" si="12"/>
        <v>3253.7102728763539</v>
      </c>
      <c r="J71" s="9"/>
      <c r="L71" s="19">
        <f>'[2]Proyeksi Fasum'!AC56</f>
        <v>2030</v>
      </c>
      <c r="M71" s="19">
        <f>'[2]Proyeksi Fasum'!N53</f>
        <v>3820.2044721717903</v>
      </c>
      <c r="N71" s="19">
        <v>25</v>
      </c>
      <c r="O71" s="19">
        <f t="shared" si="13"/>
        <v>95505.111804294749</v>
      </c>
      <c r="P71" s="19">
        <f t="shared" si="14"/>
        <v>5</v>
      </c>
      <c r="Q71" s="86" t="str">
        <f t="shared" si="15"/>
        <v xml:space="preserve"> (L/m2)</v>
      </c>
      <c r="R71" s="86">
        <f t="shared" si="16"/>
        <v>477525.55902147375</v>
      </c>
      <c r="S71" s="86">
        <f t="shared" si="17"/>
        <v>477.52555902147373</v>
      </c>
    </row>
    <row r="72" spans="2:19" x14ac:dyDescent="0.25">
      <c r="B72" s="19">
        <f>'[2]Proyeksi Fasum'!AC57</f>
        <v>2031</v>
      </c>
      <c r="C72" s="19">
        <f>'[2]Proyeksi Fasum'!O41</f>
        <v>276.61113561030754</v>
      </c>
      <c r="D72" s="19">
        <v>300</v>
      </c>
      <c r="E72" s="19">
        <f t="shared" si="10"/>
        <v>82983.340683092261</v>
      </c>
      <c r="F72" s="19">
        <v>40</v>
      </c>
      <c r="G72" s="86" t="s">
        <v>159</v>
      </c>
      <c r="H72" s="86">
        <f t="shared" si="11"/>
        <v>3319333.6273236903</v>
      </c>
      <c r="I72" s="86">
        <f t="shared" si="12"/>
        <v>3319.3336273236905</v>
      </c>
      <c r="J72" s="9"/>
      <c r="L72" s="19">
        <f>'[2]Proyeksi Fasum'!AC57</f>
        <v>2031</v>
      </c>
      <c r="M72" s="19">
        <f>'[2]Proyeksi Fasum'!O53</f>
        <v>3897.2533213666547</v>
      </c>
      <c r="N72" s="19">
        <v>25</v>
      </c>
      <c r="O72" s="19">
        <f t="shared" si="13"/>
        <v>97431.333034166368</v>
      </c>
      <c r="P72" s="19">
        <f t="shared" si="14"/>
        <v>5</v>
      </c>
      <c r="Q72" s="86" t="str">
        <f t="shared" si="15"/>
        <v xml:space="preserve"> (L/m2)</v>
      </c>
      <c r="R72" s="86">
        <f t="shared" si="16"/>
        <v>487156.66517083184</v>
      </c>
      <c r="S72" s="86">
        <f t="shared" si="17"/>
        <v>487.15666517083184</v>
      </c>
    </row>
    <row r="73" spans="2:19" x14ac:dyDescent="0.25">
      <c r="B73" s="19">
        <f>'[2]Proyeksi Fasum'!AC58</f>
        <v>2032</v>
      </c>
      <c r="C73" s="19">
        <f>'[2]Proyeksi Fasum'!P41</f>
        <v>282.19004371025602</v>
      </c>
      <c r="D73" s="19">
        <v>300</v>
      </c>
      <c r="E73" s="19">
        <f t="shared" si="10"/>
        <v>84657.013113076813</v>
      </c>
      <c r="F73" s="19">
        <v>40</v>
      </c>
      <c r="G73" s="86" t="s">
        <v>159</v>
      </c>
      <c r="H73" s="86">
        <f t="shared" si="11"/>
        <v>3386280.5245230724</v>
      </c>
      <c r="I73" s="86">
        <f t="shared" si="12"/>
        <v>3386.2805245230725</v>
      </c>
      <c r="J73" s="9"/>
      <c r="L73" s="19">
        <f>'[2]Proyeksi Fasum'!AC58</f>
        <v>2032</v>
      </c>
      <c r="M73" s="19">
        <f>'[2]Proyeksi Fasum'!P53</f>
        <v>3975.8561515605716</v>
      </c>
      <c r="N73" s="19">
        <v>25</v>
      </c>
      <c r="O73" s="19">
        <f t="shared" si="13"/>
        <v>99396.403789014294</v>
      </c>
      <c r="P73" s="19">
        <f t="shared" si="14"/>
        <v>5</v>
      </c>
      <c r="Q73" s="86" t="str">
        <f t="shared" si="15"/>
        <v xml:space="preserve"> (L/m2)</v>
      </c>
      <c r="R73" s="86">
        <f t="shared" si="16"/>
        <v>496982.0189450715</v>
      </c>
      <c r="S73" s="86">
        <f t="shared" si="17"/>
        <v>496.9820189450715</v>
      </c>
    </row>
    <row r="74" spans="2:19" x14ac:dyDescent="0.25">
      <c r="B74" s="19">
        <f>'[2]Proyeksi Fasum'!AC59</f>
        <v>2033</v>
      </c>
      <c r="C74" s="19">
        <f>'[2]Proyeksi Fasum'!Q41</f>
        <v>287.88147155934274</v>
      </c>
      <c r="D74" s="19">
        <v>300</v>
      </c>
      <c r="E74" s="19">
        <f t="shared" si="10"/>
        <v>86364.441467802826</v>
      </c>
      <c r="F74" s="19">
        <v>40</v>
      </c>
      <c r="G74" s="86" t="s">
        <v>159</v>
      </c>
      <c r="H74" s="86">
        <f t="shared" si="11"/>
        <v>3454577.6587121133</v>
      </c>
      <c r="I74" s="86">
        <f t="shared" si="12"/>
        <v>3454.5776587121131</v>
      </c>
      <c r="J74" s="9"/>
      <c r="L74" s="19">
        <f>'[2]Proyeksi Fasum'!AC59</f>
        <v>2033</v>
      </c>
      <c r="M74" s="19">
        <f>'[2]Proyeksi Fasum'!Q53</f>
        <v>4056.0443046485966</v>
      </c>
      <c r="N74" s="19">
        <v>25</v>
      </c>
      <c r="O74" s="19">
        <f t="shared" si="13"/>
        <v>101401.10761621491</v>
      </c>
      <c r="P74" s="19">
        <f t="shared" si="14"/>
        <v>5</v>
      </c>
      <c r="Q74" s="86" t="str">
        <f t="shared" si="15"/>
        <v xml:space="preserve"> (L/m2)</v>
      </c>
      <c r="R74" s="86">
        <f t="shared" si="16"/>
        <v>507005.53808107454</v>
      </c>
      <c r="S74" s="86">
        <f t="shared" si="17"/>
        <v>507.00553808107452</v>
      </c>
    </row>
    <row r="75" spans="2:19" x14ac:dyDescent="0.25">
      <c r="B75" s="19">
        <f>'[2]Proyeksi Fasum'!AC60</f>
        <v>2034</v>
      </c>
      <c r="C75" s="19">
        <f>'[2]Proyeksi Fasum'!R41</f>
        <v>293.68768854321058</v>
      </c>
      <c r="D75" s="19">
        <v>300</v>
      </c>
      <c r="E75" s="19">
        <f t="shared" si="10"/>
        <v>88106.306562963175</v>
      </c>
      <c r="F75" s="19">
        <v>40</v>
      </c>
      <c r="G75" s="86" t="s">
        <v>159</v>
      </c>
      <c r="H75" s="86">
        <f t="shared" si="11"/>
        <v>3524252.262518527</v>
      </c>
      <c r="I75" s="86">
        <f t="shared" si="12"/>
        <v>3524.252262518527</v>
      </c>
      <c r="J75" s="9"/>
      <c r="L75" s="19">
        <f>'[2]Proyeksi Fasum'!AC60</f>
        <v>2034</v>
      </c>
      <c r="M75" s="19">
        <f>'[2]Proyeksi Fasum'!R53</f>
        <v>4137.8497546534491</v>
      </c>
      <c r="N75" s="19">
        <v>25</v>
      </c>
      <c r="O75" s="19">
        <f t="shared" si="13"/>
        <v>103446.24386633623</v>
      </c>
      <c r="P75" s="19">
        <f t="shared" si="14"/>
        <v>5</v>
      </c>
      <c r="Q75" s="86" t="str">
        <f t="shared" si="15"/>
        <v xml:space="preserve"> (L/m2)</v>
      </c>
      <c r="R75" s="86">
        <f t="shared" si="16"/>
        <v>517231.21933168115</v>
      </c>
      <c r="S75" s="86">
        <f t="shared" si="17"/>
        <v>517.23121933168113</v>
      </c>
    </row>
    <row r="76" spans="2:19" x14ac:dyDescent="0.25">
      <c r="B76" s="19">
        <f>'[2]Proyeksi Fasum'!AC61</f>
        <v>2035</v>
      </c>
      <c r="C76" s="19">
        <f>'[2]Proyeksi Fasum'!S41</f>
        <v>293.68768854321058</v>
      </c>
      <c r="D76" s="19">
        <v>300</v>
      </c>
      <c r="E76" s="19">
        <f t="shared" si="10"/>
        <v>88106.306562963175</v>
      </c>
      <c r="F76" s="19">
        <v>40</v>
      </c>
      <c r="G76" s="86" t="s">
        <v>159</v>
      </c>
      <c r="H76" s="86">
        <f t="shared" si="11"/>
        <v>3524252.262518527</v>
      </c>
      <c r="I76" s="86">
        <f t="shared" si="12"/>
        <v>3524.252262518527</v>
      </c>
      <c r="J76" s="9"/>
      <c r="L76" s="19">
        <f>'[2]Proyeksi Fasum'!AC61</f>
        <v>2035</v>
      </c>
      <c r="M76" s="19">
        <f>'[2]Proyeksi Fasum'!S53</f>
        <v>4137.8497546534491</v>
      </c>
      <c r="N76" s="19">
        <v>25</v>
      </c>
      <c r="O76" s="19">
        <f t="shared" si="13"/>
        <v>103446.24386633623</v>
      </c>
      <c r="P76" s="19">
        <f t="shared" si="14"/>
        <v>5</v>
      </c>
      <c r="Q76" s="86" t="str">
        <f t="shared" si="15"/>
        <v xml:space="preserve"> (L/m2)</v>
      </c>
      <c r="R76" s="86">
        <f t="shared" si="16"/>
        <v>517231.21933168115</v>
      </c>
      <c r="S76" s="86">
        <f t="shared" si="17"/>
        <v>517.23121933168113</v>
      </c>
    </row>
    <row r="77" spans="2:19" x14ac:dyDescent="0.25">
      <c r="B77" s="19">
        <f>'[2]Proyeksi Fasum'!AC62</f>
        <v>2036</v>
      </c>
      <c r="C77" s="19">
        <f>'[2]Proyeksi Fasum'!T41</f>
        <v>299.61100981823392</v>
      </c>
      <c r="D77" s="19">
        <v>300</v>
      </c>
      <c r="E77" s="19">
        <f t="shared" si="10"/>
        <v>89883.302945470175</v>
      </c>
      <c r="F77" s="19">
        <v>40</v>
      </c>
      <c r="G77" s="86" t="s">
        <v>159</v>
      </c>
      <c r="H77" s="86">
        <f t="shared" si="11"/>
        <v>3595332.1178188073</v>
      </c>
      <c r="I77" s="86">
        <f t="shared" si="12"/>
        <v>3595.3321178188071</v>
      </c>
      <c r="J77" s="9"/>
      <c r="L77" s="19">
        <f>'[2]Proyeksi Fasum'!AC62</f>
        <v>2036</v>
      </c>
      <c r="M77" s="19">
        <f>'[2]Proyeksi Fasum'!T53</f>
        <v>4221.3051204747599</v>
      </c>
      <c r="N77" s="19">
        <v>25</v>
      </c>
      <c r="O77" s="19">
        <f t="shared" si="13"/>
        <v>105532.62801186899</v>
      </c>
      <c r="P77" s="19">
        <f t="shared" si="14"/>
        <v>5</v>
      </c>
      <c r="Q77" s="86" t="str">
        <f t="shared" si="15"/>
        <v xml:space="preserve"> (L/m2)</v>
      </c>
      <c r="R77" s="86">
        <f t="shared" si="16"/>
        <v>527663.14005934494</v>
      </c>
      <c r="S77" s="86">
        <f t="shared" si="17"/>
        <v>527.66314005934498</v>
      </c>
    </row>
    <row r="78" spans="2:19" x14ac:dyDescent="0.25">
      <c r="B78" s="19">
        <f>'[2]Proyeksi Fasum'!AC63</f>
        <v>2037</v>
      </c>
      <c r="C78" s="19">
        <f>'[2]Proyeksi Fasum'!U41</f>
        <v>305.65379723465782</v>
      </c>
      <c r="D78" s="19">
        <v>300</v>
      </c>
      <c r="E78" s="19">
        <f t="shared" si="10"/>
        <v>91696.13917039735</v>
      </c>
      <c r="F78" s="19">
        <v>40</v>
      </c>
      <c r="G78" s="86" t="s">
        <v>159</v>
      </c>
      <c r="H78" s="86">
        <f t="shared" si="11"/>
        <v>3667845.5668158941</v>
      </c>
      <c r="I78" s="86">
        <f t="shared" si="12"/>
        <v>3667.845566815894</v>
      </c>
      <c r="J78" s="9"/>
      <c r="L78" s="19">
        <f>'[2]Proyeksi Fasum'!AC63</f>
        <v>2037</v>
      </c>
      <c r="M78" s="19">
        <f>'[2]Proyeksi Fasum'!U53</f>
        <v>4306.4436788954463</v>
      </c>
      <c r="N78" s="19">
        <v>25</v>
      </c>
      <c r="O78" s="19">
        <f t="shared" si="13"/>
        <v>107661.09197238616</v>
      </c>
      <c r="P78" s="19">
        <f t="shared" si="14"/>
        <v>5</v>
      </c>
      <c r="Q78" s="86" t="str">
        <f t="shared" si="15"/>
        <v xml:space="preserve"> (L/m2)</v>
      </c>
      <c r="R78" s="86">
        <f t="shared" si="16"/>
        <v>538305.45986193081</v>
      </c>
      <c r="S78" s="86">
        <f t="shared" si="17"/>
        <v>538.30545986193079</v>
      </c>
    </row>
    <row r="79" spans="2:19" x14ac:dyDescent="0.25">
      <c r="B79" s="19">
        <f>'[2]Proyeksi Fasum'!AC64</f>
        <v>2038</v>
      </c>
      <c r="C79" s="19">
        <f>'[2]Proyeksi Fasum'!V41</f>
        <v>311.81846027835684</v>
      </c>
      <c r="D79" s="19">
        <v>300</v>
      </c>
      <c r="E79" s="19">
        <f t="shared" si="10"/>
        <v>93545.538083507054</v>
      </c>
      <c r="F79" s="19">
        <v>40</v>
      </c>
      <c r="G79" s="86" t="s">
        <v>159</v>
      </c>
      <c r="H79" s="86">
        <f t="shared" si="11"/>
        <v>3741821.523340282</v>
      </c>
      <c r="I79" s="86">
        <f t="shared" si="12"/>
        <v>3741.8215233402821</v>
      </c>
      <c r="J79" s="9"/>
      <c r="L79" s="19">
        <f>'[2]Proyeksi Fasum'!AC64</f>
        <v>2038</v>
      </c>
      <c r="M79" s="19">
        <f>'[2]Proyeksi Fasum'!V53</f>
        <v>4393.2993778504206</v>
      </c>
      <c r="N79" s="19">
        <v>25</v>
      </c>
      <c r="O79" s="19">
        <f t="shared" si="13"/>
        <v>109832.48444626051</v>
      </c>
      <c r="P79" s="19">
        <f t="shared" si="14"/>
        <v>5</v>
      </c>
      <c r="Q79" s="86" t="str">
        <f t="shared" si="15"/>
        <v xml:space="preserve"> (L/m2)</v>
      </c>
      <c r="R79" s="86">
        <f t="shared" si="16"/>
        <v>549162.4222313026</v>
      </c>
      <c r="S79" s="86">
        <f t="shared" si="17"/>
        <v>549.16242223130257</v>
      </c>
    </row>
    <row r="80" spans="2:19" x14ac:dyDescent="0.25">
      <c r="B80" s="19">
        <f>'[2]Proyeksi Fasum'!AC65</f>
        <v>2039</v>
      </c>
      <c r="C80" s="19">
        <f>'[2]Proyeksi Fasum'!W41</f>
        <v>318.10745703158653</v>
      </c>
      <c r="D80" s="19">
        <v>300</v>
      </c>
      <c r="E80" s="19">
        <f t="shared" si="10"/>
        <v>95432.237109475958</v>
      </c>
      <c r="F80" s="19">
        <v>40</v>
      </c>
      <c r="G80" s="86" t="s">
        <v>159</v>
      </c>
      <c r="H80" s="86">
        <f t="shared" si="11"/>
        <v>3817289.4843790382</v>
      </c>
      <c r="I80" s="86">
        <f t="shared" si="12"/>
        <v>3817.2894843790382</v>
      </c>
      <c r="J80" s="9"/>
      <c r="L80" s="19">
        <f>'[2]Proyeksi Fasum'!AC65</f>
        <v>2039</v>
      </c>
      <c r="M80" s="19">
        <f>'[2]Proyeksi Fasum'!W53</f>
        <v>4481.9068499628893</v>
      </c>
      <c r="N80" s="19">
        <v>25</v>
      </c>
      <c r="O80" s="19">
        <f t="shared" si="13"/>
        <v>112047.67124907223</v>
      </c>
      <c r="P80" s="19">
        <f t="shared" si="14"/>
        <v>5</v>
      </c>
      <c r="Q80" s="86" t="str">
        <f t="shared" si="15"/>
        <v xml:space="preserve"> (L/m2)</v>
      </c>
      <c r="R80" s="86">
        <f t="shared" si="16"/>
        <v>560238.35624536115</v>
      </c>
      <c r="S80" s="86">
        <f t="shared" si="17"/>
        <v>560.23835624536116</v>
      </c>
    </row>
    <row r="81" spans="2:19" x14ac:dyDescent="0.25">
      <c r="B81" s="19">
        <f>'[2]Proyeksi Fasum'!AC66</f>
        <v>2040</v>
      </c>
      <c r="C81" s="19">
        <f>'[2]Proyeksi Fasum'!X41</f>
        <v>324.52329515311379</v>
      </c>
      <c r="D81" s="19">
        <v>300</v>
      </c>
      <c r="E81" s="19">
        <f t="shared" si="10"/>
        <v>97356.988545934131</v>
      </c>
      <c r="F81" s="19">
        <v>40</v>
      </c>
      <c r="G81" s="86" t="s">
        <v>159</v>
      </c>
      <c r="H81" s="86">
        <f t="shared" si="11"/>
        <v>3894279.5418373654</v>
      </c>
      <c r="I81" s="86">
        <f t="shared" si="12"/>
        <v>3894.2795418373653</v>
      </c>
      <c r="J81" s="9"/>
      <c r="L81" s="19">
        <f>'[2]Proyeksi Fasum'!AC66</f>
        <v>2040</v>
      </c>
      <c r="M81" s="19">
        <f>'[2]Proyeksi Fasum'!X53</f>
        <v>4572.3014263536925</v>
      </c>
      <c r="N81" s="19">
        <v>25</v>
      </c>
      <c r="O81" s="19">
        <f t="shared" si="13"/>
        <v>114307.53565884232</v>
      </c>
      <c r="P81" s="19">
        <f t="shared" si="14"/>
        <v>5</v>
      </c>
      <c r="Q81" s="86" t="str">
        <f t="shared" si="15"/>
        <v xml:space="preserve"> (L/m2)</v>
      </c>
      <c r="R81" s="86">
        <f t="shared" si="16"/>
        <v>571537.67829421163</v>
      </c>
      <c r="S81" s="86">
        <f t="shared" si="17"/>
        <v>571.53767829421167</v>
      </c>
    </row>
    <row r="82" spans="2:19" x14ac:dyDescent="0.25">
      <c r="B82" s="19">
        <f>'[2]Proyeksi Fasum'!AC67</f>
        <v>2041</v>
      </c>
      <c r="C82" s="19">
        <f>'[2]Proyeksi Fasum'!Y41</f>
        <v>331.0685328781139</v>
      </c>
      <c r="D82" s="19">
        <v>300</v>
      </c>
      <c r="E82" s="19">
        <f t="shared" si="10"/>
        <v>99320.559863434173</v>
      </c>
      <c r="F82" s="19">
        <v>40</v>
      </c>
      <c r="G82" s="86" t="s">
        <v>159</v>
      </c>
      <c r="H82" s="86">
        <f t="shared" si="11"/>
        <v>3972822.3945373669</v>
      </c>
      <c r="I82" s="86">
        <f t="shared" si="12"/>
        <v>3972.822394537367</v>
      </c>
      <c r="J82" s="9"/>
      <c r="L82" s="19">
        <f>'[2]Proyeksi Fasum'!AC67</f>
        <v>2041</v>
      </c>
      <c r="M82" s="19">
        <f>'[2]Proyeksi Fasum'!Y53</f>
        <v>4664.5191507291402</v>
      </c>
      <c r="N82" s="19">
        <v>25</v>
      </c>
      <c r="O82" s="19">
        <f t="shared" si="13"/>
        <v>116612.97876822851</v>
      </c>
      <c r="P82" s="19">
        <f t="shared" si="14"/>
        <v>5</v>
      </c>
      <c r="Q82" s="86" t="str">
        <f t="shared" si="15"/>
        <v xml:space="preserve"> (L/m2)</v>
      </c>
      <c r="R82" s="86">
        <f t="shared" si="16"/>
        <v>583064.89384114253</v>
      </c>
      <c r="S82" s="86">
        <f t="shared" si="17"/>
        <v>583.06489384114252</v>
      </c>
    </row>
    <row r="83" spans="2:19" x14ac:dyDescent="0.25">
      <c r="B83" s="19">
        <f>'[2]Proyeksi Fasum'!AC68</f>
        <v>2042</v>
      </c>
      <c r="C83" s="19">
        <f>'[2]Proyeksi Fasum'!Z41</f>
        <v>337.7457800382349</v>
      </c>
      <c r="D83" s="19">
        <v>300</v>
      </c>
      <c r="E83" s="19">
        <f t="shared" si="10"/>
        <v>101323.73401147047</v>
      </c>
      <c r="F83" s="19">
        <v>40</v>
      </c>
      <c r="G83" s="86" t="s">
        <v>159</v>
      </c>
      <c r="H83" s="86">
        <f t="shared" si="11"/>
        <v>4052949.3604588187</v>
      </c>
      <c r="I83" s="86">
        <f t="shared" si="12"/>
        <v>4052.9493604588188</v>
      </c>
      <c r="J83" s="9"/>
      <c r="L83" s="19">
        <f>'[2]Proyeksi Fasum'!AC68</f>
        <v>2042</v>
      </c>
      <c r="M83" s="19">
        <f>'[2]Proyeksi Fasum'!Z53</f>
        <v>4758.5967937529886</v>
      </c>
      <c r="N83" s="19">
        <v>25</v>
      </c>
      <c r="O83" s="19">
        <f t="shared" si="13"/>
        <v>118964.91984382471</v>
      </c>
      <c r="P83" s="19">
        <f t="shared" si="14"/>
        <v>5</v>
      </c>
      <c r="Q83" s="86" t="str">
        <f t="shared" si="15"/>
        <v xml:space="preserve"> (L/m2)</v>
      </c>
      <c r="R83" s="86">
        <f t="shared" si="16"/>
        <v>594824.5992191236</v>
      </c>
      <c r="S83" s="86">
        <f t="shared" si="17"/>
        <v>594.82459921912357</v>
      </c>
    </row>
    <row r="84" spans="2:19" x14ac:dyDescent="0.25">
      <c r="B84" s="19">
        <f>'[2]Proyeksi Fasum'!AC69</f>
        <v>2043</v>
      </c>
      <c r="C84" s="19">
        <f>'[2]Proyeksi Fasum'!AA41</f>
        <v>344.55769910223574</v>
      </c>
      <c r="D84" s="19">
        <v>300</v>
      </c>
      <c r="E84" s="19">
        <f t="shared" si="10"/>
        <v>103367.30973067072</v>
      </c>
      <c r="F84" s="19">
        <v>40</v>
      </c>
      <c r="G84" s="86" t="s">
        <v>159</v>
      </c>
      <c r="H84" s="86">
        <f t="shared" si="11"/>
        <v>4134692.3892268287</v>
      </c>
      <c r="I84" s="86">
        <f t="shared" si="12"/>
        <v>4134.6923892268287</v>
      </c>
      <c r="J84" s="9"/>
      <c r="L84" s="19">
        <f>'[2]Proyeksi Fasum'!AC69</f>
        <v>2043</v>
      </c>
      <c r="M84" s="19">
        <f>'[2]Proyeksi Fasum'!AA53</f>
        <v>4854.5718677082859</v>
      </c>
      <c r="N84" s="19">
        <v>25</v>
      </c>
      <c r="O84" s="19">
        <f t="shared" si="13"/>
        <v>121364.29669270715</v>
      </c>
      <c r="P84" s="19">
        <f t="shared" si="14"/>
        <v>5</v>
      </c>
      <c r="Q84" s="86" t="str">
        <f t="shared" si="15"/>
        <v xml:space="preserve"> (L/m2)</v>
      </c>
      <c r="R84" s="86">
        <f t="shared" si="16"/>
        <v>606821.48346353578</v>
      </c>
      <c r="S84" s="86">
        <f t="shared" si="17"/>
        <v>606.82148346353574</v>
      </c>
    </row>
    <row r="85" spans="2:19" x14ac:dyDescent="0.25">
      <c r="J85" s="9"/>
    </row>
    <row r="86" spans="2:19" x14ac:dyDescent="0.25">
      <c r="B86" s="237" t="s">
        <v>74</v>
      </c>
      <c r="C86" s="238"/>
      <c r="D86" s="238"/>
      <c r="E86" s="238"/>
      <c r="F86" s="238"/>
      <c r="G86" s="238"/>
      <c r="H86" s="238"/>
      <c r="I86" s="239"/>
      <c r="J86" s="9"/>
      <c r="L86" s="237" t="s">
        <v>171</v>
      </c>
      <c r="M86" s="238"/>
      <c r="N86" s="238"/>
      <c r="O86" s="238"/>
      <c r="P86" s="238"/>
      <c r="Q86" s="238"/>
      <c r="R86" s="238"/>
      <c r="S86" s="239"/>
    </row>
    <row r="87" spans="2:19" ht="14.4" customHeight="1" x14ac:dyDescent="0.25">
      <c r="B87" s="240" t="s">
        <v>40</v>
      </c>
      <c r="C87" s="241" t="s">
        <v>154</v>
      </c>
      <c r="D87" s="241" t="s">
        <v>155</v>
      </c>
      <c r="E87" s="241" t="s">
        <v>156</v>
      </c>
      <c r="F87" s="241" t="s">
        <v>157</v>
      </c>
      <c r="G87" s="241" t="s">
        <v>129</v>
      </c>
      <c r="H87" s="241" t="s">
        <v>158</v>
      </c>
      <c r="I87" s="241" t="s">
        <v>178</v>
      </c>
      <c r="J87" s="9"/>
      <c r="L87" s="242" t="s">
        <v>40</v>
      </c>
      <c r="M87" s="241" t="s">
        <v>154</v>
      </c>
      <c r="N87" s="241" t="s">
        <v>155</v>
      </c>
      <c r="O87" s="241" t="s">
        <v>156</v>
      </c>
      <c r="P87" s="241" t="s">
        <v>157</v>
      </c>
      <c r="Q87" s="244" t="s">
        <v>129</v>
      </c>
      <c r="R87" s="246" t="s">
        <v>158</v>
      </c>
      <c r="S87" s="241" t="s">
        <v>178</v>
      </c>
    </row>
    <row r="88" spans="2:19" x14ac:dyDescent="0.25">
      <c r="B88" s="240"/>
      <c r="C88" s="241"/>
      <c r="D88" s="241"/>
      <c r="E88" s="241"/>
      <c r="F88" s="241"/>
      <c r="G88" s="241"/>
      <c r="H88" s="241"/>
      <c r="I88" s="241"/>
      <c r="J88" s="9"/>
      <c r="L88" s="243"/>
      <c r="M88" s="241"/>
      <c r="N88" s="241"/>
      <c r="O88" s="241"/>
      <c r="P88" s="241"/>
      <c r="Q88" s="245"/>
      <c r="R88" s="246"/>
      <c r="S88" s="241"/>
    </row>
    <row r="89" spans="2:19" x14ac:dyDescent="0.25">
      <c r="B89" s="19">
        <f>'[2]Proyeksi Fasum'!AC49</f>
        <v>2023</v>
      </c>
      <c r="C89" s="19">
        <f>'[2]Proyeksi Fasum'!G42</f>
        <v>34.734365004580482</v>
      </c>
      <c r="D89" s="19">
        <v>300</v>
      </c>
      <c r="E89" s="19">
        <f t="shared" ref="E89:E109" si="18">D89*C89</f>
        <v>10420.309501374144</v>
      </c>
      <c r="F89" s="19">
        <v>40</v>
      </c>
      <c r="G89" s="86" t="s">
        <v>159</v>
      </c>
      <c r="H89" s="86">
        <f t="shared" ref="H89:H109" si="19">F89*E89</f>
        <v>416812.38005496573</v>
      </c>
      <c r="I89" s="86">
        <f t="shared" ref="I89:I109" si="20">H89/1000</f>
        <v>416.81238005496573</v>
      </c>
      <c r="J89" s="9"/>
      <c r="L89" s="19">
        <f>'[2]Proyeksi Fasum'!AC49</f>
        <v>2023</v>
      </c>
      <c r="M89" s="19">
        <f>'[2]Proyeksi Fasum'!G55</f>
        <v>3.1576695458709527</v>
      </c>
      <c r="N89" s="19">
        <f>D25</f>
        <v>250</v>
      </c>
      <c r="O89" s="19">
        <f t="shared" ref="O89:O109" si="21">N89*M89</f>
        <v>789.4173864677382</v>
      </c>
      <c r="P89" s="19">
        <f>F25</f>
        <v>500</v>
      </c>
      <c r="Q89" s="86" t="str">
        <f t="shared" ref="Q89:Q109" si="22">$G$25</f>
        <v>(L/bed/hari)</v>
      </c>
      <c r="R89" s="86">
        <f t="shared" ref="R89:R109" si="23">P89*O89</f>
        <v>394708.6932338691</v>
      </c>
      <c r="S89" s="86">
        <f t="shared" ref="S89:S109" si="24">R89/1000</f>
        <v>394.7086932338691</v>
      </c>
    </row>
    <row r="90" spans="2:19" x14ac:dyDescent="0.25">
      <c r="B90" s="19">
        <f>'[2]Proyeksi Fasum'!AC50</f>
        <v>2024</v>
      </c>
      <c r="C90" s="19">
        <f>'[2]Proyeksi Fasum'!H42</f>
        <v>35.434914640238041</v>
      </c>
      <c r="D90" s="19">
        <v>300</v>
      </c>
      <c r="E90" s="19">
        <f t="shared" si="18"/>
        <v>10630.474392071412</v>
      </c>
      <c r="F90" s="19">
        <v>40</v>
      </c>
      <c r="G90" s="86" t="s">
        <v>159</v>
      </c>
      <c r="H90" s="86">
        <f t="shared" si="19"/>
        <v>425218.97568285646</v>
      </c>
      <c r="I90" s="86">
        <f t="shared" si="20"/>
        <v>425.21897568285647</v>
      </c>
      <c r="J90" s="9"/>
      <c r="L90" s="19">
        <f>'[2]Proyeksi Fasum'!AC50</f>
        <v>2024</v>
      </c>
      <c r="M90" s="19">
        <f>'[2]Proyeksi Fasum'!H55</f>
        <v>3.2213558763852763</v>
      </c>
      <c r="N90" s="19">
        <v>250</v>
      </c>
      <c r="O90" s="19">
        <f t="shared" si="21"/>
        <v>805.33896909631903</v>
      </c>
      <c r="P90" s="19">
        <v>500</v>
      </c>
      <c r="Q90" s="86" t="str">
        <f t="shared" si="22"/>
        <v>(L/bed/hari)</v>
      </c>
      <c r="R90" s="86">
        <f t="shared" si="23"/>
        <v>402669.48454815953</v>
      </c>
      <c r="S90" s="86">
        <f t="shared" si="24"/>
        <v>402.66948454815952</v>
      </c>
    </row>
    <row r="91" spans="2:19" x14ac:dyDescent="0.25">
      <c r="B91" s="19">
        <f>'[2]Proyeksi Fasum'!AC51</f>
        <v>2025</v>
      </c>
      <c r="C91" s="19">
        <f>'[2]Proyeksi Fasum'!I42</f>
        <v>36.149593504743024</v>
      </c>
      <c r="D91" s="19">
        <v>300</v>
      </c>
      <c r="E91" s="19">
        <f t="shared" si="18"/>
        <v>10844.878051422907</v>
      </c>
      <c r="F91" s="19">
        <v>40</v>
      </c>
      <c r="G91" s="86" t="s">
        <v>159</v>
      </c>
      <c r="H91" s="86">
        <f t="shared" si="19"/>
        <v>433795.1220569163</v>
      </c>
      <c r="I91" s="86">
        <f t="shared" si="20"/>
        <v>433.79512205691628</v>
      </c>
      <c r="J91" s="9"/>
      <c r="L91" s="19">
        <f>'[2]Proyeksi Fasum'!AC51</f>
        <v>2025</v>
      </c>
      <c r="M91" s="19">
        <f>'[2]Proyeksi Fasum'!I55</f>
        <v>3.2863266822493657</v>
      </c>
      <c r="N91" s="19">
        <v>250</v>
      </c>
      <c r="O91" s="19">
        <f t="shared" si="21"/>
        <v>821.5816705623414</v>
      </c>
      <c r="P91" s="19">
        <v>500</v>
      </c>
      <c r="Q91" s="86" t="str">
        <f t="shared" si="22"/>
        <v>(L/bed/hari)</v>
      </c>
      <c r="R91" s="86">
        <f t="shared" si="23"/>
        <v>410790.83528117067</v>
      </c>
      <c r="S91" s="86">
        <f t="shared" si="24"/>
        <v>410.79083528117064</v>
      </c>
    </row>
    <row r="92" spans="2:19" x14ac:dyDescent="0.25">
      <c r="B92" s="19">
        <f>'[2]Proyeksi Fasum'!AC52</f>
        <v>2026</v>
      </c>
      <c r="C92" s="19">
        <f>'[2]Proyeksi Fasum'!J42</f>
        <v>36.878686567350535</v>
      </c>
      <c r="D92" s="19">
        <v>300</v>
      </c>
      <c r="E92" s="19">
        <f t="shared" si="18"/>
        <v>11063.605970205161</v>
      </c>
      <c r="F92" s="19">
        <v>40</v>
      </c>
      <c r="G92" s="86" t="s">
        <v>159</v>
      </c>
      <c r="H92" s="86">
        <f t="shared" si="19"/>
        <v>442544.2388082064</v>
      </c>
      <c r="I92" s="86">
        <f t="shared" si="20"/>
        <v>442.54423880820639</v>
      </c>
      <c r="J92" s="9"/>
      <c r="L92" s="19">
        <f>'[2]Proyeksi Fasum'!AC52</f>
        <v>2026</v>
      </c>
      <c r="M92" s="19">
        <f>'[2]Proyeksi Fasum'!J55</f>
        <v>3.3526078697591393</v>
      </c>
      <c r="N92" s="19">
        <v>250</v>
      </c>
      <c r="O92" s="19">
        <f t="shared" si="21"/>
        <v>838.15196743978481</v>
      </c>
      <c r="P92" s="19">
        <v>500</v>
      </c>
      <c r="Q92" s="86" t="str">
        <f t="shared" si="22"/>
        <v>(L/bed/hari)</v>
      </c>
      <c r="R92" s="86">
        <f t="shared" si="23"/>
        <v>419075.98371989239</v>
      </c>
      <c r="S92" s="86">
        <f t="shared" si="24"/>
        <v>419.07598371989241</v>
      </c>
    </row>
    <row r="93" spans="2:19" x14ac:dyDescent="0.25">
      <c r="B93" s="19">
        <f>'[2]Proyeksi Fasum'!AC53</f>
        <v>2027</v>
      </c>
      <c r="C93" s="19">
        <f>'[2]Proyeksi Fasum'!K42</f>
        <v>37.622484544796777</v>
      </c>
      <c r="D93" s="19">
        <v>300</v>
      </c>
      <c r="E93" s="19">
        <f t="shared" si="18"/>
        <v>11286.745363439033</v>
      </c>
      <c r="F93" s="19">
        <v>40</v>
      </c>
      <c r="G93" s="86" t="s">
        <v>159</v>
      </c>
      <c r="H93" s="86">
        <f t="shared" si="19"/>
        <v>451469.81453756132</v>
      </c>
      <c r="I93" s="86">
        <f t="shared" si="20"/>
        <v>451.46981453756132</v>
      </c>
      <c r="J93" s="9"/>
      <c r="L93" s="19">
        <f>'[2]Proyeksi Fasum'!AC53</f>
        <v>2027</v>
      </c>
      <c r="M93" s="19">
        <f>'[2]Proyeksi Fasum'!K55</f>
        <v>3.420225867708798</v>
      </c>
      <c r="N93" s="19">
        <v>250</v>
      </c>
      <c r="O93" s="19">
        <f t="shared" si="21"/>
        <v>855.05646692719949</v>
      </c>
      <c r="P93" s="19">
        <v>500</v>
      </c>
      <c r="Q93" s="86" t="str">
        <f t="shared" si="22"/>
        <v>(L/bed/hari)</v>
      </c>
      <c r="R93" s="86">
        <f t="shared" si="23"/>
        <v>427528.23346359975</v>
      </c>
      <c r="S93" s="86">
        <f t="shared" si="24"/>
        <v>427.52823346359975</v>
      </c>
    </row>
    <row r="94" spans="2:19" x14ac:dyDescent="0.25">
      <c r="B94" s="19">
        <f>'[2]Proyeksi Fasum'!AC54</f>
        <v>2028</v>
      </c>
      <c r="C94" s="19">
        <f>'[2]Proyeksi Fasum'!L42</f>
        <v>38.381284017218796</v>
      </c>
      <c r="D94" s="19">
        <v>300</v>
      </c>
      <c r="E94" s="19">
        <f t="shared" si="18"/>
        <v>11514.385205165639</v>
      </c>
      <c r="F94" s="19">
        <v>40</v>
      </c>
      <c r="G94" s="86" t="s">
        <v>159</v>
      </c>
      <c r="H94" s="86">
        <f t="shared" si="19"/>
        <v>460575.40820662561</v>
      </c>
      <c r="I94" s="86">
        <f t="shared" si="20"/>
        <v>460.57540820662558</v>
      </c>
      <c r="J94" s="9"/>
      <c r="L94" s="19">
        <f>'[2]Proyeksi Fasum'!AC54</f>
        <v>2028</v>
      </c>
      <c r="M94" s="19">
        <f>'[2]Proyeksi Fasum'!L55</f>
        <v>3.4892076379289811</v>
      </c>
      <c r="N94" s="19">
        <v>250</v>
      </c>
      <c r="O94" s="19">
        <f t="shared" si="21"/>
        <v>872.30190948224526</v>
      </c>
      <c r="P94" s="19">
        <v>500</v>
      </c>
      <c r="Q94" s="86" t="str">
        <f t="shared" si="22"/>
        <v>(L/bed/hari)</v>
      </c>
      <c r="R94" s="86">
        <f t="shared" si="23"/>
        <v>436150.95474112261</v>
      </c>
      <c r="S94" s="86">
        <f t="shared" si="24"/>
        <v>436.15095474112263</v>
      </c>
    </row>
    <row r="95" spans="2:19" x14ac:dyDescent="0.25">
      <c r="B95" s="19">
        <f>'[2]Proyeksi Fasum'!AC55</f>
        <v>2029</v>
      </c>
      <c r="C95" s="19">
        <f>'[2]Proyeksi Fasum'!M42</f>
        <v>39.155387546412022</v>
      </c>
      <c r="D95" s="19">
        <v>300</v>
      </c>
      <c r="E95" s="19">
        <f t="shared" si="18"/>
        <v>11746.616263923606</v>
      </c>
      <c r="F95" s="19">
        <v>40</v>
      </c>
      <c r="G95" s="86" t="s">
        <v>159</v>
      </c>
      <c r="H95" s="86">
        <f t="shared" si="19"/>
        <v>469864.65055694425</v>
      </c>
      <c r="I95" s="86">
        <f t="shared" si="20"/>
        <v>469.86465055694424</v>
      </c>
      <c r="J95" s="9"/>
      <c r="L95" s="19">
        <f>'[2]Proyeksi Fasum'!AC55</f>
        <v>2029</v>
      </c>
      <c r="M95" s="19">
        <f>'[2]Proyeksi Fasum'!M55</f>
        <v>3.5595806860374566</v>
      </c>
      <c r="N95" s="19">
        <v>250</v>
      </c>
      <c r="O95" s="19">
        <f t="shared" si="21"/>
        <v>889.8951715093641</v>
      </c>
      <c r="P95" s="19">
        <v>500</v>
      </c>
      <c r="Q95" s="86" t="str">
        <f t="shared" si="22"/>
        <v>(L/bed/hari)</v>
      </c>
      <c r="R95" s="86">
        <f t="shared" si="23"/>
        <v>444947.58575468208</v>
      </c>
      <c r="S95" s="86">
        <f t="shared" si="24"/>
        <v>444.94758575468205</v>
      </c>
    </row>
    <row r="96" spans="2:19" x14ac:dyDescent="0.25">
      <c r="B96" s="19">
        <f>'[2]Proyeksi Fasum'!AC56</f>
        <v>2030</v>
      </c>
      <c r="C96" s="19">
        <f>'[2]Proyeksi Fasum'!N42</f>
        <v>39.945103796473092</v>
      </c>
      <c r="D96" s="19">
        <v>300</v>
      </c>
      <c r="E96" s="19">
        <f t="shared" si="18"/>
        <v>11983.531138941928</v>
      </c>
      <c r="F96" s="19">
        <v>40</v>
      </c>
      <c r="G96" s="86" t="s">
        <v>159</v>
      </c>
      <c r="H96" s="86">
        <f t="shared" si="19"/>
        <v>479341.24555767712</v>
      </c>
      <c r="I96" s="86">
        <f t="shared" si="20"/>
        <v>479.3412455576771</v>
      </c>
      <c r="J96" s="9"/>
      <c r="L96" s="19">
        <f>'[2]Proyeksi Fasum'!AC56</f>
        <v>2030</v>
      </c>
      <c r="M96" s="19">
        <f>'[2]Proyeksi Fasum'!N55</f>
        <v>3.6313730724066446</v>
      </c>
      <c r="N96" s="19">
        <v>250</v>
      </c>
      <c r="O96" s="19">
        <f t="shared" si="21"/>
        <v>907.84326810166112</v>
      </c>
      <c r="P96" s="19">
        <v>500</v>
      </c>
      <c r="Q96" s="86" t="str">
        <f t="shared" si="22"/>
        <v>(L/bed/hari)</v>
      </c>
      <c r="R96" s="86">
        <f t="shared" si="23"/>
        <v>453921.63405083056</v>
      </c>
      <c r="S96" s="86">
        <f t="shared" si="24"/>
        <v>453.92163405083056</v>
      </c>
    </row>
    <row r="97" spans="2:19" x14ac:dyDescent="0.25">
      <c r="B97" s="19">
        <f>'[2]Proyeksi Fasum'!AC57</f>
        <v>2031</v>
      </c>
      <c r="C97" s="19">
        <f>'[2]Proyeksi Fasum'!O42</f>
        <v>40.750747656875667</v>
      </c>
      <c r="D97" s="19">
        <v>300</v>
      </c>
      <c r="E97" s="19">
        <f t="shared" si="18"/>
        <v>12225.224297062699</v>
      </c>
      <c r="F97" s="19">
        <v>40</v>
      </c>
      <c r="G97" s="86" t="s">
        <v>159</v>
      </c>
      <c r="H97" s="86">
        <f t="shared" si="19"/>
        <v>489008.97188250796</v>
      </c>
      <c r="I97" s="86">
        <f t="shared" si="20"/>
        <v>489.00897188250798</v>
      </c>
      <c r="J97" s="9"/>
      <c r="L97" s="19">
        <f>'[2]Proyeksi Fasum'!AC57</f>
        <v>2031</v>
      </c>
      <c r="M97" s="19">
        <f>'[2]Proyeksi Fasum'!O55</f>
        <v>3.7046134233523333</v>
      </c>
      <c r="N97" s="19">
        <v>250</v>
      </c>
      <c r="O97" s="19">
        <f t="shared" si="21"/>
        <v>926.15335583808337</v>
      </c>
      <c r="P97" s="19">
        <v>500</v>
      </c>
      <c r="Q97" s="86" t="str">
        <f t="shared" si="22"/>
        <v>(L/bed/hari)</v>
      </c>
      <c r="R97" s="86">
        <f t="shared" si="23"/>
        <v>463076.67791904171</v>
      </c>
      <c r="S97" s="86">
        <f t="shared" si="24"/>
        <v>463.07667791904174</v>
      </c>
    </row>
    <row r="98" spans="2:19" x14ac:dyDescent="0.25">
      <c r="B98" s="19">
        <f>'[2]Proyeksi Fasum'!AC58</f>
        <v>2032</v>
      </c>
      <c r="C98" s="19">
        <f>'[2]Proyeksi Fasum'!P42</f>
        <v>41.572640368028793</v>
      </c>
      <c r="D98" s="19">
        <v>300</v>
      </c>
      <c r="E98" s="19">
        <f t="shared" si="18"/>
        <v>12471.792110408638</v>
      </c>
      <c r="F98" s="19">
        <v>40</v>
      </c>
      <c r="G98" s="86" t="s">
        <v>159</v>
      </c>
      <c r="H98" s="86">
        <f t="shared" si="19"/>
        <v>498871.68441634555</v>
      </c>
      <c r="I98" s="86">
        <f t="shared" si="20"/>
        <v>498.87168441634554</v>
      </c>
      <c r="J98" s="9"/>
      <c r="L98" s="19">
        <f>'[2]Proyeksi Fasum'!AC58</f>
        <v>2032</v>
      </c>
      <c r="M98" s="19">
        <f>'[2]Proyeksi Fasum'!P55</f>
        <v>3.7793309425480719</v>
      </c>
      <c r="N98" s="19">
        <v>250</v>
      </c>
      <c r="O98" s="19">
        <f t="shared" si="21"/>
        <v>944.832735637018</v>
      </c>
      <c r="P98" s="19">
        <v>500</v>
      </c>
      <c r="Q98" s="86" t="str">
        <f t="shared" si="22"/>
        <v>(L/bed/hari)</v>
      </c>
      <c r="R98" s="86">
        <f t="shared" si="23"/>
        <v>472416.367818509</v>
      </c>
      <c r="S98" s="86">
        <f t="shared" si="24"/>
        <v>472.416367818509</v>
      </c>
    </row>
    <row r="99" spans="2:19" x14ac:dyDescent="0.25">
      <c r="B99" s="19">
        <f>'[2]Proyeksi Fasum'!AC59</f>
        <v>2033</v>
      </c>
      <c r="C99" s="19">
        <f>'[2]Proyeksi Fasum'!Q42</f>
        <v>42.411109649367454</v>
      </c>
      <c r="D99" s="19">
        <v>300</v>
      </c>
      <c r="E99" s="19">
        <f t="shared" si="18"/>
        <v>12723.332894810235</v>
      </c>
      <c r="F99" s="19">
        <v>40</v>
      </c>
      <c r="G99" s="86" t="s">
        <v>159</v>
      </c>
      <c r="H99" s="86">
        <f t="shared" si="19"/>
        <v>508933.31579240941</v>
      </c>
      <c r="I99" s="86">
        <f t="shared" si="20"/>
        <v>508.93331579240942</v>
      </c>
      <c r="J99" s="9"/>
      <c r="L99" s="19">
        <f>'[2]Proyeksi Fasum'!AC59</f>
        <v>2033</v>
      </c>
      <c r="M99" s="19">
        <f>'[2]Proyeksi Fasum'!Q55</f>
        <v>3.8555554226697684</v>
      </c>
      <c r="N99" s="19">
        <v>250</v>
      </c>
      <c r="O99" s="19">
        <f t="shared" si="21"/>
        <v>963.88885566744204</v>
      </c>
      <c r="P99" s="19">
        <v>500</v>
      </c>
      <c r="Q99" s="86" t="str">
        <f t="shared" si="22"/>
        <v>(L/bed/hari)</v>
      </c>
      <c r="R99" s="86">
        <f t="shared" si="23"/>
        <v>481944.42783372104</v>
      </c>
      <c r="S99" s="86">
        <f t="shared" si="24"/>
        <v>481.94442783372102</v>
      </c>
    </row>
    <row r="100" spans="2:19" x14ac:dyDescent="0.25">
      <c r="B100" s="19">
        <f>'[2]Proyeksi Fasum'!AC60</f>
        <v>2034</v>
      </c>
      <c r="C100" s="19">
        <f>'[2]Proyeksi Fasum'!R42</f>
        <v>43.266489830026558</v>
      </c>
      <c r="D100" s="19">
        <v>300</v>
      </c>
      <c r="E100" s="19">
        <f t="shared" si="18"/>
        <v>12979.946949007968</v>
      </c>
      <c r="F100" s="19">
        <v>40</v>
      </c>
      <c r="G100" s="86" t="s">
        <v>159</v>
      </c>
      <c r="H100" s="86">
        <f t="shared" si="19"/>
        <v>519197.8779603187</v>
      </c>
      <c r="I100" s="86">
        <f t="shared" si="20"/>
        <v>519.19787796031869</v>
      </c>
      <c r="J100" s="9"/>
      <c r="L100" s="19">
        <f>'[2]Proyeksi Fasum'!AC60</f>
        <v>2034</v>
      </c>
      <c r="M100" s="19">
        <f>'[2]Proyeksi Fasum'!R55</f>
        <v>3.9333172572751414</v>
      </c>
      <c r="N100" s="19">
        <v>250</v>
      </c>
      <c r="O100" s="19">
        <f t="shared" si="21"/>
        <v>983.32931431878535</v>
      </c>
      <c r="P100" s="19">
        <v>500</v>
      </c>
      <c r="Q100" s="86" t="str">
        <f t="shared" si="22"/>
        <v>(L/bed/hari)</v>
      </c>
      <c r="R100" s="86">
        <f t="shared" si="23"/>
        <v>491664.65715939266</v>
      </c>
      <c r="S100" s="86">
        <f t="shared" si="24"/>
        <v>491.66465715939268</v>
      </c>
    </row>
    <row r="101" spans="2:19" x14ac:dyDescent="0.25">
      <c r="B101" s="19">
        <f>'[2]Proyeksi Fasum'!AC61</f>
        <v>2035</v>
      </c>
      <c r="C101" s="19">
        <f>'[2]Proyeksi Fasum'!S42</f>
        <v>43.266489830026558</v>
      </c>
      <c r="D101" s="19">
        <v>300</v>
      </c>
      <c r="E101" s="19">
        <f t="shared" si="18"/>
        <v>12979.946949007968</v>
      </c>
      <c r="F101" s="19">
        <v>40</v>
      </c>
      <c r="G101" s="86" t="s">
        <v>159</v>
      </c>
      <c r="H101" s="86">
        <f t="shared" si="19"/>
        <v>519197.8779603187</v>
      </c>
      <c r="I101" s="86">
        <f t="shared" si="20"/>
        <v>519.19787796031869</v>
      </c>
      <c r="J101" s="9"/>
      <c r="L101" s="19">
        <f>'[2]Proyeksi Fasum'!AC61</f>
        <v>2035</v>
      </c>
      <c r="M101" s="19">
        <f>'[2]Proyeksi Fasum'!S55</f>
        <v>3.9333172572751414</v>
      </c>
      <c r="N101" s="19">
        <v>250</v>
      </c>
      <c r="O101" s="19">
        <f t="shared" si="21"/>
        <v>983.32931431878535</v>
      </c>
      <c r="P101" s="19">
        <v>500</v>
      </c>
      <c r="Q101" s="86" t="str">
        <f t="shared" si="22"/>
        <v>(L/bed/hari)</v>
      </c>
      <c r="R101" s="86">
        <f t="shared" si="23"/>
        <v>491664.65715939266</v>
      </c>
      <c r="S101" s="86">
        <f t="shared" si="24"/>
        <v>491.66465715939268</v>
      </c>
    </row>
    <row r="102" spans="2:19" x14ac:dyDescent="0.25">
      <c r="B102" s="19">
        <f>'[2]Proyeksi Fasum'!AC62</f>
        <v>2036</v>
      </c>
      <c r="C102" s="19">
        <f>'[2]Proyeksi Fasum'!T42</f>
        <v>44.139121982150535</v>
      </c>
      <c r="D102" s="19">
        <v>300</v>
      </c>
      <c r="E102" s="19">
        <f t="shared" si="18"/>
        <v>13241.736594645161</v>
      </c>
      <c r="F102" s="19">
        <v>40</v>
      </c>
      <c r="G102" s="86" t="s">
        <v>159</v>
      </c>
      <c r="H102" s="86">
        <f t="shared" si="19"/>
        <v>529669.46378580644</v>
      </c>
      <c r="I102" s="86">
        <f t="shared" si="20"/>
        <v>529.66946378580644</v>
      </c>
      <c r="J102" s="9"/>
      <c r="L102" s="19">
        <f>'[2]Proyeksi Fasum'!AC62</f>
        <v>2036</v>
      </c>
      <c r="M102" s="19">
        <f>'[2]Proyeksi Fasum'!T55</f>
        <v>4.012647452922776</v>
      </c>
      <c r="N102" s="19">
        <v>250</v>
      </c>
      <c r="O102" s="19">
        <f t="shared" si="21"/>
        <v>1003.1618632306941</v>
      </c>
      <c r="P102" s="19">
        <v>500</v>
      </c>
      <c r="Q102" s="86" t="str">
        <f t="shared" si="22"/>
        <v>(L/bed/hari)</v>
      </c>
      <c r="R102" s="86">
        <f t="shared" si="23"/>
        <v>501580.93161534704</v>
      </c>
      <c r="S102" s="86">
        <f t="shared" si="24"/>
        <v>501.58093161534703</v>
      </c>
    </row>
    <row r="103" spans="2:19" x14ac:dyDescent="0.25">
      <c r="B103" s="19">
        <f>'[2]Proyeksi Fasum'!AC63</f>
        <v>2037</v>
      </c>
      <c r="C103" s="19">
        <f>'[2]Proyeksi Fasum'!U42</f>
        <v>45.029354056891549</v>
      </c>
      <c r="D103" s="19">
        <v>300</v>
      </c>
      <c r="E103" s="19">
        <f t="shared" si="18"/>
        <v>13508.806217067464</v>
      </c>
      <c r="F103" s="19">
        <v>40</v>
      </c>
      <c r="G103" s="86" t="s">
        <v>159</v>
      </c>
      <c r="H103" s="86">
        <f t="shared" si="19"/>
        <v>540352.24868269858</v>
      </c>
      <c r="I103" s="86">
        <f t="shared" si="20"/>
        <v>540.35224868269859</v>
      </c>
      <c r="J103" s="9"/>
      <c r="L103" s="19">
        <f>'[2]Proyeksi Fasum'!AC63</f>
        <v>2037</v>
      </c>
      <c r="M103" s="19">
        <f>'[2]Proyeksi Fasum'!U55</f>
        <v>4.093577641535596</v>
      </c>
      <c r="N103" s="19">
        <v>250</v>
      </c>
      <c r="O103" s="19">
        <f t="shared" si="21"/>
        <v>1023.394410383899</v>
      </c>
      <c r="P103" s="19">
        <v>500</v>
      </c>
      <c r="Q103" s="86" t="str">
        <f t="shared" si="22"/>
        <v>(L/bed/hari)</v>
      </c>
      <c r="R103" s="86">
        <f t="shared" si="23"/>
        <v>511697.2051919495</v>
      </c>
      <c r="S103" s="86">
        <f t="shared" si="24"/>
        <v>511.69720519194948</v>
      </c>
    </row>
    <row r="104" spans="2:19" x14ac:dyDescent="0.25">
      <c r="B104" s="19">
        <f>'[2]Proyeksi Fasum'!AC64</f>
        <v>2038</v>
      </c>
      <c r="C104" s="19">
        <f>'[2]Proyeksi Fasum'!V42</f>
        <v>45.937541023150779</v>
      </c>
      <c r="D104" s="19">
        <v>300</v>
      </c>
      <c r="E104" s="19">
        <f t="shared" si="18"/>
        <v>13781.262306945233</v>
      </c>
      <c r="F104" s="19">
        <v>40</v>
      </c>
      <c r="G104" s="86" t="s">
        <v>159</v>
      </c>
      <c r="H104" s="86">
        <f t="shared" si="19"/>
        <v>551250.4922778093</v>
      </c>
      <c r="I104" s="86">
        <f t="shared" si="20"/>
        <v>551.25049227780926</v>
      </c>
      <c r="J104" s="9"/>
      <c r="L104" s="19">
        <f>'[2]Proyeksi Fasum'!AC64</f>
        <v>2038</v>
      </c>
      <c r="M104" s="19">
        <f>'[2]Proyeksi Fasum'!V55</f>
        <v>4.1761400930137071</v>
      </c>
      <c r="N104" s="19">
        <v>250</v>
      </c>
      <c r="O104" s="19">
        <f t="shared" si="21"/>
        <v>1044.0350232534267</v>
      </c>
      <c r="P104" s="19">
        <v>500</v>
      </c>
      <c r="Q104" s="86" t="str">
        <f t="shared" si="22"/>
        <v>(L/bed/hari)</v>
      </c>
      <c r="R104" s="86">
        <f t="shared" si="23"/>
        <v>522017.51162671339</v>
      </c>
      <c r="S104" s="86">
        <f t="shared" si="24"/>
        <v>522.01751162671337</v>
      </c>
    </row>
    <row r="105" spans="2:19" x14ac:dyDescent="0.25">
      <c r="B105" s="19">
        <f>'[2]Proyeksi Fasum'!AC65</f>
        <v>2039</v>
      </c>
      <c r="C105" s="19">
        <f>'[2]Proyeksi Fasum'!W42</f>
        <v>46.86404500911766</v>
      </c>
      <c r="D105" s="19">
        <v>300</v>
      </c>
      <c r="E105" s="19">
        <f t="shared" si="18"/>
        <v>14059.213502735298</v>
      </c>
      <c r="F105" s="19">
        <v>40</v>
      </c>
      <c r="G105" s="86" t="s">
        <v>159</v>
      </c>
      <c r="H105" s="86">
        <f t="shared" si="19"/>
        <v>562368.54010941193</v>
      </c>
      <c r="I105" s="86">
        <f t="shared" si="20"/>
        <v>562.36854010941192</v>
      </c>
      <c r="J105" s="9"/>
      <c r="L105" s="19">
        <f>'[2]Proyeksi Fasum'!AC65</f>
        <v>2039</v>
      </c>
      <c r="M105" s="19">
        <f>'[2]Proyeksi Fasum'!W55</f>
        <v>4.2603677281016052</v>
      </c>
      <c r="N105" s="19">
        <v>250</v>
      </c>
      <c r="O105" s="19">
        <f t="shared" si="21"/>
        <v>1065.0919320254013</v>
      </c>
      <c r="P105" s="19">
        <v>500</v>
      </c>
      <c r="Q105" s="86" t="str">
        <f t="shared" si="22"/>
        <v>(L/bed/hari)</v>
      </c>
      <c r="R105" s="86">
        <f t="shared" si="23"/>
        <v>532545.96601270069</v>
      </c>
      <c r="S105" s="86">
        <f t="shared" si="24"/>
        <v>532.54596601270066</v>
      </c>
    </row>
    <row r="106" spans="2:19" x14ac:dyDescent="0.25">
      <c r="B106" s="19">
        <f>'[2]Proyeksi Fasum'!AC66</f>
        <v>2040</v>
      </c>
      <c r="C106" s="19">
        <f>'[2]Proyeksi Fasum'!X42</f>
        <v>47.80923544666409</v>
      </c>
      <c r="D106" s="19">
        <v>300</v>
      </c>
      <c r="E106" s="19">
        <f t="shared" si="18"/>
        <v>14342.770633999227</v>
      </c>
      <c r="F106" s="19">
        <v>40</v>
      </c>
      <c r="G106" s="86" t="s">
        <v>159</v>
      </c>
      <c r="H106" s="86">
        <f t="shared" si="19"/>
        <v>573710.82535996905</v>
      </c>
      <c r="I106" s="86">
        <f t="shared" si="20"/>
        <v>573.71082535996902</v>
      </c>
      <c r="J106" s="9"/>
      <c r="L106" s="19">
        <f>'[2]Proyeksi Fasum'!AC66</f>
        <v>2040</v>
      </c>
      <c r="M106" s="19">
        <f>'[2]Proyeksi Fasum'!X55</f>
        <v>4.3462941315149166</v>
      </c>
      <c r="N106" s="19">
        <v>250</v>
      </c>
      <c r="O106" s="19">
        <f t="shared" si="21"/>
        <v>1086.5735328787291</v>
      </c>
      <c r="P106" s="19">
        <v>500</v>
      </c>
      <c r="Q106" s="86" t="str">
        <f t="shared" si="22"/>
        <v>(L/bed/hari)</v>
      </c>
      <c r="R106" s="86">
        <f t="shared" si="23"/>
        <v>543286.76643936452</v>
      </c>
      <c r="S106" s="86">
        <f t="shared" si="24"/>
        <v>543.28676643936456</v>
      </c>
    </row>
    <row r="107" spans="2:19" x14ac:dyDescent="0.25">
      <c r="B107" s="19">
        <f>'[2]Proyeksi Fasum'!AC67</f>
        <v>2041</v>
      </c>
      <c r="C107" s="19">
        <f>'[2]Proyeksi Fasum'!Y42</f>
        <v>48.77348921865071</v>
      </c>
      <c r="D107" s="19">
        <v>300</v>
      </c>
      <c r="E107" s="19">
        <f t="shared" si="18"/>
        <v>14632.046765595212</v>
      </c>
      <c r="F107" s="19">
        <v>40</v>
      </c>
      <c r="G107" s="86" t="s">
        <v>159</v>
      </c>
      <c r="H107" s="86">
        <f t="shared" si="19"/>
        <v>585281.87062380847</v>
      </c>
      <c r="I107" s="86">
        <f t="shared" si="20"/>
        <v>585.28187062380846</v>
      </c>
      <c r="J107" s="9"/>
      <c r="L107" s="19">
        <f>'[2]Proyeksi Fasum'!AC67</f>
        <v>2041</v>
      </c>
      <c r="M107" s="19">
        <f>'[2]Proyeksi Fasum'!Y55</f>
        <v>4.4339535653318825</v>
      </c>
      <c r="N107" s="19">
        <v>250</v>
      </c>
      <c r="O107" s="19">
        <f t="shared" si="21"/>
        <v>1108.4883913329707</v>
      </c>
      <c r="P107" s="19">
        <v>500</v>
      </c>
      <c r="Q107" s="86" t="str">
        <f t="shared" si="22"/>
        <v>(L/bed/hari)</v>
      </c>
      <c r="R107" s="86">
        <f t="shared" si="23"/>
        <v>554244.19566648535</v>
      </c>
      <c r="S107" s="86">
        <f t="shared" si="24"/>
        <v>554.24419566648533</v>
      </c>
    </row>
    <row r="108" spans="2:19" x14ac:dyDescent="0.25">
      <c r="B108" s="19">
        <f>'[2]Proyeksi Fasum'!AC68</f>
        <v>2042</v>
      </c>
      <c r="C108" s="19">
        <f>'[2]Proyeksi Fasum'!Z42</f>
        <v>49.757190809204253</v>
      </c>
      <c r="D108" s="19">
        <v>300</v>
      </c>
      <c r="E108" s="19">
        <f t="shared" si="18"/>
        <v>14927.157242761275</v>
      </c>
      <c r="F108" s="19">
        <v>40</v>
      </c>
      <c r="G108" s="86" t="s">
        <v>159</v>
      </c>
      <c r="H108" s="86">
        <f t="shared" si="19"/>
        <v>597086.28971045103</v>
      </c>
      <c r="I108" s="86">
        <f t="shared" si="20"/>
        <v>597.08628971045107</v>
      </c>
      <c r="J108" s="9"/>
      <c r="L108" s="19">
        <f>'[2]Proyeksi Fasum'!AC68</f>
        <v>2042</v>
      </c>
      <c r="M108" s="19">
        <f>'[2]Proyeksi Fasum'!Z55</f>
        <v>4.523380982654932</v>
      </c>
      <c r="N108" s="19">
        <v>250</v>
      </c>
      <c r="O108" s="19">
        <f t="shared" si="21"/>
        <v>1130.8452456637331</v>
      </c>
      <c r="P108" s="19">
        <v>500</v>
      </c>
      <c r="Q108" s="86" t="str">
        <f t="shared" si="22"/>
        <v>(L/bed/hari)</v>
      </c>
      <c r="R108" s="86">
        <f t="shared" si="23"/>
        <v>565422.62283186649</v>
      </c>
      <c r="S108" s="86">
        <f t="shared" si="24"/>
        <v>565.42262283186653</v>
      </c>
    </row>
    <row r="109" spans="2:19" x14ac:dyDescent="0.25">
      <c r="B109" s="19">
        <f>'[2]Proyeksi Fasum'!AC69</f>
        <v>2043</v>
      </c>
      <c r="C109" s="19">
        <f>'[2]Proyeksi Fasum'!AA42</f>
        <v>50.760732457025803</v>
      </c>
      <c r="D109" s="19">
        <v>300</v>
      </c>
      <c r="E109" s="19">
        <f t="shared" si="18"/>
        <v>15228.21973710774</v>
      </c>
      <c r="F109" s="19">
        <v>40</v>
      </c>
      <c r="G109" s="86" t="s">
        <v>159</v>
      </c>
      <c r="H109" s="86">
        <f t="shared" si="19"/>
        <v>609128.78948430961</v>
      </c>
      <c r="I109" s="86">
        <f t="shared" si="20"/>
        <v>609.12878948430966</v>
      </c>
      <c r="J109" s="9"/>
      <c r="L109" s="19">
        <f>'[2]Proyeksi Fasum'!AC69</f>
        <v>2043</v>
      </c>
      <c r="M109" s="19">
        <f>'[2]Proyeksi Fasum'!AA55</f>
        <v>4.6146120415478</v>
      </c>
      <c r="N109" s="19">
        <v>250</v>
      </c>
      <c r="O109" s="19">
        <f t="shared" si="21"/>
        <v>1153.65301038695</v>
      </c>
      <c r="P109" s="19">
        <v>500</v>
      </c>
      <c r="Q109" s="86" t="str">
        <f t="shared" si="22"/>
        <v>(L/bed/hari)</v>
      </c>
      <c r="R109" s="86">
        <f t="shared" si="23"/>
        <v>576826.50519347494</v>
      </c>
      <c r="S109" s="86">
        <f t="shared" si="24"/>
        <v>576.82650519347499</v>
      </c>
    </row>
    <row r="110" spans="2:19" x14ac:dyDescent="0.25">
      <c r="J110" s="9"/>
    </row>
    <row r="111" spans="2:19" x14ac:dyDescent="0.25">
      <c r="B111" s="237" t="s">
        <v>75</v>
      </c>
      <c r="C111" s="238"/>
      <c r="D111" s="238"/>
      <c r="E111" s="238"/>
      <c r="F111" s="238"/>
      <c r="G111" s="238"/>
      <c r="H111" s="238"/>
      <c r="I111" s="239"/>
      <c r="J111" s="9"/>
      <c r="L111" s="237" t="s">
        <v>172</v>
      </c>
      <c r="M111" s="238"/>
      <c r="N111" s="238"/>
      <c r="O111" s="238"/>
      <c r="P111" s="238"/>
      <c r="Q111" s="238"/>
      <c r="R111" s="238"/>
      <c r="S111" s="239"/>
    </row>
    <row r="112" spans="2:19" ht="14.4" customHeight="1" x14ac:dyDescent="0.25">
      <c r="B112" s="240" t="s">
        <v>40</v>
      </c>
      <c r="C112" s="241" t="s">
        <v>154</v>
      </c>
      <c r="D112" s="241" t="s">
        <v>155</v>
      </c>
      <c r="E112" s="241" t="s">
        <v>156</v>
      </c>
      <c r="F112" s="241" t="s">
        <v>157</v>
      </c>
      <c r="G112" s="241" t="s">
        <v>129</v>
      </c>
      <c r="H112" s="241" t="s">
        <v>158</v>
      </c>
      <c r="I112" s="241" t="s">
        <v>178</v>
      </c>
      <c r="J112" s="9"/>
      <c r="L112" s="242" t="s">
        <v>40</v>
      </c>
      <c r="M112" s="241" t="s">
        <v>154</v>
      </c>
      <c r="N112" s="241" t="s">
        <v>166</v>
      </c>
      <c r="O112" s="241" t="s">
        <v>167</v>
      </c>
      <c r="P112" s="241" t="s">
        <v>157</v>
      </c>
      <c r="Q112" s="244" t="s">
        <v>129</v>
      </c>
      <c r="R112" s="246" t="s">
        <v>158</v>
      </c>
      <c r="S112" s="241" t="s">
        <v>178</v>
      </c>
    </row>
    <row r="113" spans="2:19" x14ac:dyDescent="0.25">
      <c r="B113" s="240"/>
      <c r="C113" s="241"/>
      <c r="D113" s="241"/>
      <c r="E113" s="241"/>
      <c r="F113" s="241"/>
      <c r="G113" s="241"/>
      <c r="H113" s="241"/>
      <c r="I113" s="241"/>
      <c r="J113" s="9"/>
      <c r="L113" s="243"/>
      <c r="M113" s="241"/>
      <c r="N113" s="241"/>
      <c r="O113" s="241"/>
      <c r="P113" s="241"/>
      <c r="Q113" s="245"/>
      <c r="R113" s="246"/>
      <c r="S113" s="241"/>
    </row>
    <row r="114" spans="2:19" x14ac:dyDescent="0.25">
      <c r="B114" s="19">
        <f>'[2]Proyeksi Fasum'!AC49</f>
        <v>2023</v>
      </c>
      <c r="C114" s="19">
        <f>'[2]Proyeksi Fasum'!G43</f>
        <v>89.467303799676998</v>
      </c>
      <c r="D114" s="19">
        <v>540</v>
      </c>
      <c r="E114" s="19">
        <f t="shared" ref="E114:E134" si="25">D114*C114</f>
        <v>48312.344051825581</v>
      </c>
      <c r="F114" s="19">
        <v>50</v>
      </c>
      <c r="G114" s="86" t="s">
        <v>159</v>
      </c>
      <c r="H114" s="86">
        <f t="shared" ref="H114:H134" si="26">F114*E114</f>
        <v>2415617.2025912791</v>
      </c>
      <c r="I114" s="86">
        <f t="shared" ref="I114:I134" si="27">H114/1000</f>
        <v>2415.6172025912792</v>
      </c>
      <c r="J114" s="9"/>
      <c r="L114" s="19">
        <f>'[2]Proyeksi Fasum'!AC49</f>
        <v>2023</v>
      </c>
      <c r="M114" s="19">
        <f>'[2]Proyeksi Fasum'!G57</f>
        <v>787.3122734371575</v>
      </c>
      <c r="N114" s="19">
        <v>1</v>
      </c>
      <c r="O114" s="19">
        <f t="shared" ref="O114:O134" si="28">M114*N114</f>
        <v>787.3122734371575</v>
      </c>
      <c r="P114" s="19">
        <f t="shared" ref="P114:P134" si="29">$F$29</f>
        <v>3000</v>
      </c>
      <c r="Q114" s="86" t="str">
        <f t="shared" ref="Q114:Q134" si="30">$G$29</f>
        <v>(L/unit/hari)</v>
      </c>
      <c r="R114" s="86">
        <f t="shared" ref="R114:R134" si="31">P114*O114</f>
        <v>2361936.8203114723</v>
      </c>
      <c r="S114" s="86">
        <f>R114/1000</f>
        <v>2361.9368203114723</v>
      </c>
    </row>
    <row r="115" spans="2:19" x14ac:dyDescent="0.25">
      <c r="B115" s="19">
        <f>'[2]Proyeksi Fasum'!AC50</f>
        <v>2024</v>
      </c>
      <c r="C115" s="19">
        <f>'[2]Proyeksi Fasum'!H43</f>
        <v>91.271749830916164</v>
      </c>
      <c r="D115" s="19">
        <v>540</v>
      </c>
      <c r="E115" s="19">
        <f t="shared" si="25"/>
        <v>49286.744908694731</v>
      </c>
      <c r="F115" s="19">
        <v>50</v>
      </c>
      <c r="G115" s="86" t="s">
        <v>159</v>
      </c>
      <c r="H115" s="86">
        <f t="shared" si="26"/>
        <v>2464337.2454347364</v>
      </c>
      <c r="I115" s="86">
        <f t="shared" si="27"/>
        <v>2464.3372454347364</v>
      </c>
      <c r="J115" s="9"/>
      <c r="L115" s="19">
        <f>'[2]Proyeksi Fasum'!AC50</f>
        <v>2024</v>
      </c>
      <c r="M115" s="19">
        <f>'[2]Proyeksi Fasum'!H57</f>
        <v>803.19139851206228</v>
      </c>
      <c r="N115" s="19">
        <v>1</v>
      </c>
      <c r="O115" s="19">
        <f t="shared" si="28"/>
        <v>803.19139851206228</v>
      </c>
      <c r="P115" s="19">
        <f t="shared" si="29"/>
        <v>3000</v>
      </c>
      <c r="Q115" s="86" t="str">
        <f t="shared" si="30"/>
        <v>(L/unit/hari)</v>
      </c>
      <c r="R115" s="86">
        <f t="shared" si="31"/>
        <v>2409574.1955361869</v>
      </c>
      <c r="S115" s="86">
        <f t="shared" ref="S115:S134" si="32">R115/1000</f>
        <v>2409.5741955361868</v>
      </c>
    </row>
    <row r="116" spans="2:19" x14ac:dyDescent="0.25">
      <c r="B116" s="19">
        <f>'[2]Proyeksi Fasum'!AC51</f>
        <v>2025</v>
      </c>
      <c r="C116" s="19">
        <f>'[2]Proyeksi Fasum'!I43</f>
        <v>93.112589330398691</v>
      </c>
      <c r="D116" s="19">
        <v>540</v>
      </c>
      <c r="E116" s="19">
        <f t="shared" si="25"/>
        <v>50280.798238415293</v>
      </c>
      <c r="F116" s="19">
        <v>50</v>
      </c>
      <c r="G116" s="86" t="s">
        <v>159</v>
      </c>
      <c r="H116" s="86">
        <f t="shared" si="26"/>
        <v>2514039.9119207645</v>
      </c>
      <c r="I116" s="86">
        <f t="shared" si="27"/>
        <v>2514.0399119207646</v>
      </c>
      <c r="J116" s="9"/>
      <c r="L116" s="19">
        <f>'[2]Proyeksi Fasum'!AC51</f>
        <v>2025</v>
      </c>
      <c r="M116" s="19">
        <f>'[2]Proyeksi Fasum'!I57</f>
        <v>819.39078610750857</v>
      </c>
      <c r="N116" s="19">
        <v>1</v>
      </c>
      <c r="O116" s="19">
        <f t="shared" si="28"/>
        <v>819.39078610750857</v>
      </c>
      <c r="P116" s="19">
        <f t="shared" si="29"/>
        <v>3000</v>
      </c>
      <c r="Q116" s="86" t="str">
        <f t="shared" si="30"/>
        <v>(L/unit/hari)</v>
      </c>
      <c r="R116" s="86">
        <f t="shared" si="31"/>
        <v>2458172.3583225259</v>
      </c>
      <c r="S116" s="86">
        <f t="shared" si="32"/>
        <v>2458.1723583225257</v>
      </c>
    </row>
    <row r="117" spans="2:19" x14ac:dyDescent="0.25">
      <c r="B117" s="19">
        <f>'[2]Proyeksi Fasum'!AC52</f>
        <v>2026</v>
      </c>
      <c r="C117" s="19">
        <f>'[2]Proyeksi Fasum'!J43</f>
        <v>94.99055630984229</v>
      </c>
      <c r="D117" s="19">
        <v>540</v>
      </c>
      <c r="E117" s="19">
        <f t="shared" si="25"/>
        <v>51294.900407314839</v>
      </c>
      <c r="F117" s="19">
        <v>50</v>
      </c>
      <c r="G117" s="86" t="s">
        <v>159</v>
      </c>
      <c r="H117" s="86">
        <f t="shared" si="26"/>
        <v>2564745.020365742</v>
      </c>
      <c r="I117" s="86">
        <f t="shared" si="27"/>
        <v>2564.7450203657422</v>
      </c>
      <c r="J117" s="9"/>
      <c r="L117" s="19">
        <f>'[2]Proyeksi Fasum'!AC52</f>
        <v>2026</v>
      </c>
      <c r="M117" s="19">
        <f>'[2]Proyeksi Fasum'!J57</f>
        <v>835.91689552661217</v>
      </c>
      <c r="N117" s="19">
        <v>1</v>
      </c>
      <c r="O117" s="19">
        <f t="shared" si="28"/>
        <v>835.91689552661217</v>
      </c>
      <c r="P117" s="19">
        <f t="shared" si="29"/>
        <v>3000</v>
      </c>
      <c r="Q117" s="86" t="str">
        <f t="shared" si="30"/>
        <v>(L/unit/hari)</v>
      </c>
      <c r="R117" s="86">
        <f t="shared" si="31"/>
        <v>2507750.6865798365</v>
      </c>
      <c r="S117" s="86">
        <f t="shared" si="32"/>
        <v>2507.7506865798364</v>
      </c>
    </row>
    <row r="118" spans="2:19" x14ac:dyDescent="0.25">
      <c r="B118" s="19">
        <f>'[2]Proyeksi Fasum'!AC53</f>
        <v>2027</v>
      </c>
      <c r="C118" s="19">
        <f>'[2]Proyeksi Fasum'!K43</f>
        <v>96.90639958508261</v>
      </c>
      <c r="D118" s="19">
        <v>540</v>
      </c>
      <c r="E118" s="19">
        <f t="shared" si="25"/>
        <v>52329.455775944611</v>
      </c>
      <c r="F118" s="19">
        <v>50</v>
      </c>
      <c r="G118" s="86" t="s">
        <v>159</v>
      </c>
      <c r="H118" s="86">
        <f t="shared" si="26"/>
        <v>2616472.7887972305</v>
      </c>
      <c r="I118" s="86">
        <f t="shared" si="27"/>
        <v>2616.4727887972304</v>
      </c>
      <c r="J118" s="9"/>
      <c r="L118" s="19">
        <f>'[2]Proyeksi Fasum'!AC53</f>
        <v>2027</v>
      </c>
      <c r="M118" s="19">
        <f>'[2]Proyeksi Fasum'!K57</f>
        <v>852.77631634872694</v>
      </c>
      <c r="N118" s="19">
        <v>1</v>
      </c>
      <c r="O118" s="19">
        <f t="shared" si="28"/>
        <v>852.77631634872694</v>
      </c>
      <c r="P118" s="19">
        <f t="shared" si="29"/>
        <v>3000</v>
      </c>
      <c r="Q118" s="86" t="str">
        <f t="shared" si="30"/>
        <v>(L/unit/hari)</v>
      </c>
      <c r="R118" s="86">
        <f t="shared" si="31"/>
        <v>2558328.9490461806</v>
      </c>
      <c r="S118" s="86">
        <f t="shared" si="32"/>
        <v>2558.3289490461807</v>
      </c>
    </row>
    <row r="119" spans="2:19" x14ac:dyDescent="0.25">
      <c r="B119" s="19">
        <f>'[2]Proyeksi Fasum'!AC54</f>
        <v>2028</v>
      </c>
      <c r="C119" s="19">
        <f>'[2]Proyeksi Fasum'!L43</f>
        <v>98.860883074654467</v>
      </c>
      <c r="D119" s="19">
        <v>540</v>
      </c>
      <c r="E119" s="19">
        <f t="shared" si="25"/>
        <v>53384.876860313409</v>
      </c>
      <c r="F119" s="19">
        <v>50</v>
      </c>
      <c r="G119" s="86" t="s">
        <v>159</v>
      </c>
      <c r="H119" s="86">
        <f t="shared" si="26"/>
        <v>2669243.8430156703</v>
      </c>
      <c r="I119" s="86">
        <f t="shared" si="27"/>
        <v>2669.2438430156703</v>
      </c>
      <c r="J119" s="9"/>
      <c r="L119" s="19">
        <f>'[2]Proyeksi Fasum'!AC54</f>
        <v>2028</v>
      </c>
      <c r="M119" s="19">
        <f>'[2]Proyeksi Fasum'!L57</f>
        <v>869.97577105695939</v>
      </c>
      <c r="N119" s="19">
        <v>1</v>
      </c>
      <c r="O119" s="19">
        <f t="shared" si="28"/>
        <v>869.97577105695939</v>
      </c>
      <c r="P119" s="19">
        <f t="shared" si="29"/>
        <v>3000</v>
      </c>
      <c r="Q119" s="86" t="str">
        <f t="shared" si="30"/>
        <v>(L/unit/hari)</v>
      </c>
      <c r="R119" s="86">
        <f t="shared" si="31"/>
        <v>2609927.3131708782</v>
      </c>
      <c r="S119" s="86">
        <f t="shared" si="32"/>
        <v>2609.9273131708783</v>
      </c>
    </row>
    <row r="120" spans="2:19" x14ac:dyDescent="0.25">
      <c r="B120" s="19">
        <f>'[2]Proyeksi Fasum'!AC55</f>
        <v>2029</v>
      </c>
      <c r="C120" s="19">
        <f>'[2]Proyeksi Fasum'!M43</f>
        <v>100.85478610439459</v>
      </c>
      <c r="D120" s="19">
        <v>540</v>
      </c>
      <c r="E120" s="19">
        <f t="shared" si="25"/>
        <v>54461.584496373078</v>
      </c>
      <c r="F120" s="19">
        <v>50</v>
      </c>
      <c r="G120" s="86" t="s">
        <v>159</v>
      </c>
      <c r="H120" s="86">
        <f t="shared" si="26"/>
        <v>2723079.2248186539</v>
      </c>
      <c r="I120" s="86">
        <f t="shared" si="27"/>
        <v>2723.079224818654</v>
      </c>
      <c r="J120" s="9"/>
      <c r="L120" s="19">
        <f>'[2]Proyeksi Fasum'!AC55</f>
        <v>2029</v>
      </c>
      <c r="M120" s="19">
        <f>'[2]Proyeksi Fasum'!M57</f>
        <v>887.52211771867246</v>
      </c>
      <c r="N120" s="19">
        <v>1</v>
      </c>
      <c r="O120" s="19">
        <f t="shared" si="28"/>
        <v>887.52211771867246</v>
      </c>
      <c r="P120" s="19">
        <f t="shared" si="29"/>
        <v>3000</v>
      </c>
      <c r="Q120" s="86" t="str">
        <f t="shared" si="30"/>
        <v>(L/unit/hari)</v>
      </c>
      <c r="R120" s="86">
        <f t="shared" si="31"/>
        <v>2662566.3531560176</v>
      </c>
      <c r="S120" s="86">
        <f t="shared" si="32"/>
        <v>2662.5663531560176</v>
      </c>
    </row>
    <row r="121" spans="2:19" x14ac:dyDescent="0.25">
      <c r="B121" s="19">
        <f>'[2]Proyeksi Fasum'!AC56</f>
        <v>2030</v>
      </c>
      <c r="C121" s="19">
        <f>'[2]Proyeksi Fasum'!N43</f>
        <v>102.88890371818826</v>
      </c>
      <c r="D121" s="19">
        <v>540</v>
      </c>
      <c r="E121" s="19">
        <f t="shared" si="25"/>
        <v>55560.008007821663</v>
      </c>
      <c r="F121" s="19">
        <v>50</v>
      </c>
      <c r="G121" s="86" t="s">
        <v>159</v>
      </c>
      <c r="H121" s="86">
        <f t="shared" si="26"/>
        <v>2778000.4003910832</v>
      </c>
      <c r="I121" s="86">
        <f t="shared" si="27"/>
        <v>2778.0004003910831</v>
      </c>
      <c r="J121" s="9"/>
      <c r="L121" s="19">
        <f>'[2]Proyeksi Fasum'!AC56</f>
        <v>2030</v>
      </c>
      <c r="M121" s="19">
        <f>'[2]Proyeksi Fasum'!N57</f>
        <v>905.42235272005678</v>
      </c>
      <c r="N121" s="19">
        <v>1</v>
      </c>
      <c r="O121" s="19">
        <f t="shared" si="28"/>
        <v>905.42235272005678</v>
      </c>
      <c r="P121" s="19">
        <f t="shared" si="29"/>
        <v>3000</v>
      </c>
      <c r="Q121" s="86" t="str">
        <f t="shared" si="30"/>
        <v>(L/unit/hari)</v>
      </c>
      <c r="R121" s="86">
        <f t="shared" si="31"/>
        <v>2716267.0581601704</v>
      </c>
      <c r="S121" s="86">
        <f t="shared" si="32"/>
        <v>2716.2670581601706</v>
      </c>
    </row>
    <row r="122" spans="2:19" x14ac:dyDescent="0.25">
      <c r="B122" s="19">
        <f>'[2]Proyeksi Fasum'!AC57</f>
        <v>2031</v>
      </c>
      <c r="C122" s="19">
        <f>'[2]Proyeksi Fasum'!O43</f>
        <v>104.96404699498278</v>
      </c>
      <c r="D122" s="19">
        <v>540</v>
      </c>
      <c r="E122" s="19">
        <f t="shared" si="25"/>
        <v>56680.585377290699</v>
      </c>
      <c r="F122" s="19">
        <v>50</v>
      </c>
      <c r="G122" s="86" t="s">
        <v>159</v>
      </c>
      <c r="H122" s="86">
        <f t="shared" si="26"/>
        <v>2834029.2688645348</v>
      </c>
      <c r="I122" s="86">
        <f t="shared" si="27"/>
        <v>2834.029268864535</v>
      </c>
      <c r="J122" s="9"/>
      <c r="L122" s="19">
        <f>'[2]Proyeksi Fasum'!AC57</f>
        <v>2031</v>
      </c>
      <c r="M122" s="19">
        <f>'[2]Proyeksi Fasum'!O57</f>
        <v>923.68361355584841</v>
      </c>
      <c r="N122" s="19">
        <v>1</v>
      </c>
      <c r="O122" s="19">
        <f t="shared" si="28"/>
        <v>923.68361355584841</v>
      </c>
      <c r="P122" s="19">
        <f t="shared" si="29"/>
        <v>3000</v>
      </c>
      <c r="Q122" s="86" t="str">
        <f t="shared" si="30"/>
        <v>(L/unit/hari)</v>
      </c>
      <c r="R122" s="86">
        <f t="shared" si="31"/>
        <v>2771050.8406675453</v>
      </c>
      <c r="S122" s="86">
        <f t="shared" si="32"/>
        <v>2771.0508406675453</v>
      </c>
    </row>
    <row r="123" spans="2:19" x14ac:dyDescent="0.25">
      <c r="B123" s="19">
        <f>'[2]Proyeksi Fasum'!AC58</f>
        <v>2032</v>
      </c>
      <c r="C123" s="19">
        <f>'[2]Proyeksi Fasum'!P43</f>
        <v>107.08104337219537</v>
      </c>
      <c r="D123" s="19">
        <v>540</v>
      </c>
      <c r="E123" s="19">
        <f t="shared" si="25"/>
        <v>57823.763420985495</v>
      </c>
      <c r="F123" s="19">
        <v>50</v>
      </c>
      <c r="G123" s="86" t="s">
        <v>159</v>
      </c>
      <c r="H123" s="86">
        <f t="shared" si="26"/>
        <v>2891188.171049275</v>
      </c>
      <c r="I123" s="86">
        <f t="shared" si="27"/>
        <v>2891.1881710492748</v>
      </c>
      <c r="J123" s="9"/>
      <c r="L123" s="19">
        <f>'[2]Proyeksi Fasum'!AC58</f>
        <v>2032</v>
      </c>
      <c r="M123" s="19">
        <f>'[2]Proyeksi Fasum'!P57</f>
        <v>942.31318167531924</v>
      </c>
      <c r="N123" s="19">
        <v>1</v>
      </c>
      <c r="O123" s="19">
        <f t="shared" si="28"/>
        <v>942.31318167531924</v>
      </c>
      <c r="P123" s="19">
        <f t="shared" si="29"/>
        <v>3000</v>
      </c>
      <c r="Q123" s="86" t="str">
        <f t="shared" si="30"/>
        <v>(L/unit/hari)</v>
      </c>
      <c r="R123" s="86">
        <f t="shared" si="31"/>
        <v>2826939.5450259577</v>
      </c>
      <c r="S123" s="86">
        <f t="shared" si="32"/>
        <v>2826.9395450259576</v>
      </c>
    </row>
    <row r="124" spans="2:19" x14ac:dyDescent="0.25">
      <c r="B124" s="19">
        <f>'[2]Proyeksi Fasum'!AC59</f>
        <v>2033</v>
      </c>
      <c r="C124" s="19">
        <f>'[2]Proyeksi Fasum'!Q43</f>
        <v>109.24073697564344</v>
      </c>
      <c r="D124" s="19">
        <v>540</v>
      </c>
      <c r="E124" s="19">
        <f t="shared" si="25"/>
        <v>58989.997966847463</v>
      </c>
      <c r="F124" s="19">
        <v>50</v>
      </c>
      <c r="G124" s="86" t="s">
        <v>159</v>
      </c>
      <c r="H124" s="86">
        <f t="shared" si="26"/>
        <v>2949499.8983423733</v>
      </c>
      <c r="I124" s="86">
        <f t="shared" si="27"/>
        <v>2949.4998983423734</v>
      </c>
      <c r="J124" s="9"/>
      <c r="L124" s="19">
        <f>'[2]Proyeksi Fasum'!AC59</f>
        <v>2033</v>
      </c>
      <c r="M124" s="19">
        <f>'[2]Proyeksi Fasum'!Q57</f>
        <v>961.31848538566226</v>
      </c>
      <c r="N124" s="19">
        <v>1</v>
      </c>
      <c r="O124" s="19">
        <f t="shared" si="28"/>
        <v>961.31848538566226</v>
      </c>
      <c r="P124" s="19">
        <f t="shared" si="29"/>
        <v>3000</v>
      </c>
      <c r="Q124" s="86" t="str">
        <f t="shared" si="30"/>
        <v>(L/unit/hari)</v>
      </c>
      <c r="R124" s="86">
        <f t="shared" si="31"/>
        <v>2883955.4561569868</v>
      </c>
      <c r="S124" s="86">
        <f t="shared" si="32"/>
        <v>2883.9554561569867</v>
      </c>
    </row>
    <row r="125" spans="2:19" x14ac:dyDescent="0.25">
      <c r="B125" s="19">
        <f>'[2]Proyeksi Fasum'!AC60</f>
        <v>2034</v>
      </c>
      <c r="C125" s="19">
        <f>'[2]Proyeksi Fasum'!R43</f>
        <v>111.443988956129</v>
      </c>
      <c r="D125" s="19">
        <v>540</v>
      </c>
      <c r="E125" s="19">
        <f t="shared" si="25"/>
        <v>60179.754036309663</v>
      </c>
      <c r="F125" s="19">
        <v>50</v>
      </c>
      <c r="G125" s="86" t="s">
        <v>159</v>
      </c>
      <c r="H125" s="86">
        <f t="shared" si="26"/>
        <v>3008987.7018154832</v>
      </c>
      <c r="I125" s="86">
        <f t="shared" si="27"/>
        <v>3008.987701815483</v>
      </c>
      <c r="J125" s="9"/>
      <c r="L125" s="19">
        <f>'[2]Proyeksi Fasum'!AC60</f>
        <v>2034</v>
      </c>
      <c r="M125" s="19">
        <f>'[2]Proyeksi Fasum'!R57</f>
        <v>980.70710281393519</v>
      </c>
      <c r="N125" s="19">
        <v>1</v>
      </c>
      <c r="O125" s="19">
        <f t="shared" si="28"/>
        <v>980.70710281393519</v>
      </c>
      <c r="P125" s="19">
        <f t="shared" si="29"/>
        <v>3000</v>
      </c>
      <c r="Q125" s="86" t="str">
        <f t="shared" si="30"/>
        <v>(L/unit/hari)</v>
      </c>
      <c r="R125" s="86">
        <f t="shared" si="31"/>
        <v>2942121.3084418057</v>
      </c>
      <c r="S125" s="86">
        <f t="shared" si="32"/>
        <v>2942.1213084418055</v>
      </c>
    </row>
    <row r="126" spans="2:19" x14ac:dyDescent="0.25">
      <c r="B126" s="19">
        <f>'[2]Proyeksi Fasum'!AC61</f>
        <v>2035</v>
      </c>
      <c r="C126" s="19">
        <f>'[2]Proyeksi Fasum'!S43</f>
        <v>111.443988956129</v>
      </c>
      <c r="D126" s="19">
        <v>540</v>
      </c>
      <c r="E126" s="19">
        <f t="shared" si="25"/>
        <v>60179.754036309663</v>
      </c>
      <c r="F126" s="19">
        <v>50</v>
      </c>
      <c r="G126" s="86" t="s">
        <v>159</v>
      </c>
      <c r="H126" s="86">
        <f t="shared" si="26"/>
        <v>3008987.7018154832</v>
      </c>
      <c r="I126" s="86">
        <f t="shared" si="27"/>
        <v>3008.987701815483</v>
      </c>
      <c r="J126" s="9"/>
      <c r="L126" s="19">
        <f>'[2]Proyeksi Fasum'!AC61</f>
        <v>2035</v>
      </c>
      <c r="M126" s="19">
        <f>'[2]Proyeksi Fasum'!S57</f>
        <v>980.70710281393519</v>
      </c>
      <c r="N126" s="19">
        <v>1</v>
      </c>
      <c r="O126" s="19">
        <f t="shared" si="28"/>
        <v>980.70710281393519</v>
      </c>
      <c r="P126" s="19">
        <f t="shared" si="29"/>
        <v>3000</v>
      </c>
      <c r="Q126" s="86" t="str">
        <f t="shared" si="30"/>
        <v>(L/unit/hari)</v>
      </c>
      <c r="R126" s="86">
        <f t="shared" si="31"/>
        <v>2942121.3084418057</v>
      </c>
      <c r="S126" s="86">
        <f t="shared" si="32"/>
        <v>2942.1213084418055</v>
      </c>
    </row>
    <row r="127" spans="2:19" x14ac:dyDescent="0.25">
      <c r="B127" s="19">
        <f>'[2]Proyeksi Fasum'!AC62</f>
        <v>2036</v>
      </c>
      <c r="C127" s="19">
        <f>'[2]Proyeksi Fasum'!T43</f>
        <v>113.69167783281198</v>
      </c>
      <c r="D127" s="19">
        <v>540</v>
      </c>
      <c r="E127" s="19">
        <f t="shared" si="25"/>
        <v>61393.506029718468</v>
      </c>
      <c r="F127" s="19">
        <v>50</v>
      </c>
      <c r="G127" s="86" t="s">
        <v>159</v>
      </c>
      <c r="H127" s="86">
        <f t="shared" si="26"/>
        <v>3069675.3014859236</v>
      </c>
      <c r="I127" s="86">
        <f t="shared" si="27"/>
        <v>3069.6753014859237</v>
      </c>
      <c r="J127" s="9"/>
      <c r="L127" s="19">
        <f>'[2]Proyeksi Fasum'!AC62</f>
        <v>2036</v>
      </c>
      <c r="M127" s="19">
        <f>'[2]Proyeksi Fasum'!T57</f>
        <v>1000.4867649287454</v>
      </c>
      <c r="N127" s="19">
        <v>1</v>
      </c>
      <c r="O127" s="19">
        <f t="shared" si="28"/>
        <v>1000.4867649287454</v>
      </c>
      <c r="P127" s="19">
        <f t="shared" si="29"/>
        <v>3000</v>
      </c>
      <c r="Q127" s="86" t="str">
        <f t="shared" si="30"/>
        <v>(L/unit/hari)</v>
      </c>
      <c r="R127" s="86">
        <f t="shared" si="31"/>
        <v>3001460.2947862362</v>
      </c>
      <c r="S127" s="86">
        <f t="shared" si="32"/>
        <v>3001.4602947862363</v>
      </c>
    </row>
    <row r="128" spans="2:19" x14ac:dyDescent="0.25">
      <c r="B128" s="19">
        <f>'[2]Proyeksi Fasum'!AC63</f>
        <v>2037</v>
      </c>
      <c r="C128" s="19">
        <f>'[2]Proyeksi Fasum'!U43</f>
        <v>115.98469984350854</v>
      </c>
      <c r="D128" s="19">
        <v>540</v>
      </c>
      <c r="E128" s="19">
        <f t="shared" si="25"/>
        <v>62631.73791549461</v>
      </c>
      <c r="F128" s="19">
        <v>50</v>
      </c>
      <c r="G128" s="86" t="s">
        <v>159</v>
      </c>
      <c r="H128" s="86">
        <f t="shared" si="26"/>
        <v>3131586.8957747305</v>
      </c>
      <c r="I128" s="86">
        <f t="shared" si="27"/>
        <v>3131.5868957747307</v>
      </c>
      <c r="J128" s="9"/>
      <c r="L128" s="19">
        <f>'[2]Proyeksi Fasum'!AC63</f>
        <v>2037</v>
      </c>
      <c r="M128" s="19">
        <f>'[2]Proyeksi Fasum'!U57</f>
        <v>1020.6653586228751</v>
      </c>
      <c r="N128" s="19">
        <v>1</v>
      </c>
      <c r="O128" s="19">
        <f t="shared" si="28"/>
        <v>1020.6653586228751</v>
      </c>
      <c r="P128" s="19">
        <f t="shared" si="29"/>
        <v>3000</v>
      </c>
      <c r="Q128" s="86" t="str">
        <f t="shared" si="30"/>
        <v>(L/unit/hari)</v>
      </c>
      <c r="R128" s="86">
        <f t="shared" si="31"/>
        <v>3061996.0758686257</v>
      </c>
      <c r="S128" s="86">
        <f t="shared" si="32"/>
        <v>3061.9960758686257</v>
      </c>
    </row>
    <row r="129" spans="2:19" x14ac:dyDescent="0.25">
      <c r="B129" s="19">
        <f>'[2]Proyeksi Fasum'!AC64</f>
        <v>2038</v>
      </c>
      <c r="C129" s="19">
        <f>'[2]Proyeksi Fasum'!V43</f>
        <v>118.32396930205505</v>
      </c>
      <c r="D129" s="19">
        <v>540</v>
      </c>
      <c r="E129" s="19">
        <f t="shared" si="25"/>
        <v>63894.943423109726</v>
      </c>
      <c r="F129" s="19">
        <v>50</v>
      </c>
      <c r="G129" s="86" t="s">
        <v>159</v>
      </c>
      <c r="H129" s="86">
        <f t="shared" si="26"/>
        <v>3194747.1711554863</v>
      </c>
      <c r="I129" s="86">
        <f t="shared" si="27"/>
        <v>3194.7471711554863</v>
      </c>
      <c r="J129" s="9"/>
      <c r="L129" s="19">
        <f>'[2]Proyeksi Fasum'!AC64</f>
        <v>2038</v>
      </c>
      <c r="M129" s="19">
        <f>'[2]Proyeksi Fasum'!V57</f>
        <v>1041.2509298580844</v>
      </c>
      <c r="N129" s="19">
        <v>1</v>
      </c>
      <c r="O129" s="19">
        <f t="shared" si="28"/>
        <v>1041.2509298580844</v>
      </c>
      <c r="P129" s="19">
        <f t="shared" si="29"/>
        <v>3000</v>
      </c>
      <c r="Q129" s="86" t="str">
        <f t="shared" si="30"/>
        <v>(L/unit/hari)</v>
      </c>
      <c r="R129" s="86">
        <f t="shared" si="31"/>
        <v>3123752.7895742534</v>
      </c>
      <c r="S129" s="86">
        <f t="shared" si="32"/>
        <v>3123.7527895742533</v>
      </c>
    </row>
    <row r="130" spans="2:19" x14ac:dyDescent="0.25">
      <c r="B130" s="19">
        <f>'[2]Proyeksi Fasum'!AC65</f>
        <v>2039</v>
      </c>
      <c r="C130" s="19">
        <f>'[2]Proyeksi Fasum'!W43</f>
        <v>120.71041896287882</v>
      </c>
      <c r="D130" s="19">
        <v>540</v>
      </c>
      <c r="E130" s="19">
        <f t="shared" si="25"/>
        <v>65183.626239954559</v>
      </c>
      <c r="F130" s="19">
        <v>50</v>
      </c>
      <c r="G130" s="86" t="s">
        <v>159</v>
      </c>
      <c r="H130" s="86">
        <f t="shared" si="26"/>
        <v>3259181.311997728</v>
      </c>
      <c r="I130" s="86">
        <f t="shared" si="27"/>
        <v>3259.1813119977278</v>
      </c>
      <c r="J130" s="9"/>
      <c r="L130" s="19">
        <f>'[2]Proyeksi Fasum'!AC65</f>
        <v>2039</v>
      </c>
      <c r="M130" s="19">
        <f>'[2]Proyeksi Fasum'!W57</f>
        <v>1062.2516868733337</v>
      </c>
      <c r="N130" s="19">
        <v>1</v>
      </c>
      <c r="O130" s="19">
        <f t="shared" si="28"/>
        <v>1062.2516868733337</v>
      </c>
      <c r="P130" s="19">
        <f t="shared" si="29"/>
        <v>3000</v>
      </c>
      <c r="Q130" s="86" t="str">
        <f t="shared" si="30"/>
        <v>(L/unit/hari)</v>
      </c>
      <c r="R130" s="86">
        <f t="shared" si="31"/>
        <v>3186755.0606200011</v>
      </c>
      <c r="S130" s="86">
        <f t="shared" si="32"/>
        <v>3186.7550606200011</v>
      </c>
    </row>
    <row r="131" spans="2:19" x14ac:dyDescent="0.25">
      <c r="B131" s="19">
        <f>'[2]Proyeksi Fasum'!AC66</f>
        <v>2040</v>
      </c>
      <c r="C131" s="19">
        <f>'[2]Proyeksi Fasum'!X43</f>
        <v>123.14500039292265</v>
      </c>
      <c r="D131" s="19">
        <v>540</v>
      </c>
      <c r="E131" s="19">
        <f t="shared" si="25"/>
        <v>66498.300212178234</v>
      </c>
      <c r="F131" s="19">
        <v>50</v>
      </c>
      <c r="G131" s="86" t="s">
        <v>159</v>
      </c>
      <c r="H131" s="86">
        <f t="shared" si="26"/>
        <v>3324915.0106089115</v>
      </c>
      <c r="I131" s="86">
        <f t="shared" si="27"/>
        <v>3324.9150106089114</v>
      </c>
      <c r="J131" s="9"/>
      <c r="L131" s="19">
        <f>'[2]Proyeksi Fasum'!AC66</f>
        <v>2040</v>
      </c>
      <c r="M131" s="19">
        <f>'[2]Proyeksi Fasum'!X57</f>
        <v>1083.6760034577194</v>
      </c>
      <c r="N131" s="19">
        <v>1</v>
      </c>
      <c r="O131" s="19">
        <f t="shared" si="28"/>
        <v>1083.6760034577194</v>
      </c>
      <c r="P131" s="19">
        <f t="shared" si="29"/>
        <v>3000</v>
      </c>
      <c r="Q131" s="86" t="str">
        <f t="shared" si="30"/>
        <v>(L/unit/hari)</v>
      </c>
      <c r="R131" s="86">
        <f t="shared" si="31"/>
        <v>3251028.0103731584</v>
      </c>
      <c r="S131" s="86">
        <f t="shared" si="32"/>
        <v>3251.0280103731584</v>
      </c>
    </row>
    <row r="132" spans="2:19" x14ac:dyDescent="0.25">
      <c r="B132" s="19">
        <f>'[2]Proyeksi Fasum'!AC67</f>
        <v>2041</v>
      </c>
      <c r="C132" s="19">
        <f>'[2]Proyeksi Fasum'!Y43</f>
        <v>125.62868435107001</v>
      </c>
      <c r="D132" s="19">
        <v>540</v>
      </c>
      <c r="E132" s="19">
        <f t="shared" si="25"/>
        <v>67839.489549577804</v>
      </c>
      <c r="F132" s="19">
        <v>50</v>
      </c>
      <c r="G132" s="86" t="s">
        <v>159</v>
      </c>
      <c r="H132" s="86">
        <f t="shared" si="26"/>
        <v>3391974.4774788902</v>
      </c>
      <c r="I132" s="86">
        <f t="shared" si="27"/>
        <v>3391.9744774788901</v>
      </c>
      <c r="J132" s="9"/>
      <c r="L132" s="19">
        <f>'[2]Proyeksi Fasum'!AC67</f>
        <v>2041</v>
      </c>
      <c r="M132" s="19">
        <f>'[2]Proyeksi Fasum'!Y57</f>
        <v>1105.532422289416</v>
      </c>
      <c r="N132" s="19">
        <v>1</v>
      </c>
      <c r="O132" s="19">
        <f t="shared" si="28"/>
        <v>1105.532422289416</v>
      </c>
      <c r="P132" s="19">
        <f t="shared" si="29"/>
        <v>3000</v>
      </c>
      <c r="Q132" s="86" t="str">
        <f t="shared" si="30"/>
        <v>(L/unit/hari)</v>
      </c>
      <c r="R132" s="86">
        <f t="shared" si="31"/>
        <v>3316597.2668682481</v>
      </c>
      <c r="S132" s="86">
        <f t="shared" si="32"/>
        <v>3316.597266868248</v>
      </c>
    </row>
    <row r="133" spans="2:19" x14ac:dyDescent="0.25">
      <c r="B133" s="19">
        <f>'[2]Proyeksi Fasum'!AC68</f>
        <v>2042</v>
      </c>
      <c r="C133" s="19">
        <f>'[2]Proyeksi Fasum'!Z43</f>
        <v>128.16246117522309</v>
      </c>
      <c r="D133" s="19">
        <v>540</v>
      </c>
      <c r="E133" s="19">
        <f t="shared" si="25"/>
        <v>69207.729034620468</v>
      </c>
      <c r="F133" s="19">
        <v>50</v>
      </c>
      <c r="G133" s="86" t="s">
        <v>159</v>
      </c>
      <c r="H133" s="86">
        <f t="shared" si="26"/>
        <v>3460386.4517310234</v>
      </c>
      <c r="I133" s="86">
        <f t="shared" si="27"/>
        <v>3460.3864517310235</v>
      </c>
      <c r="J133" s="9"/>
      <c r="L133" s="19">
        <f>'[2]Proyeksi Fasum'!AC68</f>
        <v>2042</v>
      </c>
      <c r="M133" s="19">
        <f>'[2]Proyeksi Fasum'!Z57</f>
        <v>1127.8296583419631</v>
      </c>
      <c r="N133" s="19">
        <v>1</v>
      </c>
      <c r="O133" s="19">
        <f t="shared" si="28"/>
        <v>1127.8296583419631</v>
      </c>
      <c r="P133" s="19">
        <f t="shared" si="29"/>
        <v>3000</v>
      </c>
      <c r="Q133" s="86" t="str">
        <f t="shared" si="30"/>
        <v>(L/unit/hari)</v>
      </c>
      <c r="R133" s="86">
        <f t="shared" si="31"/>
        <v>3383488.975025889</v>
      </c>
      <c r="S133" s="86">
        <f t="shared" si="32"/>
        <v>3383.488975025889</v>
      </c>
    </row>
    <row r="134" spans="2:19" x14ac:dyDescent="0.25">
      <c r="B134" s="19">
        <f>'[2]Proyeksi Fasum'!AC69</f>
        <v>2043</v>
      </c>
      <c r="C134" s="19">
        <f>'[2]Proyeksi Fasum'!AA43</f>
        <v>130.74734117718768</v>
      </c>
      <c r="D134" s="19">
        <v>540</v>
      </c>
      <c r="E134" s="19">
        <f t="shared" si="25"/>
        <v>70603.564235681348</v>
      </c>
      <c r="F134" s="19">
        <v>50</v>
      </c>
      <c r="G134" s="86" t="s">
        <v>159</v>
      </c>
      <c r="H134" s="86">
        <f t="shared" si="26"/>
        <v>3530178.2117840676</v>
      </c>
      <c r="I134" s="86">
        <f t="shared" si="27"/>
        <v>3530.1782117840676</v>
      </c>
      <c r="J134" s="9"/>
      <c r="L134" s="19">
        <f>'[2]Proyeksi Fasum'!AC69</f>
        <v>2043</v>
      </c>
      <c r="M134" s="19">
        <f>'[2]Proyeksi Fasum'!AA57</f>
        <v>1150.5766023592516</v>
      </c>
      <c r="N134" s="19">
        <v>1</v>
      </c>
      <c r="O134" s="19">
        <f t="shared" si="28"/>
        <v>1150.5766023592516</v>
      </c>
      <c r="P134" s="19">
        <f t="shared" si="29"/>
        <v>3000</v>
      </c>
      <c r="Q134" s="86" t="str">
        <f t="shared" si="30"/>
        <v>(L/unit/hari)</v>
      </c>
      <c r="R134" s="86">
        <f t="shared" si="31"/>
        <v>3451729.8070777548</v>
      </c>
      <c r="S134" s="86">
        <f t="shared" si="32"/>
        <v>3451.7298070777547</v>
      </c>
    </row>
    <row r="135" spans="2:19" x14ac:dyDescent="0.25">
      <c r="J135" s="9"/>
    </row>
    <row r="136" spans="2:19" x14ac:dyDescent="0.25">
      <c r="B136" s="237" t="s">
        <v>76</v>
      </c>
      <c r="C136" s="238"/>
      <c r="D136" s="238"/>
      <c r="E136" s="238"/>
      <c r="F136" s="238"/>
      <c r="G136" s="238"/>
      <c r="H136" s="238"/>
      <c r="I136" s="239"/>
      <c r="J136" s="9"/>
      <c r="L136" s="237" t="s">
        <v>173</v>
      </c>
      <c r="M136" s="238"/>
      <c r="N136" s="238"/>
      <c r="O136" s="238"/>
      <c r="P136" s="238"/>
      <c r="Q136" s="238"/>
      <c r="R136" s="238"/>
      <c r="S136" s="239"/>
    </row>
    <row r="137" spans="2:19" ht="14.4" customHeight="1" x14ac:dyDescent="0.25">
      <c r="B137" s="240" t="s">
        <v>40</v>
      </c>
      <c r="C137" s="241" t="s">
        <v>154</v>
      </c>
      <c r="D137" s="241" t="s">
        <v>155</v>
      </c>
      <c r="E137" s="241" t="s">
        <v>156</v>
      </c>
      <c r="F137" s="241" t="s">
        <v>157</v>
      </c>
      <c r="G137" s="241" t="s">
        <v>129</v>
      </c>
      <c r="H137" s="241" t="s">
        <v>158</v>
      </c>
      <c r="I137" s="241" t="s">
        <v>178</v>
      </c>
      <c r="J137" s="9"/>
      <c r="L137" s="242" t="s">
        <v>40</v>
      </c>
      <c r="M137" s="241" t="s">
        <v>154</v>
      </c>
      <c r="N137" s="241" t="s">
        <v>166</v>
      </c>
      <c r="O137" s="241" t="s">
        <v>167</v>
      </c>
      <c r="P137" s="241" t="s">
        <v>157</v>
      </c>
      <c r="Q137" s="244" t="s">
        <v>129</v>
      </c>
      <c r="R137" s="246" t="s">
        <v>158</v>
      </c>
      <c r="S137" s="241" t="s">
        <v>178</v>
      </c>
    </row>
    <row r="138" spans="2:19" x14ac:dyDescent="0.25">
      <c r="B138" s="240"/>
      <c r="C138" s="241"/>
      <c r="D138" s="241"/>
      <c r="E138" s="241"/>
      <c r="F138" s="241"/>
      <c r="G138" s="241"/>
      <c r="H138" s="241"/>
      <c r="I138" s="241"/>
      <c r="J138" s="9"/>
      <c r="L138" s="243"/>
      <c r="M138" s="241"/>
      <c r="N138" s="241"/>
      <c r="O138" s="241"/>
      <c r="P138" s="241"/>
      <c r="Q138" s="245"/>
      <c r="R138" s="246"/>
      <c r="S138" s="241"/>
    </row>
    <row r="139" spans="2:19" x14ac:dyDescent="0.25">
      <c r="B139" s="19">
        <f>'[2]Proyeksi Fasum'!AC49</f>
        <v>2023</v>
      </c>
      <c r="C139" s="19">
        <f>'[2]Proyeksi Fasum'!G44</f>
        <v>51.575269249225563</v>
      </c>
      <c r="D139" s="19">
        <f>D10</f>
        <v>540</v>
      </c>
      <c r="E139" s="19">
        <f t="shared" ref="E139:E159" si="33">D139*C139</f>
        <v>27850.645394581803</v>
      </c>
      <c r="F139" s="19">
        <v>50</v>
      </c>
      <c r="G139" s="86" t="s">
        <v>159</v>
      </c>
      <c r="H139" s="86">
        <f t="shared" ref="H139:H159" si="34">F139*E139</f>
        <v>1392532.2697290902</v>
      </c>
      <c r="I139" s="86">
        <f t="shared" ref="I139:I159" si="35">H139/1000</f>
        <v>1392.5322697290901</v>
      </c>
      <c r="J139" s="9"/>
      <c r="L139" s="19">
        <f>'[2]Proyeksi Fasum'!AC49</f>
        <v>2023</v>
      </c>
      <c r="M139" s="19">
        <f>'[2]Proyeksi Fasum'!G58</f>
        <v>2316.676890153989</v>
      </c>
      <c r="N139" s="19">
        <v>1</v>
      </c>
      <c r="O139" s="19">
        <f t="shared" ref="O139:O159" si="36">M139*N139</f>
        <v>2316.676890153989</v>
      </c>
      <c r="P139" s="19">
        <f>F30</f>
        <v>3000</v>
      </c>
      <c r="Q139" s="86" t="str">
        <f t="shared" ref="Q139:Q159" si="37">$G$29</f>
        <v>(L/unit/hari)</v>
      </c>
      <c r="R139" s="86">
        <f t="shared" ref="R139:R159" si="38">P139*O139</f>
        <v>6950030.6704619667</v>
      </c>
      <c r="S139" s="86">
        <f>R139/1000</f>
        <v>6950.030670461967</v>
      </c>
    </row>
    <row r="140" spans="2:19" x14ac:dyDescent="0.25">
      <c r="B140" s="19">
        <f>'[2]Proyeksi Fasum'!AC50</f>
        <v>2024</v>
      </c>
      <c r="C140" s="19">
        <f>'[2]Proyeksi Fasum'!H44</f>
        <v>52.615479314292848</v>
      </c>
      <c r="D140" s="19">
        <v>540</v>
      </c>
      <c r="E140" s="19">
        <f t="shared" si="33"/>
        <v>28412.358829718138</v>
      </c>
      <c r="F140" s="19">
        <v>50</v>
      </c>
      <c r="G140" s="86" t="s">
        <v>159</v>
      </c>
      <c r="H140" s="86">
        <f t="shared" si="34"/>
        <v>1420617.941485907</v>
      </c>
      <c r="I140" s="86">
        <f t="shared" si="35"/>
        <v>1420.6179414859068</v>
      </c>
      <c r="J140" s="9"/>
      <c r="L140" s="19">
        <f>'[2]Proyeksi Fasum'!AC50</f>
        <v>2024</v>
      </c>
      <c r="M140" s="19">
        <f>'[2]Proyeksi Fasum'!H58</f>
        <v>2363.4014279746643</v>
      </c>
      <c r="N140" s="19">
        <v>1</v>
      </c>
      <c r="O140" s="19">
        <f t="shared" si="36"/>
        <v>2363.4014279746643</v>
      </c>
      <c r="P140" s="19">
        <f t="shared" ref="P140:P159" si="39">$F$29</f>
        <v>3000</v>
      </c>
      <c r="Q140" s="86" t="str">
        <f t="shared" si="37"/>
        <v>(L/unit/hari)</v>
      </c>
      <c r="R140" s="86">
        <f t="shared" si="38"/>
        <v>7090204.2839239929</v>
      </c>
      <c r="S140" s="86">
        <f t="shared" ref="S140:S159" si="40">R140/1000</f>
        <v>7090.204283923993</v>
      </c>
    </row>
    <row r="141" spans="2:19" x14ac:dyDescent="0.25">
      <c r="B141" s="19">
        <f>'[2]Proyeksi Fasum'!AC51</f>
        <v>2025</v>
      </c>
      <c r="C141" s="19">
        <f>'[2]Proyeksi Fasum'!I44</f>
        <v>53.676669143406308</v>
      </c>
      <c r="D141" s="19">
        <v>540</v>
      </c>
      <c r="E141" s="19">
        <f t="shared" si="33"/>
        <v>28985.401337439405</v>
      </c>
      <c r="F141" s="19">
        <v>50</v>
      </c>
      <c r="G141" s="86" t="s">
        <v>159</v>
      </c>
      <c r="H141" s="86">
        <f t="shared" si="34"/>
        <v>1449270.0668719702</v>
      </c>
      <c r="I141" s="86">
        <f t="shared" si="35"/>
        <v>1449.2700668719701</v>
      </c>
      <c r="J141" s="9"/>
      <c r="L141" s="19">
        <f>'[2]Proyeksi Fasum'!AC51</f>
        <v>2025</v>
      </c>
      <c r="M141" s="19">
        <f>'[2]Proyeksi Fasum'!I58</f>
        <v>2411.0683425436182</v>
      </c>
      <c r="N141" s="19">
        <v>1</v>
      </c>
      <c r="O141" s="19">
        <f t="shared" si="36"/>
        <v>2411.0683425436182</v>
      </c>
      <c r="P141" s="19">
        <f t="shared" si="39"/>
        <v>3000</v>
      </c>
      <c r="Q141" s="86" t="str">
        <f t="shared" si="37"/>
        <v>(L/unit/hari)</v>
      </c>
      <c r="R141" s="86">
        <f t="shared" si="38"/>
        <v>7233205.0276308544</v>
      </c>
      <c r="S141" s="86">
        <f t="shared" si="40"/>
        <v>7233.2050276308546</v>
      </c>
    </row>
    <row r="142" spans="2:19" x14ac:dyDescent="0.25">
      <c r="B142" s="19">
        <f>'[2]Proyeksi Fasum'!AC52</f>
        <v>2026</v>
      </c>
      <c r="C142" s="19">
        <f>'[2]Proyeksi Fasum'!J44</f>
        <v>54.759261872732608</v>
      </c>
      <c r="D142" s="19">
        <v>540</v>
      </c>
      <c r="E142" s="19">
        <f t="shared" si="33"/>
        <v>29570.001411275607</v>
      </c>
      <c r="F142" s="19">
        <v>50</v>
      </c>
      <c r="G142" s="86" t="s">
        <v>159</v>
      </c>
      <c r="H142" s="86">
        <f t="shared" si="34"/>
        <v>1478500.0705637804</v>
      </c>
      <c r="I142" s="86">
        <f t="shared" si="35"/>
        <v>1478.5000705637804</v>
      </c>
      <c r="J142" s="9"/>
      <c r="L142" s="19">
        <f>'[2]Proyeksi Fasum'!AC52</f>
        <v>2026</v>
      </c>
      <c r="M142" s="19">
        <f>'[2]Proyeksi Fasum'!J58</f>
        <v>2459.696640446622</v>
      </c>
      <c r="N142" s="19">
        <v>1</v>
      </c>
      <c r="O142" s="19">
        <f t="shared" si="36"/>
        <v>2459.696640446622</v>
      </c>
      <c r="P142" s="19">
        <f t="shared" si="39"/>
        <v>3000</v>
      </c>
      <c r="Q142" s="86" t="str">
        <f t="shared" si="37"/>
        <v>(L/unit/hari)</v>
      </c>
      <c r="R142" s="86">
        <f t="shared" si="38"/>
        <v>7379089.9213398658</v>
      </c>
      <c r="S142" s="86">
        <f t="shared" si="40"/>
        <v>7379.0899213398661</v>
      </c>
    </row>
    <row r="143" spans="2:19" x14ac:dyDescent="0.25">
      <c r="B143" s="19">
        <f>'[2]Proyeksi Fasum'!AC53</f>
        <v>2027</v>
      </c>
      <c r="C143" s="19">
        <f>'[2]Proyeksi Fasum'!K44</f>
        <v>55.863689172577033</v>
      </c>
      <c r="D143" s="19">
        <v>540</v>
      </c>
      <c r="E143" s="19">
        <f t="shared" si="33"/>
        <v>30166.392153191598</v>
      </c>
      <c r="F143" s="19">
        <v>50</v>
      </c>
      <c r="G143" s="86" t="s">
        <v>159</v>
      </c>
      <c r="H143" s="86">
        <f t="shared" si="34"/>
        <v>1508319.60765958</v>
      </c>
      <c r="I143" s="86">
        <f t="shared" si="35"/>
        <v>1508.31960765958</v>
      </c>
      <c r="J143" s="9"/>
      <c r="L143" s="19">
        <f>'[2]Proyeksi Fasum'!AC53</f>
        <v>2027</v>
      </c>
      <c r="M143" s="19">
        <f>'[2]Proyeksi Fasum'!K58</f>
        <v>2509.3057116090213</v>
      </c>
      <c r="N143" s="19">
        <v>1</v>
      </c>
      <c r="O143" s="19">
        <f t="shared" si="36"/>
        <v>2509.3057116090213</v>
      </c>
      <c r="P143" s="19">
        <f t="shared" si="39"/>
        <v>3000</v>
      </c>
      <c r="Q143" s="86" t="str">
        <f t="shared" si="37"/>
        <v>(L/unit/hari)</v>
      </c>
      <c r="R143" s="86">
        <f t="shared" si="38"/>
        <v>7527917.1348270634</v>
      </c>
      <c r="S143" s="86">
        <f t="shared" si="40"/>
        <v>7527.9171348270638</v>
      </c>
    </row>
    <row r="144" spans="2:19" x14ac:dyDescent="0.25">
      <c r="B144" s="19">
        <f>'[2]Proyeksi Fasum'!AC54</f>
        <v>2028</v>
      </c>
      <c r="C144" s="19">
        <f>'[2]Proyeksi Fasum'!L44</f>
        <v>56.990391419506693</v>
      </c>
      <c r="D144" s="19">
        <v>540</v>
      </c>
      <c r="E144" s="19">
        <f t="shared" si="33"/>
        <v>30774.811366533613</v>
      </c>
      <c r="F144" s="19">
        <v>50</v>
      </c>
      <c r="G144" s="86" t="s">
        <v>159</v>
      </c>
      <c r="H144" s="86">
        <f t="shared" si="34"/>
        <v>1538740.5683266807</v>
      </c>
      <c r="I144" s="86">
        <f t="shared" si="35"/>
        <v>1538.7405683266807</v>
      </c>
      <c r="J144" s="9"/>
      <c r="L144" s="19">
        <f>'[2]Proyeksi Fasum'!AC54</f>
        <v>2028</v>
      </c>
      <c r="M144" s="19">
        <f>'[2]Proyeksi Fasum'!L58</f>
        <v>2559.9153370272293</v>
      </c>
      <c r="N144" s="19">
        <v>1</v>
      </c>
      <c r="O144" s="19">
        <f t="shared" si="36"/>
        <v>2559.9153370272293</v>
      </c>
      <c r="P144" s="19">
        <f t="shared" si="39"/>
        <v>3000</v>
      </c>
      <c r="Q144" s="86" t="str">
        <f t="shared" si="37"/>
        <v>(L/unit/hari)</v>
      </c>
      <c r="R144" s="86">
        <f t="shared" si="38"/>
        <v>7679746.0110816881</v>
      </c>
      <c r="S144" s="86">
        <f t="shared" si="40"/>
        <v>7679.7460110816883</v>
      </c>
    </row>
    <row r="145" spans="2:19" x14ac:dyDescent="0.25">
      <c r="B145" s="19">
        <f>'[2]Proyeksi Fasum'!AC55</f>
        <v>2029</v>
      </c>
      <c r="C145" s="19">
        <f>'[2]Proyeksi Fasum'!M44</f>
        <v>58.13981787194512</v>
      </c>
      <c r="D145" s="19">
        <v>540</v>
      </c>
      <c r="E145" s="19">
        <f t="shared" si="33"/>
        <v>31395.501650850365</v>
      </c>
      <c r="F145" s="19">
        <v>50</v>
      </c>
      <c r="G145" s="86" t="s">
        <v>159</v>
      </c>
      <c r="H145" s="86">
        <f t="shared" si="34"/>
        <v>1569775.0825425182</v>
      </c>
      <c r="I145" s="86">
        <f t="shared" si="35"/>
        <v>1569.7750825425182</v>
      </c>
      <c r="J145" s="9"/>
      <c r="L145" s="19">
        <f>'[2]Proyeksi Fasum'!AC55</f>
        <v>2029</v>
      </c>
      <c r="M145" s="19">
        <f>'[2]Proyeksi Fasum'!M58</f>
        <v>2611.5456966561474</v>
      </c>
      <c r="N145" s="19">
        <v>1</v>
      </c>
      <c r="O145" s="19">
        <f t="shared" si="36"/>
        <v>2611.5456966561474</v>
      </c>
      <c r="P145" s="19">
        <f t="shared" si="39"/>
        <v>3000</v>
      </c>
      <c r="Q145" s="86" t="str">
        <f t="shared" si="37"/>
        <v>(L/unit/hari)</v>
      </c>
      <c r="R145" s="86">
        <f t="shared" si="38"/>
        <v>7834637.089968442</v>
      </c>
      <c r="S145" s="86">
        <f t="shared" si="40"/>
        <v>7834.6370899684416</v>
      </c>
    </row>
    <row r="146" spans="2:19" x14ac:dyDescent="0.25">
      <c r="B146" s="19">
        <f>'[2]Proyeksi Fasum'!AC56</f>
        <v>2030</v>
      </c>
      <c r="C146" s="19">
        <f>'[2]Proyeksi Fasum'!N44</f>
        <v>59.31242684930853</v>
      </c>
      <c r="D146" s="19">
        <v>540</v>
      </c>
      <c r="E146" s="19">
        <f t="shared" si="33"/>
        <v>32028.710498626606</v>
      </c>
      <c r="F146" s="19">
        <v>50</v>
      </c>
      <c r="G146" s="86" t="s">
        <v>159</v>
      </c>
      <c r="H146" s="86">
        <f t="shared" si="34"/>
        <v>1601435.5249313302</v>
      </c>
      <c r="I146" s="86">
        <f t="shared" si="35"/>
        <v>1601.4355249313303</v>
      </c>
      <c r="J146" s="9"/>
      <c r="L146" s="19">
        <f>'[2]Proyeksi Fasum'!AC56</f>
        <v>2030</v>
      </c>
      <c r="M146" s="19">
        <f>'[2]Proyeksi Fasum'!N58</f>
        <v>2664.217377455675</v>
      </c>
      <c r="N146" s="19">
        <v>1</v>
      </c>
      <c r="O146" s="19">
        <f t="shared" si="36"/>
        <v>2664.217377455675</v>
      </c>
      <c r="P146" s="19">
        <f t="shared" si="39"/>
        <v>3000</v>
      </c>
      <c r="Q146" s="86" t="str">
        <f t="shared" si="37"/>
        <v>(L/unit/hari)</v>
      </c>
      <c r="R146" s="86">
        <f t="shared" si="38"/>
        <v>7992652.1323670251</v>
      </c>
      <c r="S146" s="86">
        <f t="shared" si="40"/>
        <v>7992.6521323670249</v>
      </c>
    </row>
    <row r="147" spans="2:19" x14ac:dyDescent="0.25">
      <c r="B147" s="19">
        <f>'[2]Proyeksi Fasum'!AC57</f>
        <v>2031</v>
      </c>
      <c r="C147" s="19">
        <f>'[2]Proyeksi Fasum'!O44</f>
        <v>60.508685914754778</v>
      </c>
      <c r="D147" s="19">
        <v>540</v>
      </c>
      <c r="E147" s="19">
        <f t="shared" si="33"/>
        <v>32674.690393967579</v>
      </c>
      <c r="F147" s="19">
        <v>50</v>
      </c>
      <c r="G147" s="86" t="s">
        <v>159</v>
      </c>
      <c r="H147" s="86">
        <f t="shared" si="34"/>
        <v>1633734.5196983789</v>
      </c>
      <c r="I147" s="86">
        <f t="shared" si="35"/>
        <v>1633.7345196983788</v>
      </c>
      <c r="J147" s="9"/>
      <c r="L147" s="19">
        <f>'[2]Proyeksi Fasum'!AC57</f>
        <v>2031</v>
      </c>
      <c r="M147" s="19">
        <f>'[2]Proyeksi Fasum'!O58</f>
        <v>2717.9513815994951</v>
      </c>
      <c r="N147" s="19">
        <v>1</v>
      </c>
      <c r="O147" s="19">
        <f t="shared" si="36"/>
        <v>2717.9513815994951</v>
      </c>
      <c r="P147" s="19">
        <f t="shared" si="39"/>
        <v>3000</v>
      </c>
      <c r="Q147" s="86" t="str">
        <f t="shared" si="37"/>
        <v>(L/unit/hari)</v>
      </c>
      <c r="R147" s="86">
        <f t="shared" si="38"/>
        <v>8153854.1447984856</v>
      </c>
      <c r="S147" s="86">
        <f t="shared" si="40"/>
        <v>8153.8541447984853</v>
      </c>
    </row>
    <row r="148" spans="2:19" x14ac:dyDescent="0.25">
      <c r="B148" s="19">
        <f>'[2]Proyeksi Fasum'!AC58</f>
        <v>2032</v>
      </c>
      <c r="C148" s="19">
        <f>'[2]Proyeksi Fasum'!P44</f>
        <v>61.72907206161851</v>
      </c>
      <c r="D148" s="19">
        <v>540</v>
      </c>
      <c r="E148" s="19">
        <f t="shared" si="33"/>
        <v>33333.698913273998</v>
      </c>
      <c r="F148" s="19">
        <v>50</v>
      </c>
      <c r="G148" s="86" t="s">
        <v>159</v>
      </c>
      <c r="H148" s="86">
        <f t="shared" si="34"/>
        <v>1666684.9456636999</v>
      </c>
      <c r="I148" s="86">
        <f t="shared" si="35"/>
        <v>1666.6849456636999</v>
      </c>
      <c r="J148" s="9"/>
      <c r="L148" s="19">
        <f>'[2]Proyeksi Fasum'!AC58</f>
        <v>2032</v>
      </c>
      <c r="M148" s="19">
        <f>'[2]Proyeksi Fasum'!P58</f>
        <v>2772.7691348494354</v>
      </c>
      <c r="N148" s="19">
        <v>1</v>
      </c>
      <c r="O148" s="19">
        <f t="shared" si="36"/>
        <v>2772.7691348494354</v>
      </c>
      <c r="P148" s="19">
        <f t="shared" si="39"/>
        <v>3000</v>
      </c>
      <c r="Q148" s="86" t="str">
        <f t="shared" si="37"/>
        <v>(L/unit/hari)</v>
      </c>
      <c r="R148" s="86">
        <f t="shared" si="38"/>
        <v>8318307.404548306</v>
      </c>
      <c r="S148" s="86">
        <f t="shared" si="40"/>
        <v>8318.3074045483063</v>
      </c>
    </row>
    <row r="149" spans="2:19" x14ac:dyDescent="0.25">
      <c r="B149" s="19">
        <f>'[2]Proyeksi Fasum'!AC59</f>
        <v>2033</v>
      </c>
      <c r="C149" s="19">
        <f>'[2]Proyeksi Fasum'!Q44</f>
        <v>62.974071903606223</v>
      </c>
      <c r="D149" s="19">
        <v>540</v>
      </c>
      <c r="E149" s="19">
        <f t="shared" si="33"/>
        <v>34005.998827947362</v>
      </c>
      <c r="F149" s="19">
        <v>50</v>
      </c>
      <c r="G149" s="86" t="s">
        <v>159</v>
      </c>
      <c r="H149" s="86">
        <f t="shared" si="34"/>
        <v>1700299.941397368</v>
      </c>
      <c r="I149" s="86">
        <f t="shared" si="35"/>
        <v>1700.299941397368</v>
      </c>
      <c r="J149" s="9"/>
      <c r="L149" s="19">
        <f>'[2]Proyeksi Fasum'!AC59</f>
        <v>2033</v>
      </c>
      <c r="M149" s="19">
        <f>'[2]Proyeksi Fasum'!Q58</f>
        <v>2828.6924950987204</v>
      </c>
      <c r="N149" s="19">
        <v>1</v>
      </c>
      <c r="O149" s="19">
        <f t="shared" si="36"/>
        <v>2828.6924950987204</v>
      </c>
      <c r="P149" s="19">
        <f t="shared" si="39"/>
        <v>3000</v>
      </c>
      <c r="Q149" s="86" t="str">
        <f t="shared" si="37"/>
        <v>(L/unit/hari)</v>
      </c>
      <c r="R149" s="86">
        <f t="shared" si="38"/>
        <v>8486077.4852961618</v>
      </c>
      <c r="S149" s="86">
        <f t="shared" si="40"/>
        <v>8486.0774852961622</v>
      </c>
    </row>
    <row r="150" spans="2:19" x14ac:dyDescent="0.25">
      <c r="B150" s="19">
        <f>'[2]Proyeksi Fasum'!AC60</f>
        <v>2034</v>
      </c>
      <c r="C150" s="19">
        <f>'[2]Proyeksi Fasum'!R44</f>
        <v>64.244181868827312</v>
      </c>
      <c r="D150" s="19">
        <v>540</v>
      </c>
      <c r="E150" s="19">
        <f t="shared" si="33"/>
        <v>34691.858209166749</v>
      </c>
      <c r="F150" s="19">
        <v>50</v>
      </c>
      <c r="G150" s="86" t="s">
        <v>159</v>
      </c>
      <c r="H150" s="86">
        <f t="shared" si="34"/>
        <v>1734592.9104583375</v>
      </c>
      <c r="I150" s="86">
        <f t="shared" si="35"/>
        <v>1734.5929104583374</v>
      </c>
      <c r="J150" s="9"/>
      <c r="L150" s="19">
        <f>'[2]Proyeksi Fasum'!AC60</f>
        <v>2034</v>
      </c>
      <c r="M150" s="19">
        <f>'[2]Proyeksi Fasum'!R58</f>
        <v>2885.7437610875286</v>
      </c>
      <c r="N150" s="19">
        <v>1</v>
      </c>
      <c r="O150" s="19">
        <f t="shared" si="36"/>
        <v>2885.7437610875286</v>
      </c>
      <c r="P150" s="19">
        <f t="shared" si="39"/>
        <v>3000</v>
      </c>
      <c r="Q150" s="86" t="str">
        <f t="shared" si="37"/>
        <v>(L/unit/hari)</v>
      </c>
      <c r="R150" s="86">
        <f t="shared" si="38"/>
        <v>8657231.2832625862</v>
      </c>
      <c r="S150" s="86">
        <f t="shared" si="40"/>
        <v>8657.2312832625867</v>
      </c>
    </row>
    <row r="151" spans="2:19" x14ac:dyDescent="0.25">
      <c r="B151" s="19">
        <f>'[2]Proyeksi Fasum'!AC61</f>
        <v>2035</v>
      </c>
      <c r="C151" s="19">
        <f>'[2]Proyeksi Fasum'!S44</f>
        <v>64.244181868827312</v>
      </c>
      <c r="D151" s="19">
        <v>540</v>
      </c>
      <c r="E151" s="19">
        <f t="shared" si="33"/>
        <v>34691.858209166749</v>
      </c>
      <c r="F151" s="19">
        <v>50</v>
      </c>
      <c r="G151" s="86" t="s">
        <v>159</v>
      </c>
      <c r="H151" s="86">
        <f t="shared" si="34"/>
        <v>1734592.9104583375</v>
      </c>
      <c r="I151" s="86">
        <f t="shared" si="35"/>
        <v>1734.5929104583374</v>
      </c>
      <c r="J151" s="9"/>
      <c r="L151" s="19">
        <f>'[2]Proyeksi Fasum'!AC61</f>
        <v>2035</v>
      </c>
      <c r="M151" s="19">
        <f>'[2]Proyeksi Fasum'!S58</f>
        <v>2885.7437610875286</v>
      </c>
      <c r="N151" s="19">
        <v>1</v>
      </c>
      <c r="O151" s="19">
        <f t="shared" si="36"/>
        <v>2885.7437610875286</v>
      </c>
      <c r="P151" s="19">
        <f t="shared" si="39"/>
        <v>3000</v>
      </c>
      <c r="Q151" s="86" t="str">
        <f t="shared" si="37"/>
        <v>(L/unit/hari)</v>
      </c>
      <c r="R151" s="86">
        <f t="shared" si="38"/>
        <v>8657231.2832625862</v>
      </c>
      <c r="S151" s="86">
        <f t="shared" si="40"/>
        <v>8657.2312832625867</v>
      </c>
    </row>
    <row r="152" spans="2:19" x14ac:dyDescent="0.25">
      <c r="B152" s="19">
        <f>'[2]Proyeksi Fasum'!AC62</f>
        <v>2036</v>
      </c>
      <c r="C152" s="19">
        <f>'[2]Proyeksi Fasum'!T44</f>
        <v>65.539908397738671</v>
      </c>
      <c r="D152" s="19">
        <v>540</v>
      </c>
      <c r="E152" s="19">
        <f t="shared" si="33"/>
        <v>35391.550534778886</v>
      </c>
      <c r="F152" s="19">
        <v>50</v>
      </c>
      <c r="G152" s="86" t="s">
        <v>159</v>
      </c>
      <c r="H152" s="86">
        <f t="shared" si="34"/>
        <v>1769577.5267389442</v>
      </c>
      <c r="I152" s="86">
        <f t="shared" si="35"/>
        <v>1769.5775267389442</v>
      </c>
      <c r="J152" s="9"/>
      <c r="L152" s="19">
        <f>'[2]Proyeksi Fasum'!AC62</f>
        <v>2036</v>
      </c>
      <c r="M152" s="19">
        <f>'[2]Proyeksi Fasum'!T58</f>
        <v>2943.9456812943431</v>
      </c>
      <c r="N152" s="19">
        <v>1</v>
      </c>
      <c r="O152" s="19">
        <f t="shared" si="36"/>
        <v>2943.9456812943431</v>
      </c>
      <c r="P152" s="19">
        <f t="shared" si="39"/>
        <v>3000</v>
      </c>
      <c r="Q152" s="86" t="str">
        <f t="shared" si="37"/>
        <v>(L/unit/hari)</v>
      </c>
      <c r="R152" s="86">
        <f t="shared" si="38"/>
        <v>8831837.0438830294</v>
      </c>
      <c r="S152" s="86">
        <f t="shared" si="40"/>
        <v>8831.8370438830298</v>
      </c>
    </row>
    <row r="153" spans="2:19" x14ac:dyDescent="0.25">
      <c r="B153" s="19">
        <f>'[2]Proyeksi Fasum'!AC63</f>
        <v>2037</v>
      </c>
      <c r="C153" s="19">
        <f>'[2]Proyeksi Fasum'!U44</f>
        <v>66.861768145081399</v>
      </c>
      <c r="D153" s="19">
        <v>540</v>
      </c>
      <c r="E153" s="19">
        <f t="shared" si="33"/>
        <v>36105.354798343957</v>
      </c>
      <c r="F153" s="19">
        <v>50</v>
      </c>
      <c r="G153" s="86" t="s">
        <v>159</v>
      </c>
      <c r="H153" s="86">
        <f t="shared" si="34"/>
        <v>1805267.7399171977</v>
      </c>
      <c r="I153" s="86">
        <f t="shared" si="35"/>
        <v>1805.2677399171978</v>
      </c>
      <c r="J153" s="9"/>
      <c r="L153" s="19">
        <f>'[2]Proyeksi Fasum'!AC63</f>
        <v>2037</v>
      </c>
      <c r="M153" s="19">
        <f>'[2]Proyeksi Fasum'!U58</f>
        <v>3003.3214630066154</v>
      </c>
      <c r="N153" s="19">
        <v>1</v>
      </c>
      <c r="O153" s="19">
        <f t="shared" si="36"/>
        <v>3003.3214630066154</v>
      </c>
      <c r="P153" s="19">
        <f t="shared" si="39"/>
        <v>3000</v>
      </c>
      <c r="Q153" s="86" t="str">
        <f t="shared" si="37"/>
        <v>(L/unit/hari)</v>
      </c>
      <c r="R153" s="86">
        <f t="shared" si="38"/>
        <v>9009964.3890198469</v>
      </c>
      <c r="S153" s="86">
        <f t="shared" si="40"/>
        <v>9009.9643890198477</v>
      </c>
    </row>
    <row r="154" spans="2:19" x14ac:dyDescent="0.25">
      <c r="B154" s="19">
        <f>'[2]Proyeksi Fasum'!AC64</f>
        <v>2038</v>
      </c>
      <c r="C154" s="19">
        <f>'[2]Proyeksi Fasum'!V44</f>
        <v>68.210288185890548</v>
      </c>
      <c r="D154" s="19">
        <v>540</v>
      </c>
      <c r="E154" s="19">
        <f t="shared" si="33"/>
        <v>36833.555620380896</v>
      </c>
      <c r="F154" s="19">
        <v>50</v>
      </c>
      <c r="G154" s="86" t="s">
        <v>159</v>
      </c>
      <c r="H154" s="86">
        <f t="shared" si="34"/>
        <v>1841677.7810190448</v>
      </c>
      <c r="I154" s="86">
        <f t="shared" si="35"/>
        <v>1841.6777810190449</v>
      </c>
      <c r="J154" s="9"/>
      <c r="L154" s="19">
        <f>'[2]Proyeksi Fasum'!AC64</f>
        <v>2038</v>
      </c>
      <c r="M154" s="19">
        <f>'[2]Proyeksi Fasum'!V58</f>
        <v>3063.89478157439</v>
      </c>
      <c r="N154" s="19">
        <v>1</v>
      </c>
      <c r="O154" s="19">
        <f t="shared" si="36"/>
        <v>3063.89478157439</v>
      </c>
      <c r="P154" s="19">
        <f t="shared" si="39"/>
        <v>3000</v>
      </c>
      <c r="Q154" s="86" t="str">
        <f t="shared" si="37"/>
        <v>(L/unit/hari)</v>
      </c>
      <c r="R154" s="86">
        <f t="shared" si="38"/>
        <v>9191684.3447231706</v>
      </c>
      <c r="S154" s="86">
        <f t="shared" si="40"/>
        <v>9191.6843447231713</v>
      </c>
    </row>
    <row r="155" spans="2:19" x14ac:dyDescent="0.25">
      <c r="B155" s="19">
        <f>'[2]Proyeksi Fasum'!AC65</f>
        <v>2039</v>
      </c>
      <c r="C155" s="19">
        <f>'[2]Proyeksi Fasum'!W44</f>
        <v>69.58600622565956</v>
      </c>
      <c r="D155" s="19">
        <v>540</v>
      </c>
      <c r="E155" s="19">
        <f t="shared" si="33"/>
        <v>37576.44336185616</v>
      </c>
      <c r="F155" s="19">
        <v>50</v>
      </c>
      <c r="G155" s="86" t="s">
        <v>159</v>
      </c>
      <c r="H155" s="86">
        <f t="shared" si="34"/>
        <v>1878822.168092808</v>
      </c>
      <c r="I155" s="86">
        <f t="shared" si="35"/>
        <v>1878.8221680928079</v>
      </c>
      <c r="J155" s="9"/>
      <c r="L155" s="19">
        <f>'[2]Proyeksi Fasum'!AC65</f>
        <v>2039</v>
      </c>
      <c r="M155" s="19">
        <f>'[2]Proyeksi Fasum'!W58</f>
        <v>3125.6897898505445</v>
      </c>
      <c r="N155" s="19">
        <v>1</v>
      </c>
      <c r="O155" s="19">
        <f t="shared" si="36"/>
        <v>3125.6897898505445</v>
      </c>
      <c r="P155" s="19">
        <f t="shared" si="39"/>
        <v>3000</v>
      </c>
      <c r="Q155" s="86" t="str">
        <f t="shared" si="37"/>
        <v>(L/unit/hari)</v>
      </c>
      <c r="R155" s="86">
        <f t="shared" si="38"/>
        <v>9377069.3695516326</v>
      </c>
      <c r="S155" s="86">
        <f t="shared" si="40"/>
        <v>9377.0693695516329</v>
      </c>
    </row>
    <row r="156" spans="2:19" x14ac:dyDescent="0.25">
      <c r="B156" s="19">
        <f>'[2]Proyeksi Fasum'!AC66</f>
        <v>2040</v>
      </c>
      <c r="C156" s="19">
        <f>'[2]Proyeksi Fasum'!X44</f>
        <v>70.98947081474364</v>
      </c>
      <c r="D156" s="19">
        <v>540</v>
      </c>
      <c r="E156" s="19">
        <f t="shared" si="33"/>
        <v>38334.314239961568</v>
      </c>
      <c r="F156" s="19">
        <v>50</v>
      </c>
      <c r="G156" s="86" t="s">
        <v>159</v>
      </c>
      <c r="H156" s="86">
        <f t="shared" si="34"/>
        <v>1916715.7119980785</v>
      </c>
      <c r="I156" s="86">
        <f t="shared" si="35"/>
        <v>1916.7157119980784</v>
      </c>
      <c r="J156" s="9"/>
      <c r="L156" s="19">
        <f>'[2]Proyeksi Fasum'!AC66</f>
        <v>2040</v>
      </c>
      <c r="M156" s="19">
        <f>'[2]Proyeksi Fasum'!X58</f>
        <v>3188.7311278214443</v>
      </c>
      <c r="N156" s="19">
        <v>1</v>
      </c>
      <c r="O156" s="19">
        <f t="shared" si="36"/>
        <v>3188.7311278214443</v>
      </c>
      <c r="P156" s="19">
        <f t="shared" si="39"/>
        <v>3000</v>
      </c>
      <c r="Q156" s="86" t="str">
        <f t="shared" si="37"/>
        <v>(L/unit/hari)</v>
      </c>
      <c r="R156" s="86">
        <f t="shared" si="38"/>
        <v>9566193.3834643327</v>
      </c>
      <c r="S156" s="86">
        <f t="shared" si="40"/>
        <v>9566.1933834643332</v>
      </c>
    </row>
    <row r="157" spans="2:19" x14ac:dyDescent="0.25">
      <c r="B157" s="19">
        <f>'[2]Proyeksi Fasum'!AC67</f>
        <v>2041</v>
      </c>
      <c r="C157" s="19">
        <f>'[2]Proyeksi Fasum'!Y44</f>
        <v>72.421241567087421</v>
      </c>
      <c r="D157" s="19">
        <v>540</v>
      </c>
      <c r="E157" s="19">
        <f t="shared" si="33"/>
        <v>39107.470446227206</v>
      </c>
      <c r="F157" s="19">
        <v>50</v>
      </c>
      <c r="G157" s="86" t="s">
        <v>159</v>
      </c>
      <c r="H157" s="86">
        <f t="shared" si="34"/>
        <v>1955373.5223113603</v>
      </c>
      <c r="I157" s="86">
        <f t="shared" si="35"/>
        <v>1955.3735223113604</v>
      </c>
      <c r="J157" s="9"/>
      <c r="L157" s="19">
        <f>'[2]Proyeksi Fasum'!AC67</f>
        <v>2041</v>
      </c>
      <c r="M157" s="19">
        <f>'[2]Proyeksi Fasum'!Y58</f>
        <v>3253.0439324318245</v>
      </c>
      <c r="N157" s="19">
        <v>1</v>
      </c>
      <c r="O157" s="19">
        <f t="shared" si="36"/>
        <v>3253.0439324318245</v>
      </c>
      <c r="P157" s="19">
        <f t="shared" si="39"/>
        <v>3000</v>
      </c>
      <c r="Q157" s="86" t="str">
        <f t="shared" si="37"/>
        <v>(L/unit/hari)</v>
      </c>
      <c r="R157" s="86">
        <f t="shared" si="38"/>
        <v>9759131.7972954735</v>
      </c>
      <c r="S157" s="86">
        <f t="shared" si="40"/>
        <v>9759.131797295473</v>
      </c>
    </row>
    <row r="158" spans="2:19" x14ac:dyDescent="0.25">
      <c r="B158" s="19">
        <f>'[2]Proyeksi Fasum'!AC68</f>
        <v>2042</v>
      </c>
      <c r="C158" s="19">
        <f>'[2]Proyeksi Fasum'!Z44</f>
        <v>73.881889383363884</v>
      </c>
      <c r="D158" s="19">
        <v>540</v>
      </c>
      <c r="E158" s="19">
        <f t="shared" si="33"/>
        <v>39896.220267016499</v>
      </c>
      <c r="F158" s="19">
        <v>50</v>
      </c>
      <c r="G158" s="86" t="s">
        <v>159</v>
      </c>
      <c r="H158" s="86">
        <f t="shared" si="34"/>
        <v>1994811.0133508248</v>
      </c>
      <c r="I158" s="86">
        <f t="shared" si="35"/>
        <v>1994.8110133508249</v>
      </c>
      <c r="J158" s="9"/>
      <c r="L158" s="19">
        <f>'[2]Proyeksi Fasum'!AC68</f>
        <v>2042</v>
      </c>
      <c r="M158" s="19">
        <f>'[2]Proyeksi Fasum'!Z58</f>
        <v>3318.6538476078354</v>
      </c>
      <c r="N158" s="19">
        <v>1</v>
      </c>
      <c r="O158" s="19">
        <f t="shared" si="36"/>
        <v>3318.6538476078354</v>
      </c>
      <c r="P158" s="19">
        <f t="shared" si="39"/>
        <v>3000</v>
      </c>
      <c r="Q158" s="86" t="str">
        <f t="shared" si="37"/>
        <v>(L/unit/hari)</v>
      </c>
      <c r="R158" s="86">
        <f t="shared" si="38"/>
        <v>9955961.5428235065</v>
      </c>
      <c r="S158" s="86">
        <f t="shared" si="40"/>
        <v>9955.9615428235065</v>
      </c>
    </row>
    <row r="159" spans="2:19" x14ac:dyDescent="0.25">
      <c r="B159" s="19">
        <f>'[2]Proyeksi Fasum'!AC69</f>
        <v>2043</v>
      </c>
      <c r="C159" s="19">
        <f>'[2]Proyeksi Fasum'!AA44</f>
        <v>75.371996678614067</v>
      </c>
      <c r="D159" s="19">
        <v>540</v>
      </c>
      <c r="E159" s="19">
        <f t="shared" si="33"/>
        <v>40700.878206451598</v>
      </c>
      <c r="F159" s="19">
        <v>50</v>
      </c>
      <c r="G159" s="86" t="s">
        <v>159</v>
      </c>
      <c r="H159" s="86">
        <f t="shared" si="34"/>
        <v>2035043.91032258</v>
      </c>
      <c r="I159" s="86">
        <f t="shared" si="35"/>
        <v>2035.0439103225801</v>
      </c>
      <c r="J159" s="9"/>
      <c r="L159" s="19">
        <f>'[2]Proyeksi Fasum'!AC69</f>
        <v>2043</v>
      </c>
      <c r="M159" s="19">
        <f>'[2]Proyeksi Fasum'!AA58</f>
        <v>3385.587034482236</v>
      </c>
      <c r="N159" s="19">
        <v>1</v>
      </c>
      <c r="O159" s="19">
        <f t="shared" si="36"/>
        <v>3385.587034482236</v>
      </c>
      <c r="P159" s="19">
        <f t="shared" si="39"/>
        <v>3000</v>
      </c>
      <c r="Q159" s="86" t="str">
        <f t="shared" si="37"/>
        <v>(L/unit/hari)</v>
      </c>
      <c r="R159" s="86">
        <f t="shared" si="38"/>
        <v>10156761.103446709</v>
      </c>
      <c r="S159" s="86">
        <f t="shared" si="40"/>
        <v>10156.761103446708</v>
      </c>
    </row>
    <row r="160" spans="2:19" x14ac:dyDescent="0.25">
      <c r="J160" s="9"/>
    </row>
    <row r="161" spans="2:19" x14ac:dyDescent="0.25">
      <c r="B161" s="237" t="s">
        <v>77</v>
      </c>
      <c r="C161" s="238"/>
      <c r="D161" s="238"/>
      <c r="E161" s="238"/>
      <c r="F161" s="238"/>
      <c r="G161" s="238"/>
      <c r="H161" s="238"/>
      <c r="I161" s="239"/>
      <c r="J161" s="9"/>
      <c r="L161" s="237" t="s">
        <v>174</v>
      </c>
      <c r="M161" s="238"/>
      <c r="N161" s="238"/>
      <c r="O161" s="238"/>
      <c r="P161" s="238"/>
      <c r="Q161" s="238"/>
      <c r="R161" s="238"/>
      <c r="S161" s="239"/>
    </row>
    <row r="162" spans="2:19" ht="14.4" customHeight="1" x14ac:dyDescent="0.25">
      <c r="B162" s="240" t="s">
        <v>40</v>
      </c>
      <c r="C162" s="241" t="s">
        <v>154</v>
      </c>
      <c r="D162" s="241" t="s">
        <v>155</v>
      </c>
      <c r="E162" s="241" t="s">
        <v>156</v>
      </c>
      <c r="F162" s="241" t="s">
        <v>157</v>
      </c>
      <c r="G162" s="241" t="s">
        <v>129</v>
      </c>
      <c r="H162" s="241" t="s">
        <v>158</v>
      </c>
      <c r="I162" s="241" t="s">
        <v>178</v>
      </c>
      <c r="J162" s="9"/>
      <c r="L162" s="242" t="s">
        <v>40</v>
      </c>
      <c r="M162" s="241" t="s">
        <v>154</v>
      </c>
      <c r="N162" s="241" t="s">
        <v>166</v>
      </c>
      <c r="O162" s="241" t="s">
        <v>167</v>
      </c>
      <c r="P162" s="241" t="s">
        <v>157</v>
      </c>
      <c r="Q162" s="244" t="s">
        <v>129</v>
      </c>
      <c r="R162" s="246" t="s">
        <v>158</v>
      </c>
      <c r="S162" s="241" t="s">
        <v>178</v>
      </c>
    </row>
    <row r="163" spans="2:19" x14ac:dyDescent="0.25">
      <c r="B163" s="240"/>
      <c r="C163" s="241"/>
      <c r="D163" s="241"/>
      <c r="E163" s="241"/>
      <c r="F163" s="241"/>
      <c r="G163" s="241"/>
      <c r="H163" s="241"/>
      <c r="I163" s="241"/>
      <c r="J163" s="9"/>
      <c r="L163" s="243"/>
      <c r="M163" s="241"/>
      <c r="N163" s="241"/>
      <c r="O163" s="241"/>
      <c r="P163" s="241"/>
      <c r="Q163" s="245"/>
      <c r="R163" s="246"/>
      <c r="S163" s="241"/>
    </row>
    <row r="164" spans="2:19" x14ac:dyDescent="0.25">
      <c r="B164" s="19">
        <f>'[2]Proyeksi Fasum'!AC49</f>
        <v>2023</v>
      </c>
      <c r="C164" s="19">
        <f>'[2]Proyeksi Fasum'!G45</f>
        <v>34.734365004580482</v>
      </c>
      <c r="D164" s="19">
        <f>D11</f>
        <v>720</v>
      </c>
      <c r="E164" s="19">
        <f t="shared" ref="E164:E184" si="41">D164*C164</f>
        <v>25008.742803297948</v>
      </c>
      <c r="F164" s="19">
        <v>80</v>
      </c>
      <c r="G164" s="86" t="s">
        <v>159</v>
      </c>
      <c r="H164" s="86">
        <f t="shared" ref="H164:H184" si="42">F164*E164</f>
        <v>2000699.4242638359</v>
      </c>
      <c r="I164" s="86">
        <f t="shared" ref="I164:I184" si="43">H164/1000</f>
        <v>2000.6994242638359</v>
      </c>
      <c r="J164" s="9"/>
      <c r="L164" s="19">
        <f>'[1]Proyeksi Penduduk'!B74</f>
        <v>2023</v>
      </c>
      <c r="M164" s="19">
        <f>'[1]Proyeksi Fasum'!G59</f>
        <v>4.5489460740581009</v>
      </c>
      <c r="N164" s="19">
        <f t="shared" ref="N164:N184" si="44">$D$33</f>
        <v>1</v>
      </c>
      <c r="O164" s="19">
        <f t="shared" ref="O164:O184" si="45">M164*N164</f>
        <v>4.5489460740581009</v>
      </c>
      <c r="P164" s="19">
        <f t="shared" ref="P164:P184" si="46">$F$33</f>
        <v>1000</v>
      </c>
      <c r="Q164" s="86" t="str">
        <f t="shared" ref="Q164:Q184" si="47">$G$33</f>
        <v>(L/unit/hari)</v>
      </c>
      <c r="R164" s="86">
        <f t="shared" ref="R164:R184" si="48">P164*O164</f>
        <v>4548.9460740581007</v>
      </c>
      <c r="S164" s="86">
        <f>R164/1000</f>
        <v>4.5489460740581009</v>
      </c>
    </row>
    <row r="165" spans="2:19" x14ac:dyDescent="0.25">
      <c r="B165" s="19">
        <f>'[2]Proyeksi Fasum'!AC50</f>
        <v>2024</v>
      </c>
      <c r="C165" s="19">
        <f>'[2]Proyeksi Fasum'!H45</f>
        <v>35.434914640238041</v>
      </c>
      <c r="D165" s="19">
        <v>720</v>
      </c>
      <c r="E165" s="19">
        <f t="shared" si="41"/>
        <v>25513.138540971391</v>
      </c>
      <c r="F165" s="19">
        <v>80</v>
      </c>
      <c r="G165" s="86" t="s">
        <v>159</v>
      </c>
      <c r="H165" s="86">
        <f t="shared" si="42"/>
        <v>2041051.0832777112</v>
      </c>
      <c r="I165" s="86">
        <f t="shared" si="43"/>
        <v>2041.0510832777111</v>
      </c>
      <c r="J165" s="9"/>
      <c r="L165" s="19">
        <f>'[1]Proyeksi Penduduk'!B75</f>
        <v>2024</v>
      </c>
      <c r="M165" s="19">
        <f>'[1]Proyeksi Fasum'!H59</f>
        <v>4.6308320581010909</v>
      </c>
      <c r="N165" s="19">
        <f t="shared" si="44"/>
        <v>1</v>
      </c>
      <c r="O165" s="19">
        <f t="shared" si="45"/>
        <v>4.6308320581010909</v>
      </c>
      <c r="P165" s="19">
        <f t="shared" si="46"/>
        <v>1000</v>
      </c>
      <c r="Q165" s="86" t="str">
        <f t="shared" si="47"/>
        <v>(L/unit/hari)</v>
      </c>
      <c r="R165" s="86">
        <f t="shared" si="48"/>
        <v>4630.8320581010912</v>
      </c>
      <c r="S165" s="86">
        <f t="shared" ref="S165:S184" si="49">R165/1000</f>
        <v>4.6308320581010909</v>
      </c>
    </row>
    <row r="166" spans="2:19" x14ac:dyDescent="0.25">
      <c r="B166" s="19">
        <f>'[2]Proyeksi Fasum'!AC51</f>
        <v>2025</v>
      </c>
      <c r="C166" s="19">
        <f>'[2]Proyeksi Fasum'!I45</f>
        <v>36.149593504743024</v>
      </c>
      <c r="D166" s="19">
        <v>720</v>
      </c>
      <c r="E166" s="19">
        <f t="shared" si="41"/>
        <v>26027.707323414976</v>
      </c>
      <c r="F166" s="19">
        <v>80</v>
      </c>
      <c r="G166" s="86" t="s">
        <v>159</v>
      </c>
      <c r="H166" s="86">
        <f t="shared" si="42"/>
        <v>2082216.585873198</v>
      </c>
      <c r="I166" s="86">
        <f t="shared" si="43"/>
        <v>2082.2165858731978</v>
      </c>
      <c r="J166" s="9"/>
      <c r="L166" s="19">
        <f>'[1]Proyeksi Penduduk'!B76</f>
        <v>2025</v>
      </c>
      <c r="M166" s="19">
        <f>'[1]Proyeksi Fasum'!I59</f>
        <v>4.7141920790470309</v>
      </c>
      <c r="N166" s="19">
        <f t="shared" si="44"/>
        <v>1</v>
      </c>
      <c r="O166" s="19">
        <f t="shared" si="45"/>
        <v>4.7141920790470309</v>
      </c>
      <c r="P166" s="19">
        <f t="shared" si="46"/>
        <v>1000</v>
      </c>
      <c r="Q166" s="86" t="str">
        <f t="shared" si="47"/>
        <v>(L/unit/hari)</v>
      </c>
      <c r="R166" s="86">
        <f t="shared" si="48"/>
        <v>4714.1920790470313</v>
      </c>
      <c r="S166" s="86">
        <f t="shared" si="49"/>
        <v>4.7141920790470309</v>
      </c>
    </row>
    <row r="167" spans="2:19" x14ac:dyDescent="0.25">
      <c r="B167" s="19">
        <f>'[2]Proyeksi Fasum'!AC52</f>
        <v>2026</v>
      </c>
      <c r="C167" s="19">
        <f>'[2]Proyeksi Fasum'!J45</f>
        <v>36.878686567350535</v>
      </c>
      <c r="D167" s="19">
        <v>720</v>
      </c>
      <c r="E167" s="19">
        <f t="shared" si="41"/>
        <v>26552.654328492386</v>
      </c>
      <c r="F167" s="19">
        <v>80</v>
      </c>
      <c r="G167" s="86" t="s">
        <v>159</v>
      </c>
      <c r="H167" s="86">
        <f t="shared" si="42"/>
        <v>2124212.3462793911</v>
      </c>
      <c r="I167" s="86">
        <f t="shared" si="43"/>
        <v>2124.2123462793911</v>
      </c>
      <c r="J167" s="9"/>
      <c r="L167" s="19">
        <f>'[1]Proyeksi Penduduk'!B77</f>
        <v>2026</v>
      </c>
      <c r="M167" s="19">
        <f>'[1]Proyeksi Fasum'!J59</f>
        <v>4.7990526711656951</v>
      </c>
      <c r="N167" s="19">
        <f t="shared" si="44"/>
        <v>1</v>
      </c>
      <c r="O167" s="19">
        <f t="shared" si="45"/>
        <v>4.7990526711656951</v>
      </c>
      <c r="P167" s="19">
        <f t="shared" si="46"/>
        <v>1000</v>
      </c>
      <c r="Q167" s="86" t="str">
        <f t="shared" si="47"/>
        <v>(L/unit/hari)</v>
      </c>
      <c r="R167" s="86">
        <f t="shared" si="48"/>
        <v>4799.0526711656948</v>
      </c>
      <c r="S167" s="86">
        <f t="shared" si="49"/>
        <v>4.7990526711656951</v>
      </c>
    </row>
    <row r="168" spans="2:19" x14ac:dyDescent="0.25">
      <c r="B168" s="19">
        <f>'[2]Proyeksi Fasum'!AC53</f>
        <v>2027</v>
      </c>
      <c r="C168" s="19">
        <f>'[2]Proyeksi Fasum'!K45</f>
        <v>37.622484544796777</v>
      </c>
      <c r="D168" s="19">
        <v>720</v>
      </c>
      <c r="E168" s="19">
        <f t="shared" si="41"/>
        <v>27088.188872253679</v>
      </c>
      <c r="F168" s="19">
        <v>80</v>
      </c>
      <c r="G168" s="86" t="s">
        <v>159</v>
      </c>
      <c r="H168" s="86">
        <f t="shared" si="42"/>
        <v>2167055.1097802944</v>
      </c>
      <c r="I168" s="86">
        <f t="shared" si="43"/>
        <v>2167.0551097802945</v>
      </c>
      <c r="J168" s="9"/>
      <c r="L168" s="19">
        <f>'[1]Proyeksi Penduduk'!B78</f>
        <v>2027</v>
      </c>
      <c r="M168" s="19">
        <f>'[1]Proyeksi Fasum'!K59</f>
        <v>4.8854408463726102</v>
      </c>
      <c r="N168" s="19">
        <f t="shared" si="44"/>
        <v>1</v>
      </c>
      <c r="O168" s="19">
        <f t="shared" si="45"/>
        <v>4.8854408463726102</v>
      </c>
      <c r="P168" s="19">
        <f t="shared" si="46"/>
        <v>1000</v>
      </c>
      <c r="Q168" s="86" t="str">
        <f t="shared" si="47"/>
        <v>(L/unit/hari)</v>
      </c>
      <c r="R168" s="86">
        <f t="shared" si="48"/>
        <v>4885.4408463726104</v>
      </c>
      <c r="S168" s="86">
        <f t="shared" si="49"/>
        <v>4.8854408463726102</v>
      </c>
    </row>
    <row r="169" spans="2:19" x14ac:dyDescent="0.25">
      <c r="B169" s="19">
        <f>'[2]Proyeksi Fasum'!AC54</f>
        <v>2028</v>
      </c>
      <c r="C169" s="19">
        <f>'[2]Proyeksi Fasum'!L45</f>
        <v>38.381284017218796</v>
      </c>
      <c r="D169" s="19">
        <v>720</v>
      </c>
      <c r="E169" s="19">
        <f t="shared" si="41"/>
        <v>27634.524492397533</v>
      </c>
      <c r="F169" s="19">
        <v>80</v>
      </c>
      <c r="G169" s="86" t="s">
        <v>159</v>
      </c>
      <c r="H169" s="86">
        <f t="shared" si="42"/>
        <v>2210761.9593918025</v>
      </c>
      <c r="I169" s="86">
        <f t="shared" si="43"/>
        <v>2210.7619593918025</v>
      </c>
      <c r="J169" s="9"/>
      <c r="L169" s="19">
        <f>'[1]Proyeksi Penduduk'!B79</f>
        <v>2028</v>
      </c>
      <c r="M169" s="19">
        <f>'[1]Proyeksi Fasum'!L59</f>
        <v>4.973384102827211</v>
      </c>
      <c r="N169" s="19">
        <f t="shared" si="44"/>
        <v>1</v>
      </c>
      <c r="O169" s="19">
        <f t="shared" si="45"/>
        <v>4.973384102827211</v>
      </c>
      <c r="P169" s="19">
        <f t="shared" si="46"/>
        <v>1000</v>
      </c>
      <c r="Q169" s="86" t="str">
        <f t="shared" si="47"/>
        <v>(L/unit/hari)</v>
      </c>
      <c r="R169" s="86">
        <f t="shared" si="48"/>
        <v>4973.3841028272109</v>
      </c>
      <c r="S169" s="86">
        <f t="shared" si="49"/>
        <v>4.973384102827211</v>
      </c>
    </row>
    <row r="170" spans="2:19" x14ac:dyDescent="0.25">
      <c r="B170" s="19">
        <f>'[2]Proyeksi Fasum'!AC55</f>
        <v>2029</v>
      </c>
      <c r="C170" s="19">
        <f>'[2]Proyeksi Fasum'!M45</f>
        <v>39.155387546412022</v>
      </c>
      <c r="D170" s="19">
        <v>720</v>
      </c>
      <c r="E170" s="19">
        <f t="shared" si="41"/>
        <v>28191.879033416655</v>
      </c>
      <c r="F170" s="19">
        <v>80</v>
      </c>
      <c r="G170" s="86" t="s">
        <v>159</v>
      </c>
      <c r="H170" s="86">
        <f t="shared" si="42"/>
        <v>2255350.3226733324</v>
      </c>
      <c r="I170" s="86">
        <f t="shared" si="43"/>
        <v>2255.3503226733324</v>
      </c>
      <c r="J170" s="9"/>
      <c r="L170" s="19">
        <f>'[1]Proyeksi Penduduk'!B80</f>
        <v>2029</v>
      </c>
      <c r="M170" s="19">
        <f>'[1]Proyeksi Fasum'!M59</f>
        <v>5.0629104336857491</v>
      </c>
      <c r="N170" s="19">
        <f t="shared" si="44"/>
        <v>1</v>
      </c>
      <c r="O170" s="19">
        <f t="shared" si="45"/>
        <v>5.0629104336857491</v>
      </c>
      <c r="P170" s="19">
        <f t="shared" si="46"/>
        <v>1000</v>
      </c>
      <c r="Q170" s="86" t="str">
        <f t="shared" si="47"/>
        <v>(L/unit/hari)</v>
      </c>
      <c r="R170" s="86">
        <f t="shared" si="48"/>
        <v>5062.910433685749</v>
      </c>
      <c r="S170" s="86">
        <f t="shared" si="49"/>
        <v>5.0629104336857491</v>
      </c>
    </row>
    <row r="171" spans="2:19" x14ac:dyDescent="0.25">
      <c r="B171" s="19">
        <f>'[2]Proyeksi Fasum'!AC56</f>
        <v>2030</v>
      </c>
      <c r="C171" s="19">
        <f>'[2]Proyeksi Fasum'!N45</f>
        <v>39.945103796473092</v>
      </c>
      <c r="D171" s="19">
        <v>720</v>
      </c>
      <c r="E171" s="19">
        <f t="shared" si="41"/>
        <v>28760.474733460625</v>
      </c>
      <c r="F171" s="19">
        <v>80</v>
      </c>
      <c r="G171" s="86" t="s">
        <v>159</v>
      </c>
      <c r="H171" s="86">
        <f t="shared" si="42"/>
        <v>2300837.97867685</v>
      </c>
      <c r="I171" s="86">
        <f t="shared" si="43"/>
        <v>2300.8379786768501</v>
      </c>
      <c r="J171" s="9"/>
      <c r="L171" s="19">
        <f>'[1]Proyeksi Penduduk'!B81</f>
        <v>2030</v>
      </c>
      <c r="M171" s="19">
        <f>'[1]Proyeksi Fasum'!N59</f>
        <v>5.1540483360117788</v>
      </c>
      <c r="N171" s="19">
        <f t="shared" si="44"/>
        <v>1</v>
      </c>
      <c r="O171" s="19">
        <f t="shared" si="45"/>
        <v>5.1540483360117788</v>
      </c>
      <c r="P171" s="19">
        <f t="shared" si="46"/>
        <v>1000</v>
      </c>
      <c r="Q171" s="86" t="str">
        <f t="shared" si="47"/>
        <v>(L/unit/hari)</v>
      </c>
      <c r="R171" s="86">
        <f t="shared" si="48"/>
        <v>5154.0483360117787</v>
      </c>
      <c r="S171" s="86">
        <f t="shared" si="49"/>
        <v>5.1540483360117788</v>
      </c>
    </row>
    <row r="172" spans="2:19" x14ac:dyDescent="0.25">
      <c r="B172" s="19">
        <f>'[2]Proyeksi Fasum'!AC57</f>
        <v>2031</v>
      </c>
      <c r="C172" s="19">
        <f>'[2]Proyeksi Fasum'!O45</f>
        <v>40.750747656875667</v>
      </c>
      <c r="D172" s="19">
        <v>720</v>
      </c>
      <c r="E172" s="19">
        <f t="shared" si="41"/>
        <v>29340.538312950481</v>
      </c>
      <c r="F172" s="19">
        <v>80</v>
      </c>
      <c r="G172" s="86" t="s">
        <v>159</v>
      </c>
      <c r="H172" s="86">
        <f t="shared" si="42"/>
        <v>2347243.0650360384</v>
      </c>
      <c r="I172" s="86">
        <f t="shared" si="43"/>
        <v>2347.2430650360384</v>
      </c>
      <c r="J172" s="9"/>
      <c r="L172" s="19">
        <f>'[1]Proyeksi Penduduk'!B82</f>
        <v>2031</v>
      </c>
      <c r="M172" s="19">
        <f>'[1]Proyeksi Fasum'!O59</f>
        <v>5.2468268198470369</v>
      </c>
      <c r="N172" s="19">
        <f t="shared" si="44"/>
        <v>1</v>
      </c>
      <c r="O172" s="19">
        <f t="shared" si="45"/>
        <v>5.2468268198470369</v>
      </c>
      <c r="P172" s="19">
        <f t="shared" si="46"/>
        <v>1000</v>
      </c>
      <c r="Q172" s="86" t="str">
        <f t="shared" si="47"/>
        <v>(L/unit/hari)</v>
      </c>
      <c r="R172" s="86">
        <f t="shared" si="48"/>
        <v>5246.8268198470369</v>
      </c>
      <c r="S172" s="86">
        <f t="shared" si="49"/>
        <v>5.2468268198470369</v>
      </c>
    </row>
    <row r="173" spans="2:19" x14ac:dyDescent="0.25">
      <c r="B173" s="19">
        <f>'[2]Proyeksi Fasum'!AC58</f>
        <v>2032</v>
      </c>
      <c r="C173" s="19">
        <f>'[2]Proyeksi Fasum'!P45</f>
        <v>41.572640368028793</v>
      </c>
      <c r="D173" s="19">
        <v>720</v>
      </c>
      <c r="E173" s="19">
        <f t="shared" si="41"/>
        <v>29932.301064980729</v>
      </c>
      <c r="F173" s="19">
        <v>80</v>
      </c>
      <c r="G173" s="86" t="s">
        <v>159</v>
      </c>
      <c r="H173" s="86">
        <f t="shared" si="42"/>
        <v>2394584.0851984583</v>
      </c>
      <c r="I173" s="86">
        <f t="shared" si="43"/>
        <v>2394.5840851984581</v>
      </c>
      <c r="J173" s="9"/>
      <c r="L173" s="19">
        <f>'[1]Proyeksi Penduduk'!B83</f>
        <v>2032</v>
      </c>
      <c r="M173" s="19">
        <f>'[1]Proyeksi Fasum'!P59</f>
        <v>5.3412754174456127</v>
      </c>
      <c r="N173" s="19">
        <f t="shared" si="44"/>
        <v>1</v>
      </c>
      <c r="O173" s="19">
        <f t="shared" si="45"/>
        <v>5.3412754174456127</v>
      </c>
      <c r="P173" s="19">
        <f t="shared" si="46"/>
        <v>1000</v>
      </c>
      <c r="Q173" s="86" t="str">
        <f t="shared" si="47"/>
        <v>(L/unit/hari)</v>
      </c>
      <c r="R173" s="86">
        <f t="shared" si="48"/>
        <v>5341.2754174456131</v>
      </c>
      <c r="S173" s="86">
        <f t="shared" si="49"/>
        <v>5.3412754174456127</v>
      </c>
    </row>
    <row r="174" spans="2:19" x14ac:dyDescent="0.25">
      <c r="B174" s="19">
        <f>'[2]Proyeksi Fasum'!AC59</f>
        <v>2033</v>
      </c>
      <c r="C174" s="19">
        <f>'[2]Proyeksi Fasum'!Q45</f>
        <v>42.411109649367454</v>
      </c>
      <c r="D174" s="19">
        <v>720</v>
      </c>
      <c r="E174" s="19">
        <f t="shared" si="41"/>
        <v>30535.998947544565</v>
      </c>
      <c r="F174" s="19">
        <v>80</v>
      </c>
      <c r="G174" s="86" t="s">
        <v>159</v>
      </c>
      <c r="H174" s="86">
        <f t="shared" si="42"/>
        <v>2442879.9158035652</v>
      </c>
      <c r="I174" s="86">
        <f t="shared" si="43"/>
        <v>2442.8799158035654</v>
      </c>
      <c r="J174" s="9"/>
      <c r="L174" s="19">
        <f>'[1]Proyeksi Penduduk'!B84</f>
        <v>2033</v>
      </c>
      <c r="M174" s="19">
        <f>'[1]Proyeksi Fasum'!Q59</f>
        <v>5.4374241926743299</v>
      </c>
      <c r="N174" s="19">
        <f t="shared" si="44"/>
        <v>1</v>
      </c>
      <c r="O174" s="19">
        <f t="shared" si="45"/>
        <v>5.4374241926743299</v>
      </c>
      <c r="P174" s="19">
        <f t="shared" si="46"/>
        <v>1000</v>
      </c>
      <c r="Q174" s="86" t="str">
        <f t="shared" si="47"/>
        <v>(L/unit/hari)</v>
      </c>
      <c r="R174" s="86">
        <f t="shared" si="48"/>
        <v>5437.4241926743298</v>
      </c>
      <c r="S174" s="86">
        <f t="shared" si="49"/>
        <v>5.4374241926743299</v>
      </c>
    </row>
    <row r="175" spans="2:19" x14ac:dyDescent="0.25">
      <c r="B175" s="19">
        <f>'[2]Proyeksi Fasum'!AC60</f>
        <v>2034</v>
      </c>
      <c r="C175" s="19">
        <f>'[2]Proyeksi Fasum'!R45</f>
        <v>43.266489830026558</v>
      </c>
      <c r="D175" s="19">
        <v>720</v>
      </c>
      <c r="E175" s="19">
        <f t="shared" si="41"/>
        <v>31151.872677619122</v>
      </c>
      <c r="F175" s="19">
        <v>80</v>
      </c>
      <c r="G175" s="86" t="s">
        <v>159</v>
      </c>
      <c r="H175" s="86">
        <f t="shared" si="42"/>
        <v>2492149.8142095297</v>
      </c>
      <c r="I175" s="86">
        <f t="shared" si="43"/>
        <v>2492.1498142095297</v>
      </c>
      <c r="J175" s="9"/>
      <c r="L175" s="19">
        <f>'[1]Proyeksi Penduduk'!B85</f>
        <v>2034</v>
      </c>
      <c r="M175" s="19">
        <f>'[1]Proyeksi Fasum'!R59</f>
        <v>5.5353037505823659</v>
      </c>
      <c r="N175" s="19">
        <f t="shared" si="44"/>
        <v>1</v>
      </c>
      <c r="O175" s="19">
        <f t="shared" si="45"/>
        <v>5.5353037505823659</v>
      </c>
      <c r="P175" s="19">
        <f t="shared" si="46"/>
        <v>1000</v>
      </c>
      <c r="Q175" s="86" t="str">
        <f t="shared" si="47"/>
        <v>(L/unit/hari)</v>
      </c>
      <c r="R175" s="86">
        <f t="shared" si="48"/>
        <v>5535.3037505823659</v>
      </c>
      <c r="S175" s="86">
        <f t="shared" si="49"/>
        <v>5.5353037505823659</v>
      </c>
    </row>
    <row r="176" spans="2:19" x14ac:dyDescent="0.25">
      <c r="B176" s="19">
        <f>'[2]Proyeksi Fasum'!AC61</f>
        <v>2035</v>
      </c>
      <c r="C176" s="19">
        <f>'[2]Proyeksi Fasum'!S45</f>
        <v>43.266489830026558</v>
      </c>
      <c r="D176" s="19">
        <v>720</v>
      </c>
      <c r="E176" s="19">
        <f t="shared" si="41"/>
        <v>31151.872677619122</v>
      </c>
      <c r="F176" s="19">
        <v>80</v>
      </c>
      <c r="G176" s="86" t="s">
        <v>159</v>
      </c>
      <c r="H176" s="86">
        <f t="shared" si="42"/>
        <v>2492149.8142095297</v>
      </c>
      <c r="I176" s="86">
        <f t="shared" si="43"/>
        <v>2492.1498142095297</v>
      </c>
      <c r="J176" s="9"/>
      <c r="L176" s="19">
        <f>'[1]Proyeksi Penduduk'!B86</f>
        <v>2035</v>
      </c>
      <c r="M176" s="19">
        <f>'[1]Proyeksi Fasum'!S59</f>
        <v>5.5353037505823659</v>
      </c>
      <c r="N176" s="19">
        <f t="shared" si="44"/>
        <v>1</v>
      </c>
      <c r="O176" s="19">
        <f t="shared" si="45"/>
        <v>5.5353037505823659</v>
      </c>
      <c r="P176" s="19">
        <f t="shared" si="46"/>
        <v>1000</v>
      </c>
      <c r="Q176" s="86" t="str">
        <f t="shared" si="47"/>
        <v>(L/unit/hari)</v>
      </c>
      <c r="R176" s="86">
        <f t="shared" si="48"/>
        <v>5535.3037505823659</v>
      </c>
      <c r="S176" s="86">
        <f t="shared" si="49"/>
        <v>5.5353037505823659</v>
      </c>
    </row>
    <row r="177" spans="2:19" x14ac:dyDescent="0.25">
      <c r="B177" s="19">
        <f>'[2]Proyeksi Fasum'!AC62</f>
        <v>2036</v>
      </c>
      <c r="C177" s="19">
        <f>'[2]Proyeksi Fasum'!T45</f>
        <v>44.139121982150535</v>
      </c>
      <c r="D177" s="19">
        <v>720</v>
      </c>
      <c r="E177" s="19">
        <f t="shared" si="41"/>
        <v>31780.167827148383</v>
      </c>
      <c r="F177" s="19">
        <v>80</v>
      </c>
      <c r="G177" s="86" t="s">
        <v>159</v>
      </c>
      <c r="H177" s="86">
        <f t="shared" si="42"/>
        <v>2542413.4261718709</v>
      </c>
      <c r="I177" s="86">
        <f t="shared" si="43"/>
        <v>2542.4134261718709</v>
      </c>
      <c r="J177" s="9"/>
      <c r="L177" s="19">
        <f>'[1]Proyeksi Penduduk'!B87</f>
        <v>2036</v>
      </c>
      <c r="M177" s="19">
        <f>'[1]Proyeksi Fasum'!T59</f>
        <v>5.6349452471431141</v>
      </c>
      <c r="N177" s="19">
        <f t="shared" si="44"/>
        <v>1</v>
      </c>
      <c r="O177" s="19">
        <f t="shared" si="45"/>
        <v>5.6349452471431141</v>
      </c>
      <c r="P177" s="19">
        <f t="shared" si="46"/>
        <v>1000</v>
      </c>
      <c r="Q177" s="86" t="str">
        <f t="shared" si="47"/>
        <v>(L/unit/hari)</v>
      </c>
      <c r="R177" s="86">
        <f t="shared" si="48"/>
        <v>5634.9452471431141</v>
      </c>
      <c r="S177" s="86">
        <f t="shared" si="49"/>
        <v>5.6349452471431141</v>
      </c>
    </row>
    <row r="178" spans="2:19" x14ac:dyDescent="0.25">
      <c r="B178" s="19">
        <f>'[2]Proyeksi Fasum'!AC63</f>
        <v>2037</v>
      </c>
      <c r="C178" s="19">
        <f>'[2]Proyeksi Fasum'!U45</f>
        <v>45.029354056891549</v>
      </c>
      <c r="D178" s="19">
        <v>720</v>
      </c>
      <c r="E178" s="19">
        <f t="shared" si="41"/>
        <v>32421.134920961915</v>
      </c>
      <c r="F178" s="19">
        <v>80</v>
      </c>
      <c r="G178" s="86" t="s">
        <v>159</v>
      </c>
      <c r="H178" s="86">
        <f t="shared" si="42"/>
        <v>2593690.7936769533</v>
      </c>
      <c r="I178" s="86">
        <f t="shared" si="43"/>
        <v>2593.6907936769535</v>
      </c>
      <c r="J178" s="9"/>
      <c r="L178" s="19">
        <f>'[1]Proyeksi Penduduk'!B88</f>
        <v>2037</v>
      </c>
      <c r="M178" s="19">
        <f>'[1]Proyeksi Fasum'!U59</f>
        <v>5.7363803991714288</v>
      </c>
      <c r="N178" s="19">
        <f t="shared" si="44"/>
        <v>1</v>
      </c>
      <c r="O178" s="19">
        <f t="shared" si="45"/>
        <v>5.7363803991714288</v>
      </c>
      <c r="P178" s="19">
        <f t="shared" si="46"/>
        <v>1000</v>
      </c>
      <c r="Q178" s="86" t="str">
        <f t="shared" si="47"/>
        <v>(L/unit/hari)</v>
      </c>
      <c r="R178" s="86">
        <f t="shared" si="48"/>
        <v>5736.3803991714285</v>
      </c>
      <c r="S178" s="86">
        <f t="shared" si="49"/>
        <v>5.7363803991714288</v>
      </c>
    </row>
    <row r="179" spans="2:19" x14ac:dyDescent="0.25">
      <c r="B179" s="19">
        <f>'[2]Proyeksi Fasum'!AC64</f>
        <v>2038</v>
      </c>
      <c r="C179" s="19">
        <f>'[2]Proyeksi Fasum'!V45</f>
        <v>45.937541023150779</v>
      </c>
      <c r="D179" s="19">
        <v>720</v>
      </c>
      <c r="E179" s="19">
        <f t="shared" si="41"/>
        <v>33075.02953666856</v>
      </c>
      <c r="F179" s="19">
        <v>80</v>
      </c>
      <c r="G179" s="86" t="s">
        <v>159</v>
      </c>
      <c r="H179" s="86">
        <f t="shared" si="42"/>
        <v>2646002.3629334848</v>
      </c>
      <c r="I179" s="86">
        <f t="shared" si="43"/>
        <v>2646.0023629334846</v>
      </c>
      <c r="J179" s="9"/>
      <c r="L179" s="19">
        <f>'[1]Proyeksi Penduduk'!B89</f>
        <v>2038</v>
      </c>
      <c r="M179" s="19">
        <f>'[1]Proyeksi Fasum'!V59</f>
        <v>5.8396414944193715</v>
      </c>
      <c r="N179" s="19">
        <f t="shared" si="44"/>
        <v>1</v>
      </c>
      <c r="O179" s="19">
        <f t="shared" si="45"/>
        <v>5.8396414944193715</v>
      </c>
      <c r="P179" s="19">
        <f t="shared" si="46"/>
        <v>1000</v>
      </c>
      <c r="Q179" s="86" t="str">
        <f t="shared" si="47"/>
        <v>(L/unit/hari)</v>
      </c>
      <c r="R179" s="86">
        <f t="shared" si="48"/>
        <v>5839.6414944193712</v>
      </c>
      <c r="S179" s="86">
        <f t="shared" si="49"/>
        <v>5.8396414944193715</v>
      </c>
    </row>
    <row r="180" spans="2:19" x14ac:dyDescent="0.25">
      <c r="B180" s="19">
        <f>'[2]Proyeksi Fasum'!AC65</f>
        <v>2039</v>
      </c>
      <c r="C180" s="19">
        <f>'[2]Proyeksi Fasum'!W45</f>
        <v>46.86404500911766</v>
      </c>
      <c r="D180" s="19">
        <v>720</v>
      </c>
      <c r="E180" s="19">
        <f t="shared" si="41"/>
        <v>33742.112406564716</v>
      </c>
      <c r="F180" s="19">
        <v>80</v>
      </c>
      <c r="G180" s="86" t="s">
        <v>159</v>
      </c>
      <c r="H180" s="86">
        <f t="shared" si="42"/>
        <v>2699368.9925251771</v>
      </c>
      <c r="I180" s="86">
        <f t="shared" si="43"/>
        <v>2699.368992525177</v>
      </c>
      <c r="J180" s="9"/>
      <c r="L180" s="19">
        <f>'[1]Proyeksi Penduduk'!B90</f>
        <v>2039</v>
      </c>
      <c r="M180" s="19">
        <f>'[1]Proyeksi Fasum'!W59</f>
        <v>5.9447614018537172</v>
      </c>
      <c r="N180" s="19">
        <f t="shared" si="44"/>
        <v>1</v>
      </c>
      <c r="O180" s="19">
        <f t="shared" si="45"/>
        <v>5.9447614018537172</v>
      </c>
      <c r="P180" s="19">
        <f t="shared" si="46"/>
        <v>1000</v>
      </c>
      <c r="Q180" s="86" t="str">
        <f t="shared" si="47"/>
        <v>(L/unit/hari)</v>
      </c>
      <c r="R180" s="86">
        <f t="shared" si="48"/>
        <v>5944.761401853717</v>
      </c>
      <c r="S180" s="86">
        <f t="shared" si="49"/>
        <v>5.9447614018537172</v>
      </c>
    </row>
    <row r="181" spans="2:19" x14ac:dyDescent="0.25">
      <c r="B181" s="19">
        <f>'[2]Proyeksi Fasum'!AC66</f>
        <v>2040</v>
      </c>
      <c r="C181" s="19">
        <f>'[2]Proyeksi Fasum'!X45</f>
        <v>47.80923544666409</v>
      </c>
      <c r="D181" s="19">
        <v>720</v>
      </c>
      <c r="E181" s="19">
        <f t="shared" si="41"/>
        <v>34422.649521598141</v>
      </c>
      <c r="F181" s="19">
        <v>80</v>
      </c>
      <c r="G181" s="86" t="s">
        <v>159</v>
      </c>
      <c r="H181" s="86">
        <f t="shared" si="42"/>
        <v>2753811.9617278511</v>
      </c>
      <c r="I181" s="86">
        <f t="shared" si="43"/>
        <v>2753.8119617278512</v>
      </c>
      <c r="J181" s="9"/>
      <c r="L181" s="19">
        <f>'[1]Proyeksi Penduduk'!B91</f>
        <v>2040</v>
      </c>
      <c r="M181" s="19">
        <f>'[1]Proyeksi Fasum'!X59</f>
        <v>6.0517735821184333</v>
      </c>
      <c r="N181" s="19">
        <f t="shared" si="44"/>
        <v>1</v>
      </c>
      <c r="O181" s="19">
        <f t="shared" si="45"/>
        <v>6.0517735821184333</v>
      </c>
      <c r="P181" s="19">
        <f t="shared" si="46"/>
        <v>1000</v>
      </c>
      <c r="Q181" s="86" t="str">
        <f t="shared" si="47"/>
        <v>(L/unit/hari)</v>
      </c>
      <c r="R181" s="86">
        <f t="shared" si="48"/>
        <v>6051.7735821184333</v>
      </c>
      <c r="S181" s="86">
        <f t="shared" si="49"/>
        <v>6.0517735821184333</v>
      </c>
    </row>
    <row r="182" spans="2:19" x14ac:dyDescent="0.25">
      <c r="B182" s="19">
        <f>'[2]Proyeksi Fasum'!AC67</f>
        <v>2041</v>
      </c>
      <c r="C182" s="19">
        <f>'[2]Proyeksi Fasum'!Y45</f>
        <v>48.77348921865071</v>
      </c>
      <c r="D182" s="19">
        <v>720</v>
      </c>
      <c r="E182" s="19">
        <f t="shared" si="41"/>
        <v>35116.912237428514</v>
      </c>
      <c r="F182" s="19">
        <v>80</v>
      </c>
      <c r="G182" s="86" t="s">
        <v>159</v>
      </c>
      <c r="H182" s="86">
        <f t="shared" si="42"/>
        <v>2809352.978994281</v>
      </c>
      <c r="I182" s="86">
        <f t="shared" si="43"/>
        <v>2809.3529789942809</v>
      </c>
      <c r="J182" s="9"/>
      <c r="L182" s="19">
        <f>'[1]Proyeksi Penduduk'!B92</f>
        <v>2041</v>
      </c>
      <c r="M182" s="19">
        <f>'[1]Proyeksi Fasum'!Y59</f>
        <v>6.160712098185531</v>
      </c>
      <c r="N182" s="19">
        <f t="shared" si="44"/>
        <v>1</v>
      </c>
      <c r="O182" s="19">
        <f t="shared" si="45"/>
        <v>6.160712098185531</v>
      </c>
      <c r="P182" s="19">
        <f t="shared" si="46"/>
        <v>1000</v>
      </c>
      <c r="Q182" s="86" t="str">
        <f t="shared" si="47"/>
        <v>(L/unit/hari)</v>
      </c>
      <c r="R182" s="86">
        <f t="shared" si="48"/>
        <v>6160.7120981855314</v>
      </c>
      <c r="S182" s="86">
        <f t="shared" si="49"/>
        <v>6.160712098185531</v>
      </c>
    </row>
    <row r="183" spans="2:19" x14ac:dyDescent="0.25">
      <c r="B183" s="19">
        <f>'[2]Proyeksi Fasum'!AC68</f>
        <v>2042</v>
      </c>
      <c r="C183" s="19">
        <f>'[2]Proyeksi Fasum'!Z45</f>
        <v>49.757190809204253</v>
      </c>
      <c r="D183" s="19">
        <v>720</v>
      </c>
      <c r="E183" s="19">
        <f t="shared" si="41"/>
        <v>35825.177382627066</v>
      </c>
      <c r="F183" s="19">
        <v>80</v>
      </c>
      <c r="G183" s="86" t="s">
        <v>159</v>
      </c>
      <c r="H183" s="86">
        <f t="shared" si="42"/>
        <v>2866014.1906101652</v>
      </c>
      <c r="I183" s="86">
        <f t="shared" si="43"/>
        <v>2866.0141906101653</v>
      </c>
      <c r="J183" s="9"/>
      <c r="L183" s="19">
        <f>'[1]Proyeksi Penduduk'!B93</f>
        <v>2042</v>
      </c>
      <c r="M183" s="19">
        <f>'[1]Proyeksi Fasum'!Z59</f>
        <v>6.2716116261976182</v>
      </c>
      <c r="N183" s="19">
        <f t="shared" si="44"/>
        <v>1</v>
      </c>
      <c r="O183" s="19">
        <f t="shared" si="45"/>
        <v>6.2716116261976182</v>
      </c>
      <c r="P183" s="19">
        <f t="shared" si="46"/>
        <v>1000</v>
      </c>
      <c r="Q183" s="86" t="str">
        <f t="shared" si="47"/>
        <v>(L/unit/hari)</v>
      </c>
      <c r="R183" s="86">
        <f t="shared" si="48"/>
        <v>6271.6116261976185</v>
      </c>
      <c r="S183" s="86">
        <f t="shared" si="49"/>
        <v>6.2716116261976182</v>
      </c>
    </row>
    <row r="184" spans="2:19" x14ac:dyDescent="0.25">
      <c r="B184" s="19">
        <f>'[2]Proyeksi Fasum'!AC69</f>
        <v>2043</v>
      </c>
      <c r="C184" s="19">
        <f>'[2]Proyeksi Fasum'!AA45</f>
        <v>50.760732457025803</v>
      </c>
      <c r="D184" s="19">
        <v>720</v>
      </c>
      <c r="E184" s="19">
        <f t="shared" si="41"/>
        <v>36547.727369058579</v>
      </c>
      <c r="F184" s="19">
        <v>80</v>
      </c>
      <c r="G184" s="86" t="s">
        <v>159</v>
      </c>
      <c r="H184" s="86">
        <f t="shared" si="42"/>
        <v>2923818.1895246864</v>
      </c>
      <c r="I184" s="86">
        <f t="shared" si="43"/>
        <v>2923.8181895246862</v>
      </c>
      <c r="J184" s="9"/>
      <c r="L184" s="19">
        <f>'[1]Proyeksi Penduduk'!B94</f>
        <v>2043</v>
      </c>
      <c r="M184" s="19">
        <f>'[1]Proyeksi Fasum'!AA59</f>
        <v>6.3845074665056369</v>
      </c>
      <c r="N184" s="19">
        <f t="shared" si="44"/>
        <v>1</v>
      </c>
      <c r="O184" s="19">
        <f t="shared" si="45"/>
        <v>6.3845074665056369</v>
      </c>
      <c r="P184" s="19">
        <f t="shared" si="46"/>
        <v>1000</v>
      </c>
      <c r="Q184" s="86" t="str">
        <f t="shared" si="47"/>
        <v>(L/unit/hari)</v>
      </c>
      <c r="R184" s="86">
        <f t="shared" si="48"/>
        <v>6384.5074665056372</v>
      </c>
      <c r="S184" s="86">
        <f t="shared" si="49"/>
        <v>6.3845074665056369</v>
      </c>
    </row>
    <row r="186" spans="2:19" x14ac:dyDescent="0.25">
      <c r="B186" s="237" t="s">
        <v>78</v>
      </c>
      <c r="C186" s="238"/>
      <c r="D186" s="238"/>
      <c r="E186" s="238"/>
      <c r="F186" s="238"/>
      <c r="G186" s="238"/>
      <c r="H186" s="238"/>
      <c r="I186" s="239"/>
      <c r="J186" s="9"/>
      <c r="L186" s="237" t="s">
        <v>175</v>
      </c>
      <c r="M186" s="238"/>
      <c r="N186" s="238"/>
      <c r="O186" s="238"/>
      <c r="P186" s="238"/>
      <c r="Q186" s="238"/>
      <c r="R186" s="238"/>
      <c r="S186" s="239"/>
    </row>
    <row r="187" spans="2:19" ht="14.4" customHeight="1" x14ac:dyDescent="0.25">
      <c r="B187" s="240" t="s">
        <v>40</v>
      </c>
      <c r="C187" s="241" t="s">
        <v>154</v>
      </c>
      <c r="D187" s="241" t="s">
        <v>155</v>
      </c>
      <c r="E187" s="241" t="s">
        <v>156</v>
      </c>
      <c r="F187" s="241" t="s">
        <v>157</v>
      </c>
      <c r="G187" s="241" t="s">
        <v>129</v>
      </c>
      <c r="H187" s="241" t="s">
        <v>158</v>
      </c>
      <c r="I187" s="241" t="s">
        <v>178</v>
      </c>
      <c r="J187" s="9"/>
      <c r="L187" s="242" t="s">
        <v>40</v>
      </c>
      <c r="M187" s="241" t="s">
        <v>154</v>
      </c>
      <c r="N187" s="241" t="s">
        <v>166</v>
      </c>
      <c r="O187" s="241" t="s">
        <v>167</v>
      </c>
      <c r="P187" s="241" t="s">
        <v>157</v>
      </c>
      <c r="Q187" s="244" t="s">
        <v>129</v>
      </c>
      <c r="R187" s="246" t="s">
        <v>158</v>
      </c>
      <c r="S187" s="241" t="s">
        <v>178</v>
      </c>
    </row>
    <row r="188" spans="2:19" x14ac:dyDescent="0.25">
      <c r="B188" s="240"/>
      <c r="C188" s="241"/>
      <c r="D188" s="241"/>
      <c r="E188" s="241"/>
      <c r="F188" s="241"/>
      <c r="G188" s="241"/>
      <c r="H188" s="241"/>
      <c r="I188" s="241"/>
      <c r="J188" s="9"/>
      <c r="L188" s="243"/>
      <c r="M188" s="241"/>
      <c r="N188" s="241"/>
      <c r="O188" s="241"/>
      <c r="P188" s="241"/>
      <c r="Q188" s="245"/>
      <c r="R188" s="246"/>
      <c r="S188" s="241"/>
    </row>
    <row r="189" spans="2:19" x14ac:dyDescent="0.25">
      <c r="B189" s="19">
        <f>'[2]Proyeksi Fasum'!AC49</f>
        <v>2023</v>
      </c>
      <c r="C189" s="19">
        <f>'[2]Proyeksi Fasum'!G46</f>
        <v>64.205947432709365</v>
      </c>
      <c r="D189" s="19">
        <f>D12</f>
        <v>720</v>
      </c>
      <c r="E189" s="19">
        <f t="shared" ref="E189:E209" si="50">D189*C189</f>
        <v>46228.282151550746</v>
      </c>
      <c r="F189" s="19">
        <v>80</v>
      </c>
      <c r="G189" s="86" t="s">
        <v>159</v>
      </c>
      <c r="H189" s="86">
        <f t="shared" ref="H189:H209" si="51">F189*E189</f>
        <v>3698262.5721240598</v>
      </c>
      <c r="I189" s="86">
        <f t="shared" ref="I189:I209" si="52">H189/1000</f>
        <v>3698.2625721240597</v>
      </c>
      <c r="J189" s="9"/>
      <c r="L189" s="19">
        <f>'[1]Proyeksi Penduduk'!B74</f>
        <v>2023</v>
      </c>
      <c r="M189" s="19">
        <f>'[1]Proyeksi Fasum'!G60</f>
        <v>1.2996988783023147</v>
      </c>
      <c r="N189" s="19">
        <f t="shared" ref="N189:N209" si="53">$D$33</f>
        <v>1</v>
      </c>
      <c r="O189" s="19">
        <f t="shared" ref="O189:O209" si="54">M189*N189</f>
        <v>1.2996988783023147</v>
      </c>
      <c r="P189" s="19">
        <f t="shared" ref="P189:P209" si="55">$F$33</f>
        <v>1000</v>
      </c>
      <c r="Q189" s="86" t="str">
        <f t="shared" ref="Q189:Q209" si="56">$G$33</f>
        <v>(L/unit/hari)</v>
      </c>
      <c r="R189" s="86">
        <f t="shared" ref="R189:R209" si="57">P189*O189</f>
        <v>1299.6988783023146</v>
      </c>
      <c r="S189" s="86">
        <f>R189/1000</f>
        <v>1.2996988783023147</v>
      </c>
    </row>
    <row r="190" spans="2:19" x14ac:dyDescent="0.25">
      <c r="B190" s="19">
        <f>'[2]Proyeksi Fasum'!AC50</f>
        <v>2024</v>
      </c>
      <c r="C190" s="19">
        <f>'[2]Proyeksi Fasum'!H46</f>
        <v>65.500902819833954</v>
      </c>
      <c r="D190" s="19">
        <v>720</v>
      </c>
      <c r="E190" s="19">
        <f t="shared" si="50"/>
        <v>47160.650030280449</v>
      </c>
      <c r="F190" s="19">
        <v>80</v>
      </c>
      <c r="G190" s="86" t="s">
        <v>159</v>
      </c>
      <c r="H190" s="86">
        <f t="shared" si="51"/>
        <v>3772852.0024224361</v>
      </c>
      <c r="I190" s="86">
        <f t="shared" si="52"/>
        <v>3772.8520024224363</v>
      </c>
      <c r="J190" s="9"/>
      <c r="L190" s="19">
        <f>'[1]Proyeksi Penduduk'!B75</f>
        <v>2024</v>
      </c>
      <c r="M190" s="19">
        <f>'[1]Proyeksi Fasum'!H60</f>
        <v>1.3230948737431689</v>
      </c>
      <c r="N190" s="19">
        <f t="shared" si="53"/>
        <v>1</v>
      </c>
      <c r="O190" s="19">
        <f t="shared" si="54"/>
        <v>1.3230948737431689</v>
      </c>
      <c r="P190" s="19">
        <f t="shared" si="55"/>
        <v>1000</v>
      </c>
      <c r="Q190" s="86" t="str">
        <f t="shared" si="56"/>
        <v>(L/unit/hari)</v>
      </c>
      <c r="R190" s="86">
        <f t="shared" si="57"/>
        <v>1323.0948737431688</v>
      </c>
      <c r="S190" s="86">
        <f t="shared" ref="S190:S209" si="58">R190/1000</f>
        <v>1.3230948737431689</v>
      </c>
    </row>
    <row r="191" spans="2:19" x14ac:dyDescent="0.25">
      <c r="B191" s="19">
        <f>'[2]Proyeksi Fasum'!AC51</f>
        <v>2025</v>
      </c>
      <c r="C191" s="19">
        <f>'[2]Proyeksi Fasum'!I46</f>
        <v>66.821975872403769</v>
      </c>
      <c r="D191" s="19">
        <v>720</v>
      </c>
      <c r="E191" s="19">
        <f t="shared" si="50"/>
        <v>48111.822628130714</v>
      </c>
      <c r="F191" s="19">
        <v>80</v>
      </c>
      <c r="G191" s="86" t="s">
        <v>159</v>
      </c>
      <c r="H191" s="86">
        <f t="shared" si="51"/>
        <v>3848945.8102504574</v>
      </c>
      <c r="I191" s="86">
        <f t="shared" si="52"/>
        <v>3848.9458102504573</v>
      </c>
      <c r="J191" s="9"/>
      <c r="L191" s="19">
        <f>'[1]Proyeksi Penduduk'!B76</f>
        <v>2025</v>
      </c>
      <c r="M191" s="19">
        <f>'[1]Proyeksi Fasum'!I60</f>
        <v>1.3469120225848661</v>
      </c>
      <c r="N191" s="19">
        <f t="shared" si="53"/>
        <v>1</v>
      </c>
      <c r="O191" s="19">
        <f t="shared" si="54"/>
        <v>1.3469120225848661</v>
      </c>
      <c r="P191" s="19">
        <f t="shared" si="55"/>
        <v>1000</v>
      </c>
      <c r="Q191" s="86" t="str">
        <f t="shared" si="56"/>
        <v>(L/unit/hari)</v>
      </c>
      <c r="R191" s="86">
        <f t="shared" si="57"/>
        <v>1346.912022584866</v>
      </c>
      <c r="S191" s="86">
        <f t="shared" si="58"/>
        <v>1.3469120225848661</v>
      </c>
    </row>
    <row r="192" spans="2:19" x14ac:dyDescent="0.25">
      <c r="B192" s="19">
        <f>'[2]Proyeksi Fasum'!AC52</f>
        <v>2026</v>
      </c>
      <c r="C192" s="19">
        <f>'[2]Proyeksi Fasum'!J46</f>
        <v>68.169693351769169</v>
      </c>
      <c r="D192" s="19">
        <v>720</v>
      </c>
      <c r="E192" s="19">
        <f t="shared" si="50"/>
        <v>49082.179213273805</v>
      </c>
      <c r="F192" s="19">
        <v>80</v>
      </c>
      <c r="G192" s="86" t="s">
        <v>159</v>
      </c>
      <c r="H192" s="86">
        <f t="shared" si="51"/>
        <v>3926574.3370619044</v>
      </c>
      <c r="I192" s="86">
        <f t="shared" si="52"/>
        <v>3926.5743370619043</v>
      </c>
      <c r="J192" s="9"/>
      <c r="L192" s="19">
        <f>'[1]Proyeksi Penduduk'!B77</f>
        <v>2026</v>
      </c>
      <c r="M192" s="19">
        <f>'[1]Proyeksi Fasum'!J60</f>
        <v>1.3711579060473413</v>
      </c>
      <c r="N192" s="19">
        <f t="shared" si="53"/>
        <v>1</v>
      </c>
      <c r="O192" s="19">
        <f t="shared" si="54"/>
        <v>1.3711579060473413</v>
      </c>
      <c r="P192" s="19">
        <f t="shared" si="55"/>
        <v>1000</v>
      </c>
      <c r="Q192" s="86" t="str">
        <f t="shared" si="56"/>
        <v>(L/unit/hari)</v>
      </c>
      <c r="R192" s="86">
        <f t="shared" si="57"/>
        <v>1371.1579060473414</v>
      </c>
      <c r="S192" s="86">
        <f t="shared" si="58"/>
        <v>1.3711579060473413</v>
      </c>
    </row>
    <row r="193" spans="2:19" x14ac:dyDescent="0.25">
      <c r="B193" s="19">
        <f>'[2]Proyeksi Fasum'!AC53</f>
        <v>2027</v>
      </c>
      <c r="C193" s="19">
        <f>'[2]Proyeksi Fasum'!K46</f>
        <v>69.54459264341223</v>
      </c>
      <c r="D193" s="19">
        <v>720</v>
      </c>
      <c r="E193" s="19">
        <f t="shared" si="50"/>
        <v>50072.106703256803</v>
      </c>
      <c r="F193" s="19">
        <v>80</v>
      </c>
      <c r="G193" s="86" t="s">
        <v>159</v>
      </c>
      <c r="H193" s="86">
        <f t="shared" si="51"/>
        <v>4005768.5362605443</v>
      </c>
      <c r="I193" s="86">
        <f t="shared" si="52"/>
        <v>4005.7685362605444</v>
      </c>
      <c r="J193" s="9"/>
      <c r="L193" s="19">
        <f>'[1]Proyeksi Penduduk'!B78</f>
        <v>2027</v>
      </c>
      <c r="M193" s="19">
        <f>'[1]Proyeksi Fasum'!K60</f>
        <v>1.3958402418207458</v>
      </c>
      <c r="N193" s="19">
        <f t="shared" si="53"/>
        <v>1</v>
      </c>
      <c r="O193" s="19">
        <f t="shared" si="54"/>
        <v>1.3958402418207458</v>
      </c>
      <c r="P193" s="19">
        <f t="shared" si="55"/>
        <v>1000</v>
      </c>
      <c r="Q193" s="86" t="str">
        <f t="shared" si="56"/>
        <v>(L/unit/hari)</v>
      </c>
      <c r="R193" s="86">
        <f t="shared" si="57"/>
        <v>1395.8402418207459</v>
      </c>
      <c r="S193" s="86">
        <f t="shared" si="58"/>
        <v>1.3958402418207458</v>
      </c>
    </row>
    <row r="194" spans="2:19" x14ac:dyDescent="0.25">
      <c r="B194" s="19">
        <f>'[2]Proyeksi Fasum'!AC54</f>
        <v>2028</v>
      </c>
      <c r="C194" s="19">
        <f>'[2]Proyeksi Fasum'!L46</f>
        <v>70.947221971222618</v>
      </c>
      <c r="D194" s="19">
        <v>720</v>
      </c>
      <c r="E194" s="19">
        <f t="shared" si="50"/>
        <v>51081.999819280281</v>
      </c>
      <c r="F194" s="19">
        <v>80</v>
      </c>
      <c r="G194" s="86" t="s">
        <v>159</v>
      </c>
      <c r="H194" s="86">
        <f t="shared" si="51"/>
        <v>4086559.9855424226</v>
      </c>
      <c r="I194" s="86">
        <f t="shared" si="52"/>
        <v>4086.5599855424225</v>
      </c>
      <c r="J194" s="9"/>
      <c r="L194" s="19">
        <f>'[1]Proyeksi Penduduk'!B79</f>
        <v>2028</v>
      </c>
      <c r="M194" s="19">
        <f>'[1]Proyeksi Fasum'!L60</f>
        <v>1.4209668865220604</v>
      </c>
      <c r="N194" s="19">
        <f t="shared" si="53"/>
        <v>1</v>
      </c>
      <c r="O194" s="19">
        <f t="shared" si="54"/>
        <v>1.4209668865220604</v>
      </c>
      <c r="P194" s="19">
        <f t="shared" si="55"/>
        <v>1000</v>
      </c>
      <c r="Q194" s="86" t="str">
        <f t="shared" si="56"/>
        <v>(L/unit/hari)</v>
      </c>
      <c r="R194" s="86">
        <f t="shared" si="57"/>
        <v>1420.9668865220603</v>
      </c>
      <c r="S194" s="86">
        <f t="shared" si="58"/>
        <v>1.4209668865220604</v>
      </c>
    </row>
    <row r="195" spans="2:19" x14ac:dyDescent="0.25">
      <c r="B195" s="19">
        <f>'[2]Proyeksi Fasum'!AC55</f>
        <v>2029</v>
      </c>
      <c r="C195" s="19">
        <f>'[2]Proyeksi Fasum'!M46</f>
        <v>72.378140616094953</v>
      </c>
      <c r="D195" s="19">
        <v>720</v>
      </c>
      <c r="E195" s="19">
        <f t="shared" si="50"/>
        <v>52112.261243588364</v>
      </c>
      <c r="F195" s="19">
        <v>80</v>
      </c>
      <c r="G195" s="86" t="s">
        <v>159</v>
      </c>
      <c r="H195" s="86">
        <f t="shared" si="51"/>
        <v>4168980.8994870689</v>
      </c>
      <c r="I195" s="86">
        <f t="shared" si="52"/>
        <v>4168.9808994870691</v>
      </c>
      <c r="J195" s="9"/>
      <c r="L195" s="19">
        <f>'[1]Proyeksi Penduduk'!B80</f>
        <v>2029</v>
      </c>
      <c r="M195" s="19">
        <f>'[1]Proyeksi Fasum'!M60</f>
        <v>1.4465458381959284</v>
      </c>
      <c r="N195" s="19">
        <f t="shared" si="53"/>
        <v>1</v>
      </c>
      <c r="O195" s="19">
        <f t="shared" si="54"/>
        <v>1.4465458381959284</v>
      </c>
      <c r="P195" s="19">
        <f t="shared" si="55"/>
        <v>1000</v>
      </c>
      <c r="Q195" s="86" t="str">
        <f t="shared" si="56"/>
        <v>(L/unit/hari)</v>
      </c>
      <c r="R195" s="86">
        <f t="shared" si="57"/>
        <v>1446.5458381959284</v>
      </c>
      <c r="S195" s="86">
        <f t="shared" si="58"/>
        <v>1.4465458381959284</v>
      </c>
    </row>
    <row r="196" spans="2:19" x14ac:dyDescent="0.25">
      <c r="B196" s="19">
        <f>'[2]Proyeksi Fasum'!AC56</f>
        <v>2030</v>
      </c>
      <c r="C196" s="19">
        <f>'[2]Proyeksi Fasum'!N46</f>
        <v>73.837919138935106</v>
      </c>
      <c r="D196" s="19">
        <v>720</v>
      </c>
      <c r="E196" s="19">
        <f t="shared" si="50"/>
        <v>53163.301780033275</v>
      </c>
      <c r="F196" s="19">
        <v>80</v>
      </c>
      <c r="G196" s="86" t="s">
        <v>159</v>
      </c>
      <c r="H196" s="86">
        <f t="shared" si="51"/>
        <v>4253064.142402662</v>
      </c>
      <c r="I196" s="86">
        <f t="shared" si="52"/>
        <v>4253.0641424026617</v>
      </c>
      <c r="J196" s="9"/>
      <c r="L196" s="19">
        <f>'[1]Proyeksi Penduduk'!B81</f>
        <v>2030</v>
      </c>
      <c r="M196" s="19">
        <f>'[1]Proyeksi Fasum'!N60</f>
        <v>1.4725852388605083</v>
      </c>
      <c r="N196" s="19">
        <f t="shared" si="53"/>
        <v>1</v>
      </c>
      <c r="O196" s="19">
        <f t="shared" si="54"/>
        <v>1.4725852388605083</v>
      </c>
      <c r="P196" s="19">
        <f t="shared" si="55"/>
        <v>1000</v>
      </c>
      <c r="Q196" s="86" t="str">
        <f t="shared" si="56"/>
        <v>(L/unit/hari)</v>
      </c>
      <c r="R196" s="86">
        <f t="shared" si="57"/>
        <v>1472.5852388605083</v>
      </c>
      <c r="S196" s="86">
        <f t="shared" si="58"/>
        <v>1.4725852388605083</v>
      </c>
    </row>
    <row r="197" spans="2:19" x14ac:dyDescent="0.25">
      <c r="B197" s="19">
        <f>'[2]Proyeksi Fasum'!AC57</f>
        <v>2031</v>
      </c>
      <c r="C197" s="19">
        <f>'[2]Proyeksi Fasum'!O46</f>
        <v>75.327139608164117</v>
      </c>
      <c r="D197" s="19">
        <v>720</v>
      </c>
      <c r="E197" s="19">
        <f t="shared" si="50"/>
        <v>54235.540517878166</v>
      </c>
      <c r="F197" s="19">
        <v>80</v>
      </c>
      <c r="G197" s="86" t="s">
        <v>159</v>
      </c>
      <c r="H197" s="86">
        <f t="shared" si="51"/>
        <v>4338843.2414302528</v>
      </c>
      <c r="I197" s="86">
        <f t="shared" si="52"/>
        <v>4338.8432414302524</v>
      </c>
      <c r="J197" s="9"/>
      <c r="L197" s="19">
        <f>'[1]Proyeksi Penduduk'!B82</f>
        <v>2031</v>
      </c>
      <c r="M197" s="19">
        <f>'[1]Proyeksi Fasum'!O60</f>
        <v>1.4990933770991535</v>
      </c>
      <c r="N197" s="19">
        <f t="shared" si="53"/>
        <v>1</v>
      </c>
      <c r="O197" s="19">
        <f t="shared" si="54"/>
        <v>1.4990933770991535</v>
      </c>
      <c r="P197" s="19">
        <f t="shared" si="55"/>
        <v>1000</v>
      </c>
      <c r="Q197" s="86" t="str">
        <f t="shared" si="56"/>
        <v>(L/unit/hari)</v>
      </c>
      <c r="R197" s="86">
        <f t="shared" si="57"/>
        <v>1499.0933770991535</v>
      </c>
      <c r="S197" s="86">
        <f t="shared" si="58"/>
        <v>1.4990933770991535</v>
      </c>
    </row>
    <row r="198" spans="2:19" x14ac:dyDescent="0.25">
      <c r="B198" s="19">
        <f>'[2]Proyeksi Fasum'!AC58</f>
        <v>2032</v>
      </c>
      <c r="C198" s="19">
        <f>'[2]Proyeksi Fasum'!P46</f>
        <v>76.846395831810796</v>
      </c>
      <c r="D198" s="19">
        <v>720</v>
      </c>
      <c r="E198" s="19">
        <f t="shared" si="50"/>
        <v>55329.404998903774</v>
      </c>
      <c r="F198" s="19">
        <v>80</v>
      </c>
      <c r="G198" s="86" t="s">
        <v>159</v>
      </c>
      <c r="H198" s="86">
        <f t="shared" si="51"/>
        <v>4426352.3999123015</v>
      </c>
      <c r="I198" s="86">
        <f t="shared" si="52"/>
        <v>4426.3523999123017</v>
      </c>
      <c r="J198" s="9"/>
      <c r="L198" s="19">
        <f>'[1]Proyeksi Penduduk'!B83</f>
        <v>2032</v>
      </c>
      <c r="M198" s="19">
        <f>'[1]Proyeksi Fasum'!P60</f>
        <v>1.5260786906987465</v>
      </c>
      <c r="N198" s="19">
        <f t="shared" si="53"/>
        <v>1</v>
      </c>
      <c r="O198" s="19">
        <f t="shared" si="54"/>
        <v>1.5260786906987465</v>
      </c>
      <c r="P198" s="19">
        <f t="shared" si="55"/>
        <v>1000</v>
      </c>
      <c r="Q198" s="86" t="str">
        <f t="shared" si="56"/>
        <v>(L/unit/hari)</v>
      </c>
      <c r="R198" s="86">
        <f t="shared" si="57"/>
        <v>1526.0786906987464</v>
      </c>
      <c r="S198" s="86">
        <f t="shared" si="58"/>
        <v>1.5260786906987465</v>
      </c>
    </row>
    <row r="199" spans="2:19" x14ac:dyDescent="0.25">
      <c r="B199" s="19">
        <f>'[2]Proyeksi Fasum'!AC59</f>
        <v>2033</v>
      </c>
      <c r="C199" s="19">
        <f>'[2]Proyeksi Fasum'!Q46</f>
        <v>78.396293594285297</v>
      </c>
      <c r="D199" s="19">
        <v>720</v>
      </c>
      <c r="E199" s="19">
        <f t="shared" si="50"/>
        <v>56445.331387885417</v>
      </c>
      <c r="F199" s="19">
        <v>80</v>
      </c>
      <c r="G199" s="86" t="s">
        <v>159</v>
      </c>
      <c r="H199" s="86">
        <f t="shared" si="51"/>
        <v>4515626.5110308332</v>
      </c>
      <c r="I199" s="86">
        <f t="shared" si="52"/>
        <v>4515.6265110308332</v>
      </c>
      <c r="J199" s="9"/>
      <c r="L199" s="19">
        <f>'[1]Proyeksi Penduduk'!B84</f>
        <v>2033</v>
      </c>
      <c r="M199" s="19">
        <f>'[1]Proyeksi Fasum'!Q60</f>
        <v>1.5535497693355227</v>
      </c>
      <c r="N199" s="19">
        <f t="shared" si="53"/>
        <v>1</v>
      </c>
      <c r="O199" s="19">
        <f t="shared" si="54"/>
        <v>1.5535497693355227</v>
      </c>
      <c r="P199" s="19">
        <f t="shared" si="55"/>
        <v>1000</v>
      </c>
      <c r="Q199" s="86" t="str">
        <f t="shared" si="56"/>
        <v>(L/unit/hari)</v>
      </c>
      <c r="R199" s="86">
        <f t="shared" si="57"/>
        <v>1553.5497693355228</v>
      </c>
      <c r="S199" s="86">
        <f t="shared" si="58"/>
        <v>1.5535497693355227</v>
      </c>
    </row>
    <row r="200" spans="2:19" x14ac:dyDescent="0.25">
      <c r="B200" s="19">
        <f>'[2]Proyeksi Fasum'!AC60</f>
        <v>2034</v>
      </c>
      <c r="C200" s="19">
        <f>'[2]Proyeksi Fasum'!R46</f>
        <v>79.977450897927881</v>
      </c>
      <c r="D200" s="19">
        <v>720</v>
      </c>
      <c r="E200" s="19">
        <f t="shared" si="50"/>
        <v>57583.764646508076</v>
      </c>
      <c r="F200" s="19">
        <v>80</v>
      </c>
      <c r="G200" s="86" t="s">
        <v>159</v>
      </c>
      <c r="H200" s="86">
        <f t="shared" si="51"/>
        <v>4606701.1717206463</v>
      </c>
      <c r="I200" s="86">
        <f t="shared" si="52"/>
        <v>4606.701171720646</v>
      </c>
      <c r="J200" s="9"/>
      <c r="L200" s="19">
        <f>'[1]Proyeksi Penduduk'!B85</f>
        <v>2034</v>
      </c>
      <c r="M200" s="19">
        <f>'[1]Proyeksi Fasum'!R60</f>
        <v>1.5815153573092473</v>
      </c>
      <c r="N200" s="19">
        <f t="shared" si="53"/>
        <v>1</v>
      </c>
      <c r="O200" s="19">
        <f t="shared" si="54"/>
        <v>1.5815153573092473</v>
      </c>
      <c r="P200" s="19">
        <f t="shared" si="55"/>
        <v>1000</v>
      </c>
      <c r="Q200" s="86" t="str">
        <f t="shared" si="56"/>
        <v>(L/unit/hari)</v>
      </c>
      <c r="R200" s="86">
        <f t="shared" si="57"/>
        <v>1581.5153573092473</v>
      </c>
      <c r="S200" s="86">
        <f t="shared" si="58"/>
        <v>1.5815153573092473</v>
      </c>
    </row>
    <row r="201" spans="2:19" x14ac:dyDescent="0.25">
      <c r="B201" s="19">
        <f>'[2]Proyeksi Fasum'!AC61</f>
        <v>2035</v>
      </c>
      <c r="C201" s="19">
        <f>'[2]Proyeksi Fasum'!S46</f>
        <v>79.977450897927881</v>
      </c>
      <c r="D201" s="19">
        <v>720</v>
      </c>
      <c r="E201" s="19">
        <f t="shared" si="50"/>
        <v>57583.764646508076</v>
      </c>
      <c r="F201" s="19">
        <v>80</v>
      </c>
      <c r="G201" s="86" t="s">
        <v>159</v>
      </c>
      <c r="H201" s="86">
        <f t="shared" si="51"/>
        <v>4606701.1717206463</v>
      </c>
      <c r="I201" s="86">
        <f t="shared" si="52"/>
        <v>4606.701171720646</v>
      </c>
      <c r="J201" s="9"/>
      <c r="L201" s="19">
        <f>'[1]Proyeksi Penduduk'!B86</f>
        <v>2035</v>
      </c>
      <c r="M201" s="19">
        <f>'[1]Proyeksi Fasum'!S60</f>
        <v>1.5815153573092473</v>
      </c>
      <c r="N201" s="19">
        <f t="shared" si="53"/>
        <v>1</v>
      </c>
      <c r="O201" s="19">
        <f t="shared" si="54"/>
        <v>1.5815153573092473</v>
      </c>
      <c r="P201" s="19">
        <f t="shared" si="55"/>
        <v>1000</v>
      </c>
      <c r="Q201" s="86" t="str">
        <f t="shared" si="56"/>
        <v>(L/unit/hari)</v>
      </c>
      <c r="R201" s="86">
        <f t="shared" si="57"/>
        <v>1581.5153573092473</v>
      </c>
      <c r="S201" s="86">
        <f t="shared" si="58"/>
        <v>1.5815153573092473</v>
      </c>
    </row>
    <row r="202" spans="2:19" x14ac:dyDescent="0.25">
      <c r="B202" s="19">
        <f>'[2]Proyeksi Fasum'!AC62</f>
        <v>2036</v>
      </c>
      <c r="C202" s="19">
        <f>'[2]Proyeksi Fasum'!T46</f>
        <v>81.590498209429768</v>
      </c>
      <c r="D202" s="19">
        <v>720</v>
      </c>
      <c r="E202" s="19">
        <f t="shared" si="50"/>
        <v>58745.15871078943</v>
      </c>
      <c r="F202" s="19">
        <v>80</v>
      </c>
      <c r="G202" s="86" t="s">
        <v>159</v>
      </c>
      <c r="H202" s="86">
        <f t="shared" si="51"/>
        <v>4699612.6968631539</v>
      </c>
      <c r="I202" s="86">
        <f t="shared" si="52"/>
        <v>4699.6126968631543</v>
      </c>
      <c r="J202" s="9"/>
      <c r="L202" s="19">
        <f>'[1]Proyeksi Penduduk'!B87</f>
        <v>2036</v>
      </c>
      <c r="M202" s="19">
        <f>'[1]Proyeksi Fasum'!T60</f>
        <v>1.6099843563266041</v>
      </c>
      <c r="N202" s="19">
        <f t="shared" si="53"/>
        <v>1</v>
      </c>
      <c r="O202" s="19">
        <f t="shared" si="54"/>
        <v>1.6099843563266041</v>
      </c>
      <c r="P202" s="19">
        <f t="shared" si="55"/>
        <v>1000</v>
      </c>
      <c r="Q202" s="86" t="str">
        <f t="shared" si="56"/>
        <v>(L/unit/hari)</v>
      </c>
      <c r="R202" s="86">
        <f t="shared" si="57"/>
        <v>1609.984356326604</v>
      </c>
      <c r="S202" s="86">
        <f t="shared" si="58"/>
        <v>1.6099843563266041</v>
      </c>
    </row>
    <row r="203" spans="2:19" x14ac:dyDescent="0.25">
      <c r="B203" s="19">
        <f>'[2]Proyeksi Fasum'!AC63</f>
        <v>2037</v>
      </c>
      <c r="C203" s="19">
        <f>'[2]Proyeksi Fasum'!U46</f>
        <v>83.236078711223783</v>
      </c>
      <c r="D203" s="19">
        <v>720</v>
      </c>
      <c r="E203" s="19">
        <f t="shared" si="50"/>
        <v>59929.976672081124</v>
      </c>
      <c r="F203" s="19">
        <v>80</v>
      </c>
      <c r="G203" s="86" t="s">
        <v>159</v>
      </c>
      <c r="H203" s="86">
        <f t="shared" si="51"/>
        <v>4794398.13376649</v>
      </c>
      <c r="I203" s="86">
        <f t="shared" si="52"/>
        <v>4794.39813376649</v>
      </c>
      <c r="J203" s="9"/>
      <c r="L203" s="19">
        <f>'[1]Proyeksi Penduduk'!B88</f>
        <v>2037</v>
      </c>
      <c r="M203" s="19">
        <f>'[1]Proyeksi Fasum'!U60</f>
        <v>1.638965828334694</v>
      </c>
      <c r="N203" s="19">
        <f t="shared" si="53"/>
        <v>1</v>
      </c>
      <c r="O203" s="19">
        <f t="shared" si="54"/>
        <v>1.638965828334694</v>
      </c>
      <c r="P203" s="19">
        <f t="shared" si="55"/>
        <v>1000</v>
      </c>
      <c r="Q203" s="86" t="str">
        <f t="shared" si="56"/>
        <v>(L/unit/hari)</v>
      </c>
      <c r="R203" s="86">
        <f t="shared" si="57"/>
        <v>1638.9658283346939</v>
      </c>
      <c r="S203" s="86">
        <f t="shared" si="58"/>
        <v>1.638965828334694</v>
      </c>
    </row>
    <row r="204" spans="2:19" x14ac:dyDescent="0.25">
      <c r="B204" s="19">
        <f>'[2]Proyeksi Fasum'!AC64</f>
        <v>2038</v>
      </c>
      <c r="C204" s="19">
        <f>'[2]Proyeksi Fasum'!V46</f>
        <v>84.914848557945376</v>
      </c>
      <c r="D204" s="19">
        <v>720</v>
      </c>
      <c r="E204" s="19">
        <f t="shared" si="50"/>
        <v>61138.690961720669</v>
      </c>
      <c r="F204" s="19">
        <v>80</v>
      </c>
      <c r="G204" s="86" t="s">
        <v>159</v>
      </c>
      <c r="H204" s="86">
        <f t="shared" si="51"/>
        <v>4891095.2769376533</v>
      </c>
      <c r="I204" s="86">
        <f t="shared" si="52"/>
        <v>4891.0952769376536</v>
      </c>
      <c r="J204" s="9"/>
      <c r="L204" s="19">
        <f>'[1]Proyeksi Penduduk'!B89</f>
        <v>2038</v>
      </c>
      <c r="M204" s="19">
        <f>'[1]Proyeksi Fasum'!V60</f>
        <v>1.6684689984055348</v>
      </c>
      <c r="N204" s="19">
        <f t="shared" si="53"/>
        <v>1</v>
      </c>
      <c r="O204" s="19">
        <f t="shared" si="54"/>
        <v>1.6684689984055348</v>
      </c>
      <c r="P204" s="19">
        <f t="shared" si="55"/>
        <v>1000</v>
      </c>
      <c r="Q204" s="86" t="str">
        <f t="shared" si="56"/>
        <v>(L/unit/hari)</v>
      </c>
      <c r="R204" s="86">
        <f t="shared" si="57"/>
        <v>1668.4689984055346</v>
      </c>
      <c r="S204" s="86">
        <f t="shared" si="58"/>
        <v>1.6684689984055348</v>
      </c>
    </row>
    <row r="205" spans="2:19" x14ac:dyDescent="0.25">
      <c r="B205" s="19">
        <f>'[2]Proyeksi Fasum'!AC65</f>
        <v>2039</v>
      </c>
      <c r="C205" s="19">
        <f>'[2]Proyeksi Fasum'!W46</f>
        <v>86.627477138065984</v>
      </c>
      <c r="D205" s="19">
        <v>720</v>
      </c>
      <c r="E205" s="19">
        <f t="shared" si="50"/>
        <v>62371.783539407508</v>
      </c>
      <c r="F205" s="19">
        <v>80</v>
      </c>
      <c r="G205" s="86" t="s">
        <v>159</v>
      </c>
      <c r="H205" s="86">
        <f t="shared" si="51"/>
        <v>4989742.6831526011</v>
      </c>
      <c r="I205" s="86">
        <f t="shared" si="52"/>
        <v>4989.7426831526009</v>
      </c>
      <c r="J205" s="9"/>
      <c r="L205" s="19">
        <f>'[1]Proyeksi Penduduk'!B90</f>
        <v>2039</v>
      </c>
      <c r="M205" s="19">
        <f>'[1]Proyeksi Fasum'!W60</f>
        <v>1.6985032576724906</v>
      </c>
      <c r="N205" s="19">
        <f t="shared" si="53"/>
        <v>1</v>
      </c>
      <c r="O205" s="19">
        <f t="shared" si="54"/>
        <v>1.6985032576724906</v>
      </c>
      <c r="P205" s="19">
        <f t="shared" si="55"/>
        <v>1000</v>
      </c>
      <c r="Q205" s="86" t="str">
        <f t="shared" si="56"/>
        <v>(L/unit/hari)</v>
      </c>
      <c r="R205" s="86">
        <f t="shared" si="57"/>
        <v>1698.5032576724905</v>
      </c>
      <c r="S205" s="86">
        <f t="shared" si="58"/>
        <v>1.6985032576724906</v>
      </c>
    </row>
    <row r="206" spans="2:19" x14ac:dyDescent="0.25">
      <c r="B206" s="19">
        <f>'[2]Proyeksi Fasum'!AC66</f>
        <v>2040</v>
      </c>
      <c r="C206" s="19">
        <f>'[2]Proyeksi Fasum'!X46</f>
        <v>88.374647340803307</v>
      </c>
      <c r="D206" s="19">
        <v>720</v>
      </c>
      <c r="E206" s="19">
        <f t="shared" si="50"/>
        <v>63629.746085378378</v>
      </c>
      <c r="F206" s="19">
        <v>80</v>
      </c>
      <c r="G206" s="86" t="s">
        <v>159</v>
      </c>
      <c r="H206" s="86">
        <f t="shared" si="51"/>
        <v>5090379.6868302701</v>
      </c>
      <c r="I206" s="86">
        <f t="shared" si="52"/>
        <v>5090.3796868302697</v>
      </c>
      <c r="J206" s="9"/>
      <c r="L206" s="19">
        <f>'[1]Proyeksi Penduduk'!B91</f>
        <v>2040</v>
      </c>
      <c r="M206" s="19">
        <f>'[1]Proyeksi Fasum'!X60</f>
        <v>1.7290781663195525</v>
      </c>
      <c r="N206" s="19">
        <f t="shared" si="53"/>
        <v>1</v>
      </c>
      <c r="O206" s="19">
        <f t="shared" si="54"/>
        <v>1.7290781663195525</v>
      </c>
      <c r="P206" s="19">
        <f t="shared" si="55"/>
        <v>1000</v>
      </c>
      <c r="Q206" s="86" t="str">
        <f t="shared" si="56"/>
        <v>(L/unit/hari)</v>
      </c>
      <c r="R206" s="86">
        <f t="shared" si="57"/>
        <v>1729.0781663195526</v>
      </c>
      <c r="S206" s="86">
        <f t="shared" si="58"/>
        <v>1.7290781663195525</v>
      </c>
    </row>
    <row r="207" spans="2:19" x14ac:dyDescent="0.25">
      <c r="B207" s="19">
        <f>'[2]Proyeksi Fasum'!AC67</f>
        <v>2041</v>
      </c>
      <c r="C207" s="19">
        <f>'[2]Proyeksi Fasum'!Y46</f>
        <v>90.157055828414954</v>
      </c>
      <c r="D207" s="19">
        <v>720</v>
      </c>
      <c r="E207" s="19">
        <f t="shared" si="50"/>
        <v>64913.080196458766</v>
      </c>
      <c r="F207" s="19">
        <v>80</v>
      </c>
      <c r="G207" s="86" t="s">
        <v>159</v>
      </c>
      <c r="H207" s="86">
        <f t="shared" si="51"/>
        <v>5193046.4157167012</v>
      </c>
      <c r="I207" s="86">
        <f t="shared" si="52"/>
        <v>5193.0464157167016</v>
      </c>
      <c r="J207" s="9"/>
      <c r="L207" s="19">
        <f>'[1]Proyeksi Penduduk'!B92</f>
        <v>2041</v>
      </c>
      <c r="M207" s="19">
        <f>'[1]Proyeksi Fasum'!Y60</f>
        <v>1.7602034566244376</v>
      </c>
      <c r="N207" s="19">
        <f t="shared" si="53"/>
        <v>1</v>
      </c>
      <c r="O207" s="19">
        <f t="shared" si="54"/>
        <v>1.7602034566244376</v>
      </c>
      <c r="P207" s="19">
        <f t="shared" si="55"/>
        <v>1000</v>
      </c>
      <c r="Q207" s="86" t="str">
        <f t="shared" si="56"/>
        <v>(L/unit/hari)</v>
      </c>
      <c r="R207" s="86">
        <f t="shared" si="57"/>
        <v>1760.2034566244376</v>
      </c>
      <c r="S207" s="86">
        <f t="shared" si="58"/>
        <v>1.7602034566244376</v>
      </c>
    </row>
    <row r="208" spans="2:19" x14ac:dyDescent="0.25">
      <c r="B208" s="19">
        <f>'[2]Proyeksi Fasum'!AC68</f>
        <v>2042</v>
      </c>
      <c r="C208" s="19">
        <f>'[2]Proyeksi Fasum'!Z46</f>
        <v>91.975413313983623</v>
      </c>
      <c r="D208" s="19">
        <v>720</v>
      </c>
      <c r="E208" s="19">
        <f t="shared" si="50"/>
        <v>66222.297586068205</v>
      </c>
      <c r="F208" s="19">
        <v>80</v>
      </c>
      <c r="G208" s="86" t="s">
        <v>159</v>
      </c>
      <c r="H208" s="86">
        <f t="shared" si="51"/>
        <v>5297783.8068854567</v>
      </c>
      <c r="I208" s="86">
        <f t="shared" si="52"/>
        <v>5297.7838068854562</v>
      </c>
      <c r="J208" s="9"/>
      <c r="L208" s="19">
        <f>'[1]Proyeksi Penduduk'!B93</f>
        <v>2042</v>
      </c>
      <c r="M208" s="19">
        <f>'[1]Proyeksi Fasum'!Z60</f>
        <v>1.7918890360564623</v>
      </c>
      <c r="N208" s="19">
        <f t="shared" si="53"/>
        <v>1</v>
      </c>
      <c r="O208" s="19">
        <f t="shared" si="54"/>
        <v>1.7918890360564623</v>
      </c>
      <c r="P208" s="19">
        <f t="shared" si="55"/>
        <v>1000</v>
      </c>
      <c r="Q208" s="86" t="str">
        <f t="shared" si="56"/>
        <v>(L/unit/hari)</v>
      </c>
      <c r="R208" s="86">
        <f t="shared" si="57"/>
        <v>1791.8890360564624</v>
      </c>
      <c r="S208" s="86">
        <f t="shared" si="58"/>
        <v>1.7918890360564623</v>
      </c>
    </row>
    <row r="209" spans="2:19" x14ac:dyDescent="0.25">
      <c r="B209" s="19">
        <f>'[2]Proyeksi Fasum'!AC69</f>
        <v>2043</v>
      </c>
      <c r="C209" s="19">
        <f>'[2]Proyeksi Fasum'!AA46</f>
        <v>93.830444844805271</v>
      </c>
      <c r="D209" s="19">
        <v>720</v>
      </c>
      <c r="E209" s="19">
        <f t="shared" si="50"/>
        <v>67557.920288259789</v>
      </c>
      <c r="F209" s="19">
        <v>80</v>
      </c>
      <c r="G209" s="86" t="s">
        <v>159</v>
      </c>
      <c r="H209" s="86">
        <f t="shared" si="51"/>
        <v>5404633.6230607834</v>
      </c>
      <c r="I209" s="86">
        <f t="shared" si="52"/>
        <v>5404.6336230607831</v>
      </c>
      <c r="J209" s="9"/>
      <c r="L209" s="19">
        <f>'[1]Proyeksi Penduduk'!B94</f>
        <v>2043</v>
      </c>
      <c r="M209" s="19">
        <f>'[1]Proyeksi Fasum'!AA60</f>
        <v>1.8241449904301821</v>
      </c>
      <c r="N209" s="19">
        <f t="shared" si="53"/>
        <v>1</v>
      </c>
      <c r="O209" s="19">
        <f t="shared" si="54"/>
        <v>1.8241449904301821</v>
      </c>
      <c r="P209" s="19">
        <f t="shared" si="55"/>
        <v>1000</v>
      </c>
      <c r="Q209" s="86" t="str">
        <f t="shared" si="56"/>
        <v>(L/unit/hari)</v>
      </c>
      <c r="R209" s="86">
        <f t="shared" si="57"/>
        <v>1824.1449904301821</v>
      </c>
      <c r="S209" s="86">
        <f t="shared" si="58"/>
        <v>1.8241449904301821</v>
      </c>
    </row>
    <row r="210" spans="2:19" x14ac:dyDescent="0.25">
      <c r="J210" s="9"/>
    </row>
    <row r="211" spans="2:19" x14ac:dyDescent="0.25">
      <c r="B211" s="237" t="s">
        <v>79</v>
      </c>
      <c r="C211" s="238"/>
      <c r="D211" s="238"/>
      <c r="E211" s="238"/>
      <c r="F211" s="238"/>
      <c r="G211" s="238"/>
      <c r="H211" s="238"/>
      <c r="I211" s="239"/>
      <c r="J211" s="9"/>
    </row>
    <row r="212" spans="2:19" ht="14.4" customHeight="1" x14ac:dyDescent="0.25">
      <c r="B212" s="240" t="s">
        <v>40</v>
      </c>
      <c r="C212" s="241" t="s">
        <v>154</v>
      </c>
      <c r="D212" s="241" t="s">
        <v>155</v>
      </c>
      <c r="E212" s="241" t="s">
        <v>156</v>
      </c>
      <c r="F212" s="241" t="s">
        <v>157</v>
      </c>
      <c r="G212" s="241" t="s">
        <v>129</v>
      </c>
      <c r="H212" s="241" t="s">
        <v>158</v>
      </c>
      <c r="I212" s="241" t="s">
        <v>178</v>
      </c>
      <c r="J212" s="9"/>
    </row>
    <row r="213" spans="2:19" x14ac:dyDescent="0.25">
      <c r="B213" s="240"/>
      <c r="C213" s="241"/>
      <c r="D213" s="241"/>
      <c r="E213" s="241"/>
      <c r="F213" s="241"/>
      <c r="G213" s="241"/>
      <c r="H213" s="241"/>
      <c r="I213" s="241"/>
      <c r="J213" s="9"/>
    </row>
    <row r="214" spans="2:19" x14ac:dyDescent="0.25">
      <c r="B214" s="19">
        <f>'[2]Proyeksi Fasum'!AC49</f>
        <v>2023</v>
      </c>
      <c r="C214" s="19">
        <f>'[2]Proyeksi Fasum'!G47</f>
        <v>16.840904244645081</v>
      </c>
      <c r="D214" s="19">
        <f>D13</f>
        <v>720</v>
      </c>
      <c r="E214" s="19">
        <f t="shared" ref="E214:E234" si="59">D214*C214</f>
        <v>12125.451056144459</v>
      </c>
      <c r="F214" s="19">
        <v>80</v>
      </c>
      <c r="G214" s="86" t="s">
        <v>159</v>
      </c>
      <c r="H214" s="86">
        <f t="shared" ref="H214:H234" si="60">F214*E214</f>
        <v>970036.08449155674</v>
      </c>
      <c r="I214" s="86">
        <f>H214/1000</f>
        <v>970.03608449155672</v>
      </c>
      <c r="J214" s="9"/>
    </row>
    <row r="215" spans="2:19" x14ac:dyDescent="0.25">
      <c r="B215" s="19">
        <f>'[2]Proyeksi Fasum'!AC50</f>
        <v>2024</v>
      </c>
      <c r="C215" s="19">
        <f>'[2]Proyeksi Fasum'!H47</f>
        <v>17.180564674054807</v>
      </c>
      <c r="D215" s="19">
        <v>720</v>
      </c>
      <c r="E215" s="19">
        <f t="shared" si="59"/>
        <v>12370.006565319462</v>
      </c>
      <c r="F215" s="19">
        <v>80</v>
      </c>
      <c r="G215" s="86" t="s">
        <v>159</v>
      </c>
      <c r="H215" s="86">
        <f t="shared" si="60"/>
        <v>989600.52522555692</v>
      </c>
      <c r="I215" s="86">
        <f t="shared" ref="I215:I234" si="61">H215/1000</f>
        <v>989.60052522555691</v>
      </c>
      <c r="J215" s="9"/>
    </row>
    <row r="216" spans="2:19" x14ac:dyDescent="0.25">
      <c r="B216" s="19">
        <f>'[2]Proyeksi Fasum'!AC51</f>
        <v>2025</v>
      </c>
      <c r="C216" s="19">
        <f>'[2]Proyeksi Fasum'!I47</f>
        <v>17.527075638663284</v>
      </c>
      <c r="D216" s="19">
        <v>720</v>
      </c>
      <c r="E216" s="19">
        <f t="shared" si="59"/>
        <v>12619.494459837564</v>
      </c>
      <c r="F216" s="19">
        <v>80</v>
      </c>
      <c r="G216" s="86" t="s">
        <v>159</v>
      </c>
      <c r="H216" s="86">
        <f t="shared" si="60"/>
        <v>1009559.5567870052</v>
      </c>
      <c r="I216" s="86">
        <f t="shared" si="61"/>
        <v>1009.5595567870051</v>
      </c>
      <c r="J216" s="9"/>
    </row>
    <row r="217" spans="2:19" x14ac:dyDescent="0.25">
      <c r="B217" s="19">
        <f>'[2]Proyeksi Fasum'!AC52</f>
        <v>2026</v>
      </c>
      <c r="C217" s="19">
        <f>'[2]Proyeksi Fasum'!J47</f>
        <v>17.880575305382077</v>
      </c>
      <c r="D217" s="19">
        <v>720</v>
      </c>
      <c r="E217" s="19">
        <f t="shared" si="59"/>
        <v>12874.014219875096</v>
      </c>
      <c r="F217" s="19">
        <v>80</v>
      </c>
      <c r="G217" s="86" t="s">
        <v>159</v>
      </c>
      <c r="H217" s="86">
        <f t="shared" si="60"/>
        <v>1029921.1375900077</v>
      </c>
      <c r="I217" s="86">
        <f t="shared" si="61"/>
        <v>1029.9211375900077</v>
      </c>
      <c r="J217" s="9"/>
    </row>
    <row r="218" spans="2:19" x14ac:dyDescent="0.25">
      <c r="B218" s="19">
        <f>'[2]Proyeksi Fasum'!AC53</f>
        <v>2027</v>
      </c>
      <c r="C218" s="19">
        <f>'[2]Proyeksi Fasum'!K47</f>
        <v>18.241204627780256</v>
      </c>
      <c r="D218" s="19">
        <v>720</v>
      </c>
      <c r="E218" s="19">
        <f t="shared" si="59"/>
        <v>13133.667332001784</v>
      </c>
      <c r="F218" s="19">
        <v>80</v>
      </c>
      <c r="G218" s="86" t="s">
        <v>159</v>
      </c>
      <c r="H218" s="86">
        <f t="shared" si="60"/>
        <v>1050693.3865601427</v>
      </c>
      <c r="I218" s="86">
        <f t="shared" si="61"/>
        <v>1050.6933865601427</v>
      </c>
      <c r="J218" s="9"/>
    </row>
    <row r="219" spans="2:19" x14ac:dyDescent="0.25">
      <c r="B219" s="19">
        <f>'[2]Proyeksi Fasum'!AC54</f>
        <v>2028</v>
      </c>
      <c r="C219" s="19">
        <f>'[2]Proyeksi Fasum'!L47</f>
        <v>18.609107402287901</v>
      </c>
      <c r="D219" s="19">
        <v>720</v>
      </c>
      <c r="E219" s="19">
        <f t="shared" si="59"/>
        <v>13398.557329647288</v>
      </c>
      <c r="F219" s="19">
        <v>80</v>
      </c>
      <c r="G219" s="86" t="s">
        <v>159</v>
      </c>
      <c r="H219" s="86">
        <f t="shared" si="60"/>
        <v>1071884.5863717832</v>
      </c>
      <c r="I219" s="86">
        <f t="shared" si="61"/>
        <v>1071.8845863717831</v>
      </c>
      <c r="J219" s="9"/>
    </row>
    <row r="220" spans="2:19" x14ac:dyDescent="0.25">
      <c r="B220" s="19">
        <f>'[2]Proyeksi Fasum'!AC55</f>
        <v>2029</v>
      </c>
      <c r="C220" s="19">
        <f>'[2]Proyeksi Fasum'!M47</f>
        <v>18.984430325533101</v>
      </c>
      <c r="D220" s="19">
        <v>720</v>
      </c>
      <c r="E220" s="19">
        <f t="shared" si="59"/>
        <v>13668.789834383833</v>
      </c>
      <c r="F220" s="19">
        <v>80</v>
      </c>
      <c r="G220" s="86" t="s">
        <v>159</v>
      </c>
      <c r="H220" s="86">
        <f t="shared" si="60"/>
        <v>1093503.1867507068</v>
      </c>
      <c r="I220" s="86">
        <f t="shared" si="61"/>
        <v>1093.5031867507068</v>
      </c>
      <c r="J220" s="9"/>
    </row>
    <row r="221" spans="2:19" x14ac:dyDescent="0.25">
      <c r="B221" s="19">
        <f>'[2]Proyeksi Fasum'!AC56</f>
        <v>2030</v>
      </c>
      <c r="C221" s="19">
        <f>'[2]Proyeksi Fasum'!N47</f>
        <v>19.367323052835438</v>
      </c>
      <c r="D221" s="19">
        <v>720</v>
      </c>
      <c r="E221" s="19">
        <f t="shared" si="59"/>
        <v>13944.472598041515</v>
      </c>
      <c r="F221" s="19">
        <v>80</v>
      </c>
      <c r="G221" s="86" t="s">
        <v>159</v>
      </c>
      <c r="H221" s="86">
        <f t="shared" si="60"/>
        <v>1115557.8078433212</v>
      </c>
      <c r="I221" s="86">
        <f t="shared" si="61"/>
        <v>1115.5578078433211</v>
      </c>
      <c r="J221" s="9"/>
    </row>
    <row r="222" spans="2:19" x14ac:dyDescent="0.25">
      <c r="B222" s="19">
        <f>'[2]Proyeksi Fasum'!AC57</f>
        <v>2031</v>
      </c>
      <c r="C222" s="19">
        <f>'[2]Proyeksi Fasum'!O47</f>
        <v>19.757938257879111</v>
      </c>
      <c r="D222" s="19">
        <v>720</v>
      </c>
      <c r="E222" s="19">
        <f t="shared" si="59"/>
        <v>14225.71554567296</v>
      </c>
      <c r="F222" s="19">
        <v>80</v>
      </c>
      <c r="G222" s="86" t="s">
        <v>159</v>
      </c>
      <c r="H222" s="86">
        <f t="shared" si="60"/>
        <v>1138057.2436538367</v>
      </c>
      <c r="I222" s="86">
        <f t="shared" si="61"/>
        <v>1138.0572436538366</v>
      </c>
      <c r="J222" s="9"/>
    </row>
    <row r="223" spans="2:19" x14ac:dyDescent="0.25">
      <c r="B223" s="19">
        <f>'[2]Proyeksi Fasum'!AC58</f>
        <v>2032</v>
      </c>
      <c r="C223" s="19">
        <f>'[2]Proyeksi Fasum'!P47</f>
        <v>20.156431693589717</v>
      </c>
      <c r="D223" s="19">
        <v>720</v>
      </c>
      <c r="E223" s="19">
        <f t="shared" si="59"/>
        <v>14512.630819384596</v>
      </c>
      <c r="F223" s="19">
        <v>80</v>
      </c>
      <c r="G223" s="86" t="s">
        <v>159</v>
      </c>
      <c r="H223" s="86">
        <f t="shared" si="60"/>
        <v>1161010.4655507677</v>
      </c>
      <c r="I223" s="86">
        <f t="shared" si="61"/>
        <v>1161.0104655507678</v>
      </c>
      <c r="J223" s="9"/>
    </row>
    <row r="224" spans="2:19" x14ac:dyDescent="0.25">
      <c r="B224" s="19">
        <f>'[2]Proyeksi Fasum'!AC59</f>
        <v>2033</v>
      </c>
      <c r="C224" s="19">
        <f>'[2]Proyeksi Fasum'!Q47</f>
        <v>20.562962254238766</v>
      </c>
      <c r="D224" s="19">
        <v>720</v>
      </c>
      <c r="E224" s="19">
        <f t="shared" si="59"/>
        <v>14805.332823051911</v>
      </c>
      <c r="F224" s="19">
        <v>80</v>
      </c>
      <c r="G224" s="86" t="s">
        <v>159</v>
      </c>
      <c r="H224" s="86">
        <f t="shared" si="60"/>
        <v>1184426.6258441529</v>
      </c>
      <c r="I224" s="86">
        <f t="shared" si="61"/>
        <v>1184.4266258441528</v>
      </c>
      <c r="J224" s="9"/>
    </row>
    <row r="225" spans="2:10" x14ac:dyDescent="0.25">
      <c r="B225" s="19">
        <f>'[2]Proyeksi Fasum'!AC60</f>
        <v>2034</v>
      </c>
      <c r="C225" s="19">
        <f>'[2]Proyeksi Fasum'!R47</f>
        <v>20.977692038800754</v>
      </c>
      <c r="D225" s="19">
        <v>720</v>
      </c>
      <c r="E225" s="19">
        <f t="shared" si="59"/>
        <v>15103.938267936543</v>
      </c>
      <c r="F225" s="19">
        <v>80</v>
      </c>
      <c r="G225" s="86" t="s">
        <v>159</v>
      </c>
      <c r="H225" s="86">
        <f t="shared" si="60"/>
        <v>1208315.0614349234</v>
      </c>
      <c r="I225" s="86">
        <f t="shared" si="61"/>
        <v>1208.3150614349233</v>
      </c>
      <c r="J225" s="9"/>
    </row>
    <row r="226" spans="2:10" x14ac:dyDescent="0.25">
      <c r="B226" s="19">
        <f>'[2]Proyeksi Fasum'!AC61</f>
        <v>2035</v>
      </c>
      <c r="C226" s="19">
        <f>'[2]Proyeksi Fasum'!S47</f>
        <v>20.977692038800754</v>
      </c>
      <c r="D226" s="19">
        <v>720</v>
      </c>
      <c r="E226" s="19">
        <f t="shared" si="59"/>
        <v>15103.938267936543</v>
      </c>
      <c r="F226" s="19">
        <v>80</v>
      </c>
      <c r="G226" s="86" t="s">
        <v>159</v>
      </c>
      <c r="H226" s="86">
        <f t="shared" si="60"/>
        <v>1208315.0614349234</v>
      </c>
      <c r="I226" s="86">
        <f t="shared" si="61"/>
        <v>1208.3150614349233</v>
      </c>
      <c r="J226" s="9"/>
    </row>
    <row r="227" spans="2:10" x14ac:dyDescent="0.25">
      <c r="B227" s="19">
        <f>'[2]Proyeksi Fasum'!AC62</f>
        <v>2036</v>
      </c>
      <c r="C227" s="19">
        <f>'[2]Proyeksi Fasum'!T47</f>
        <v>21.400786415588136</v>
      </c>
      <c r="D227" s="19">
        <v>720</v>
      </c>
      <c r="E227" s="19">
        <f t="shared" si="59"/>
        <v>15408.566219223458</v>
      </c>
      <c r="F227" s="19">
        <v>80</v>
      </c>
      <c r="G227" s="86" t="s">
        <v>159</v>
      </c>
      <c r="H227" s="86">
        <f t="shared" si="60"/>
        <v>1232685.2975378765</v>
      </c>
      <c r="I227" s="86">
        <f t="shared" si="61"/>
        <v>1232.6852975378765</v>
      </c>
      <c r="J227" s="9"/>
    </row>
    <row r="228" spans="2:10" x14ac:dyDescent="0.25">
      <c r="B228" s="19">
        <f>'[2]Proyeksi Fasum'!AC63</f>
        <v>2037</v>
      </c>
      <c r="C228" s="19">
        <f>'[2]Proyeksi Fasum'!U47</f>
        <v>21.832414088189843</v>
      </c>
      <c r="D228" s="19">
        <v>720</v>
      </c>
      <c r="E228" s="19">
        <f t="shared" si="59"/>
        <v>15719.338143496687</v>
      </c>
      <c r="F228" s="19">
        <v>80</v>
      </c>
      <c r="G228" s="86" t="s">
        <v>159</v>
      </c>
      <c r="H228" s="86">
        <f t="shared" si="60"/>
        <v>1257547.0514797349</v>
      </c>
      <c r="I228" s="86">
        <f t="shared" si="61"/>
        <v>1257.547051479735</v>
      </c>
      <c r="J228" s="9"/>
    </row>
    <row r="229" spans="2:10" x14ac:dyDescent="0.25">
      <c r="B229" s="19">
        <f>'[2]Proyeksi Fasum'!AC64</f>
        <v>2038</v>
      </c>
      <c r="C229" s="19">
        <f>'[2]Proyeksi Fasum'!V47</f>
        <v>22.272747162739773</v>
      </c>
      <c r="D229" s="19">
        <v>720</v>
      </c>
      <c r="E229" s="19">
        <f t="shared" si="59"/>
        <v>16036.377957172635</v>
      </c>
      <c r="F229" s="19">
        <v>80</v>
      </c>
      <c r="G229" s="86" t="s">
        <v>159</v>
      </c>
      <c r="H229" s="86">
        <f t="shared" si="60"/>
        <v>1282910.2365738109</v>
      </c>
      <c r="I229" s="86">
        <f t="shared" si="61"/>
        <v>1282.9102365738108</v>
      </c>
      <c r="J229" s="9"/>
    </row>
    <row r="230" spans="2:10" x14ac:dyDescent="0.25">
      <c r="B230" s="19">
        <f>'[2]Proyeksi Fasum'!AC65</f>
        <v>2039</v>
      </c>
      <c r="C230" s="19">
        <f>'[2]Proyeksi Fasum'!W47</f>
        <v>22.721961216541896</v>
      </c>
      <c r="D230" s="19">
        <v>720</v>
      </c>
      <c r="E230" s="19">
        <f t="shared" si="59"/>
        <v>16359.812075910166</v>
      </c>
      <c r="F230" s="19">
        <v>80</v>
      </c>
      <c r="G230" s="86" t="s">
        <v>159</v>
      </c>
      <c r="H230" s="86">
        <f t="shared" si="60"/>
        <v>1308784.9660728131</v>
      </c>
      <c r="I230" s="86">
        <f t="shared" si="61"/>
        <v>1308.7849660728132</v>
      </c>
      <c r="J230" s="9"/>
    </row>
    <row r="231" spans="2:10" x14ac:dyDescent="0.25">
      <c r="B231" s="19">
        <f>'[2]Proyeksi Fasum'!AC66</f>
        <v>2040</v>
      </c>
      <c r="C231" s="19">
        <f>'[2]Proyeksi Fasum'!X47</f>
        <v>23.180235368079558</v>
      </c>
      <c r="D231" s="19">
        <v>720</v>
      </c>
      <c r="E231" s="19">
        <f t="shared" si="59"/>
        <v>16689.769465017282</v>
      </c>
      <c r="F231" s="19">
        <v>80</v>
      </c>
      <c r="G231" s="86" t="s">
        <v>159</v>
      </c>
      <c r="H231" s="86">
        <f t="shared" si="60"/>
        <v>1335181.5572013825</v>
      </c>
      <c r="I231" s="86">
        <f t="shared" si="61"/>
        <v>1335.1815572013825</v>
      </c>
      <c r="J231" s="9"/>
    </row>
    <row r="232" spans="2:10" x14ac:dyDescent="0.25">
      <c r="B232" s="19">
        <f>'[2]Proyeksi Fasum'!AC67</f>
        <v>2041</v>
      </c>
      <c r="C232" s="19">
        <f>'[2]Proyeksi Fasum'!Y47</f>
        <v>23.647752348436708</v>
      </c>
      <c r="D232" s="19">
        <v>720</v>
      </c>
      <c r="E232" s="19">
        <f t="shared" si="59"/>
        <v>17026.38169087443</v>
      </c>
      <c r="F232" s="19">
        <v>80</v>
      </c>
      <c r="G232" s="86" t="s">
        <v>159</v>
      </c>
      <c r="H232" s="86">
        <f t="shared" si="60"/>
        <v>1362110.5352699545</v>
      </c>
      <c r="I232" s="86">
        <f t="shared" si="61"/>
        <v>1362.1105352699544</v>
      </c>
      <c r="J232" s="9"/>
    </row>
    <row r="233" spans="2:10" x14ac:dyDescent="0.25">
      <c r="B233" s="19">
        <f>'[2]Proyeksi Fasum'!AC68</f>
        <v>2042</v>
      </c>
      <c r="C233" s="19">
        <f>'[2]Proyeksi Fasum'!Z47</f>
        <v>24.124698574159638</v>
      </c>
      <c r="D233" s="19">
        <v>720</v>
      </c>
      <c r="E233" s="19">
        <f t="shared" si="59"/>
        <v>17369.78297339494</v>
      </c>
      <c r="F233" s="19">
        <v>80</v>
      </c>
      <c r="G233" s="86" t="s">
        <v>159</v>
      </c>
      <c r="H233" s="86">
        <f t="shared" si="60"/>
        <v>1389582.6378715951</v>
      </c>
      <c r="I233" s="86">
        <f t="shared" si="61"/>
        <v>1389.5826378715951</v>
      </c>
      <c r="J233" s="9"/>
    </row>
    <row r="234" spans="2:10" x14ac:dyDescent="0.25">
      <c r="B234" s="19">
        <f>'[2]Proyeksi Fasum'!AC69</f>
        <v>2043</v>
      </c>
      <c r="C234" s="19">
        <f>'[2]Proyeksi Fasum'!AA47</f>
        <v>24.611264221588268</v>
      </c>
      <c r="D234" s="19">
        <v>720</v>
      </c>
      <c r="E234" s="19">
        <f t="shared" si="59"/>
        <v>17720.110239543552</v>
      </c>
      <c r="F234" s="19">
        <v>80</v>
      </c>
      <c r="G234" s="86" t="s">
        <v>159</v>
      </c>
      <c r="H234" s="86">
        <f t="shared" si="60"/>
        <v>1417608.819163484</v>
      </c>
      <c r="I234" s="86">
        <f t="shared" si="61"/>
        <v>1417.608819163484</v>
      </c>
      <c r="J234" s="9"/>
    </row>
    <row r="235" spans="2:10" x14ac:dyDescent="0.25">
      <c r="B235" s="91"/>
      <c r="C235" s="91"/>
      <c r="D235" s="91"/>
      <c r="E235" s="91"/>
      <c r="F235" s="91"/>
      <c r="G235" s="92"/>
      <c r="H235" s="92"/>
      <c r="I235" s="92"/>
      <c r="J235" s="9"/>
    </row>
    <row r="236" spans="2:10" x14ac:dyDescent="0.25">
      <c r="B236" s="237" t="s">
        <v>176</v>
      </c>
      <c r="C236" s="238"/>
      <c r="D236" s="238"/>
      <c r="E236" s="238"/>
      <c r="F236" s="238"/>
      <c r="G236" s="238"/>
      <c r="H236" s="238"/>
      <c r="I236" s="239"/>
      <c r="J236" s="9"/>
    </row>
    <row r="237" spans="2:10" ht="14.4" customHeight="1" x14ac:dyDescent="0.25">
      <c r="B237" s="242" t="s">
        <v>40</v>
      </c>
      <c r="C237" s="241" t="s">
        <v>154</v>
      </c>
      <c r="D237" s="241" t="s">
        <v>160</v>
      </c>
      <c r="E237" s="241" t="s">
        <v>161</v>
      </c>
      <c r="F237" s="241" t="s">
        <v>157</v>
      </c>
      <c r="G237" s="244" t="s">
        <v>129</v>
      </c>
      <c r="H237" s="246" t="s">
        <v>158</v>
      </c>
      <c r="I237" s="241" t="s">
        <v>178</v>
      </c>
      <c r="J237" s="9"/>
    </row>
    <row r="238" spans="2:10" x14ac:dyDescent="0.25">
      <c r="B238" s="243"/>
      <c r="C238" s="241"/>
      <c r="D238" s="241"/>
      <c r="E238" s="241"/>
      <c r="F238" s="241"/>
      <c r="G238" s="245"/>
      <c r="H238" s="246"/>
      <c r="I238" s="241"/>
      <c r="J238" s="9"/>
    </row>
    <row r="239" spans="2:10" x14ac:dyDescent="0.25">
      <c r="B239" s="19">
        <f>'[2]Proyeksi Fasum'!AC49</f>
        <v>2023</v>
      </c>
      <c r="C239" s="19">
        <f>'[2]Proyeksi Fasum'!G50</f>
        <v>11.578121668193493</v>
      </c>
      <c r="D239" s="19">
        <v>850</v>
      </c>
      <c r="E239" s="19">
        <f t="shared" ref="E239:E259" si="62">D239*C239</f>
        <v>9841.4034179644696</v>
      </c>
      <c r="F239" s="19">
        <f t="shared" ref="F239:F259" si="63">$F$18</f>
        <v>5</v>
      </c>
      <c r="G239" s="86" t="str">
        <f t="shared" ref="G239:G259" si="64">$G$18</f>
        <v xml:space="preserve"> (L/m2)</v>
      </c>
      <c r="H239" s="86">
        <f t="shared" ref="H239:H259" si="65">F239*E239</f>
        <v>49207.017089822344</v>
      </c>
      <c r="I239" s="86">
        <f>H239/1000</f>
        <v>49.207017089822344</v>
      </c>
      <c r="J239" s="9"/>
    </row>
    <row r="240" spans="2:10" x14ac:dyDescent="0.25">
      <c r="B240" s="19">
        <f>'[2]Proyeksi Fasum'!AC50</f>
        <v>2024</v>
      </c>
      <c r="C240" s="19">
        <f>'[2]Proyeksi Fasum'!H50</f>
        <v>11.81163821341268</v>
      </c>
      <c r="D240" s="19">
        <v>850</v>
      </c>
      <c r="E240" s="19">
        <f t="shared" si="62"/>
        <v>10039.892481400779</v>
      </c>
      <c r="F240" s="19">
        <f t="shared" si="63"/>
        <v>5</v>
      </c>
      <c r="G240" s="86" t="str">
        <f t="shared" si="64"/>
        <v xml:space="preserve"> (L/m2)</v>
      </c>
      <c r="H240" s="86">
        <f t="shared" si="65"/>
        <v>50199.462407003892</v>
      </c>
      <c r="I240" s="86">
        <f t="shared" ref="I240:I259" si="66">H240/1000</f>
        <v>50.199462407003892</v>
      </c>
      <c r="J240" s="9"/>
    </row>
    <row r="241" spans="2:10" x14ac:dyDescent="0.25">
      <c r="B241" s="19">
        <f>'[2]Proyeksi Fasum'!AC51</f>
        <v>2025</v>
      </c>
      <c r="C241" s="19">
        <f>'[2]Proyeksi Fasum'!I50</f>
        <v>12.049864501581007</v>
      </c>
      <c r="D241" s="19">
        <v>850</v>
      </c>
      <c r="E241" s="19">
        <f t="shared" si="62"/>
        <v>10242.384826343856</v>
      </c>
      <c r="F241" s="19">
        <f t="shared" si="63"/>
        <v>5</v>
      </c>
      <c r="G241" s="86" t="str">
        <f t="shared" si="64"/>
        <v xml:space="preserve"> (L/m2)</v>
      </c>
      <c r="H241" s="86">
        <f t="shared" si="65"/>
        <v>51211.924131719279</v>
      </c>
      <c r="I241" s="86">
        <f t="shared" si="66"/>
        <v>51.211924131719279</v>
      </c>
      <c r="J241" s="9"/>
    </row>
    <row r="242" spans="2:10" x14ac:dyDescent="0.25">
      <c r="B242" s="19">
        <f>'[2]Proyeksi Fasum'!AC52</f>
        <v>2026</v>
      </c>
      <c r="C242" s="19">
        <f>'[2]Proyeksi Fasum'!J50</f>
        <v>12.292895522450179</v>
      </c>
      <c r="D242" s="19">
        <v>850</v>
      </c>
      <c r="E242" s="19">
        <f t="shared" si="62"/>
        <v>10448.961194082653</v>
      </c>
      <c r="F242" s="19">
        <f t="shared" si="63"/>
        <v>5</v>
      </c>
      <c r="G242" s="86" t="str">
        <f t="shared" si="64"/>
        <v xml:space="preserve"> (L/m2)</v>
      </c>
      <c r="H242" s="86">
        <f t="shared" si="65"/>
        <v>52244.805970413261</v>
      </c>
      <c r="I242" s="86">
        <f t="shared" si="66"/>
        <v>52.24480597041326</v>
      </c>
      <c r="J242" s="9"/>
    </row>
    <row r="243" spans="2:10" x14ac:dyDescent="0.25">
      <c r="B243" s="19">
        <f>'[2]Proyeksi Fasum'!AC53</f>
        <v>2027</v>
      </c>
      <c r="C243" s="19">
        <f>'[2]Proyeksi Fasum'!K50</f>
        <v>12.540828181598926</v>
      </c>
      <c r="D243" s="19">
        <v>850</v>
      </c>
      <c r="E243" s="19">
        <f t="shared" si="62"/>
        <v>10659.703954359087</v>
      </c>
      <c r="F243" s="19">
        <f t="shared" si="63"/>
        <v>5</v>
      </c>
      <c r="G243" s="86" t="str">
        <f t="shared" si="64"/>
        <v xml:space="preserve"> (L/m2)</v>
      </c>
      <c r="H243" s="86">
        <f t="shared" si="65"/>
        <v>53298.519771795436</v>
      </c>
      <c r="I243" s="86">
        <f t="shared" si="66"/>
        <v>53.298519771795434</v>
      </c>
      <c r="J243" s="9"/>
    </row>
    <row r="244" spans="2:10" x14ac:dyDescent="0.25">
      <c r="B244" s="19">
        <f>'[2]Proyeksi Fasum'!AC54</f>
        <v>2028</v>
      </c>
      <c r="C244" s="19">
        <f>'[2]Proyeksi Fasum'!L50</f>
        <v>12.793761339072931</v>
      </c>
      <c r="D244" s="19">
        <v>850</v>
      </c>
      <c r="E244" s="19">
        <f t="shared" si="62"/>
        <v>10874.697138211992</v>
      </c>
      <c r="F244" s="19">
        <f t="shared" si="63"/>
        <v>5</v>
      </c>
      <c r="G244" s="86" t="str">
        <f t="shared" si="64"/>
        <v xml:space="preserve"> (L/m2)</v>
      </c>
      <c r="H244" s="86">
        <f t="shared" si="65"/>
        <v>54373.485691059963</v>
      </c>
      <c r="I244" s="86">
        <f t="shared" si="66"/>
        <v>54.373485691059962</v>
      </c>
      <c r="J244" s="9"/>
    </row>
    <row r="245" spans="2:10" x14ac:dyDescent="0.25">
      <c r="B245" s="19">
        <f>'[2]Proyeksi Fasum'!AC55</f>
        <v>2029</v>
      </c>
      <c r="C245" s="19">
        <f>'[2]Proyeksi Fasum'!M50</f>
        <v>13.051795848804007</v>
      </c>
      <c r="D245" s="19">
        <v>850</v>
      </c>
      <c r="E245" s="19">
        <f t="shared" si="62"/>
        <v>11094.026471483407</v>
      </c>
      <c r="F245" s="19">
        <f t="shared" si="63"/>
        <v>5</v>
      </c>
      <c r="G245" s="86" t="str">
        <f t="shared" si="64"/>
        <v xml:space="preserve"> (L/m2)</v>
      </c>
      <c r="H245" s="86">
        <f t="shared" si="65"/>
        <v>55470.132357417031</v>
      </c>
      <c r="I245" s="86">
        <f t="shared" si="66"/>
        <v>55.470132357417029</v>
      </c>
      <c r="J245" s="9"/>
    </row>
    <row r="246" spans="2:10" x14ac:dyDescent="0.25">
      <c r="B246" s="19">
        <f>'[2]Proyeksi Fasum'!AC56</f>
        <v>2030</v>
      </c>
      <c r="C246" s="19">
        <f>'[2]Proyeksi Fasum'!N50</f>
        <v>13.315034598824363</v>
      </c>
      <c r="D246" s="19">
        <v>850</v>
      </c>
      <c r="E246" s="19">
        <f t="shared" si="62"/>
        <v>11317.779409000708</v>
      </c>
      <c r="F246" s="19">
        <f t="shared" si="63"/>
        <v>5</v>
      </c>
      <c r="G246" s="86" t="str">
        <f t="shared" si="64"/>
        <v xml:space="preserve"> (L/m2)</v>
      </c>
      <c r="H246" s="86">
        <f t="shared" si="65"/>
        <v>56588.897045003541</v>
      </c>
      <c r="I246" s="86">
        <f t="shared" si="66"/>
        <v>56.588897045003542</v>
      </c>
      <c r="J246" s="9"/>
    </row>
    <row r="247" spans="2:10" x14ac:dyDescent="0.25">
      <c r="B247" s="19">
        <f>'[2]Proyeksi Fasum'!AC57</f>
        <v>2031</v>
      </c>
      <c r="C247" s="19">
        <f>'[2]Proyeksi Fasum'!O50</f>
        <v>13.583582552291888</v>
      </c>
      <c r="D247" s="19">
        <v>850</v>
      </c>
      <c r="E247" s="19">
        <f t="shared" si="62"/>
        <v>11546.045169448105</v>
      </c>
      <c r="F247" s="19">
        <f t="shared" si="63"/>
        <v>5</v>
      </c>
      <c r="G247" s="86" t="str">
        <f t="shared" si="64"/>
        <v xml:space="preserve"> (L/m2)</v>
      </c>
      <c r="H247" s="86">
        <f t="shared" si="65"/>
        <v>57730.225847240523</v>
      </c>
      <c r="I247" s="86">
        <f t="shared" si="66"/>
        <v>57.730225847240526</v>
      </c>
      <c r="J247" s="9"/>
    </row>
    <row r="248" spans="2:10" x14ac:dyDescent="0.25">
      <c r="B248" s="19">
        <f>'[2]Proyeksi Fasum'!AC58</f>
        <v>2032</v>
      </c>
      <c r="C248" s="19">
        <f>'[2]Proyeksi Fasum'!P50</f>
        <v>13.85754678934293</v>
      </c>
      <c r="D248" s="19">
        <v>850</v>
      </c>
      <c r="E248" s="19">
        <f t="shared" si="62"/>
        <v>11778.91477094149</v>
      </c>
      <c r="F248" s="19">
        <f t="shared" si="63"/>
        <v>5</v>
      </c>
      <c r="G248" s="86" t="str">
        <f t="shared" si="64"/>
        <v xml:space="preserve"> (L/m2)</v>
      </c>
      <c r="H248" s="86">
        <f t="shared" si="65"/>
        <v>58894.573854707451</v>
      </c>
      <c r="I248" s="86">
        <f t="shared" si="66"/>
        <v>58.894573854707453</v>
      </c>
      <c r="J248" s="9"/>
    </row>
    <row r="249" spans="2:10" x14ac:dyDescent="0.25">
      <c r="B249" s="19">
        <f>'[2]Proyeksi Fasum'!AC59</f>
        <v>2033</v>
      </c>
      <c r="C249" s="19">
        <f>'[2]Proyeksi Fasum'!Q50</f>
        <v>14.137036549789151</v>
      </c>
      <c r="D249" s="19">
        <v>850</v>
      </c>
      <c r="E249" s="19">
        <f t="shared" si="62"/>
        <v>12016.481067320779</v>
      </c>
      <c r="F249" s="19">
        <f t="shared" si="63"/>
        <v>5</v>
      </c>
      <c r="G249" s="86" t="str">
        <f t="shared" si="64"/>
        <v xml:space="preserve"> (L/m2)</v>
      </c>
      <c r="H249" s="86">
        <f t="shared" si="65"/>
        <v>60082.405336603901</v>
      </c>
      <c r="I249" s="86">
        <f t="shared" si="66"/>
        <v>60.082405336603898</v>
      </c>
      <c r="J249" s="9"/>
    </row>
    <row r="250" spans="2:10" x14ac:dyDescent="0.25">
      <c r="B250" s="19">
        <f>'[2]Proyeksi Fasum'!AC60</f>
        <v>2034</v>
      </c>
      <c r="C250" s="19">
        <f>'[2]Proyeksi Fasum'!R50</f>
        <v>14.422163276675519</v>
      </c>
      <c r="D250" s="19">
        <v>850</v>
      </c>
      <c r="E250" s="19">
        <f t="shared" si="62"/>
        <v>12258.838785174192</v>
      </c>
      <c r="F250" s="19">
        <f t="shared" si="63"/>
        <v>5</v>
      </c>
      <c r="G250" s="86" t="str">
        <f t="shared" si="64"/>
        <v xml:space="preserve"> (L/m2)</v>
      </c>
      <c r="H250" s="86">
        <f t="shared" si="65"/>
        <v>61294.193925870961</v>
      </c>
      <c r="I250" s="86">
        <f t="shared" si="66"/>
        <v>61.294193925870964</v>
      </c>
      <c r="J250" s="9"/>
    </row>
    <row r="251" spans="2:10" x14ac:dyDescent="0.25">
      <c r="B251" s="19">
        <f>'[2]Proyeksi Fasum'!AC61</f>
        <v>2035</v>
      </c>
      <c r="C251" s="19">
        <f>'[2]Proyeksi Fasum'!S50</f>
        <v>14.422163276675519</v>
      </c>
      <c r="D251" s="19">
        <v>850</v>
      </c>
      <c r="E251" s="19">
        <f t="shared" si="62"/>
        <v>12258.838785174192</v>
      </c>
      <c r="F251" s="19">
        <f t="shared" si="63"/>
        <v>5</v>
      </c>
      <c r="G251" s="86" t="str">
        <f t="shared" si="64"/>
        <v xml:space="preserve"> (L/m2)</v>
      </c>
      <c r="H251" s="86">
        <f t="shared" si="65"/>
        <v>61294.193925870961</v>
      </c>
      <c r="I251" s="86">
        <f t="shared" si="66"/>
        <v>61.294193925870964</v>
      </c>
      <c r="J251" s="9"/>
    </row>
    <row r="252" spans="2:10" x14ac:dyDescent="0.25">
      <c r="B252" s="19">
        <f>'[2]Proyeksi Fasum'!AC62</f>
        <v>2036</v>
      </c>
      <c r="C252" s="19">
        <f>'[2]Proyeksi Fasum'!T50</f>
        <v>14.713040660716844</v>
      </c>
      <c r="D252" s="19">
        <v>850</v>
      </c>
      <c r="E252" s="19">
        <f t="shared" si="62"/>
        <v>12506.084561609317</v>
      </c>
      <c r="F252" s="19">
        <f t="shared" si="63"/>
        <v>5</v>
      </c>
      <c r="G252" s="86" t="str">
        <f t="shared" si="64"/>
        <v xml:space="preserve"> (L/m2)</v>
      </c>
      <c r="H252" s="86">
        <f t="shared" si="65"/>
        <v>62530.422808046584</v>
      </c>
      <c r="I252" s="86">
        <f t="shared" si="66"/>
        <v>62.53042280804658</v>
      </c>
      <c r="J252" s="9"/>
    </row>
    <row r="253" spans="2:10" x14ac:dyDescent="0.25">
      <c r="B253" s="19">
        <f>'[2]Proyeksi Fasum'!AC63</f>
        <v>2037</v>
      </c>
      <c r="C253" s="19">
        <f>'[2]Proyeksi Fasum'!U50</f>
        <v>15.009784685630517</v>
      </c>
      <c r="D253" s="19">
        <v>850</v>
      </c>
      <c r="E253" s="19">
        <f t="shared" si="62"/>
        <v>12758.31698278594</v>
      </c>
      <c r="F253" s="19">
        <f t="shared" si="63"/>
        <v>5</v>
      </c>
      <c r="G253" s="86" t="str">
        <f t="shared" si="64"/>
        <v xml:space="preserve"> (L/m2)</v>
      </c>
      <c r="H253" s="86">
        <f t="shared" si="65"/>
        <v>63791.584913929699</v>
      </c>
      <c r="I253" s="86">
        <f t="shared" si="66"/>
        <v>63.791584913929697</v>
      </c>
      <c r="J253" s="9"/>
    </row>
    <row r="254" spans="2:10" x14ac:dyDescent="0.25">
      <c r="B254" s="19">
        <f>'[2]Proyeksi Fasum'!AC64</f>
        <v>2038</v>
      </c>
      <c r="C254" s="19">
        <f>'[2]Proyeksi Fasum'!V50</f>
        <v>15.312513674383593</v>
      </c>
      <c r="D254" s="19">
        <v>850</v>
      </c>
      <c r="E254" s="19">
        <f t="shared" si="62"/>
        <v>13015.636623226055</v>
      </c>
      <c r="F254" s="19">
        <f t="shared" si="63"/>
        <v>5</v>
      </c>
      <c r="G254" s="86" t="str">
        <f t="shared" si="64"/>
        <v xml:space="preserve"> (L/m2)</v>
      </c>
      <c r="H254" s="86">
        <f t="shared" si="65"/>
        <v>65078.183116130276</v>
      </c>
      <c r="I254" s="86">
        <f t="shared" si="66"/>
        <v>65.078183116130276</v>
      </c>
      <c r="J254" s="9"/>
    </row>
    <row r="255" spans="2:10" x14ac:dyDescent="0.25">
      <c r="B255" s="19">
        <f>'[2]Proyeksi Fasum'!AC65</f>
        <v>2039</v>
      </c>
      <c r="C255" s="19">
        <f>'[2]Proyeksi Fasum'!W50</f>
        <v>15.621348336372554</v>
      </c>
      <c r="D255" s="19">
        <v>850</v>
      </c>
      <c r="E255" s="19">
        <f t="shared" si="62"/>
        <v>13278.146085916671</v>
      </c>
      <c r="F255" s="19">
        <f t="shared" si="63"/>
        <v>5</v>
      </c>
      <c r="G255" s="86" t="str">
        <f t="shared" si="64"/>
        <v xml:space="preserve"> (L/m2)</v>
      </c>
      <c r="H255" s="86">
        <f t="shared" si="65"/>
        <v>66390.73042958336</v>
      </c>
      <c r="I255" s="86">
        <f t="shared" si="66"/>
        <v>66.390730429583357</v>
      </c>
      <c r="J255" s="9"/>
    </row>
    <row r="256" spans="2:10" x14ac:dyDescent="0.25">
      <c r="B256" s="19">
        <f>'[2]Proyeksi Fasum'!AC66</f>
        <v>2040</v>
      </c>
      <c r="C256" s="19">
        <f>'[2]Proyeksi Fasum'!X50</f>
        <v>15.936411815554695</v>
      </c>
      <c r="D256" s="19">
        <v>850</v>
      </c>
      <c r="E256" s="19">
        <f t="shared" si="62"/>
        <v>13545.950043221492</v>
      </c>
      <c r="F256" s="19">
        <f t="shared" si="63"/>
        <v>5</v>
      </c>
      <c r="G256" s="86" t="str">
        <f t="shared" si="64"/>
        <v xml:space="preserve"> (L/m2)</v>
      </c>
      <c r="H256" s="86">
        <f t="shared" si="65"/>
        <v>67729.750216107466</v>
      </c>
      <c r="I256" s="86">
        <f t="shared" si="66"/>
        <v>67.729750216107462</v>
      </c>
      <c r="J256" s="9"/>
    </row>
    <row r="257" spans="2:10" x14ac:dyDescent="0.25">
      <c r="B257" s="19">
        <f>'[2]Proyeksi Fasum'!AC67</f>
        <v>2041</v>
      </c>
      <c r="C257" s="19">
        <f>'[2]Proyeksi Fasum'!Y50</f>
        <v>16.257829739550235</v>
      </c>
      <c r="D257" s="19">
        <v>850</v>
      </c>
      <c r="E257" s="19">
        <f t="shared" si="62"/>
        <v>13819.1552786177</v>
      </c>
      <c r="F257" s="19">
        <f t="shared" si="63"/>
        <v>5</v>
      </c>
      <c r="G257" s="86" t="str">
        <f t="shared" si="64"/>
        <v xml:space="preserve"> (L/m2)</v>
      </c>
      <c r="H257" s="86">
        <f t="shared" si="65"/>
        <v>69095.776393088498</v>
      </c>
      <c r="I257" s="86">
        <f t="shared" si="66"/>
        <v>69.095776393088499</v>
      </c>
      <c r="J257" s="9"/>
    </row>
    <row r="258" spans="2:10" x14ac:dyDescent="0.25">
      <c r="B258" s="19">
        <f>'[2]Proyeksi Fasum'!AC68</f>
        <v>2042</v>
      </c>
      <c r="C258" s="19">
        <f>'[2]Proyeksi Fasum'!Z50</f>
        <v>16.58573026973475</v>
      </c>
      <c r="D258" s="19">
        <v>850</v>
      </c>
      <c r="E258" s="19">
        <f t="shared" si="62"/>
        <v>14097.870729274537</v>
      </c>
      <c r="F258" s="19">
        <f t="shared" si="63"/>
        <v>5</v>
      </c>
      <c r="G258" s="86" t="str">
        <f t="shared" si="64"/>
        <v xml:space="preserve"> (L/m2)</v>
      </c>
      <c r="H258" s="86">
        <f t="shared" si="65"/>
        <v>70489.353646372678</v>
      </c>
      <c r="I258" s="86">
        <f t="shared" si="66"/>
        <v>70.489353646372678</v>
      </c>
      <c r="J258" s="9"/>
    </row>
    <row r="259" spans="2:10" x14ac:dyDescent="0.25">
      <c r="B259" s="19">
        <f>'[2]Proyeksi Fasum'!AC69</f>
        <v>2043</v>
      </c>
      <c r="C259" s="19">
        <f>'[2]Proyeksi Fasum'!AA50</f>
        <v>16.920244152341933</v>
      </c>
      <c r="D259" s="19">
        <v>850</v>
      </c>
      <c r="E259" s="19">
        <f t="shared" si="62"/>
        <v>14382.207529490643</v>
      </c>
      <c r="F259" s="19">
        <f t="shared" si="63"/>
        <v>5</v>
      </c>
      <c r="G259" s="86" t="str">
        <f t="shared" si="64"/>
        <v xml:space="preserve"> (L/m2)</v>
      </c>
      <c r="H259" s="86">
        <f t="shared" si="65"/>
        <v>71911.03764745321</v>
      </c>
      <c r="I259" s="86">
        <f t="shared" si="66"/>
        <v>71.911037647453213</v>
      </c>
      <c r="J259" s="9"/>
    </row>
    <row r="260" spans="2:10" x14ac:dyDescent="0.25">
      <c r="J260" s="9"/>
    </row>
    <row r="261" spans="2:10" x14ac:dyDescent="0.25">
      <c r="B261" s="237" t="s">
        <v>177</v>
      </c>
      <c r="C261" s="238"/>
      <c r="D261" s="238"/>
      <c r="E261" s="238"/>
      <c r="F261" s="238"/>
      <c r="G261" s="238"/>
      <c r="H261" s="238"/>
      <c r="I261" s="239"/>
      <c r="J261" s="9"/>
    </row>
    <row r="262" spans="2:10" ht="14.4" customHeight="1" x14ac:dyDescent="0.25">
      <c r="B262" s="242" t="s">
        <v>40</v>
      </c>
      <c r="C262" s="241" t="s">
        <v>154</v>
      </c>
      <c r="D262" s="241" t="s">
        <v>160</v>
      </c>
      <c r="E262" s="241" t="s">
        <v>161</v>
      </c>
      <c r="F262" s="241" t="s">
        <v>157</v>
      </c>
      <c r="G262" s="244" t="s">
        <v>129</v>
      </c>
      <c r="H262" s="246" t="s">
        <v>158</v>
      </c>
      <c r="I262" s="241" t="s">
        <v>178</v>
      </c>
      <c r="J262" s="9"/>
    </row>
    <row r="263" spans="2:10" x14ac:dyDescent="0.25">
      <c r="B263" s="243"/>
      <c r="C263" s="241"/>
      <c r="D263" s="241"/>
      <c r="E263" s="241"/>
      <c r="F263" s="241"/>
      <c r="G263" s="245"/>
      <c r="H263" s="246"/>
      <c r="I263" s="241"/>
      <c r="J263" s="9"/>
    </row>
    <row r="264" spans="2:10" x14ac:dyDescent="0.25">
      <c r="B264" s="19">
        <f>'[2]Proyeksi Fasum'!AC49</f>
        <v>2023</v>
      </c>
      <c r="C264" s="19">
        <f>'[2]Proyeksi Fasum'!G51</f>
        <v>8527.8128868821532</v>
      </c>
      <c r="D264" s="19">
        <f>D19</f>
        <v>25</v>
      </c>
      <c r="E264" s="19">
        <f t="shared" ref="E264:E284" si="67">D264*C264</f>
        <v>213195.32217205383</v>
      </c>
      <c r="F264" s="19">
        <f t="shared" ref="F264:F284" si="68">$F$18</f>
        <v>5</v>
      </c>
      <c r="G264" s="86" t="str">
        <f t="shared" ref="G264:G284" si="69">$G$18</f>
        <v xml:space="preserve"> (L/m2)</v>
      </c>
      <c r="H264" s="86">
        <f t="shared" ref="H264:H284" si="70">F264*E264</f>
        <v>1065976.6108602691</v>
      </c>
      <c r="I264" s="86">
        <f>H264/1000</f>
        <v>1065.9766108602691</v>
      </c>
      <c r="J264" s="9"/>
    </row>
    <row r="265" spans="2:10" x14ac:dyDescent="0.25">
      <c r="B265" s="19">
        <f>'[2]Proyeksi Fasum'!AC50</f>
        <v>2024</v>
      </c>
      <c r="C265" s="19">
        <f>'[2]Proyeksi Fasum'!H51</f>
        <v>8699.8084368245036</v>
      </c>
      <c r="D265" s="19">
        <v>25</v>
      </c>
      <c r="E265" s="19">
        <f t="shared" si="67"/>
        <v>217495.21092061259</v>
      </c>
      <c r="F265" s="19">
        <f t="shared" si="68"/>
        <v>5</v>
      </c>
      <c r="G265" s="86" t="str">
        <f t="shared" si="69"/>
        <v xml:space="preserve"> (L/m2)</v>
      </c>
      <c r="H265" s="86">
        <f t="shared" si="70"/>
        <v>1087476.054603063</v>
      </c>
      <c r="I265" s="86">
        <f t="shared" ref="I265:I284" si="71">H265/1000</f>
        <v>1087.4760546030629</v>
      </c>
      <c r="J265" s="9"/>
    </row>
    <row r="266" spans="2:10" x14ac:dyDescent="0.25">
      <c r="B266" s="19">
        <f>'[2]Proyeksi Fasum'!AC51</f>
        <v>2025</v>
      </c>
      <c r="C266" s="19">
        <f>'[2]Proyeksi Fasum'!I51</f>
        <v>8875.2729265281196</v>
      </c>
      <c r="D266" s="19">
        <v>25</v>
      </c>
      <c r="E266" s="19">
        <f t="shared" si="67"/>
        <v>221881.82316320299</v>
      </c>
      <c r="F266" s="19">
        <f t="shared" si="68"/>
        <v>5</v>
      </c>
      <c r="G266" s="86" t="str">
        <f t="shared" si="69"/>
        <v xml:space="preserve"> (L/m2)</v>
      </c>
      <c r="H266" s="86">
        <f t="shared" si="70"/>
        <v>1109409.1158160151</v>
      </c>
      <c r="I266" s="86">
        <f t="shared" si="71"/>
        <v>1109.4091158160149</v>
      </c>
      <c r="J266" s="9"/>
    </row>
    <row r="267" spans="2:10" x14ac:dyDescent="0.25">
      <c r="B267" s="19">
        <f>'[2]Proyeksi Fasum'!AC52</f>
        <v>2026</v>
      </c>
      <c r="C267" s="19">
        <f>'[2]Proyeksi Fasum'!J51</f>
        <v>9054.2763202628503</v>
      </c>
      <c r="D267" s="19">
        <v>25</v>
      </c>
      <c r="E267" s="19">
        <f t="shared" si="67"/>
        <v>226356.90800657126</v>
      </c>
      <c r="F267" s="19">
        <f t="shared" si="68"/>
        <v>5</v>
      </c>
      <c r="G267" s="86" t="str">
        <f t="shared" si="69"/>
        <v xml:space="preserve"> (L/m2)</v>
      </c>
      <c r="H267" s="86">
        <f t="shared" si="70"/>
        <v>1131784.5400328564</v>
      </c>
      <c r="I267" s="86">
        <f t="shared" si="71"/>
        <v>1131.7845400328565</v>
      </c>
      <c r="J267" s="9"/>
    </row>
    <row r="268" spans="2:10" x14ac:dyDescent="0.25">
      <c r="B268" s="19">
        <f>'[2]Proyeksi Fasum'!AC53</f>
        <v>2027</v>
      </c>
      <c r="C268" s="19">
        <f>'[2]Proyeksi Fasum'!K51</f>
        <v>9236.8899933922276</v>
      </c>
      <c r="D268" s="19">
        <v>25</v>
      </c>
      <c r="E268" s="19">
        <f t="shared" si="67"/>
        <v>230922.2498348057</v>
      </c>
      <c r="F268" s="19">
        <f t="shared" si="68"/>
        <v>5</v>
      </c>
      <c r="G268" s="86" t="str">
        <f t="shared" si="69"/>
        <v xml:space="preserve"> (L/m2)</v>
      </c>
      <c r="H268" s="86">
        <f t="shared" si="70"/>
        <v>1154611.2491740284</v>
      </c>
      <c r="I268" s="86">
        <f t="shared" si="71"/>
        <v>1154.6112491740284</v>
      </c>
      <c r="J268" s="9"/>
    </row>
    <row r="269" spans="2:10" x14ac:dyDescent="0.25">
      <c r="B269" s="19">
        <f>'[2]Proyeksi Fasum'!AC54</f>
        <v>2028</v>
      </c>
      <c r="C269" s="19">
        <f>'[2]Proyeksi Fasum'!L51</f>
        <v>9423.186760833536</v>
      </c>
      <c r="D269" s="19">
        <v>25</v>
      </c>
      <c r="E269" s="19">
        <f t="shared" si="67"/>
        <v>235579.6690208384</v>
      </c>
      <c r="F269" s="19">
        <f t="shared" si="68"/>
        <v>5</v>
      </c>
      <c r="G269" s="86" t="str">
        <f t="shared" si="69"/>
        <v xml:space="preserve"> (L/m2)</v>
      </c>
      <c r="H269" s="86">
        <f t="shared" si="70"/>
        <v>1177898.3451041919</v>
      </c>
      <c r="I269" s="86">
        <f t="shared" si="71"/>
        <v>1177.898345104192</v>
      </c>
      <c r="J269" s="9"/>
    </row>
    <row r="270" spans="2:10" x14ac:dyDescent="0.25">
      <c r="B270" s="19">
        <f>'[2]Proyeksi Fasum'!AC55</f>
        <v>2029</v>
      </c>
      <c r="C270" s="19">
        <f>'[2]Proyeksi Fasum'!M51</f>
        <v>9613.2409060918235</v>
      </c>
      <c r="D270" s="19">
        <v>25</v>
      </c>
      <c r="E270" s="19">
        <f t="shared" si="67"/>
        <v>240331.02265229559</v>
      </c>
      <c r="F270" s="19">
        <f t="shared" si="68"/>
        <v>5</v>
      </c>
      <c r="G270" s="86" t="str">
        <f t="shared" si="69"/>
        <v xml:space="preserve"> (L/m2)</v>
      </c>
      <c r="H270" s="86">
        <f t="shared" si="70"/>
        <v>1201655.113261478</v>
      </c>
      <c r="I270" s="86">
        <f t="shared" si="71"/>
        <v>1201.6551132614779</v>
      </c>
      <c r="J270" s="9"/>
    </row>
    <row r="271" spans="2:10" x14ac:dyDescent="0.25">
      <c r="B271" s="19">
        <f>'[2]Proyeksi Fasum'!AC56</f>
        <v>2030</v>
      </c>
      <c r="C271" s="19">
        <f>'[2]Proyeksi Fasum'!N51</f>
        <v>9807.1282108795458</v>
      </c>
      <c r="D271" s="19">
        <v>25</v>
      </c>
      <c r="E271" s="19">
        <f t="shared" si="67"/>
        <v>245178.20527198864</v>
      </c>
      <c r="F271" s="19">
        <f t="shared" si="68"/>
        <v>5</v>
      </c>
      <c r="G271" s="86" t="str">
        <f t="shared" si="69"/>
        <v xml:space="preserve"> (L/m2)</v>
      </c>
      <c r="H271" s="86">
        <f t="shared" si="70"/>
        <v>1225891.0263599432</v>
      </c>
      <c r="I271" s="86">
        <f t="shared" si="71"/>
        <v>1225.8910263599432</v>
      </c>
      <c r="J271" s="9"/>
    </row>
    <row r="272" spans="2:10" x14ac:dyDescent="0.25">
      <c r="B272" s="19">
        <f>'[2]Proyeksi Fasum'!AC57</f>
        <v>2031</v>
      </c>
      <c r="C272" s="19">
        <f>'[2]Proyeksi Fasum'!O51</f>
        <v>10004.925985333535</v>
      </c>
      <c r="D272" s="19">
        <v>25</v>
      </c>
      <c r="E272" s="19">
        <f t="shared" si="67"/>
        <v>250123.14963333838</v>
      </c>
      <c r="F272" s="19">
        <f t="shared" si="68"/>
        <v>5</v>
      </c>
      <c r="G272" s="86" t="str">
        <f t="shared" si="69"/>
        <v xml:space="preserve"> (L/m2)</v>
      </c>
      <c r="H272" s="86">
        <f t="shared" si="70"/>
        <v>1250615.748166692</v>
      </c>
      <c r="I272" s="86">
        <f t="shared" si="71"/>
        <v>1250.6157481666919</v>
      </c>
      <c r="J272" s="9"/>
    </row>
    <row r="273" spans="2:10" x14ac:dyDescent="0.25">
      <c r="B273" s="19">
        <f>'[2]Proyeksi Fasum'!AC58</f>
        <v>2032</v>
      </c>
      <c r="C273" s="19">
        <f>'[2]Proyeksi Fasum'!P51</f>
        <v>10206.713098841492</v>
      </c>
      <c r="D273" s="19">
        <v>25</v>
      </c>
      <c r="E273" s="19">
        <f t="shared" si="67"/>
        <v>255167.82747103731</v>
      </c>
      <c r="F273" s="19">
        <f t="shared" si="68"/>
        <v>5</v>
      </c>
      <c r="G273" s="86" t="str">
        <f t="shared" si="69"/>
        <v xml:space="preserve"> (L/m2)</v>
      </c>
      <c r="H273" s="86">
        <f t="shared" si="70"/>
        <v>1275839.1373551865</v>
      </c>
      <c r="I273" s="86">
        <f t="shared" si="71"/>
        <v>1275.8391373551865</v>
      </c>
      <c r="J273" s="9"/>
    </row>
    <row r="274" spans="2:10" x14ac:dyDescent="0.25">
      <c r="B274" s="19">
        <f>'[2]Proyeksi Fasum'!AC59</f>
        <v>2033</v>
      </c>
      <c r="C274" s="19">
        <f>'[2]Proyeksi Fasum'!Q51</f>
        <v>10412.570011490156</v>
      </c>
      <c r="D274" s="19">
        <v>25</v>
      </c>
      <c r="E274" s="19">
        <f t="shared" si="67"/>
        <v>260314.25028725388</v>
      </c>
      <c r="F274" s="19">
        <f t="shared" si="68"/>
        <v>5</v>
      </c>
      <c r="G274" s="86" t="str">
        <f t="shared" si="69"/>
        <v xml:space="preserve"> (L/m2)</v>
      </c>
      <c r="H274" s="86">
        <f t="shared" si="70"/>
        <v>1301571.2514362694</v>
      </c>
      <c r="I274" s="86">
        <f t="shared" si="71"/>
        <v>1301.5712514362694</v>
      </c>
      <c r="J274" s="9"/>
    </row>
    <row r="275" spans="2:10" x14ac:dyDescent="0.25">
      <c r="B275" s="19">
        <f>'[2]Proyeksi Fasum'!AC60</f>
        <v>2034</v>
      </c>
      <c r="C275" s="19">
        <f>'[2]Proyeksi Fasum'!R51</f>
        <v>10622.578806147732</v>
      </c>
      <c r="D275" s="19">
        <v>25</v>
      </c>
      <c r="E275" s="19">
        <f t="shared" si="67"/>
        <v>265564.47015369328</v>
      </c>
      <c r="F275" s="19">
        <f t="shared" si="68"/>
        <v>5</v>
      </c>
      <c r="G275" s="86" t="str">
        <f t="shared" si="69"/>
        <v xml:space="preserve"> (L/m2)</v>
      </c>
      <c r="H275" s="86">
        <f t="shared" si="70"/>
        <v>1327822.3507684665</v>
      </c>
      <c r="I275" s="86">
        <f t="shared" si="71"/>
        <v>1327.8223507684665</v>
      </c>
      <c r="J275" s="9"/>
    </row>
    <row r="276" spans="2:10" x14ac:dyDescent="0.25">
      <c r="B276" s="19">
        <f>'[2]Proyeksi Fasum'!AC61</f>
        <v>2035</v>
      </c>
      <c r="C276" s="19">
        <f>'[2]Proyeksi Fasum'!S51</f>
        <v>10622.578806147732</v>
      </c>
      <c r="D276" s="19">
        <v>25</v>
      </c>
      <c r="E276" s="19">
        <f t="shared" si="67"/>
        <v>265564.47015369328</v>
      </c>
      <c r="F276" s="19">
        <f t="shared" si="68"/>
        <v>5</v>
      </c>
      <c r="G276" s="86" t="str">
        <f t="shared" si="69"/>
        <v xml:space="preserve"> (L/m2)</v>
      </c>
      <c r="H276" s="86">
        <f t="shared" si="70"/>
        <v>1327822.3507684665</v>
      </c>
      <c r="I276" s="86">
        <f t="shared" si="71"/>
        <v>1327.8223507684665</v>
      </c>
      <c r="J276" s="9"/>
    </row>
    <row r="277" spans="2:10" x14ac:dyDescent="0.25">
      <c r="B277" s="19">
        <f>'[2]Proyeksi Fasum'!AC62</f>
        <v>2036</v>
      </c>
      <c r="C277" s="19">
        <f>'[2]Proyeksi Fasum'!T51</f>
        <v>10836.823221193443</v>
      </c>
      <c r="D277" s="19">
        <v>25</v>
      </c>
      <c r="E277" s="19">
        <f t="shared" si="67"/>
        <v>270920.58052983606</v>
      </c>
      <c r="F277" s="19">
        <f t="shared" si="68"/>
        <v>5</v>
      </c>
      <c r="G277" s="86" t="str">
        <f t="shared" si="69"/>
        <v xml:space="preserve"> (L/m2)</v>
      </c>
      <c r="H277" s="86">
        <f t="shared" si="70"/>
        <v>1354602.9026491803</v>
      </c>
      <c r="I277" s="86">
        <f t="shared" si="71"/>
        <v>1354.6029026491804</v>
      </c>
      <c r="J277" s="9"/>
    </row>
    <row r="278" spans="2:10" x14ac:dyDescent="0.25">
      <c r="B278" s="19">
        <f>'[2]Proyeksi Fasum'!AC63</f>
        <v>2037</v>
      </c>
      <c r="C278" s="19">
        <f>'[2]Proyeksi Fasum'!U51</f>
        <v>11055.388683907131</v>
      </c>
      <c r="D278" s="19">
        <v>25</v>
      </c>
      <c r="E278" s="19">
        <f t="shared" si="67"/>
        <v>276384.71709767828</v>
      </c>
      <c r="F278" s="19">
        <f t="shared" si="68"/>
        <v>5</v>
      </c>
      <c r="G278" s="86" t="str">
        <f t="shared" si="69"/>
        <v xml:space="preserve"> (L/m2)</v>
      </c>
      <c r="H278" s="86">
        <f t="shared" si="70"/>
        <v>1381923.5854883913</v>
      </c>
      <c r="I278" s="86">
        <f t="shared" si="71"/>
        <v>1381.9235854883914</v>
      </c>
      <c r="J278" s="9"/>
    </row>
    <row r="279" spans="2:10" x14ac:dyDescent="0.25">
      <c r="B279" s="19">
        <f>'[2]Proyeksi Fasum'!AC64</f>
        <v>2038</v>
      </c>
      <c r="C279" s="19">
        <f>'[2]Proyeksi Fasum'!V51</f>
        <v>11278.362344532352</v>
      </c>
      <c r="D279" s="19">
        <v>25</v>
      </c>
      <c r="E279" s="19">
        <f t="shared" si="67"/>
        <v>281959.05861330882</v>
      </c>
      <c r="F279" s="19">
        <f t="shared" si="68"/>
        <v>5</v>
      </c>
      <c r="G279" s="86" t="str">
        <f t="shared" si="69"/>
        <v xml:space="preserve"> (L/m2)</v>
      </c>
      <c r="H279" s="86">
        <f t="shared" si="70"/>
        <v>1409795.293066544</v>
      </c>
      <c r="I279" s="86">
        <f t="shared" si="71"/>
        <v>1409.795293066544</v>
      </c>
      <c r="J279" s="9"/>
    </row>
    <row r="280" spans="2:10" x14ac:dyDescent="0.25">
      <c r="B280" s="19">
        <f>'[2]Proyeksi Fasum'!AC65</f>
        <v>2039</v>
      </c>
      <c r="C280" s="19">
        <f>'[2]Proyeksi Fasum'!W51</f>
        <v>11505.833111026403</v>
      </c>
      <c r="D280" s="19">
        <v>25</v>
      </c>
      <c r="E280" s="19">
        <f t="shared" si="67"/>
        <v>287645.82777566009</v>
      </c>
      <c r="F280" s="19">
        <f t="shared" si="68"/>
        <v>5</v>
      </c>
      <c r="G280" s="86" t="str">
        <f t="shared" si="69"/>
        <v xml:space="preserve"> (L/m2)</v>
      </c>
      <c r="H280" s="86">
        <f t="shared" si="70"/>
        <v>1438229.1388783003</v>
      </c>
      <c r="I280" s="86">
        <f t="shared" si="71"/>
        <v>1438.2291388783003</v>
      </c>
      <c r="J280" s="9"/>
    </row>
    <row r="281" spans="2:10" x14ac:dyDescent="0.25">
      <c r="B281" s="19">
        <f>'[2]Proyeksi Fasum'!AC66</f>
        <v>2040</v>
      </c>
      <c r="C281" s="19">
        <f>'[2]Proyeksi Fasum'!X51</f>
        <v>11737.891684511285</v>
      </c>
      <c r="D281" s="19">
        <v>25</v>
      </c>
      <c r="E281" s="19">
        <f t="shared" si="67"/>
        <v>293447.29211278213</v>
      </c>
      <c r="F281" s="19">
        <f t="shared" si="68"/>
        <v>5</v>
      </c>
      <c r="G281" s="86" t="str">
        <f t="shared" si="69"/>
        <v xml:space="preserve"> (L/m2)</v>
      </c>
      <c r="H281" s="86">
        <f t="shared" si="70"/>
        <v>1467236.4605639107</v>
      </c>
      <c r="I281" s="86">
        <f t="shared" si="71"/>
        <v>1467.2364605639107</v>
      </c>
      <c r="J281" s="9"/>
    </row>
    <row r="282" spans="2:10" x14ac:dyDescent="0.25">
      <c r="B282" s="19">
        <f>'[2]Proyeksi Fasum'!AC67</f>
        <v>2041</v>
      </c>
      <c r="C282" s="19">
        <f>'[2]Proyeksi Fasum'!Y51</f>
        <v>11974.630595439638</v>
      </c>
      <c r="D282" s="19">
        <v>25</v>
      </c>
      <c r="E282" s="19">
        <f t="shared" si="67"/>
        <v>299365.76488599094</v>
      </c>
      <c r="F282" s="19">
        <f t="shared" si="68"/>
        <v>5</v>
      </c>
      <c r="G282" s="86" t="str">
        <f t="shared" si="69"/>
        <v xml:space="preserve"> (L/m2)</v>
      </c>
      <c r="H282" s="86">
        <f t="shared" si="70"/>
        <v>1496828.8244299546</v>
      </c>
      <c r="I282" s="86">
        <f t="shared" si="71"/>
        <v>1496.8288244299547</v>
      </c>
      <c r="J282" s="9"/>
    </row>
    <row r="283" spans="2:10" x14ac:dyDescent="0.25">
      <c r="B283" s="19">
        <f>'[2]Proyeksi Fasum'!AC68</f>
        <v>2042</v>
      </c>
      <c r="C283" s="19">
        <f>'[2]Proyeksi Fasum'!Z51</f>
        <v>12216.144240490086</v>
      </c>
      <c r="D283" s="19">
        <v>25</v>
      </c>
      <c r="E283" s="19">
        <f t="shared" si="67"/>
        <v>305403.60601225216</v>
      </c>
      <c r="F283" s="19">
        <f t="shared" si="68"/>
        <v>5</v>
      </c>
      <c r="G283" s="86" t="str">
        <f t="shared" si="69"/>
        <v xml:space="preserve"> (L/m2)</v>
      </c>
      <c r="H283" s="86">
        <f t="shared" si="70"/>
        <v>1527018.0300612608</v>
      </c>
      <c r="I283" s="86">
        <f t="shared" si="71"/>
        <v>1527.0180300612608</v>
      </c>
      <c r="J283" s="9"/>
    </row>
    <row r="284" spans="2:10" x14ac:dyDescent="0.25">
      <c r="B284" s="19">
        <f>'[2]Proyeksi Fasum'!AC69</f>
        <v>2043</v>
      </c>
      <c r="C284" s="19">
        <f>'[2]Proyeksi Fasum'!AA51</f>
        <v>12462.52892020676</v>
      </c>
      <c r="D284" s="19">
        <v>25</v>
      </c>
      <c r="E284" s="19">
        <f t="shared" si="67"/>
        <v>311563.22300516901</v>
      </c>
      <c r="F284" s="19">
        <f t="shared" si="68"/>
        <v>5</v>
      </c>
      <c r="G284" s="86" t="str">
        <f t="shared" si="69"/>
        <v xml:space="preserve"> (L/m2)</v>
      </c>
      <c r="H284" s="86">
        <f t="shared" si="70"/>
        <v>1557816.1150258451</v>
      </c>
      <c r="I284" s="86">
        <f t="shared" si="71"/>
        <v>1557.8161150258452</v>
      </c>
      <c r="J284" s="9"/>
    </row>
  </sheetData>
  <mergeCells count="188">
    <mergeCell ref="H3:H4"/>
    <mergeCell ref="B15:B16"/>
    <mergeCell ref="C15:C16"/>
    <mergeCell ref="D15:D16"/>
    <mergeCell ref="E15:E16"/>
    <mergeCell ref="F15:F16"/>
    <mergeCell ref="G15:G16"/>
    <mergeCell ref="H15:H16"/>
    <mergeCell ref="B3:B4"/>
    <mergeCell ref="C3:C4"/>
    <mergeCell ref="D3:D4"/>
    <mergeCell ref="E3:E4"/>
    <mergeCell ref="F3:F4"/>
    <mergeCell ref="G3:G4"/>
    <mergeCell ref="B26:B27"/>
    <mergeCell ref="C26:C27"/>
    <mergeCell ref="D26:D27"/>
    <mergeCell ref="E26:E27"/>
    <mergeCell ref="F26:F27"/>
    <mergeCell ref="G26:G27"/>
    <mergeCell ref="H26:H27"/>
    <mergeCell ref="B22:B23"/>
    <mergeCell ref="C22:C23"/>
    <mergeCell ref="D22:D23"/>
    <mergeCell ref="E22:E23"/>
    <mergeCell ref="F22:F23"/>
    <mergeCell ref="G22:G23"/>
    <mergeCell ref="H22:H23"/>
    <mergeCell ref="H31:H32"/>
    <mergeCell ref="B37:B38"/>
    <mergeCell ref="C37:C38"/>
    <mergeCell ref="D37:D38"/>
    <mergeCell ref="E37:E38"/>
    <mergeCell ref="F37:F38"/>
    <mergeCell ref="B31:B32"/>
    <mergeCell ref="C31:C32"/>
    <mergeCell ref="D31:D32"/>
    <mergeCell ref="E31:E32"/>
    <mergeCell ref="F31:F32"/>
    <mergeCell ref="G31:G32"/>
    <mergeCell ref="N37:N38"/>
    <mergeCell ref="O37:O38"/>
    <mergeCell ref="P37:P38"/>
    <mergeCell ref="Q37:Q38"/>
    <mergeCell ref="R37:R38"/>
    <mergeCell ref="S37:S38"/>
    <mergeCell ref="G37:G38"/>
    <mergeCell ref="H37:H38"/>
    <mergeCell ref="I37:I38"/>
    <mergeCell ref="L37:L38"/>
    <mergeCell ref="M37:M38"/>
    <mergeCell ref="S62:S63"/>
    <mergeCell ref="I62:I63"/>
    <mergeCell ref="L62:L63"/>
    <mergeCell ref="M62:M63"/>
    <mergeCell ref="N62:N63"/>
    <mergeCell ref="O62:O63"/>
    <mergeCell ref="B62:B63"/>
    <mergeCell ref="C62:C63"/>
    <mergeCell ref="D62:D63"/>
    <mergeCell ref="E62:E63"/>
    <mergeCell ref="F62:F63"/>
    <mergeCell ref="G62:G63"/>
    <mergeCell ref="H62:H63"/>
    <mergeCell ref="B87:B88"/>
    <mergeCell ref="C87:C88"/>
    <mergeCell ref="D87:D88"/>
    <mergeCell ref="E87:E88"/>
    <mergeCell ref="F87:F88"/>
    <mergeCell ref="G87:G88"/>
    <mergeCell ref="P62:P63"/>
    <mergeCell ref="Q62:Q63"/>
    <mergeCell ref="R62:R63"/>
    <mergeCell ref="O87:O88"/>
    <mergeCell ref="P87:P88"/>
    <mergeCell ref="Q87:Q88"/>
    <mergeCell ref="R87:R88"/>
    <mergeCell ref="S87:S88"/>
    <mergeCell ref="H87:H88"/>
    <mergeCell ref="I87:I88"/>
    <mergeCell ref="L87:L88"/>
    <mergeCell ref="M87:M88"/>
    <mergeCell ref="N87:N88"/>
    <mergeCell ref="B137:B138"/>
    <mergeCell ref="C137:C138"/>
    <mergeCell ref="D137:D138"/>
    <mergeCell ref="E137:E138"/>
    <mergeCell ref="F137:F138"/>
    <mergeCell ref="G137:G138"/>
    <mergeCell ref="Q112:Q113"/>
    <mergeCell ref="R112:R113"/>
    <mergeCell ref="S112:S113"/>
    <mergeCell ref="L112:L113"/>
    <mergeCell ref="M112:M113"/>
    <mergeCell ref="N112:N113"/>
    <mergeCell ref="O112:O113"/>
    <mergeCell ref="P112:P113"/>
    <mergeCell ref="B112:B113"/>
    <mergeCell ref="C112:C113"/>
    <mergeCell ref="D112:D113"/>
    <mergeCell ref="E112:E113"/>
    <mergeCell ref="F112:F113"/>
    <mergeCell ref="G112:G113"/>
    <mergeCell ref="H112:H113"/>
    <mergeCell ref="I112:I113"/>
    <mergeCell ref="O137:O138"/>
    <mergeCell ref="P137:P138"/>
    <mergeCell ref="Q137:Q138"/>
    <mergeCell ref="R137:R138"/>
    <mergeCell ref="S137:S138"/>
    <mergeCell ref="H137:H138"/>
    <mergeCell ref="I137:I138"/>
    <mergeCell ref="L137:L138"/>
    <mergeCell ref="M137:M138"/>
    <mergeCell ref="N137:N138"/>
    <mergeCell ref="B187:B188"/>
    <mergeCell ref="C187:C188"/>
    <mergeCell ref="D187:D188"/>
    <mergeCell ref="E187:E188"/>
    <mergeCell ref="F187:F188"/>
    <mergeCell ref="G187:G188"/>
    <mergeCell ref="Q162:Q163"/>
    <mergeCell ref="R162:R163"/>
    <mergeCell ref="S162:S163"/>
    <mergeCell ref="B186:I186"/>
    <mergeCell ref="L162:L163"/>
    <mergeCell ref="M162:M163"/>
    <mergeCell ref="N162:N163"/>
    <mergeCell ref="O162:O163"/>
    <mergeCell ref="P162:P163"/>
    <mergeCell ref="B162:B163"/>
    <mergeCell ref="C162:C163"/>
    <mergeCell ref="D162:D163"/>
    <mergeCell ref="E162:E163"/>
    <mergeCell ref="F162:F163"/>
    <mergeCell ref="G162:G163"/>
    <mergeCell ref="H162:H163"/>
    <mergeCell ref="I162:I163"/>
    <mergeCell ref="O187:O188"/>
    <mergeCell ref="P187:P188"/>
    <mergeCell ref="Q187:Q188"/>
    <mergeCell ref="R187:R188"/>
    <mergeCell ref="S187:S188"/>
    <mergeCell ref="H187:H188"/>
    <mergeCell ref="I187:I188"/>
    <mergeCell ref="L187:L188"/>
    <mergeCell ref="M187:M188"/>
    <mergeCell ref="N187:N188"/>
    <mergeCell ref="B262:B263"/>
    <mergeCell ref="C262:C263"/>
    <mergeCell ref="D262:D263"/>
    <mergeCell ref="E262:E263"/>
    <mergeCell ref="F262:F263"/>
    <mergeCell ref="G262:G263"/>
    <mergeCell ref="H262:H263"/>
    <mergeCell ref="I262:I263"/>
    <mergeCell ref="B237:B238"/>
    <mergeCell ref="C237:C238"/>
    <mergeCell ref="D237:D238"/>
    <mergeCell ref="E237:E238"/>
    <mergeCell ref="F237:F238"/>
    <mergeCell ref="G237:G238"/>
    <mergeCell ref="H237:H238"/>
    <mergeCell ref="I237:I238"/>
    <mergeCell ref="B211:I211"/>
    <mergeCell ref="B236:I236"/>
    <mergeCell ref="B261:I261"/>
    <mergeCell ref="L36:S36"/>
    <mergeCell ref="L61:S61"/>
    <mergeCell ref="L86:S86"/>
    <mergeCell ref="L111:S111"/>
    <mergeCell ref="L136:S136"/>
    <mergeCell ref="L161:S161"/>
    <mergeCell ref="L186:S186"/>
    <mergeCell ref="B36:I36"/>
    <mergeCell ref="B61:I61"/>
    <mergeCell ref="B86:I86"/>
    <mergeCell ref="B111:I111"/>
    <mergeCell ref="B136:I136"/>
    <mergeCell ref="B161:I161"/>
    <mergeCell ref="B212:B213"/>
    <mergeCell ref="C212:C213"/>
    <mergeCell ref="D212:D213"/>
    <mergeCell ref="E212:E213"/>
    <mergeCell ref="F212:F213"/>
    <mergeCell ref="G212:G213"/>
    <mergeCell ref="H212:H213"/>
    <mergeCell ref="I212:I213"/>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50E7A-56E5-4580-AEEA-44BEBF2354FD}">
  <dimension ref="B3:T25"/>
  <sheetViews>
    <sheetView topLeftCell="A3" workbookViewId="0">
      <selection activeCell="C3" sqref="C3:T25"/>
    </sheetView>
  </sheetViews>
  <sheetFormatPr defaultRowHeight="14.4" x14ac:dyDescent="0.3"/>
  <cols>
    <col min="3" max="9" width="8.88671875" style="50"/>
    <col min="10" max="10" width="11.6640625" style="50" customWidth="1"/>
    <col min="11" max="11" width="8.88671875" style="50"/>
    <col min="12" max="12" width="12.44140625" style="50" customWidth="1"/>
    <col min="13" max="13" width="10.77734375" style="50" customWidth="1"/>
    <col min="14" max="15" width="8.88671875" style="50"/>
    <col min="16" max="16" width="13.21875" style="50" customWidth="1"/>
    <col min="17" max="17" width="13.88671875" style="50" customWidth="1"/>
    <col min="18" max="18" width="12.5546875" style="50" customWidth="1"/>
    <col min="19" max="19" width="12.33203125" style="50" customWidth="1"/>
    <col min="20" max="20" width="20.33203125" customWidth="1"/>
  </cols>
  <sheetData>
    <row r="3" spans="2:20" x14ac:dyDescent="0.3">
      <c r="B3" s="249" t="s">
        <v>40</v>
      </c>
      <c r="C3" s="247" t="s">
        <v>183</v>
      </c>
      <c r="D3" s="248"/>
      <c r="E3" s="248"/>
      <c r="F3" s="248"/>
      <c r="G3" s="248"/>
      <c r="H3" s="248"/>
      <c r="I3" s="248"/>
      <c r="J3" s="248"/>
      <c r="K3" s="248"/>
      <c r="L3" s="248"/>
      <c r="M3" s="248"/>
      <c r="N3" s="248"/>
      <c r="O3" s="248"/>
      <c r="P3" s="248"/>
      <c r="Q3" s="248"/>
      <c r="R3" s="248"/>
      <c r="S3" s="248"/>
      <c r="T3" s="54" t="s">
        <v>184</v>
      </c>
    </row>
    <row r="4" spans="2:20" x14ac:dyDescent="0.3">
      <c r="B4" s="249"/>
      <c r="C4" s="51" t="s">
        <v>72</v>
      </c>
      <c r="D4" s="51" t="s">
        <v>73</v>
      </c>
      <c r="E4" s="51" t="s">
        <v>74</v>
      </c>
      <c r="F4" s="51" t="s">
        <v>75</v>
      </c>
      <c r="G4" s="51" t="s">
        <v>76</v>
      </c>
      <c r="H4" s="51" t="s">
        <v>77</v>
      </c>
      <c r="I4" s="51" t="s">
        <v>78</v>
      </c>
      <c r="J4" s="51" t="s">
        <v>79</v>
      </c>
      <c r="K4" s="51" t="s">
        <v>117</v>
      </c>
      <c r="L4" s="51" t="s">
        <v>118</v>
      </c>
      <c r="M4" s="51" t="s">
        <v>119</v>
      </c>
      <c r="N4" s="51" t="s">
        <v>120</v>
      </c>
      <c r="O4" s="51" t="s">
        <v>179</v>
      </c>
      <c r="P4" s="51" t="s">
        <v>124</v>
      </c>
      <c r="Q4" s="51" t="s">
        <v>180</v>
      </c>
      <c r="R4" s="51" t="s">
        <v>126</v>
      </c>
      <c r="S4" s="52" t="s">
        <v>181</v>
      </c>
      <c r="T4" s="55" t="s">
        <v>182</v>
      </c>
    </row>
    <row r="5" spans="2:20" x14ac:dyDescent="0.3">
      <c r="B5" s="1">
        <f>'Proyeksi Penduduk Prioritas'!B74</f>
        <v>2023</v>
      </c>
      <c r="C5" s="49">
        <f>'Kebutuhan Air Non Domestik .1'!I39</f>
        <v>1318.6428023557098</v>
      </c>
      <c r="D5" s="49">
        <f>'Kebutuhan Air Non Domestik .1'!I64</f>
        <v>2829.2719131003732</v>
      </c>
      <c r="E5" s="49">
        <f>'Kebutuhan Air Non Domestik .1'!I89</f>
        <v>416.81238005496573</v>
      </c>
      <c r="F5" s="49">
        <f>'Kebutuhan Air Non Domestik .1'!I114</f>
        <v>2415.6172025912792</v>
      </c>
      <c r="G5" s="49">
        <f>'Kebutuhan Air Non Domestik .1'!I139</f>
        <v>1392.5322697290901</v>
      </c>
      <c r="H5" s="49">
        <f>'Kebutuhan Air Non Domestik .1'!I164</f>
        <v>2000.6994242638359</v>
      </c>
      <c r="I5" s="49">
        <f>'Kebutuhan Air Non Domestik .1'!I189</f>
        <v>3698.2625721240597</v>
      </c>
      <c r="J5" s="49">
        <f>'Kebutuhan Air Non Domestik .1'!I214</f>
        <v>970.03608449155672</v>
      </c>
      <c r="K5" s="49">
        <f>'Kebutuhan Air Non Domestik .1'!I239</f>
        <v>49.207017089822344</v>
      </c>
      <c r="L5" s="49">
        <f>'Kebutuhan Air Non Domestik .1'!I264</f>
        <v>1065.9766108602691</v>
      </c>
      <c r="M5" s="49">
        <f>'Kebutuhan Air Non Domestik .1'!S39</f>
        <v>106.57134717314463</v>
      </c>
      <c r="N5" s="49">
        <f>'Kebutuhan Air Non Domestik .1'!S64</f>
        <v>415.23354528203026</v>
      </c>
      <c r="O5" s="49">
        <f>'Kebutuhan Air Non Domestik .1'!S89</f>
        <v>394.7086932338691</v>
      </c>
      <c r="P5" s="49">
        <f>'Kebutuhan Air Non Domestik .1'!S114</f>
        <v>2361.9368203114723</v>
      </c>
      <c r="Q5" s="49">
        <f>'Kebutuhan Air Non Domestik .1'!S139</f>
        <v>6950.030670461967</v>
      </c>
      <c r="R5" s="49">
        <f>'Kebutuhan Air Non Domestik .1'!S164</f>
        <v>4.5489460740581009</v>
      </c>
      <c r="S5" s="49">
        <f>'Kebutuhan Air Non Domestik .1'!S189</f>
        <v>1.2996988783023147</v>
      </c>
      <c r="T5" s="53">
        <f>SUM(C5:S5)</f>
        <v>26391.387998075803</v>
      </c>
    </row>
    <row r="6" spans="2:20" x14ac:dyDescent="0.3">
      <c r="B6" s="1">
        <f>'Proyeksi Penduduk Prioritas'!B75</f>
        <v>2024</v>
      </c>
      <c r="C6" s="49">
        <f>'Kebutuhan Air Non Domestik .1'!I40</f>
        <v>1345.2382139784916</v>
      </c>
      <c r="D6" s="49">
        <f>'Kebutuhan Air Non Domestik .1'!I65</f>
        <v>2886.3348652412074</v>
      </c>
      <c r="E6" s="49">
        <f>'Kebutuhan Air Non Domestik .1'!I90</f>
        <v>425.21897568285647</v>
      </c>
      <c r="F6" s="49">
        <f>'Kebutuhan Air Non Domestik .1'!I115</f>
        <v>2464.3372454347364</v>
      </c>
      <c r="G6" s="49">
        <f>'Kebutuhan Air Non Domestik .1'!I140</f>
        <v>1420.6179414859068</v>
      </c>
      <c r="H6" s="49">
        <f>'Kebutuhan Air Non Domestik .1'!I165</f>
        <v>2041.0510832777111</v>
      </c>
      <c r="I6" s="49">
        <f>'Kebutuhan Air Non Domestik .1'!I190</f>
        <v>3772.8520024224363</v>
      </c>
      <c r="J6" s="49">
        <f>'Kebutuhan Air Non Domestik .1'!I215</f>
        <v>989.60052522555691</v>
      </c>
      <c r="K6" s="49">
        <f>'Kebutuhan Air Non Domestik .1'!I240</f>
        <v>50.199462407003892</v>
      </c>
      <c r="L6" s="49">
        <f>'Kebutuhan Air Non Domestik .1'!I265</f>
        <v>1087.4760546030629</v>
      </c>
      <c r="M6" s="49">
        <f>'Kebutuhan Air Non Domestik .1'!S40</f>
        <v>108.72076082800308</v>
      </c>
      <c r="N6" s="49">
        <f>'Kebutuhan Air Non Domestik .1'!S65</f>
        <v>423.6082977446639</v>
      </c>
      <c r="O6" s="49">
        <f>'Kebutuhan Air Non Domestik .1'!S90</f>
        <v>402.66948454815952</v>
      </c>
      <c r="P6" s="49">
        <f>'Kebutuhan Air Non Domestik .1'!S115</f>
        <v>2409.5741955361868</v>
      </c>
      <c r="Q6" s="49">
        <f>'Kebutuhan Air Non Domestik .1'!S140</f>
        <v>7090.204283923993</v>
      </c>
      <c r="R6" s="49">
        <f>'Kebutuhan Air Non Domestik .1'!S165</f>
        <v>4.6308320581010909</v>
      </c>
      <c r="S6" s="49">
        <f>'Kebutuhan Air Non Domestik .1'!S190</f>
        <v>1.3230948737431689</v>
      </c>
      <c r="T6" s="49">
        <f t="shared" ref="T6:T25" si="0">SUM(C6:S6)</f>
        <v>26923.657319271824</v>
      </c>
    </row>
    <row r="7" spans="2:20" x14ac:dyDescent="0.3">
      <c r="B7" s="1">
        <f>'Proyeksi Penduduk Prioritas'!B76</f>
        <v>2025</v>
      </c>
      <c r="C7" s="49">
        <f>'Kebutuhan Air Non Domestik .1'!I41</f>
        <v>1372.3700225073351</v>
      </c>
      <c r="D7" s="49">
        <f>'Kebutuhan Air Non Domestik .1'!I66</f>
        <v>2944.5487072954315</v>
      </c>
      <c r="E7" s="49">
        <f>'Kebutuhan Air Non Domestik .1'!I91</f>
        <v>433.79512205691628</v>
      </c>
      <c r="F7" s="49">
        <f>'Kebutuhan Air Non Domestik .1'!I116</f>
        <v>2514.0399119207646</v>
      </c>
      <c r="G7" s="49">
        <f>'Kebutuhan Air Non Domestik .1'!I141</f>
        <v>1449.2700668719701</v>
      </c>
      <c r="H7" s="49">
        <f>'Kebutuhan Air Non Domestik .1'!I166</f>
        <v>2082.2165858731978</v>
      </c>
      <c r="I7" s="49">
        <f>'Kebutuhan Air Non Domestik .1'!I191</f>
        <v>3848.9458102504573</v>
      </c>
      <c r="J7" s="49">
        <f>'Kebutuhan Air Non Domestik .1'!I216</f>
        <v>1009.5595567870051</v>
      </c>
      <c r="K7" s="49">
        <f>'Kebutuhan Air Non Domestik .1'!I241</f>
        <v>51.211924131719279</v>
      </c>
      <c r="L7" s="49">
        <f>'Kebutuhan Air Non Domestik .1'!I266</f>
        <v>1109.4091158160149</v>
      </c>
      <c r="M7" s="49">
        <f>'Kebutuhan Air Non Domestik .1'!S41</f>
        <v>110.91352552591607</v>
      </c>
      <c r="N7" s="49">
        <f>'Kebutuhan Air Non Domestik .1'!S66</f>
        <v>432.15195871579158</v>
      </c>
      <c r="O7" s="49">
        <f>'Kebutuhan Air Non Domestik .1'!S91</f>
        <v>410.79083528117064</v>
      </c>
      <c r="P7" s="49">
        <f>'Kebutuhan Air Non Domestik .1'!S116</f>
        <v>2458.1723583225257</v>
      </c>
      <c r="Q7" s="49">
        <f>'Kebutuhan Air Non Domestik .1'!S141</f>
        <v>7233.2050276308546</v>
      </c>
      <c r="R7" s="49">
        <f>'Kebutuhan Air Non Domestik .1'!S166</f>
        <v>4.7141920790470309</v>
      </c>
      <c r="S7" s="49">
        <f>'Kebutuhan Air Non Domestik .1'!S191</f>
        <v>1.3469120225848661</v>
      </c>
      <c r="T7" s="49">
        <f t="shared" si="0"/>
        <v>27466.661633088705</v>
      </c>
    </row>
    <row r="8" spans="2:20" x14ac:dyDescent="0.3">
      <c r="B8" s="1">
        <f>'Proyeksi Penduduk Prioritas'!B77</f>
        <v>2026</v>
      </c>
      <c r="C8" s="49">
        <f>'Kebutuhan Air Non Domestik .1'!I42</f>
        <v>1400.0490464114168</v>
      </c>
      <c r="D8" s="49">
        <f>'Kebutuhan Air Non Domestik .1'!I67</f>
        <v>3003.9366513041891</v>
      </c>
      <c r="E8" s="49">
        <f>'Kebutuhan Air Non Domestik .1'!I92</f>
        <v>442.54423880820639</v>
      </c>
      <c r="F8" s="49">
        <f>'Kebutuhan Air Non Domestik .1'!I117</f>
        <v>2564.7450203657422</v>
      </c>
      <c r="G8" s="49">
        <f>'Kebutuhan Air Non Domestik .1'!I142</f>
        <v>1478.5000705637804</v>
      </c>
      <c r="H8" s="49">
        <f>'Kebutuhan Air Non Domestik .1'!I167</f>
        <v>2124.2123462793911</v>
      </c>
      <c r="I8" s="49">
        <f>'Kebutuhan Air Non Domestik .1'!I192</f>
        <v>3926.5743370619043</v>
      </c>
      <c r="J8" s="49">
        <f>'Kebutuhan Air Non Domestik .1'!I217</f>
        <v>1029.9211375900077</v>
      </c>
      <c r="K8" s="49">
        <f>'Kebutuhan Air Non Domestik .1'!I242</f>
        <v>52.24480597041326</v>
      </c>
      <c r="L8" s="49">
        <f>'Kebutuhan Air Non Domestik .1'!I267</f>
        <v>1131.7845400328565</v>
      </c>
      <c r="M8" s="49">
        <f>'Kebutuhan Air Non Domestik .1'!S42</f>
        <v>113.15051560437095</v>
      </c>
      <c r="N8" s="49">
        <f>'Kebutuhan Air Non Domestik .1'!S67</f>
        <v>440.86793487332682</v>
      </c>
      <c r="O8" s="49">
        <f>'Kebutuhan Air Non Domestik .1'!S92</f>
        <v>419.07598371989241</v>
      </c>
      <c r="P8" s="49">
        <f>'Kebutuhan Air Non Domestik .1'!S117</f>
        <v>2507.7506865798364</v>
      </c>
      <c r="Q8" s="49">
        <f>'Kebutuhan Air Non Domestik .1'!S142</f>
        <v>7379.0899213398661</v>
      </c>
      <c r="R8" s="49">
        <f>'Kebutuhan Air Non Domestik .1'!S167</f>
        <v>4.7990526711656951</v>
      </c>
      <c r="S8" s="49">
        <f>'Kebutuhan Air Non Domestik .1'!S192</f>
        <v>1.3711579060473413</v>
      </c>
      <c r="T8" s="49">
        <f t="shared" si="0"/>
        <v>28020.617447082415</v>
      </c>
    </row>
    <row r="9" spans="2:20" x14ac:dyDescent="0.3">
      <c r="B9" s="1">
        <f>'Proyeksi Penduduk Prioritas'!B78</f>
        <v>2027</v>
      </c>
      <c r="C9" s="49">
        <f>'Kebutuhan Air Non Domestik .1'!I43</f>
        <v>1428.286322355194</v>
      </c>
      <c r="D9" s="49">
        <f>'Kebutuhan Air Non Domestik .1'!I68</f>
        <v>3064.5223774670826</v>
      </c>
      <c r="E9" s="49">
        <f>'Kebutuhan Air Non Domestik .1'!I93</f>
        <v>451.46981453756132</v>
      </c>
      <c r="F9" s="49">
        <f>'Kebutuhan Air Non Domestik .1'!I118</f>
        <v>2616.4727887972304</v>
      </c>
      <c r="G9" s="49">
        <f>'Kebutuhan Air Non Domestik .1'!I143</f>
        <v>1508.31960765958</v>
      </c>
      <c r="H9" s="49">
        <f>'Kebutuhan Air Non Domestik .1'!I168</f>
        <v>2167.0551097802945</v>
      </c>
      <c r="I9" s="49">
        <f>'Kebutuhan Air Non Domestik .1'!I193</f>
        <v>4005.7685362605444</v>
      </c>
      <c r="J9" s="49">
        <f>'Kebutuhan Air Non Domestik .1'!I218</f>
        <v>1050.6933865601427</v>
      </c>
      <c r="K9" s="49">
        <f>'Kebutuhan Air Non Domestik .1'!I243</f>
        <v>53.298519771795434</v>
      </c>
      <c r="L9" s="49">
        <f>'Kebutuhan Air Non Domestik .1'!I268</f>
        <v>1154.6112491740284</v>
      </c>
      <c r="M9" s="49">
        <f>'Kebutuhan Air Non Domestik .1'!S43</f>
        <v>115.43262303517193</v>
      </c>
      <c r="N9" s="49">
        <f>'Kebutuhan Air Non Domestik .1'!S68</f>
        <v>449.7597016037069</v>
      </c>
      <c r="O9" s="49">
        <f>'Kebutuhan Air Non Domestik .1'!S93</f>
        <v>427.52823346359975</v>
      </c>
      <c r="P9" s="49">
        <f>'Kebutuhan Air Non Domestik .1'!S118</f>
        <v>2558.3289490461807</v>
      </c>
      <c r="Q9" s="49">
        <f>'Kebutuhan Air Non Domestik .1'!S143</f>
        <v>7527.9171348270638</v>
      </c>
      <c r="R9" s="49">
        <f>'Kebutuhan Air Non Domestik .1'!S168</f>
        <v>4.8854408463726102</v>
      </c>
      <c r="S9" s="49">
        <f>'Kebutuhan Air Non Domestik .1'!S193</f>
        <v>1.3958402418207458</v>
      </c>
      <c r="T9" s="49">
        <f t="shared" si="0"/>
        <v>28585.745635427371</v>
      </c>
    </row>
    <row r="10" spans="2:20" x14ac:dyDescent="0.3">
      <c r="B10" s="1">
        <f>'Proyeksi Penduduk Prioritas'!B79</f>
        <v>2028</v>
      </c>
      <c r="C10" s="49">
        <f>'Kebutuhan Air Non Domestik .1'!I44</f>
        <v>1457.0931095991425</v>
      </c>
      <c r="D10" s="49">
        <f>'Kebutuhan Air Non Domestik .1'!I69</f>
        <v>3126.3300435843671</v>
      </c>
      <c r="E10" s="49">
        <f>'Kebutuhan Air Non Domestik .1'!I94</f>
        <v>460.57540820662558</v>
      </c>
      <c r="F10" s="49">
        <f>'Kebutuhan Air Non Domestik .1'!I119</f>
        <v>2669.2438430156703</v>
      </c>
      <c r="G10" s="49">
        <f>'Kebutuhan Air Non Domestik .1'!I144</f>
        <v>1538.7405683266807</v>
      </c>
      <c r="H10" s="49">
        <f>'Kebutuhan Air Non Domestik .1'!I169</f>
        <v>2210.7619593918025</v>
      </c>
      <c r="I10" s="49">
        <f>'Kebutuhan Air Non Domestik .1'!I194</f>
        <v>4086.5599855424225</v>
      </c>
      <c r="J10" s="49">
        <f>'Kebutuhan Air Non Domestik .1'!I219</f>
        <v>1071.8845863717831</v>
      </c>
      <c r="K10" s="49">
        <f>'Kebutuhan Air Non Domestik .1'!I244</f>
        <v>54.373485691059962</v>
      </c>
      <c r="L10" s="49">
        <f>'Kebutuhan Air Non Domestik .1'!I269</f>
        <v>1177.898345104192</v>
      </c>
      <c r="M10" s="49">
        <f>'Kebutuhan Air Non Domestik .1'!S44</f>
        <v>117.76075778010313</v>
      </c>
      <c r="N10" s="49">
        <f>'Kebutuhan Air Non Domestik .1'!S69</f>
        <v>458.83080438766103</v>
      </c>
      <c r="O10" s="49">
        <f>'Kebutuhan Air Non Domestik .1'!S94</f>
        <v>436.15095474112263</v>
      </c>
      <c r="P10" s="49">
        <f>'Kebutuhan Air Non Domestik .1'!S119</f>
        <v>2609.9273131708783</v>
      </c>
      <c r="Q10" s="49">
        <f>'Kebutuhan Air Non Domestik .1'!S144</f>
        <v>7679.7460110816883</v>
      </c>
      <c r="R10" s="49">
        <f>'Kebutuhan Air Non Domestik .1'!S169</f>
        <v>4.973384102827211</v>
      </c>
      <c r="S10" s="49">
        <f>'Kebutuhan Air Non Domestik .1'!S194</f>
        <v>1.4209668865220604</v>
      </c>
      <c r="T10" s="49">
        <f t="shared" si="0"/>
        <v>29162.27152698455</v>
      </c>
    </row>
    <row r="11" spans="2:20" x14ac:dyDescent="0.3">
      <c r="B11" s="1">
        <f>'Proyeksi Penduduk Prioritas'!B80</f>
        <v>2029</v>
      </c>
      <c r="C11" s="49">
        <f>'Kebutuhan Air Non Domestik .1'!I45</f>
        <v>1486.4808944892418</v>
      </c>
      <c r="D11" s="49">
        <f>'Kebutuhan Air Non Domestik .1'!I70</f>
        <v>3189.3842946895606</v>
      </c>
      <c r="E11" s="49">
        <f>'Kebutuhan Air Non Domestik .1'!I95</f>
        <v>469.86465055694424</v>
      </c>
      <c r="F11" s="49">
        <f>'Kebutuhan Air Non Domestik .1'!I120</f>
        <v>2723.079224818654</v>
      </c>
      <c r="G11" s="49">
        <f>'Kebutuhan Air Non Domestik .1'!I145</f>
        <v>1569.7750825425182</v>
      </c>
      <c r="H11" s="49">
        <f>'Kebutuhan Air Non Domestik .1'!I170</f>
        <v>2255.3503226733324</v>
      </c>
      <c r="I11" s="49">
        <f>'Kebutuhan Air Non Domestik .1'!I195</f>
        <v>4168.9808994870691</v>
      </c>
      <c r="J11" s="49">
        <f>'Kebutuhan Air Non Domestik .1'!I220</f>
        <v>1093.5031867507068</v>
      </c>
      <c r="K11" s="49">
        <f>'Kebutuhan Air Non Domestik .1'!I245</f>
        <v>55.470132357417029</v>
      </c>
      <c r="L11" s="49">
        <f>'Kebutuhan Air Non Domestik .1'!I270</f>
        <v>1201.6551132614779</v>
      </c>
      <c r="M11" s="49">
        <f>'Kebutuhan Air Non Domestik .1'!S45</f>
        <v>120.13584815376414</v>
      </c>
      <c r="N11" s="49">
        <f>'Kebutuhan Air Non Domestik .1'!S70</f>
        <v>468.08486021392559</v>
      </c>
      <c r="O11" s="49">
        <f>'Kebutuhan Air Non Domestik .1'!S95</f>
        <v>444.94758575468205</v>
      </c>
      <c r="P11" s="49">
        <f>'Kebutuhan Air Non Domestik .1'!S120</f>
        <v>2662.5663531560176</v>
      </c>
      <c r="Q11" s="49">
        <f>'Kebutuhan Air Non Domestik .1'!S145</f>
        <v>7834.6370899684416</v>
      </c>
      <c r="R11" s="49">
        <f>'Kebutuhan Air Non Domestik .1'!S170</f>
        <v>5.0629104336857491</v>
      </c>
      <c r="S11" s="49">
        <f>'Kebutuhan Air Non Domestik .1'!S195</f>
        <v>1.4465458381959284</v>
      </c>
      <c r="T11" s="49">
        <f t="shared" si="0"/>
        <v>29750.42499514563</v>
      </c>
    </row>
    <row r="12" spans="2:20" x14ac:dyDescent="0.3">
      <c r="B12" s="1">
        <f>'Proyeksi Penduduk Prioritas'!B81</f>
        <v>2030</v>
      </c>
      <c r="C12" s="49">
        <f>'Kebutuhan Air Non Domestik .1'!I46</f>
        <v>1516.4613950370147</v>
      </c>
      <c r="D12" s="49">
        <f>'Kebutuhan Air Non Domestik .1'!I71</f>
        <v>3253.7102728763539</v>
      </c>
      <c r="E12" s="49">
        <f>'Kebutuhan Air Non Domestik .1'!I96</f>
        <v>479.3412455576771</v>
      </c>
      <c r="F12" s="49">
        <f>'Kebutuhan Air Non Domestik .1'!I121</f>
        <v>2778.0004003910831</v>
      </c>
      <c r="G12" s="49">
        <f>'Kebutuhan Air Non Domestik .1'!I146</f>
        <v>1601.4355249313303</v>
      </c>
      <c r="H12" s="49">
        <f>'Kebutuhan Air Non Domestik .1'!I171</f>
        <v>2300.8379786768501</v>
      </c>
      <c r="I12" s="49">
        <f>'Kebutuhan Air Non Domestik .1'!I196</f>
        <v>4253.0641424026617</v>
      </c>
      <c r="J12" s="49">
        <f>'Kebutuhan Air Non Domestik .1'!I221</f>
        <v>1115.5578078433211</v>
      </c>
      <c r="K12" s="49">
        <f>'Kebutuhan Air Non Domestik .1'!I246</f>
        <v>56.588897045003542</v>
      </c>
      <c r="L12" s="49">
        <f>'Kebutuhan Air Non Domestik .1'!I271</f>
        <v>1225.8910263599432</v>
      </c>
      <c r="M12" s="49">
        <f>'Kebutuhan Air Non Domestik .1'!S46</f>
        <v>122.55884119372425</v>
      </c>
      <c r="N12" s="49">
        <f>'Kebutuhan Air Non Domestik .1'!S71</f>
        <v>477.52555902147373</v>
      </c>
      <c r="O12" s="49">
        <f>'Kebutuhan Air Non Domestik .1'!S96</f>
        <v>453.92163405083056</v>
      </c>
      <c r="P12" s="49">
        <f>'Kebutuhan Air Non Domestik .1'!S121</f>
        <v>2716.2670581601706</v>
      </c>
      <c r="Q12" s="49">
        <f>'Kebutuhan Air Non Domestik .1'!S146</f>
        <v>7992.6521323670249</v>
      </c>
      <c r="R12" s="49">
        <f>'Kebutuhan Air Non Domestik .1'!S171</f>
        <v>5.1540483360117788</v>
      </c>
      <c r="S12" s="49">
        <f>'Kebutuhan Air Non Domestik .1'!S196</f>
        <v>1.4725852388605083</v>
      </c>
      <c r="T12" s="49">
        <f t="shared" si="0"/>
        <v>30350.440549489336</v>
      </c>
    </row>
    <row r="13" spans="2:20" x14ac:dyDescent="0.3">
      <c r="B13" s="1">
        <f>'Proyeksi Penduduk Prioritas'!B82</f>
        <v>2031</v>
      </c>
      <c r="C13" s="49">
        <f>'Kebutuhan Air Non Domestik .1'!I47</f>
        <v>1547.0465655919345</v>
      </c>
      <c r="D13" s="49">
        <f>'Kebutuhan Air Non Domestik .1'!I72</f>
        <v>3319.3336273236905</v>
      </c>
      <c r="E13" s="49">
        <f>'Kebutuhan Air Non Domestik .1'!I97</f>
        <v>489.00897188250798</v>
      </c>
      <c r="F13" s="49">
        <f>'Kebutuhan Air Non Domestik .1'!I122</f>
        <v>2834.029268864535</v>
      </c>
      <c r="G13" s="49">
        <f>'Kebutuhan Air Non Domestik .1'!I147</f>
        <v>1633.7345196983788</v>
      </c>
      <c r="H13" s="49">
        <f>'Kebutuhan Air Non Domestik .1'!I172</f>
        <v>2347.2430650360384</v>
      </c>
      <c r="I13" s="49">
        <f>'Kebutuhan Air Non Domestik .1'!I197</f>
        <v>4338.8432414302524</v>
      </c>
      <c r="J13" s="49">
        <f>'Kebutuhan Air Non Domestik .1'!I222</f>
        <v>1138.0572436538366</v>
      </c>
      <c r="K13" s="49">
        <f>'Kebutuhan Air Non Domestik .1'!I247</f>
        <v>57.730225847240526</v>
      </c>
      <c r="L13" s="49">
        <f>'Kebutuhan Air Non Domestik .1'!I272</f>
        <v>1250.6157481666919</v>
      </c>
      <c r="M13" s="49">
        <f>'Kebutuhan Air Non Domestik .1'!S47</f>
        <v>125.03070303814125</v>
      </c>
      <c r="N13" s="49">
        <f>'Kebutuhan Air Non Domestik .1'!S72</f>
        <v>487.15666517083184</v>
      </c>
      <c r="O13" s="49">
        <f>'Kebutuhan Air Non Domestik .1'!S97</f>
        <v>463.07667791904174</v>
      </c>
      <c r="P13" s="49">
        <f>'Kebutuhan Air Non Domestik .1'!S122</f>
        <v>2771.0508406675453</v>
      </c>
      <c r="Q13" s="49">
        <f>'Kebutuhan Air Non Domestik .1'!S147</f>
        <v>8153.8541447984853</v>
      </c>
      <c r="R13" s="49">
        <f>'Kebutuhan Air Non Domestik .1'!S172</f>
        <v>5.2468268198470369</v>
      </c>
      <c r="S13" s="49">
        <f>'Kebutuhan Air Non Domestik .1'!S197</f>
        <v>1.4990933770991535</v>
      </c>
      <c r="T13" s="49">
        <f t="shared" si="0"/>
        <v>30962.557429286102</v>
      </c>
    </row>
    <row r="14" spans="2:20" x14ac:dyDescent="0.3">
      <c r="B14" s="1">
        <f>'Proyeksi Penduduk Prioritas'!B83</f>
        <v>2032</v>
      </c>
      <c r="C14" s="49">
        <f>'Kebutuhan Air Non Domestik .1'!I48</f>
        <v>1578.248601608075</v>
      </c>
      <c r="D14" s="49">
        <f>'Kebutuhan Air Non Domestik .1'!I73</f>
        <v>3386.2805245230725</v>
      </c>
      <c r="E14" s="49">
        <f>'Kebutuhan Air Non Domestik .1'!I98</f>
        <v>498.87168441634554</v>
      </c>
      <c r="F14" s="49">
        <f>'Kebutuhan Air Non Domestik .1'!I123</f>
        <v>2891.1881710492748</v>
      </c>
      <c r="G14" s="49">
        <f>'Kebutuhan Air Non Domestik .1'!I148</f>
        <v>1666.6849456636999</v>
      </c>
      <c r="H14" s="49">
        <f>'Kebutuhan Air Non Domestik .1'!I173</f>
        <v>2394.5840851984581</v>
      </c>
      <c r="I14" s="49">
        <f>'Kebutuhan Air Non Domestik .1'!I198</f>
        <v>4426.3523999123017</v>
      </c>
      <c r="J14" s="49">
        <f>'Kebutuhan Air Non Domestik .1'!I223</f>
        <v>1161.0104655507678</v>
      </c>
      <c r="K14" s="49">
        <f>'Kebutuhan Air Non Domestik .1'!I248</f>
        <v>58.894573854707453</v>
      </c>
      <c r="L14" s="49">
        <f>'Kebutuhan Air Non Domestik .1'!I273</f>
        <v>1275.8391373551865</v>
      </c>
      <c r="M14" s="49">
        <f>'Kebutuhan Air Non Domestik .1'!S48</f>
        <v>127.55241931099744</v>
      </c>
      <c r="N14" s="49">
        <f>'Kebutuhan Air Non Domestik .1'!S73</f>
        <v>496.9820189450715</v>
      </c>
      <c r="O14" s="49">
        <f>'Kebutuhan Air Non Domestik .1'!S98</f>
        <v>472.416367818509</v>
      </c>
      <c r="P14" s="49">
        <f>'Kebutuhan Air Non Domestik .1'!S123</f>
        <v>2826.9395450259576</v>
      </c>
      <c r="Q14" s="49">
        <f>'Kebutuhan Air Non Domestik .1'!S148</f>
        <v>8318.3074045483063</v>
      </c>
      <c r="R14" s="49">
        <f>'Kebutuhan Air Non Domestik .1'!S173</f>
        <v>5.3412754174456127</v>
      </c>
      <c r="S14" s="49">
        <f>'Kebutuhan Air Non Domestik .1'!S198</f>
        <v>1.5260786906987465</v>
      </c>
      <c r="T14" s="49">
        <f t="shared" si="0"/>
        <v>31587.019698888878</v>
      </c>
    </row>
    <row r="15" spans="2:20" x14ac:dyDescent="0.3">
      <c r="B15" s="1">
        <f>'Proyeksi Penduduk Prioritas'!B84</f>
        <v>2033</v>
      </c>
      <c r="C15" s="49">
        <f>'Kebutuhan Air Non Domestik .1'!I49</f>
        <v>1610.0799445068953</v>
      </c>
      <c r="D15" s="49">
        <f>'Kebutuhan Air Non Domestik .1'!I74</f>
        <v>3454.5776587121131</v>
      </c>
      <c r="E15" s="49">
        <f>'Kebutuhan Air Non Domestik .1'!I99</f>
        <v>508.93331579240942</v>
      </c>
      <c r="F15" s="49">
        <f>'Kebutuhan Air Non Domestik .1'!I124</f>
        <v>2949.4998983423734</v>
      </c>
      <c r="G15" s="49">
        <f>'Kebutuhan Air Non Domestik .1'!I149</f>
        <v>1700.299941397368</v>
      </c>
      <c r="H15" s="49">
        <f>'Kebutuhan Air Non Domestik .1'!I174</f>
        <v>2442.8799158035654</v>
      </c>
      <c r="I15" s="49">
        <f>'Kebutuhan Air Non Domestik .1'!I199</f>
        <v>4515.6265110308332</v>
      </c>
      <c r="J15" s="49">
        <f>'Kebutuhan Air Non Domestik .1'!I224</f>
        <v>1184.4266258441528</v>
      </c>
      <c r="K15" s="49">
        <f>'Kebutuhan Air Non Domestik .1'!I249</f>
        <v>60.082405336603898</v>
      </c>
      <c r="L15" s="49">
        <f>'Kebutuhan Air Non Domestik .1'!I274</f>
        <v>1301.5712514362694</v>
      </c>
      <c r="M15" s="49">
        <f>'Kebutuhan Air Non Domestik .1'!S49</f>
        <v>130.1249955151047</v>
      </c>
      <c r="N15" s="49">
        <f>'Kebutuhan Air Non Domestik .1'!S74</f>
        <v>507.00553808107452</v>
      </c>
      <c r="O15" s="49">
        <f>'Kebutuhan Air Non Domestik .1'!S99</f>
        <v>481.94442783372102</v>
      </c>
      <c r="P15" s="49">
        <f>'Kebutuhan Air Non Domestik .1'!S124</f>
        <v>2883.9554561569867</v>
      </c>
      <c r="Q15" s="49">
        <f>'Kebutuhan Air Non Domestik .1'!S149</f>
        <v>8486.0774852961622</v>
      </c>
      <c r="R15" s="49">
        <f>'Kebutuhan Air Non Domestik .1'!S174</f>
        <v>5.4374241926743299</v>
      </c>
      <c r="S15" s="49">
        <f>'Kebutuhan Air Non Domestik .1'!S199</f>
        <v>1.5535497693355227</v>
      </c>
      <c r="T15" s="49">
        <f t="shared" si="0"/>
        <v>32224.076345047644</v>
      </c>
    </row>
    <row r="16" spans="2:20" x14ac:dyDescent="0.3">
      <c r="B16" s="1">
        <f>'Proyeksi Penduduk Prioritas'!B85</f>
        <v>2034</v>
      </c>
      <c r="C16" s="49">
        <f>'Kebutuhan Air Non Domestik .1'!I50</f>
        <v>1642.5532866380993</v>
      </c>
      <c r="D16" s="49">
        <f>'Kebutuhan Air Non Domestik .1'!I75</f>
        <v>3524.252262518527</v>
      </c>
      <c r="E16" s="49">
        <f>'Kebutuhan Air Non Domestik .1'!I100</f>
        <v>519.19787796031869</v>
      </c>
      <c r="F16" s="49">
        <f>'Kebutuhan Air Non Domestik .1'!I125</f>
        <v>3008.987701815483</v>
      </c>
      <c r="G16" s="49">
        <f>'Kebutuhan Air Non Domestik .1'!I150</f>
        <v>1734.5929104583374</v>
      </c>
      <c r="H16" s="49">
        <f>'Kebutuhan Air Non Domestik .1'!I175</f>
        <v>2492.1498142095297</v>
      </c>
      <c r="I16" s="49">
        <f>'Kebutuhan Air Non Domestik .1'!I200</f>
        <v>4606.701171720646</v>
      </c>
      <c r="J16" s="49">
        <f>'Kebutuhan Air Non Domestik .1'!I225</f>
        <v>1208.3150614349233</v>
      </c>
      <c r="K16" s="49">
        <f>'Kebutuhan Air Non Domestik .1'!I250</f>
        <v>61.294193925870964</v>
      </c>
      <c r="L16" s="49">
        <f>'Kebutuhan Air Non Domestik .1'!I275</f>
        <v>1327.8223507684665</v>
      </c>
      <c r="M16" s="49">
        <f>'Kebutuhan Air Non Domestik .1'!S50</f>
        <v>132.74945743303601</v>
      </c>
      <c r="N16" s="49">
        <f>'Kebutuhan Air Non Domestik .1'!S75</f>
        <v>517.23121933168113</v>
      </c>
      <c r="O16" s="49">
        <f>'Kebutuhan Air Non Domestik .1'!S100</f>
        <v>491.66465715939268</v>
      </c>
      <c r="P16" s="49">
        <f>'Kebutuhan Air Non Domestik .1'!S125</f>
        <v>2942.1213084418055</v>
      </c>
      <c r="Q16" s="49">
        <f>'Kebutuhan Air Non Domestik .1'!S150</f>
        <v>8657.2312832625867</v>
      </c>
      <c r="R16" s="49">
        <f>'Kebutuhan Air Non Domestik .1'!S175</f>
        <v>5.5353037505823659</v>
      </c>
      <c r="S16" s="49">
        <f>'Kebutuhan Air Non Domestik .1'!S200</f>
        <v>1.5815153573092473</v>
      </c>
      <c r="T16" s="49">
        <f t="shared" si="0"/>
        <v>32873.981376186595</v>
      </c>
    </row>
    <row r="17" spans="2:20" x14ac:dyDescent="0.3">
      <c r="B17" s="1">
        <f>'Proyeksi Penduduk Prioritas'!B86</f>
        <v>2035</v>
      </c>
      <c r="C17" s="49">
        <f>'Kebutuhan Air Non Domestik .1'!I51</f>
        <v>1642.5532866380993</v>
      </c>
      <c r="D17" s="49">
        <f>'Kebutuhan Air Non Domestik .1'!I76</f>
        <v>3524.252262518527</v>
      </c>
      <c r="E17" s="49">
        <f>'Kebutuhan Air Non Domestik .1'!I101</f>
        <v>519.19787796031869</v>
      </c>
      <c r="F17" s="49">
        <f>'Kebutuhan Air Non Domestik .1'!I126</f>
        <v>3008.987701815483</v>
      </c>
      <c r="G17" s="49">
        <f>'Kebutuhan Air Non Domestik .1'!I151</f>
        <v>1734.5929104583374</v>
      </c>
      <c r="H17" s="49">
        <f>'Kebutuhan Air Non Domestik .1'!I176</f>
        <v>2492.1498142095297</v>
      </c>
      <c r="I17" s="49">
        <f>'Kebutuhan Air Non Domestik .1'!I201</f>
        <v>4606.701171720646</v>
      </c>
      <c r="J17" s="49">
        <f>'Kebutuhan Air Non Domestik .1'!I226</f>
        <v>1208.3150614349233</v>
      </c>
      <c r="K17" s="49">
        <f>'Kebutuhan Air Non Domestik .1'!I251</f>
        <v>61.294193925870964</v>
      </c>
      <c r="L17" s="49">
        <f>'Kebutuhan Air Non Domestik .1'!I276</f>
        <v>1327.8223507684665</v>
      </c>
      <c r="M17" s="49">
        <f>'Kebutuhan Air Non Domestik .1'!S51</f>
        <v>132.74945743303601</v>
      </c>
      <c r="N17" s="49">
        <f>'Kebutuhan Air Non Domestik .1'!S76</f>
        <v>517.23121933168113</v>
      </c>
      <c r="O17" s="49">
        <f>'Kebutuhan Air Non Domestik .1'!S101</f>
        <v>491.66465715939268</v>
      </c>
      <c r="P17" s="49">
        <f>'Kebutuhan Air Non Domestik .1'!S126</f>
        <v>2942.1213084418055</v>
      </c>
      <c r="Q17" s="49">
        <f>'Kebutuhan Air Non Domestik .1'!S151</f>
        <v>8657.2312832625867</v>
      </c>
      <c r="R17" s="49">
        <f>'Kebutuhan Air Non Domestik .1'!S176</f>
        <v>5.5353037505823659</v>
      </c>
      <c r="S17" s="49">
        <f>'Kebutuhan Air Non Domestik .1'!S201</f>
        <v>1.5815153573092473</v>
      </c>
      <c r="T17" s="49">
        <f t="shared" si="0"/>
        <v>32873.981376186595</v>
      </c>
    </row>
    <row r="18" spans="2:20" x14ac:dyDescent="0.3">
      <c r="B18" s="1">
        <f>'Proyeksi Penduduk Prioritas'!B87</f>
        <v>2036</v>
      </c>
      <c r="C18" s="49">
        <f>'Kebutuhan Air Non Domestik .1'!I52</f>
        <v>1675.6815763405509</v>
      </c>
      <c r="D18" s="49">
        <f>'Kebutuhan Air Non Domestik .1'!I77</f>
        <v>3595.3321178188071</v>
      </c>
      <c r="E18" s="49">
        <f>'Kebutuhan Air Non Domestik .1'!I102</f>
        <v>529.66946378580644</v>
      </c>
      <c r="F18" s="49">
        <f>'Kebutuhan Air Non Domestik .1'!I127</f>
        <v>3069.6753014859237</v>
      </c>
      <c r="G18" s="49">
        <f>'Kebutuhan Air Non Domestik .1'!I152</f>
        <v>1769.5775267389442</v>
      </c>
      <c r="H18" s="49">
        <f>'Kebutuhan Air Non Domestik .1'!I177</f>
        <v>2542.4134261718709</v>
      </c>
      <c r="I18" s="49">
        <f>'Kebutuhan Air Non Domestik .1'!I202</f>
        <v>4699.6126968631543</v>
      </c>
      <c r="J18" s="49">
        <f>'Kebutuhan Air Non Domestik .1'!I227</f>
        <v>1232.6852975378765</v>
      </c>
      <c r="K18" s="49">
        <f>'Kebutuhan Air Non Domestik .1'!I252</f>
        <v>62.53042280804658</v>
      </c>
      <c r="L18" s="49">
        <f>'Kebutuhan Air Non Domestik .1'!I277</f>
        <v>1354.6029026491804</v>
      </c>
      <c r="M18" s="49">
        <f>'Kebutuhan Air Non Domestik .1'!S52</f>
        <v>135.42685153614366</v>
      </c>
      <c r="N18" s="49">
        <f>'Kebutuhan Air Non Domestik .1'!S77</f>
        <v>527.66314005934498</v>
      </c>
      <c r="O18" s="49">
        <f>'Kebutuhan Air Non Domestik .1'!S102</f>
        <v>501.58093161534703</v>
      </c>
      <c r="P18" s="49">
        <f>'Kebutuhan Air Non Domestik .1'!S127</f>
        <v>3001.4602947862363</v>
      </c>
      <c r="Q18" s="49">
        <f>'Kebutuhan Air Non Domestik .1'!S152</f>
        <v>8831.8370438830298</v>
      </c>
      <c r="R18" s="49">
        <f>'Kebutuhan Air Non Domestik .1'!S177</f>
        <v>5.6349452471431141</v>
      </c>
      <c r="S18" s="49">
        <f>'Kebutuhan Air Non Domestik .1'!S202</f>
        <v>1.6099843563266041</v>
      </c>
      <c r="T18" s="49">
        <f t="shared" si="0"/>
        <v>33536.993923683731</v>
      </c>
    </row>
    <row r="19" spans="2:20" x14ac:dyDescent="0.3">
      <c r="B19" s="1">
        <f>'Proyeksi Penduduk Prioritas'!B88</f>
        <v>2037</v>
      </c>
      <c r="C19" s="49">
        <f>'Kebutuhan Air Non Domestik .1'!I53</f>
        <v>1709.4780231052648</v>
      </c>
      <c r="D19" s="49">
        <f>'Kebutuhan Air Non Domestik .1'!I78</f>
        <v>3667.845566815894</v>
      </c>
      <c r="E19" s="49">
        <f>'Kebutuhan Air Non Domestik .1'!I103</f>
        <v>540.35224868269859</v>
      </c>
      <c r="F19" s="49">
        <f>'Kebutuhan Air Non Domestik .1'!I128</f>
        <v>3131.5868957747307</v>
      </c>
      <c r="G19" s="49">
        <f>'Kebutuhan Air Non Domestik .1'!I153</f>
        <v>1805.2677399171978</v>
      </c>
      <c r="H19" s="49">
        <f>'Kebutuhan Air Non Domestik .1'!I178</f>
        <v>2593.6907936769535</v>
      </c>
      <c r="I19" s="49">
        <f>'Kebutuhan Air Non Domestik .1'!I203</f>
        <v>4794.39813376649</v>
      </c>
      <c r="J19" s="49">
        <f>'Kebutuhan Air Non Domestik .1'!I228</f>
        <v>1257.547051479735</v>
      </c>
      <c r="K19" s="49">
        <f>'Kebutuhan Air Non Domestik .1'!I253</f>
        <v>63.791584913929697</v>
      </c>
      <c r="L19" s="49">
        <f>'Kebutuhan Air Non Domestik .1'!I278</f>
        <v>1381.9235854883914</v>
      </c>
      <c r="M19" s="49">
        <f>'Kebutuhan Air Non Domestik .1'!S53</f>
        <v>138.15824540182635</v>
      </c>
      <c r="N19" s="49">
        <f>'Kebutuhan Air Non Domestik .1'!S78</f>
        <v>538.30545986193079</v>
      </c>
      <c r="O19" s="49">
        <f>'Kebutuhan Air Non Domestik .1'!S103</f>
        <v>511.69720519194948</v>
      </c>
      <c r="P19" s="49">
        <f>'Kebutuhan Air Non Domestik .1'!S128</f>
        <v>3061.9960758686257</v>
      </c>
      <c r="Q19" s="49">
        <f>'Kebutuhan Air Non Domestik .1'!S153</f>
        <v>9009.9643890198477</v>
      </c>
      <c r="R19" s="49">
        <f>'Kebutuhan Air Non Domestik .1'!S178</f>
        <v>5.7363803991714288</v>
      </c>
      <c r="S19" s="49">
        <f>'Kebutuhan Air Non Domestik .1'!S203</f>
        <v>1.638965828334694</v>
      </c>
      <c r="T19" s="49">
        <f t="shared" si="0"/>
        <v>34213.37834519297</v>
      </c>
    </row>
    <row r="20" spans="2:20" x14ac:dyDescent="0.3">
      <c r="B20" s="1">
        <f>'Proyeksi Penduduk Prioritas'!B89</f>
        <v>2038</v>
      </c>
      <c r="C20" s="49">
        <f>'Kebutuhan Air Non Domestik .1'!I54</f>
        <v>1743.9561028425242</v>
      </c>
      <c r="D20" s="49">
        <f>'Kebutuhan Air Non Domestik .1'!I79</f>
        <v>3741.8215233402821</v>
      </c>
      <c r="E20" s="49">
        <f>'Kebutuhan Air Non Domestik .1'!I104</f>
        <v>551.25049227780926</v>
      </c>
      <c r="F20" s="49">
        <f>'Kebutuhan Air Non Domestik .1'!I129</f>
        <v>3194.7471711554863</v>
      </c>
      <c r="G20" s="49">
        <f>'Kebutuhan Air Non Domestik .1'!I154</f>
        <v>1841.6777810190449</v>
      </c>
      <c r="H20" s="49">
        <f>'Kebutuhan Air Non Domestik .1'!I179</f>
        <v>2646.0023629334846</v>
      </c>
      <c r="I20" s="49">
        <f>'Kebutuhan Air Non Domestik .1'!I204</f>
        <v>4891.0952769376536</v>
      </c>
      <c r="J20" s="49">
        <f>'Kebutuhan Air Non Domestik .1'!I229</f>
        <v>1282.9102365738108</v>
      </c>
      <c r="K20" s="49">
        <f>'Kebutuhan Air Non Domestik .1'!I254</f>
        <v>65.078183116130276</v>
      </c>
      <c r="L20" s="49">
        <f>'Kebutuhan Air Non Domestik .1'!I279</f>
        <v>1409.795293066544</v>
      </c>
      <c r="M20" s="49">
        <f>'Kebutuhan Air Non Domestik .1'!S54</f>
        <v>140.94472813921263</v>
      </c>
      <c r="N20" s="49">
        <f>'Kebutuhan Air Non Domestik .1'!S79</f>
        <v>549.16242223130257</v>
      </c>
      <c r="O20" s="49">
        <f>'Kebutuhan Air Non Domestik .1'!S104</f>
        <v>522.01751162671337</v>
      </c>
      <c r="P20" s="49">
        <f>'Kebutuhan Air Non Domestik .1'!S129</f>
        <v>3123.7527895742533</v>
      </c>
      <c r="Q20" s="49">
        <f>'Kebutuhan Air Non Domestik .1'!S154</f>
        <v>9191.6843447231713</v>
      </c>
      <c r="R20" s="49">
        <f>'Kebutuhan Air Non Domestik .1'!S179</f>
        <v>5.8396414944193715</v>
      </c>
      <c r="S20" s="49">
        <f>'Kebutuhan Air Non Domestik .1'!S204</f>
        <v>1.6684689984055348</v>
      </c>
      <c r="T20" s="49">
        <f t="shared" si="0"/>
        <v>34903.404330050245</v>
      </c>
    </row>
    <row r="21" spans="2:20" x14ac:dyDescent="0.3">
      <c r="B21" s="1">
        <f>'Proyeksi Penduduk Prioritas'!B90</f>
        <v>2039</v>
      </c>
      <c r="C21" s="49">
        <f>'Kebutuhan Air Non Domestik .1'!I55</f>
        <v>1779.1295632552303</v>
      </c>
      <c r="D21" s="49">
        <f>'Kebutuhan Air Non Domestik .1'!I80</f>
        <v>3817.2894843790382</v>
      </c>
      <c r="E21" s="49">
        <f>'Kebutuhan Air Non Domestik .1'!I105</f>
        <v>562.36854010941192</v>
      </c>
      <c r="F21" s="49">
        <f>'Kebutuhan Air Non Domestik .1'!I130</f>
        <v>3259.1813119977278</v>
      </c>
      <c r="G21" s="49">
        <f>'Kebutuhan Air Non Domestik .1'!I155</f>
        <v>1878.8221680928079</v>
      </c>
      <c r="H21" s="49">
        <f>'Kebutuhan Air Non Domestik .1'!I180</f>
        <v>2699.368992525177</v>
      </c>
      <c r="I21" s="49">
        <f>'Kebutuhan Air Non Domestik .1'!I205</f>
        <v>4989.7426831526009</v>
      </c>
      <c r="J21" s="49">
        <f>'Kebutuhan Air Non Domestik .1'!I230</f>
        <v>1308.7849660728132</v>
      </c>
      <c r="K21" s="49">
        <f>'Kebutuhan Air Non Domestik .1'!I255</f>
        <v>66.390730429583357</v>
      </c>
      <c r="L21" s="49">
        <f>'Kebutuhan Air Non Domestik .1'!I280</f>
        <v>1438.2291388783003</v>
      </c>
      <c r="M21" s="49">
        <f>'Kebutuhan Air Non Domestik .1'!S55</f>
        <v>143.78741082342921</v>
      </c>
      <c r="N21" s="49">
        <f>'Kebutuhan Air Non Domestik .1'!S80</f>
        <v>560.23835624536116</v>
      </c>
      <c r="O21" s="49">
        <f>'Kebutuhan Air Non Domestik .1'!S105</f>
        <v>532.54596601270066</v>
      </c>
      <c r="P21" s="49">
        <f>'Kebutuhan Air Non Domestik .1'!S130</f>
        <v>3186.7550606200011</v>
      </c>
      <c r="Q21" s="49">
        <f>'Kebutuhan Air Non Domestik .1'!S155</f>
        <v>9377.0693695516329</v>
      </c>
      <c r="R21" s="49">
        <f>'Kebutuhan Air Non Domestik .1'!S180</f>
        <v>5.9447614018537172</v>
      </c>
      <c r="S21" s="49">
        <f>'Kebutuhan Air Non Domestik .1'!S205</f>
        <v>1.6985032576724906</v>
      </c>
      <c r="T21" s="49">
        <f t="shared" si="0"/>
        <v>35607.347006805343</v>
      </c>
    </row>
    <row r="22" spans="2:20" x14ac:dyDescent="0.3">
      <c r="B22" s="1">
        <f>'Proyeksi Penduduk Prioritas'!B91</f>
        <v>2040</v>
      </c>
      <c r="C22" s="49">
        <f>'Kebutuhan Air Non Domestik .1'!I56</f>
        <v>1815.0124293206293</v>
      </c>
      <c r="D22" s="49">
        <f>'Kebutuhan Air Non Domestik .1'!I81</f>
        <v>3894.2795418373653</v>
      </c>
      <c r="E22" s="49">
        <f>'Kebutuhan Air Non Domestik .1'!I106</f>
        <v>573.71082535996902</v>
      </c>
      <c r="F22" s="49">
        <f>'Kebutuhan Air Non Domestik .1'!I131</f>
        <v>3324.9150106089114</v>
      </c>
      <c r="G22" s="49">
        <f>'Kebutuhan Air Non Domestik .1'!I156</f>
        <v>1916.7157119980784</v>
      </c>
      <c r="H22" s="49">
        <f>'Kebutuhan Air Non Domestik .1'!I181</f>
        <v>2753.8119617278512</v>
      </c>
      <c r="I22" s="49">
        <f>'Kebutuhan Air Non Domestik .1'!I206</f>
        <v>5090.3796868302697</v>
      </c>
      <c r="J22" s="49">
        <f>'Kebutuhan Air Non Domestik .1'!I231</f>
        <v>1335.1815572013825</v>
      </c>
      <c r="K22" s="49">
        <f>'Kebutuhan Air Non Domestik .1'!I256</f>
        <v>67.729750216107462</v>
      </c>
      <c r="L22" s="49">
        <f>'Kebutuhan Air Non Domestik .1'!I281</f>
        <v>1467.2364605639107</v>
      </c>
      <c r="M22" s="49">
        <f>'Kebutuhan Air Non Domestik .1'!S56</f>
        <v>146.68742693862842</v>
      </c>
      <c r="N22" s="49">
        <f>'Kebutuhan Air Non Domestik .1'!S81</f>
        <v>571.53767829421167</v>
      </c>
      <c r="O22" s="49">
        <f>'Kebutuhan Air Non Domestik .1'!S106</f>
        <v>543.28676643936456</v>
      </c>
      <c r="P22" s="49">
        <f>'Kebutuhan Air Non Domestik .1'!S131</f>
        <v>3251.0280103731584</v>
      </c>
      <c r="Q22" s="49">
        <f>'Kebutuhan Air Non Domestik .1'!S156</f>
        <v>9566.1933834643332</v>
      </c>
      <c r="R22" s="49">
        <f>'Kebutuhan Air Non Domestik .1'!S181</f>
        <v>6.0517735821184333</v>
      </c>
      <c r="S22" s="49">
        <f>'Kebutuhan Air Non Domestik .1'!S206</f>
        <v>1.7290781663195525</v>
      </c>
      <c r="T22" s="49">
        <f t="shared" si="0"/>
        <v>36325.48705292261</v>
      </c>
    </row>
    <row r="23" spans="2:20" x14ac:dyDescent="0.3">
      <c r="B23" s="1">
        <f>'Proyeksi Penduduk Prioritas'!B92</f>
        <v>2041</v>
      </c>
      <c r="C23" s="49">
        <f>'Kebutuhan Air Non Domestik .1'!I57</f>
        <v>1851.6190088825942</v>
      </c>
      <c r="D23" s="49">
        <f>'Kebutuhan Air Non Domestik .1'!I82</f>
        <v>3972.822394537367</v>
      </c>
      <c r="E23" s="49">
        <f>'Kebutuhan Air Non Domestik .1'!I107</f>
        <v>585.28187062380846</v>
      </c>
      <c r="F23" s="49">
        <f>'Kebutuhan Air Non Domestik .1'!I132</f>
        <v>3391.9744774788901</v>
      </c>
      <c r="G23" s="49">
        <f>'Kebutuhan Air Non Domestik .1'!I157</f>
        <v>1955.3735223113604</v>
      </c>
      <c r="H23" s="49">
        <f>'Kebutuhan Air Non Domestik .1'!I182</f>
        <v>2809.3529789942809</v>
      </c>
      <c r="I23" s="49">
        <f>'Kebutuhan Air Non Domestik .1'!I207</f>
        <v>5193.0464157167016</v>
      </c>
      <c r="J23" s="49">
        <f>'Kebutuhan Air Non Domestik .1'!I232</f>
        <v>1362.1105352699544</v>
      </c>
      <c r="K23" s="49">
        <f>'Kebutuhan Air Non Domestik .1'!I257</f>
        <v>69.095776393088499</v>
      </c>
      <c r="L23" s="49">
        <f>'Kebutuhan Air Non Domestik .1'!I282</f>
        <v>1496.8288244299547</v>
      </c>
      <c r="M23" s="49">
        <f>'Kebutuhan Air Non Domestik .1'!S57</f>
        <v>149.64593282995102</v>
      </c>
      <c r="N23" s="49">
        <f>'Kebutuhan Air Non Domestik .1'!S82</f>
        <v>583.06489384114252</v>
      </c>
      <c r="O23" s="49">
        <f>'Kebutuhan Air Non Domestik .1'!S107</f>
        <v>554.24419566648533</v>
      </c>
      <c r="P23" s="49">
        <f>'Kebutuhan Air Non Domestik .1'!S132</f>
        <v>3316.597266868248</v>
      </c>
      <c r="Q23" s="49">
        <f>'Kebutuhan Air Non Domestik .1'!S157</f>
        <v>9759.131797295473</v>
      </c>
      <c r="R23" s="49">
        <f>'Kebutuhan Air Non Domestik .1'!S182</f>
        <v>6.160712098185531</v>
      </c>
      <c r="S23" s="49">
        <f>'Kebutuhan Air Non Domestik .1'!S207</f>
        <v>1.7602034566244376</v>
      </c>
      <c r="T23" s="49">
        <f t="shared" si="0"/>
        <v>37058.110806694109</v>
      </c>
    </row>
    <row r="24" spans="2:20" x14ac:dyDescent="0.3">
      <c r="B24" s="1">
        <f>'Proyeksi Penduduk Prioritas'!B93</f>
        <v>2042</v>
      </c>
      <c r="C24" s="49">
        <f>'Kebutuhan Air Non Domestik .1'!I58</f>
        <v>1888.9638983566995</v>
      </c>
      <c r="D24" s="49">
        <f>'Kebutuhan Air Non Domestik .1'!I83</f>
        <v>4052.9493604588188</v>
      </c>
      <c r="E24" s="49">
        <f>'Kebutuhan Air Non Domestik .1'!I108</f>
        <v>597.08628971045107</v>
      </c>
      <c r="F24" s="49">
        <f>'Kebutuhan Air Non Domestik .1'!I133</f>
        <v>3460.3864517310235</v>
      </c>
      <c r="G24" s="49">
        <f>'Kebutuhan Air Non Domestik .1'!I158</f>
        <v>1994.8110133508249</v>
      </c>
      <c r="H24" s="49">
        <f>'Kebutuhan Air Non Domestik .1'!I183</f>
        <v>2866.0141906101653</v>
      </c>
      <c r="I24" s="49">
        <f>'Kebutuhan Air Non Domestik .1'!I208</f>
        <v>5297.7838068854562</v>
      </c>
      <c r="J24" s="49">
        <f>'Kebutuhan Air Non Domestik .1'!I233</f>
        <v>1389.5826378715951</v>
      </c>
      <c r="K24" s="49">
        <f>'Kebutuhan Air Non Domestik .1'!I258</f>
        <v>70.489353646372678</v>
      </c>
      <c r="L24" s="49">
        <f>'Kebutuhan Air Non Domestik .1'!I283</f>
        <v>1527.0180300612608</v>
      </c>
      <c r="M24" s="49">
        <f>'Kebutuhan Air Non Domestik .1'!S58</f>
        <v>152.66410816460396</v>
      </c>
      <c r="N24" s="49">
        <f>'Kebutuhan Air Non Domestik .1'!S83</f>
        <v>594.82459921912357</v>
      </c>
      <c r="O24" s="49">
        <f>'Kebutuhan Air Non Domestik .1'!S108</f>
        <v>565.42262283186653</v>
      </c>
      <c r="P24" s="49">
        <f>'Kebutuhan Air Non Domestik .1'!S133</f>
        <v>3383.488975025889</v>
      </c>
      <c r="Q24" s="49">
        <f>'Kebutuhan Air Non Domestik .1'!S158</f>
        <v>9955.9615428235065</v>
      </c>
      <c r="R24" s="49">
        <f>'Kebutuhan Air Non Domestik .1'!S183</f>
        <v>6.2716116261976182</v>
      </c>
      <c r="S24" s="49">
        <f>'Kebutuhan Air Non Domestik .1'!S208</f>
        <v>1.7918890360564623</v>
      </c>
      <c r="T24" s="49">
        <f t="shared" si="0"/>
        <v>37805.510381409906</v>
      </c>
    </row>
    <row r="25" spans="2:20" x14ac:dyDescent="0.3">
      <c r="B25" s="1">
        <f>'Proyeksi Penduduk Prioritas'!B94</f>
        <v>2043</v>
      </c>
      <c r="C25" s="49">
        <f>'Kebutuhan Air Non Domestik .1'!I59</f>
        <v>1927.0619885503615</v>
      </c>
      <c r="D25" s="49">
        <f>'Kebutuhan Air Non Domestik .1'!I84</f>
        <v>4134.6923892268287</v>
      </c>
      <c r="E25" s="49">
        <f>'Kebutuhan Air Non Domestik .1'!I109</f>
        <v>609.12878948430966</v>
      </c>
      <c r="F25" s="49">
        <f>'Kebutuhan Air Non Domestik .1'!I134</f>
        <v>3530.1782117840676</v>
      </c>
      <c r="G25" s="49">
        <f>'Kebutuhan Air Non Domestik .1'!I159</f>
        <v>2035.0439103225801</v>
      </c>
      <c r="H25" s="49">
        <f>'Kebutuhan Air Non Domestik .1'!I184</f>
        <v>2923.8181895246862</v>
      </c>
      <c r="I25" s="49">
        <f>'Kebutuhan Air Non Domestik .1'!I209</f>
        <v>5404.6336230607831</v>
      </c>
      <c r="J25" s="49">
        <f>'Kebutuhan Air Non Domestik .1'!I234</f>
        <v>1417.608819163484</v>
      </c>
      <c r="K25" s="49">
        <f>'Kebutuhan Air Non Domestik .1'!I259</f>
        <v>71.911037647453213</v>
      </c>
      <c r="L25" s="49">
        <f>'Kebutuhan Air Non Domestik .1'!I284</f>
        <v>1557.8161150258452</v>
      </c>
      <c r="M25" s="49">
        <f>'Kebutuhan Air Non Domestik .1'!S59</f>
        <v>155.74315640223827</v>
      </c>
      <c r="N25" s="49">
        <f>'Kebutuhan Air Non Domestik .1'!S84</f>
        <v>606.82148346353574</v>
      </c>
      <c r="O25" s="49">
        <f>'Kebutuhan Air Non Domestik .1'!S109</f>
        <v>576.82650519347499</v>
      </c>
      <c r="P25" s="49">
        <f>'Kebutuhan Air Non Domestik .1'!S134</f>
        <v>3451.7298070777547</v>
      </c>
      <c r="Q25" s="49">
        <f>'Kebutuhan Air Non Domestik .1'!S159</f>
        <v>10156.761103446708</v>
      </c>
      <c r="R25" s="49">
        <f>'Kebutuhan Air Non Domestik .1'!S184</f>
        <v>6.3845074665056369</v>
      </c>
      <c r="S25" s="49">
        <f>'Kebutuhan Air Non Domestik .1'!S209</f>
        <v>1.8241449904301821</v>
      </c>
      <c r="T25" s="49">
        <f t="shared" si="0"/>
        <v>38567.983781831048</v>
      </c>
    </row>
  </sheetData>
  <mergeCells count="2">
    <mergeCell ref="C3:S3"/>
    <mergeCell ref="B3:B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Rekapitulasi</vt:lpstr>
      <vt:lpstr>Data Kondisi Daerah Rencana</vt:lpstr>
      <vt:lpstr>Kriteria Zona Prioritas </vt:lpstr>
      <vt:lpstr>Proyeksi Penduduk Prioritas</vt:lpstr>
      <vt:lpstr>Proyeksi Penduduk Pengembangan</vt:lpstr>
      <vt:lpstr>Kebutuhan Air Domestik</vt:lpstr>
      <vt:lpstr>Proyeksi Fasum</vt:lpstr>
      <vt:lpstr>Kebutuhan Air Non Domestik .1</vt:lpstr>
      <vt:lpstr>Kebutuhan Air Non Domestik .2</vt:lpstr>
      <vt:lpstr>Kebutuhan Air Total</vt:lpstr>
      <vt:lpstr>Analisa Sumber Air Baku</vt:lpstr>
      <vt:lpstr>Alternatif Pengolahan</vt:lpstr>
      <vt:lpstr>Removal Efficiency</vt:lpstr>
      <vt:lpstr>Scoring</vt:lpstr>
      <vt:lpstr>Diagram Alir</vt:lpstr>
      <vt:lpstr>Intake</vt:lpstr>
      <vt:lpstr>Pra-sedimentasi</vt:lpstr>
      <vt:lpstr>Koagulasi - Flokulasi</vt:lpstr>
      <vt:lpstr>Sedimentasi </vt:lpstr>
      <vt:lpstr>Rapid Sand Filter (Filtration)</vt:lpstr>
      <vt:lpstr>Disinfeksi </vt:lpstr>
      <vt:lpstr>Reservoir</vt:lpstr>
      <vt:lpstr>Epanet</vt:lpstr>
      <vt:lpstr>Jalur Transmisi </vt:lpstr>
      <vt:lpstr>BOQ Pipa &amp; Pekerjaan</vt:lpstr>
      <vt:lpstr>BOQ Unit</vt:lpstr>
      <vt:lpstr>RAB Pekerjaan Jaringan</vt:lpstr>
      <vt:lpstr>RAB Pipa</vt:lpstr>
      <vt:lpstr>Total RAB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AIKO SARASVATY PRABOWO</cp:lastModifiedBy>
  <cp:lastPrinted>2023-07-17T13:51:30Z</cp:lastPrinted>
  <dcterms:created xsi:type="dcterms:W3CDTF">2023-03-24T03:03:10Z</dcterms:created>
  <dcterms:modified xsi:type="dcterms:W3CDTF">2025-01-10T10:50:23Z</dcterms:modified>
</cp:coreProperties>
</file>