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uiiacid-my.sharepoint.com/personal/20513239_students_uii_ac_id/Documents/Documents/Archives/Kuliah/SEMESTER 6/ASISTENSI PIPAL/FINAL/"/>
    </mc:Choice>
  </mc:AlternateContent>
  <xr:revisionPtr revIDLastSave="0" documentId="8_{A9194735-5B1A-45B0-9B57-94E168C0661D}" xr6:coauthVersionLast="47" xr6:coauthVersionMax="47" xr10:uidLastSave="{00000000-0000-0000-0000-000000000000}"/>
  <bookViews>
    <workbookView xWindow="-108" yWindow="-108" windowWidth="23256" windowHeight="12456" firstSheet="9" activeTab="9" xr2:uid="{5EE489C2-7CAE-4A85-BB51-375FEE3C54B2}"/>
  </bookViews>
  <sheets>
    <sheet name="Rekapitulasi" sheetId="7" r:id="rId1"/>
    <sheet name="Resume Kondisi Sanitasi" sheetId="6" r:id="rId2"/>
    <sheet name="SWOT" sheetId="3" r:id="rId3"/>
    <sheet name="Pembobotan Analisis SWOT" sheetId="2" r:id="rId4"/>
    <sheet name="Data Kondisi Daerah Rencana" sheetId="9" r:id="rId5"/>
    <sheet name="Kriteria Zona Prioritas " sheetId="4" r:id="rId6"/>
    <sheet name="Proyeksi Penduduk" sheetId="8" r:id="rId7"/>
    <sheet name="Debit AL Domestik" sheetId="5" r:id="rId8"/>
    <sheet name="Proyeksi Fasum" sheetId="10" r:id="rId9"/>
    <sheet name="Debit AL Non Domestik" sheetId="17" r:id="rId10"/>
    <sheet name="Rencana Pengembangan" sheetId="18" r:id="rId11"/>
    <sheet name="Debit Total" sheetId="13" r:id="rId12"/>
    <sheet name="Diagram Alir Alternatif " sheetId="12" r:id="rId13"/>
    <sheet name="Scoring" sheetId="15" r:id="rId14"/>
    <sheet name="Removal Efficiency" sheetId="19" r:id="rId15"/>
    <sheet name="Mass Balance" sheetId="20" r:id="rId16"/>
    <sheet name="PFD" sheetId="21" r:id="rId17"/>
    <sheet name="Layout" sheetId="22" r:id="rId18"/>
    <sheet name="Diagram Alir Perencanaan Unit" sheetId="23" r:id="rId19"/>
    <sheet name="Preliminary Design Criteria" sheetId="24" r:id="rId20"/>
    <sheet name="Preliminary Sizing" sheetId="25" r:id="rId21"/>
    <sheet name="Primary Design Criteria" sheetId="26" r:id="rId22"/>
    <sheet name="Primary Sizing" sheetId="27" r:id="rId23"/>
    <sheet name="Secondary Design Criteria" sheetId="28" r:id="rId24"/>
    <sheet name="Secondary Sizing" sheetId="29" r:id="rId25"/>
    <sheet name="Tertiary Design Criteria" sheetId="30" r:id="rId26"/>
    <sheet name="Tertiary Sizing" sheetId="31" r:id="rId27"/>
    <sheet name="Calculation Sludge Volume" sheetId="37" r:id="rId28"/>
    <sheet name="Sludge Thickening Criteria" sheetId="32" r:id="rId29"/>
    <sheet name="Sludge Thickening Sizing" sheetId="33" r:id="rId30"/>
    <sheet name="Sludge Dewatering Criteria" sheetId="35" r:id="rId31"/>
    <sheet name="Sludge Dewatering Sizing" sheetId="36" r:id="rId32"/>
    <sheet name="Pompa" sheetId="39" r:id="rId33"/>
    <sheet name="BOQ" sheetId="38" r:id="rId34"/>
    <sheet name="RAB CAPEX" sheetId="41" r:id="rId35"/>
    <sheet name="RAB OPEX" sheetId="42" r:id="rId36"/>
  </sheets>
  <externalReferences>
    <externalReference r:id="rId37"/>
  </externalReferences>
  <definedNames>
    <definedName name="_xlnm.Print_Area" localSheetId="18">'Diagram Alir Perencanaan Unit'!$A$1:$L$63</definedName>
    <definedName name="_xlnm.Print_Area" localSheetId="1">'Resume Kondisi Sanitasi'!$A$1:$J$60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42" l="1"/>
  <c r="E14" i="42"/>
  <c r="F14" i="42"/>
  <c r="G14" i="42" s="1"/>
  <c r="E15" i="42"/>
  <c r="F15" i="42"/>
  <c r="G15" i="42" s="1"/>
  <c r="E16" i="42"/>
  <c r="F16" i="42"/>
  <c r="G16" i="42" s="1"/>
  <c r="E8" i="42"/>
  <c r="C6" i="42"/>
  <c r="E6" i="42" s="1"/>
  <c r="E9" i="42" s="1"/>
  <c r="C21" i="42" s="1"/>
  <c r="K52" i="41"/>
  <c r="K53" i="41"/>
  <c r="K54" i="41"/>
  <c r="K51" i="41"/>
  <c r="M54" i="41"/>
  <c r="O54" i="41" s="1"/>
  <c r="M53" i="41"/>
  <c r="O53" i="41" s="1"/>
  <c r="M52" i="41"/>
  <c r="O52" i="41" s="1"/>
  <c r="M51" i="41"/>
  <c r="O51" i="41" s="1"/>
  <c r="M42" i="41"/>
  <c r="O42" i="41" s="1"/>
  <c r="M43" i="41"/>
  <c r="O43" i="41" s="1"/>
  <c r="M44" i="41"/>
  <c r="O44" i="41" s="1"/>
  <c r="M45" i="41"/>
  <c r="O45" i="41" s="1"/>
  <c r="M46" i="41"/>
  <c r="O46" i="41" s="1"/>
  <c r="L36" i="41"/>
  <c r="N36" i="41" s="1"/>
  <c r="P36" i="41" s="1"/>
  <c r="F118" i="41"/>
  <c r="G118" i="41" s="1"/>
  <c r="G106" i="41"/>
  <c r="G102" i="41"/>
  <c r="F101" i="41"/>
  <c r="G101" i="41" s="1"/>
  <c r="G100" i="41"/>
  <c r="F89" i="41"/>
  <c r="G89" i="41" s="1"/>
  <c r="G88" i="41"/>
  <c r="G84" i="41"/>
  <c r="G83" i="41"/>
  <c r="G82" i="41"/>
  <c r="G81" i="41"/>
  <c r="F78" i="41"/>
  <c r="G78" i="41" s="1"/>
  <c r="G79" i="41" s="1"/>
  <c r="F33" i="41"/>
  <c r="F41" i="41" s="1"/>
  <c r="G32" i="41"/>
  <c r="F31" i="41"/>
  <c r="F30" i="41"/>
  <c r="G30" i="41" s="1"/>
  <c r="G27" i="41"/>
  <c r="G26" i="41"/>
  <c r="G25" i="41"/>
  <c r="G18" i="41"/>
  <c r="G17" i="41"/>
  <c r="G16" i="41"/>
  <c r="G15" i="41"/>
  <c r="G12" i="41"/>
  <c r="G11" i="41"/>
  <c r="G10" i="41"/>
  <c r="G9" i="41"/>
  <c r="G8" i="41"/>
  <c r="K18" i="38"/>
  <c r="K19" i="38"/>
  <c r="K20" i="38"/>
  <c r="K22" i="38"/>
  <c r="K23" i="38"/>
  <c r="K24" i="38"/>
  <c r="K25" i="38"/>
  <c r="K17" i="38"/>
  <c r="H21" i="38"/>
  <c r="K21" i="38" s="1"/>
  <c r="H5" i="38"/>
  <c r="M7" i="41" s="1"/>
  <c r="I5" i="38"/>
  <c r="J5" i="38"/>
  <c r="K5" i="38"/>
  <c r="O5" i="38"/>
  <c r="H6" i="38"/>
  <c r="M11" i="41" s="1"/>
  <c r="I6" i="38"/>
  <c r="J6" i="38"/>
  <c r="K6" i="38"/>
  <c r="O6" i="38"/>
  <c r="H7" i="38"/>
  <c r="M15" i="41" s="1"/>
  <c r="I7" i="38"/>
  <c r="J7" i="38"/>
  <c r="K7" i="38"/>
  <c r="O7" i="38"/>
  <c r="H8" i="38"/>
  <c r="M19" i="41" s="1"/>
  <c r="I8" i="38"/>
  <c r="J8" i="38"/>
  <c r="K8" i="38"/>
  <c r="O8" i="38"/>
  <c r="H9" i="38"/>
  <c r="M23" i="41" s="1"/>
  <c r="I9" i="38"/>
  <c r="J9" i="38"/>
  <c r="K9" i="38"/>
  <c r="O9" i="38"/>
  <c r="H10" i="38"/>
  <c r="M27" i="41" s="1"/>
  <c r="I10" i="38"/>
  <c r="J10" i="38"/>
  <c r="K10" i="38"/>
  <c r="O10" i="38"/>
  <c r="F17" i="42" l="1"/>
  <c r="G17" i="42"/>
  <c r="G103" i="41"/>
  <c r="O55" i="41"/>
  <c r="S9" i="41" s="1"/>
  <c r="M7" i="38"/>
  <c r="H37" i="38" s="1"/>
  <c r="L35" i="41"/>
  <c r="N35" i="41" s="1"/>
  <c r="P35" i="41" s="1"/>
  <c r="P37" i="41" s="1"/>
  <c r="S7" i="41" s="1"/>
  <c r="M10" i="38"/>
  <c r="F97" i="41"/>
  <c r="G97" i="41" s="1"/>
  <c r="G98" i="41" s="1"/>
  <c r="F119" i="41"/>
  <c r="G119" i="41" s="1"/>
  <c r="G31" i="41"/>
  <c r="F40" i="41"/>
  <c r="F51" i="41" s="1"/>
  <c r="G51" i="41" s="1"/>
  <c r="F114" i="41"/>
  <c r="G114" i="41" s="1"/>
  <c r="G115" i="41" s="1"/>
  <c r="G85" i="41"/>
  <c r="G19" i="41"/>
  <c r="G28" i="41"/>
  <c r="M9" i="38"/>
  <c r="M5" i="38"/>
  <c r="O11" i="38"/>
  <c r="H39" i="38"/>
  <c r="M6" i="38"/>
  <c r="M12" i="41" s="1"/>
  <c r="M8" i="38"/>
  <c r="M20" i="41" s="1"/>
  <c r="F52" i="41"/>
  <c r="G41" i="41"/>
  <c r="G33" i="41"/>
  <c r="G13" i="41"/>
  <c r="C22" i="42" l="1"/>
  <c r="C23" i="42" s="1"/>
  <c r="G20" i="41"/>
  <c r="G21" i="41" s="1"/>
  <c r="G22" i="41" s="1"/>
  <c r="G40" i="41"/>
  <c r="G34" i="41"/>
  <c r="G35" i="41" s="1"/>
  <c r="G36" i="41" s="1"/>
  <c r="G37" i="41" s="1"/>
  <c r="N7" i="38"/>
  <c r="M16" i="41"/>
  <c r="M11" i="38"/>
  <c r="N10" i="38"/>
  <c r="M28" i="41"/>
  <c r="H40" i="38"/>
  <c r="N9" i="38"/>
  <c r="M24" i="41"/>
  <c r="H35" i="38"/>
  <c r="M8" i="41"/>
  <c r="N5" i="38"/>
  <c r="F59" i="41"/>
  <c r="G59" i="41" s="1"/>
  <c r="G42" i="41"/>
  <c r="G43" i="41" s="1"/>
  <c r="G44" i="41" s="1"/>
  <c r="G45" i="41" s="1"/>
  <c r="N6" i="38"/>
  <c r="H36" i="38"/>
  <c r="N8" i="38"/>
  <c r="H38" i="38"/>
  <c r="F67" i="41"/>
  <c r="G52" i="41"/>
  <c r="G53" i="41" s="1"/>
  <c r="G54" i="41" s="1"/>
  <c r="G55" i="41" s="1"/>
  <c r="G56" i="41" s="1"/>
  <c r="F60" i="41"/>
  <c r="G46" i="41" l="1"/>
  <c r="S5" i="41" s="1"/>
  <c r="N11" i="38"/>
  <c r="G60" i="41"/>
  <c r="G61" i="41" s="1"/>
  <c r="G62" i="41" s="1"/>
  <c r="G63" i="41" s="1"/>
  <c r="G64" i="41" s="1"/>
  <c r="F68" i="41"/>
  <c r="G67" i="41"/>
  <c r="F87" i="41"/>
  <c r="G87" i="41" l="1"/>
  <c r="F105" i="41"/>
  <c r="F90" i="41"/>
  <c r="G68" i="41"/>
  <c r="G69" i="41" s="1"/>
  <c r="G70" i="41" s="1"/>
  <c r="G71" i="41" s="1"/>
  <c r="G72" i="41" s="1"/>
  <c r="G73" i="41" s="1"/>
  <c r="G74" i="41" s="1"/>
  <c r="N23" i="41" l="1"/>
  <c r="P23" i="41" s="1"/>
  <c r="N15" i="41"/>
  <c r="P15" i="41" s="1"/>
  <c r="N7" i="41"/>
  <c r="P7" i="41" s="1"/>
  <c r="N19" i="41"/>
  <c r="P19" i="41" s="1"/>
  <c r="N27" i="41"/>
  <c r="P27" i="41" s="1"/>
  <c r="N11" i="41"/>
  <c r="P11" i="41" s="1"/>
  <c r="F107" i="41"/>
  <c r="G90" i="41"/>
  <c r="G105" i="41"/>
  <c r="F117" i="41"/>
  <c r="G117" i="41" s="1"/>
  <c r="G91" i="41"/>
  <c r="G92" i="41" s="1"/>
  <c r="G93" i="41" l="1"/>
  <c r="G94" i="41" s="1"/>
  <c r="G107" i="41"/>
  <c r="G108" i="41" s="1"/>
  <c r="G109" i="41" s="1"/>
  <c r="F120" i="41"/>
  <c r="G120" i="41" s="1"/>
  <c r="G121" i="41" s="1"/>
  <c r="G122" i="41" s="1"/>
  <c r="G110" i="41" l="1"/>
  <c r="G111" i="41" s="1"/>
  <c r="G123" i="41"/>
  <c r="G124" i="41" s="1"/>
  <c r="G125" i="41" s="1"/>
  <c r="G126" i="41" l="1"/>
  <c r="N8" i="41" l="1"/>
  <c r="P8" i="41" s="1"/>
  <c r="P9" i="41" s="1"/>
  <c r="N16" i="41"/>
  <c r="N24" i="41"/>
  <c r="P24" i="41" s="1"/>
  <c r="P25" i="41" s="1"/>
  <c r="P16" i="41"/>
  <c r="P17" i="41" s="1"/>
  <c r="N12" i="41"/>
  <c r="P12" i="41" s="1"/>
  <c r="P13" i="41" s="1"/>
  <c r="N28" i="41"/>
  <c r="P28" i="41" s="1"/>
  <c r="P29" i="41" s="1"/>
  <c r="N20" i="41"/>
  <c r="P20" i="41" s="1"/>
  <c r="P21" i="41" s="1"/>
  <c r="P30" i="41" l="1"/>
  <c r="S6" i="41" s="1"/>
  <c r="B28" i="38" l="1"/>
  <c r="D7" i="39"/>
  <c r="B29" i="38"/>
  <c r="D103" i="39"/>
  <c r="D104" i="39" s="1"/>
  <c r="D106" i="39" s="1"/>
  <c r="E101" i="39"/>
  <c r="D98" i="39"/>
  <c r="D95" i="39"/>
  <c r="D96" i="39" s="1"/>
  <c r="F91" i="39"/>
  <c r="F93" i="39" s="1"/>
  <c r="D99" i="39" s="1"/>
  <c r="D84" i="39"/>
  <c r="D79" i="39"/>
  <c r="D86" i="39" s="1"/>
  <c r="P68" i="39"/>
  <c r="P69" i="39" s="1"/>
  <c r="P71" i="39" s="1"/>
  <c r="Q66" i="39"/>
  <c r="P63" i="39"/>
  <c r="P60" i="39"/>
  <c r="P61" i="39" s="1"/>
  <c r="R56" i="39"/>
  <c r="R58" i="39" s="1"/>
  <c r="P64" i="39" s="1"/>
  <c r="P49" i="39"/>
  <c r="P44" i="39"/>
  <c r="P51" i="39" s="1"/>
  <c r="J68" i="39"/>
  <c r="J69" i="39" s="1"/>
  <c r="J71" i="39" s="1"/>
  <c r="K66" i="39"/>
  <c r="J63" i="39"/>
  <c r="J60" i="39"/>
  <c r="J61" i="39" s="1"/>
  <c r="L56" i="39"/>
  <c r="L58" i="39" s="1"/>
  <c r="J64" i="39" s="1"/>
  <c r="J49" i="39"/>
  <c r="J44" i="39"/>
  <c r="J51" i="39" s="1"/>
  <c r="D68" i="39"/>
  <c r="D69" i="39" s="1"/>
  <c r="D71" i="39" s="1"/>
  <c r="E66" i="39"/>
  <c r="D63" i="39"/>
  <c r="D60" i="39"/>
  <c r="D61" i="39" s="1"/>
  <c r="F56" i="39"/>
  <c r="F58" i="39" s="1"/>
  <c r="D64" i="39" s="1"/>
  <c r="D49" i="39"/>
  <c r="D44" i="39"/>
  <c r="D51" i="39" s="1"/>
  <c r="P33" i="39"/>
  <c r="P34" i="39" s="1"/>
  <c r="P36" i="39" s="1"/>
  <c r="Q31" i="39"/>
  <c r="P28" i="39"/>
  <c r="P25" i="39"/>
  <c r="P26" i="39" s="1"/>
  <c r="R21" i="39"/>
  <c r="R23" i="39" s="1"/>
  <c r="P29" i="39" s="1"/>
  <c r="P14" i="39"/>
  <c r="P9" i="39"/>
  <c r="P16" i="39" s="1"/>
  <c r="J33" i="39"/>
  <c r="J34" i="39" s="1"/>
  <c r="J36" i="39" s="1"/>
  <c r="K31" i="39"/>
  <c r="J28" i="39"/>
  <c r="J25" i="39"/>
  <c r="J26" i="39" s="1"/>
  <c r="L21" i="39"/>
  <c r="L23" i="39" s="1"/>
  <c r="J29" i="39" s="1"/>
  <c r="J14" i="39"/>
  <c r="J9" i="39"/>
  <c r="J16" i="39" s="1"/>
  <c r="D33" i="39"/>
  <c r="D34" i="39" s="1"/>
  <c r="D36" i="39" s="1"/>
  <c r="E31" i="39"/>
  <c r="D28" i="39"/>
  <c r="D25" i="39"/>
  <c r="D26" i="39" s="1"/>
  <c r="F21" i="39"/>
  <c r="F23" i="39" s="1"/>
  <c r="D88" i="39" l="1"/>
  <c r="D75" i="39" s="1"/>
  <c r="D80" i="39"/>
  <c r="P53" i="39"/>
  <c r="P40" i="39" s="1"/>
  <c r="P45" i="39"/>
  <c r="J53" i="39"/>
  <c r="J40" i="39" s="1"/>
  <c r="J45" i="39"/>
  <c r="D53" i="39"/>
  <c r="D40" i="39" s="1"/>
  <c r="D45" i="39"/>
  <c r="P18" i="39"/>
  <c r="P5" i="39" s="1"/>
  <c r="P10" i="39"/>
  <c r="J18" i="39"/>
  <c r="J5" i="39" s="1"/>
  <c r="J10" i="39"/>
  <c r="D29" i="39"/>
  <c r="D14" i="39"/>
  <c r="D9" i="39"/>
  <c r="D16" i="39" l="1"/>
  <c r="D18" i="39" s="1"/>
  <c r="D5" i="39" s="1"/>
  <c r="D10" i="39"/>
  <c r="F99" i="25" l="1"/>
  <c r="F33" i="36"/>
  <c r="F32" i="36"/>
  <c r="F30" i="36"/>
  <c r="F23" i="33"/>
  <c r="F20" i="33"/>
  <c r="F19" i="33"/>
  <c r="F8" i="33"/>
  <c r="F22" i="37"/>
  <c r="F23" i="37"/>
  <c r="F21" i="37"/>
  <c r="F12" i="37"/>
  <c r="F10" i="37"/>
  <c r="F8" i="37"/>
  <c r="F9" i="37"/>
  <c r="F7" i="37"/>
  <c r="F24" i="29"/>
  <c r="F36" i="31"/>
  <c r="F35" i="31"/>
  <c r="F34" i="31"/>
  <c r="F33" i="31"/>
  <c r="F31" i="31"/>
  <c r="F30" i="31"/>
  <c r="F22" i="31"/>
  <c r="F27" i="31" s="1"/>
  <c r="F19" i="31"/>
  <c r="F84" i="29"/>
  <c r="F68" i="29"/>
  <c r="F70" i="29" s="1"/>
  <c r="D62" i="29"/>
  <c r="F56" i="29"/>
  <c r="F82" i="29" s="1"/>
  <c r="D53" i="8"/>
  <c r="F121" i="25" l="1"/>
  <c r="F112" i="25"/>
  <c r="F19" i="29"/>
  <c r="F40" i="27"/>
  <c r="F42" i="27"/>
  <c r="F5" i="29"/>
  <c r="F53" i="25"/>
  <c r="F98" i="25"/>
  <c r="F119" i="25"/>
  <c r="F14" i="27"/>
  <c r="C73" i="8"/>
  <c r="C72" i="8"/>
  <c r="C71" i="8"/>
  <c r="C70" i="8"/>
  <c r="C69" i="8"/>
  <c r="C68" i="8"/>
  <c r="C67" i="8"/>
  <c r="C66" i="8"/>
  <c r="C65" i="8"/>
  <c r="AA46" i="8"/>
  <c r="AA45" i="8"/>
  <c r="AA44" i="8"/>
  <c r="AA43" i="8"/>
  <c r="AA42" i="8"/>
  <c r="AA41" i="8"/>
  <c r="AA40" i="8"/>
  <c r="AA39" i="8"/>
  <c r="AA38" i="8"/>
  <c r="P46" i="8"/>
  <c r="P45" i="8"/>
  <c r="P44" i="8"/>
  <c r="P43" i="8"/>
  <c r="P42" i="8"/>
  <c r="P41" i="8"/>
  <c r="P40" i="8"/>
  <c r="P39" i="8"/>
  <c r="P38" i="8"/>
  <c r="D46" i="8"/>
  <c r="D45" i="8"/>
  <c r="D44" i="8"/>
  <c r="D43" i="8"/>
  <c r="D42" i="8"/>
  <c r="D41" i="8"/>
  <c r="D40" i="8"/>
  <c r="D39" i="8"/>
  <c r="D38" i="8"/>
  <c r="P32" i="8"/>
  <c r="P31" i="8"/>
  <c r="P30" i="8"/>
  <c r="P29" i="8"/>
  <c r="P28" i="8"/>
  <c r="P27" i="8"/>
  <c r="P26" i="8"/>
  <c r="P25" i="8"/>
  <c r="P24" i="8"/>
  <c r="J32" i="8"/>
  <c r="J31" i="8"/>
  <c r="J30" i="8"/>
  <c r="J29" i="8"/>
  <c r="J28" i="8"/>
  <c r="J27" i="8"/>
  <c r="J26" i="8"/>
  <c r="J25" i="8"/>
  <c r="J24" i="8"/>
  <c r="D32" i="8"/>
  <c r="D31" i="8"/>
  <c r="D30" i="8"/>
  <c r="D29" i="8"/>
  <c r="D28" i="8"/>
  <c r="D27" i="8"/>
  <c r="D26" i="8"/>
  <c r="D25" i="8"/>
  <c r="D24" i="8"/>
  <c r="C16" i="8"/>
  <c r="C15" i="8"/>
  <c r="C14" i="8"/>
  <c r="C13" i="8"/>
  <c r="C12" i="8"/>
  <c r="C11" i="8"/>
  <c r="C10" i="8"/>
  <c r="C9" i="8"/>
  <c r="C8" i="8"/>
  <c r="F26" i="27" l="1"/>
  <c r="F28" i="27" s="1"/>
  <c r="D20" i="27"/>
  <c r="F125" i="25"/>
  <c r="F124" i="25"/>
  <c r="C159" i="25" l="1"/>
  <c r="C160" i="25"/>
  <c r="C161" i="25"/>
  <c r="C162" i="25"/>
  <c r="C163" i="25"/>
  <c r="C164" i="25"/>
  <c r="C165" i="25"/>
  <c r="C166" i="25"/>
  <c r="C167" i="25"/>
  <c r="C168" i="25"/>
  <c r="C169" i="25"/>
  <c r="C170" i="25"/>
  <c r="C171" i="25"/>
  <c r="C172" i="25"/>
  <c r="C173" i="25"/>
  <c r="C174" i="25"/>
  <c r="C175" i="25"/>
  <c r="C176" i="25"/>
  <c r="C177" i="25"/>
  <c r="C178" i="25"/>
  <c r="C179" i="25"/>
  <c r="C180" i="25"/>
  <c r="C181" i="25"/>
  <c r="C158" i="25"/>
  <c r="F110" i="25"/>
  <c r="F109" i="25"/>
  <c r="D154" i="25"/>
  <c r="C154" i="25"/>
  <c r="D171" i="25" l="1"/>
  <c r="D169" i="25"/>
  <c r="D172" i="25"/>
  <c r="D170" i="25"/>
  <c r="D167" i="25"/>
  <c r="D166" i="25"/>
  <c r="D164" i="25"/>
  <c r="D176" i="25"/>
  <c r="D168" i="25"/>
  <c r="D163" i="25"/>
  <c r="D180" i="25"/>
  <c r="D179" i="25"/>
  <c r="E158" i="25"/>
  <c r="E159" i="25" s="1"/>
  <c r="D177" i="25"/>
  <c r="D173" i="25"/>
  <c r="D165" i="25"/>
  <c r="D158" i="25"/>
  <c r="F158" i="25" s="1"/>
  <c r="D162" i="25"/>
  <c r="D181" i="25"/>
  <c r="D161" i="25"/>
  <c r="D160" i="25"/>
  <c r="D159" i="25"/>
  <c r="D178" i="25"/>
  <c r="D175" i="25"/>
  <c r="D174" i="25"/>
  <c r="F61" i="25"/>
  <c r="F59" i="25"/>
  <c r="F60" i="25"/>
  <c r="H29" i="10"/>
  <c r="H28" i="10"/>
  <c r="H27" i="10"/>
  <c r="H26" i="10"/>
  <c r="H24" i="10"/>
  <c r="H22" i="10"/>
  <c r="H21" i="10"/>
  <c r="H20" i="10"/>
  <c r="H19" i="10"/>
  <c r="H16" i="10"/>
  <c r="H15" i="10"/>
  <c r="H14" i="10"/>
  <c r="H13" i="10"/>
  <c r="H12" i="10"/>
  <c r="H11" i="10"/>
  <c r="H10" i="10"/>
  <c r="H9" i="10"/>
  <c r="G28" i="10"/>
  <c r="G27" i="10"/>
  <c r="G26" i="10"/>
  <c r="G24" i="10"/>
  <c r="G22" i="10"/>
  <c r="G21" i="10"/>
  <c r="G20" i="10"/>
  <c r="G19" i="10"/>
  <c r="G16" i="10"/>
  <c r="G15" i="10"/>
  <c r="G14" i="10"/>
  <c r="G13" i="10"/>
  <c r="G12" i="10"/>
  <c r="G11" i="10"/>
  <c r="G10" i="10"/>
  <c r="G9" i="10"/>
  <c r="F28" i="10"/>
  <c r="F27" i="10"/>
  <c r="F26" i="10"/>
  <c r="F24" i="10"/>
  <c r="F22" i="10"/>
  <c r="F21" i="10"/>
  <c r="F20" i="10"/>
  <c r="F19" i="10"/>
  <c r="F16" i="10"/>
  <c r="F15" i="10"/>
  <c r="F14" i="10"/>
  <c r="F13" i="10"/>
  <c r="F12" i="10"/>
  <c r="F11" i="10"/>
  <c r="F10" i="10"/>
  <c r="F9" i="10"/>
  <c r="E28" i="10"/>
  <c r="E27" i="10"/>
  <c r="E26" i="10"/>
  <c r="E24" i="10"/>
  <c r="E22" i="10"/>
  <c r="E21" i="10"/>
  <c r="E20" i="10"/>
  <c r="E19" i="10"/>
  <c r="E16" i="10"/>
  <c r="E15" i="10"/>
  <c r="E14" i="10"/>
  <c r="E13" i="10"/>
  <c r="E12" i="10"/>
  <c r="E11" i="10"/>
  <c r="E10" i="10"/>
  <c r="E9" i="10"/>
  <c r="F107" i="25"/>
  <c r="F42" i="25"/>
  <c r="F159" i="25" l="1"/>
  <c r="G159" i="25" s="1"/>
  <c r="G158" i="25"/>
  <c r="E160" i="25"/>
  <c r="F33" i="25"/>
  <c r="F10" i="25"/>
  <c r="D5" i="19"/>
  <c r="F5" i="19" s="1"/>
  <c r="J5" i="19" s="1"/>
  <c r="L5" i="19" s="1"/>
  <c r="N5" i="19" s="1"/>
  <c r="P5" i="19" s="1"/>
  <c r="R5" i="19" s="1"/>
  <c r="T5" i="19" s="1"/>
  <c r="V5" i="19" s="1"/>
  <c r="X5" i="19" s="1"/>
  <c r="Z5" i="19" s="1"/>
  <c r="D6" i="19"/>
  <c r="F6" i="19" s="1"/>
  <c r="J6" i="19" s="1"/>
  <c r="L6" i="19" s="1"/>
  <c r="N6" i="19" s="1"/>
  <c r="P6" i="19" s="1"/>
  <c r="R6" i="19" s="1"/>
  <c r="T6" i="19" s="1"/>
  <c r="V6" i="19" s="1"/>
  <c r="X6" i="19" s="1"/>
  <c r="Z6" i="19" s="1"/>
  <c r="D7" i="19"/>
  <c r="F7" i="19" s="1"/>
  <c r="J7" i="19" s="1"/>
  <c r="L7" i="19" s="1"/>
  <c r="N7" i="19" s="1"/>
  <c r="P7" i="19" s="1"/>
  <c r="R7" i="19" s="1"/>
  <c r="T7" i="19" s="1"/>
  <c r="V7" i="19" s="1"/>
  <c r="X7" i="19" s="1"/>
  <c r="Z7" i="19" s="1"/>
  <c r="D8" i="19"/>
  <c r="F8" i="19" s="1"/>
  <c r="J8" i="19" s="1"/>
  <c r="L8" i="19" s="1"/>
  <c r="N8" i="19" s="1"/>
  <c r="P8" i="19" s="1"/>
  <c r="R8" i="19" s="1"/>
  <c r="T8" i="19" s="1"/>
  <c r="V8" i="19" s="1"/>
  <c r="X8" i="19" s="1"/>
  <c r="Z8" i="19" s="1"/>
  <c r="D9" i="19"/>
  <c r="F9" i="19" s="1"/>
  <c r="J9" i="19" s="1"/>
  <c r="L9" i="19" s="1"/>
  <c r="N9" i="19" s="1"/>
  <c r="P9" i="19" s="1"/>
  <c r="R9" i="19" s="1"/>
  <c r="T9" i="19" s="1"/>
  <c r="V9" i="19" s="1"/>
  <c r="X9" i="19" s="1"/>
  <c r="Z9" i="19" s="1"/>
  <c r="D10" i="19"/>
  <c r="F10" i="19" s="1"/>
  <c r="J10" i="19" s="1"/>
  <c r="L10" i="19" s="1"/>
  <c r="N10" i="19" s="1"/>
  <c r="P10" i="19" s="1"/>
  <c r="R10" i="19" s="1"/>
  <c r="T10" i="19" s="1"/>
  <c r="V10" i="19" s="1"/>
  <c r="X10" i="19" s="1"/>
  <c r="Z10" i="19" s="1"/>
  <c r="AC24" i="15"/>
  <c r="AD24" i="15"/>
  <c r="AB24" i="15"/>
  <c r="AD23" i="15"/>
  <c r="AD20" i="15"/>
  <c r="AD21" i="15"/>
  <c r="AD22" i="15"/>
  <c r="AD19" i="15"/>
  <c r="AD17" i="15"/>
  <c r="AD16" i="15"/>
  <c r="AD14" i="15"/>
  <c r="AD13" i="15"/>
  <c r="AD10" i="15"/>
  <c r="AD11" i="15"/>
  <c r="AD9" i="15"/>
  <c r="AD7" i="15"/>
  <c r="AD6" i="15"/>
  <c r="AC23" i="15"/>
  <c r="AC20" i="15"/>
  <c r="AC21" i="15"/>
  <c r="AC22" i="15"/>
  <c r="AC19" i="15"/>
  <c r="AC17" i="15"/>
  <c r="AC16" i="15"/>
  <c r="AC14" i="15"/>
  <c r="AC13" i="15"/>
  <c r="AC10" i="15"/>
  <c r="AC11" i="15"/>
  <c r="AC9" i="15"/>
  <c r="AC7" i="15"/>
  <c r="AC6" i="15"/>
  <c r="AB23" i="15"/>
  <c r="AB20" i="15"/>
  <c r="AB21" i="15"/>
  <c r="AB22" i="15"/>
  <c r="AB19" i="15"/>
  <c r="AB17" i="15"/>
  <c r="AB16" i="15"/>
  <c r="AB14" i="15"/>
  <c r="AB13" i="15"/>
  <c r="AB11" i="15"/>
  <c r="AB10" i="15"/>
  <c r="AB9" i="15"/>
  <c r="AB7" i="15"/>
  <c r="AB6" i="15"/>
  <c r="X23" i="15"/>
  <c r="K56" i="13"/>
  <c r="K35" i="13"/>
  <c r="G56" i="13"/>
  <c r="G45" i="13"/>
  <c r="G35" i="13"/>
  <c r="R3" i="18"/>
  <c r="L190" i="17"/>
  <c r="L191" i="17"/>
  <c r="L192" i="17"/>
  <c r="L193" i="17"/>
  <c r="L194" i="17"/>
  <c r="L195" i="17"/>
  <c r="L196" i="17"/>
  <c r="L197" i="17"/>
  <c r="L198" i="17"/>
  <c r="L199" i="17"/>
  <c r="L200" i="17"/>
  <c r="L201" i="17"/>
  <c r="L202" i="17"/>
  <c r="L203" i="17"/>
  <c r="L204" i="17"/>
  <c r="L205" i="17"/>
  <c r="L206" i="17"/>
  <c r="L207" i="17"/>
  <c r="L208" i="17"/>
  <c r="L209" i="17"/>
  <c r="L189" i="17"/>
  <c r="Q209" i="17"/>
  <c r="P209" i="17"/>
  <c r="N209" i="17"/>
  <c r="Q208" i="17"/>
  <c r="P208" i="17"/>
  <c r="N208" i="17"/>
  <c r="Q207" i="17"/>
  <c r="P207" i="17"/>
  <c r="N207" i="17"/>
  <c r="Q206" i="17"/>
  <c r="P206" i="17"/>
  <c r="N206" i="17"/>
  <c r="Q205" i="17"/>
  <c r="P205" i="17"/>
  <c r="N205" i="17"/>
  <c r="Q204" i="17"/>
  <c r="P204" i="17"/>
  <c r="N204" i="17"/>
  <c r="Q203" i="17"/>
  <c r="P203" i="17"/>
  <c r="N203" i="17"/>
  <c r="Q202" i="17"/>
  <c r="P202" i="17"/>
  <c r="N202" i="17"/>
  <c r="Q201" i="17"/>
  <c r="P201" i="17"/>
  <c r="N201" i="17"/>
  <c r="Q200" i="17"/>
  <c r="P200" i="17"/>
  <c r="N200" i="17"/>
  <c r="Q199" i="17"/>
  <c r="P199" i="17"/>
  <c r="N199" i="17"/>
  <c r="Q198" i="17"/>
  <c r="P198" i="17"/>
  <c r="N198" i="17"/>
  <c r="Q197" i="17"/>
  <c r="P197" i="17"/>
  <c r="N197" i="17"/>
  <c r="Q196" i="17"/>
  <c r="P196" i="17"/>
  <c r="N196" i="17"/>
  <c r="Q195" i="17"/>
  <c r="P195" i="17"/>
  <c r="N195" i="17"/>
  <c r="Q194" i="17"/>
  <c r="P194" i="17"/>
  <c r="N194" i="17"/>
  <c r="Q193" i="17"/>
  <c r="P193" i="17"/>
  <c r="N193" i="17"/>
  <c r="Q192" i="17"/>
  <c r="P192" i="17"/>
  <c r="N192" i="17"/>
  <c r="Q191" i="17"/>
  <c r="P191" i="17"/>
  <c r="N191" i="17"/>
  <c r="Q190" i="17"/>
  <c r="P190" i="17"/>
  <c r="N190" i="17"/>
  <c r="Q189" i="17"/>
  <c r="P189" i="17"/>
  <c r="N189" i="17"/>
  <c r="Q172" i="17"/>
  <c r="Q173" i="17"/>
  <c r="Q174" i="17"/>
  <c r="Q175" i="17"/>
  <c r="Q176" i="17"/>
  <c r="Q177" i="17"/>
  <c r="Q178" i="17"/>
  <c r="Q179" i="17"/>
  <c r="Q180" i="17"/>
  <c r="Q181" i="17"/>
  <c r="Q182" i="17"/>
  <c r="Q183" i="17"/>
  <c r="Q184" i="17"/>
  <c r="P174" i="17"/>
  <c r="P175" i="17"/>
  <c r="P176" i="17"/>
  <c r="P177" i="17"/>
  <c r="P178" i="17"/>
  <c r="P179" i="17"/>
  <c r="P180" i="17"/>
  <c r="P181" i="17"/>
  <c r="P182" i="17"/>
  <c r="P183" i="17"/>
  <c r="P184" i="17"/>
  <c r="N175" i="17"/>
  <c r="N176" i="17"/>
  <c r="N177" i="17"/>
  <c r="N178" i="17"/>
  <c r="N179" i="17"/>
  <c r="N180" i="17"/>
  <c r="N181" i="17"/>
  <c r="N182" i="17"/>
  <c r="N183" i="17"/>
  <c r="N184" i="17"/>
  <c r="L165" i="17"/>
  <c r="L166" i="17"/>
  <c r="L167" i="17"/>
  <c r="L168" i="17"/>
  <c r="L169" i="17"/>
  <c r="L170" i="17"/>
  <c r="L171" i="17"/>
  <c r="L172" i="17"/>
  <c r="L173" i="17"/>
  <c r="L174" i="17"/>
  <c r="L175" i="17"/>
  <c r="L176" i="17"/>
  <c r="L177" i="17"/>
  <c r="L178" i="17"/>
  <c r="L179" i="17"/>
  <c r="L180" i="17"/>
  <c r="L181" i="17"/>
  <c r="L182" i="17"/>
  <c r="L183" i="17"/>
  <c r="L184" i="17"/>
  <c r="L164" i="17"/>
  <c r="N174" i="17"/>
  <c r="P173" i="17"/>
  <c r="N173" i="17"/>
  <c r="P172" i="17"/>
  <c r="N172" i="17"/>
  <c r="Q171" i="17"/>
  <c r="P171" i="17"/>
  <c r="N171" i="17"/>
  <c r="Q170" i="17"/>
  <c r="P170" i="17"/>
  <c r="N170" i="17"/>
  <c r="Q169" i="17"/>
  <c r="P169" i="17"/>
  <c r="N169" i="17"/>
  <c r="Q168" i="17"/>
  <c r="P168" i="17"/>
  <c r="N168" i="17"/>
  <c r="Q167" i="17"/>
  <c r="P167" i="17"/>
  <c r="N167" i="17"/>
  <c r="Q166" i="17"/>
  <c r="P166" i="17"/>
  <c r="N166" i="17"/>
  <c r="Q165" i="17"/>
  <c r="P165" i="17"/>
  <c r="N165" i="17"/>
  <c r="Q164" i="17"/>
  <c r="P164" i="17"/>
  <c r="N164" i="17"/>
  <c r="G284" i="17"/>
  <c r="F284" i="17"/>
  <c r="C284" i="17"/>
  <c r="E284" i="17" s="1"/>
  <c r="B284" i="17"/>
  <c r="G283" i="17"/>
  <c r="F283" i="17"/>
  <c r="C283" i="17"/>
  <c r="E283" i="17" s="1"/>
  <c r="H283" i="17" s="1"/>
  <c r="I283" i="17" s="1"/>
  <c r="J283" i="17" s="1"/>
  <c r="R27" i="13" s="1"/>
  <c r="B283" i="17"/>
  <c r="G282" i="17"/>
  <c r="F282" i="17"/>
  <c r="C282" i="17"/>
  <c r="E282" i="17" s="1"/>
  <c r="H282" i="17" s="1"/>
  <c r="I282" i="17" s="1"/>
  <c r="J282" i="17" s="1"/>
  <c r="R26" i="13" s="1"/>
  <c r="B282" i="17"/>
  <c r="G281" i="17"/>
  <c r="F281" i="17"/>
  <c r="C281" i="17"/>
  <c r="E281" i="17" s="1"/>
  <c r="H281" i="17" s="1"/>
  <c r="I281" i="17" s="1"/>
  <c r="J281" i="17" s="1"/>
  <c r="R25" i="13" s="1"/>
  <c r="B281" i="17"/>
  <c r="G280" i="17"/>
  <c r="F280" i="17"/>
  <c r="C280" i="17"/>
  <c r="E280" i="17" s="1"/>
  <c r="H280" i="17" s="1"/>
  <c r="I280" i="17" s="1"/>
  <c r="J280" i="17" s="1"/>
  <c r="R24" i="13" s="1"/>
  <c r="B280" i="17"/>
  <c r="G279" i="17"/>
  <c r="F279" i="17"/>
  <c r="C279" i="17"/>
  <c r="E279" i="17" s="1"/>
  <c r="H279" i="17" s="1"/>
  <c r="I279" i="17" s="1"/>
  <c r="J279" i="17" s="1"/>
  <c r="R23" i="13" s="1"/>
  <c r="B279" i="17"/>
  <c r="G278" i="17"/>
  <c r="F278" i="17"/>
  <c r="C278" i="17"/>
  <c r="E278" i="17" s="1"/>
  <c r="H278" i="17" s="1"/>
  <c r="I278" i="17" s="1"/>
  <c r="J278" i="17" s="1"/>
  <c r="R22" i="13" s="1"/>
  <c r="B278" i="17"/>
  <c r="G277" i="17"/>
  <c r="F277" i="17"/>
  <c r="C277" i="17"/>
  <c r="E277" i="17" s="1"/>
  <c r="H277" i="17" s="1"/>
  <c r="I277" i="17" s="1"/>
  <c r="J277" i="17" s="1"/>
  <c r="R21" i="13" s="1"/>
  <c r="B277" i="17"/>
  <c r="G276" i="17"/>
  <c r="F276" i="17"/>
  <c r="C276" i="17"/>
  <c r="E276" i="17" s="1"/>
  <c r="H276" i="17" s="1"/>
  <c r="I276" i="17" s="1"/>
  <c r="J276" i="17" s="1"/>
  <c r="R20" i="13" s="1"/>
  <c r="B276" i="17"/>
  <c r="G275" i="17"/>
  <c r="F275" i="17"/>
  <c r="C275" i="17"/>
  <c r="E275" i="17" s="1"/>
  <c r="H275" i="17" s="1"/>
  <c r="I275" i="17" s="1"/>
  <c r="J275" i="17" s="1"/>
  <c r="R19" i="13" s="1"/>
  <c r="B275" i="17"/>
  <c r="G274" i="17"/>
  <c r="F274" i="17"/>
  <c r="C274" i="17"/>
  <c r="E274" i="17" s="1"/>
  <c r="H274" i="17" s="1"/>
  <c r="I274" i="17" s="1"/>
  <c r="J274" i="17" s="1"/>
  <c r="R17" i="13" s="1"/>
  <c r="B274" i="17"/>
  <c r="G273" i="17"/>
  <c r="F273" i="17"/>
  <c r="C273" i="17"/>
  <c r="E273" i="17" s="1"/>
  <c r="H273" i="17" s="1"/>
  <c r="I273" i="17" s="1"/>
  <c r="J273" i="17" s="1"/>
  <c r="R16" i="13" s="1"/>
  <c r="B273" i="17"/>
  <c r="G272" i="17"/>
  <c r="F272" i="17"/>
  <c r="C272" i="17"/>
  <c r="E272" i="17" s="1"/>
  <c r="H272" i="17" s="1"/>
  <c r="I272" i="17" s="1"/>
  <c r="J272" i="17" s="1"/>
  <c r="R15" i="13" s="1"/>
  <c r="B272" i="17"/>
  <c r="G271" i="17"/>
  <c r="F271" i="17"/>
  <c r="C271" i="17"/>
  <c r="E271" i="17" s="1"/>
  <c r="H271" i="17" s="1"/>
  <c r="I271" i="17" s="1"/>
  <c r="J271" i="17" s="1"/>
  <c r="R14" i="13" s="1"/>
  <c r="B271" i="17"/>
  <c r="G270" i="17"/>
  <c r="F270" i="17"/>
  <c r="C270" i="17"/>
  <c r="E270" i="17" s="1"/>
  <c r="H270" i="17" s="1"/>
  <c r="I270" i="17" s="1"/>
  <c r="J270" i="17" s="1"/>
  <c r="R13" i="13" s="1"/>
  <c r="B270" i="17"/>
  <c r="G269" i="17"/>
  <c r="F269" i="17"/>
  <c r="C269" i="17"/>
  <c r="E269" i="17" s="1"/>
  <c r="H269" i="17" s="1"/>
  <c r="I269" i="17" s="1"/>
  <c r="J269" i="17" s="1"/>
  <c r="R12" i="13" s="1"/>
  <c r="B269" i="17"/>
  <c r="G268" i="17"/>
  <c r="F268" i="17"/>
  <c r="C268" i="17"/>
  <c r="E268" i="17" s="1"/>
  <c r="H268" i="17" s="1"/>
  <c r="I268" i="17" s="1"/>
  <c r="J268" i="17" s="1"/>
  <c r="R11" i="13" s="1"/>
  <c r="B268" i="17"/>
  <c r="G267" i="17"/>
  <c r="F267" i="17"/>
  <c r="C267" i="17"/>
  <c r="E267" i="17" s="1"/>
  <c r="H267" i="17" s="1"/>
  <c r="I267" i="17" s="1"/>
  <c r="J267" i="17" s="1"/>
  <c r="R10" i="13" s="1"/>
  <c r="B267" i="17"/>
  <c r="G266" i="17"/>
  <c r="F266" i="17"/>
  <c r="C266" i="17"/>
  <c r="E266" i="17" s="1"/>
  <c r="H266" i="17" s="1"/>
  <c r="I266" i="17" s="1"/>
  <c r="J266" i="17" s="1"/>
  <c r="R9" i="13" s="1"/>
  <c r="B266" i="17"/>
  <c r="G265" i="17"/>
  <c r="F265" i="17"/>
  <c r="C265" i="17"/>
  <c r="E265" i="17" s="1"/>
  <c r="H265" i="17" s="1"/>
  <c r="I265" i="17" s="1"/>
  <c r="J265" i="17" s="1"/>
  <c r="R8" i="13" s="1"/>
  <c r="B265" i="17"/>
  <c r="G264" i="17"/>
  <c r="F264" i="17"/>
  <c r="D264" i="17"/>
  <c r="C264" i="17"/>
  <c r="B264" i="17"/>
  <c r="G259" i="17"/>
  <c r="F259" i="17"/>
  <c r="C259" i="17"/>
  <c r="E259" i="17" s="1"/>
  <c r="H259" i="17" s="1"/>
  <c r="I259" i="17" s="1"/>
  <c r="J259" i="17" s="1"/>
  <c r="Q28" i="13" s="1"/>
  <c r="B259" i="17"/>
  <c r="G258" i="17"/>
  <c r="F258" i="17"/>
  <c r="C258" i="17"/>
  <c r="E258" i="17" s="1"/>
  <c r="H258" i="17" s="1"/>
  <c r="I258" i="17" s="1"/>
  <c r="J258" i="17" s="1"/>
  <c r="Q27" i="13" s="1"/>
  <c r="B258" i="17"/>
  <c r="G257" i="17"/>
  <c r="F257" i="17"/>
  <c r="C257" i="17"/>
  <c r="E257" i="17" s="1"/>
  <c r="H257" i="17" s="1"/>
  <c r="I257" i="17" s="1"/>
  <c r="J257" i="17" s="1"/>
  <c r="Q26" i="13" s="1"/>
  <c r="B257" i="17"/>
  <c r="G256" i="17"/>
  <c r="F256" i="17"/>
  <c r="C256" i="17"/>
  <c r="E256" i="17" s="1"/>
  <c r="H256" i="17" s="1"/>
  <c r="I256" i="17" s="1"/>
  <c r="J256" i="17" s="1"/>
  <c r="Q25" i="13" s="1"/>
  <c r="B256" i="17"/>
  <c r="G255" i="17"/>
  <c r="F255" i="17"/>
  <c r="C255" i="17"/>
  <c r="E255" i="17" s="1"/>
  <c r="H255" i="17" s="1"/>
  <c r="I255" i="17" s="1"/>
  <c r="J255" i="17" s="1"/>
  <c r="Q24" i="13" s="1"/>
  <c r="B255" i="17"/>
  <c r="G254" i="17"/>
  <c r="F254" i="17"/>
  <c r="C254" i="17"/>
  <c r="E254" i="17" s="1"/>
  <c r="H254" i="17" s="1"/>
  <c r="I254" i="17" s="1"/>
  <c r="J254" i="17" s="1"/>
  <c r="Q23" i="13" s="1"/>
  <c r="B254" i="17"/>
  <c r="G253" i="17"/>
  <c r="F253" i="17"/>
  <c r="C253" i="17"/>
  <c r="E253" i="17" s="1"/>
  <c r="H253" i="17" s="1"/>
  <c r="I253" i="17" s="1"/>
  <c r="J253" i="17" s="1"/>
  <c r="Q22" i="13" s="1"/>
  <c r="B253" i="17"/>
  <c r="G252" i="17"/>
  <c r="F252" i="17"/>
  <c r="C252" i="17"/>
  <c r="E252" i="17" s="1"/>
  <c r="H252" i="17" s="1"/>
  <c r="I252" i="17" s="1"/>
  <c r="J252" i="17" s="1"/>
  <c r="Q21" i="13" s="1"/>
  <c r="B252" i="17"/>
  <c r="G251" i="17"/>
  <c r="F251" i="17"/>
  <c r="C251" i="17"/>
  <c r="E251" i="17" s="1"/>
  <c r="H251" i="17" s="1"/>
  <c r="I251" i="17" s="1"/>
  <c r="J251" i="17" s="1"/>
  <c r="Q20" i="13" s="1"/>
  <c r="B251" i="17"/>
  <c r="G250" i="17"/>
  <c r="F250" i="17"/>
  <c r="C250" i="17"/>
  <c r="E250" i="17" s="1"/>
  <c r="H250" i="17" s="1"/>
  <c r="I250" i="17" s="1"/>
  <c r="J250" i="17" s="1"/>
  <c r="Q19" i="13" s="1"/>
  <c r="B250" i="17"/>
  <c r="G249" i="17"/>
  <c r="F249" i="17"/>
  <c r="C249" i="17"/>
  <c r="E249" i="17" s="1"/>
  <c r="H249" i="17" s="1"/>
  <c r="I249" i="17" s="1"/>
  <c r="J249" i="17" s="1"/>
  <c r="Q17" i="13" s="1"/>
  <c r="B249" i="17"/>
  <c r="G248" i="17"/>
  <c r="F248" i="17"/>
  <c r="C248" i="17"/>
  <c r="E248" i="17" s="1"/>
  <c r="H248" i="17" s="1"/>
  <c r="I248" i="17" s="1"/>
  <c r="J248" i="17" s="1"/>
  <c r="Q16" i="13" s="1"/>
  <c r="B248" i="17"/>
  <c r="G247" i="17"/>
  <c r="F247" i="17"/>
  <c r="C247" i="17"/>
  <c r="E247" i="17" s="1"/>
  <c r="H247" i="17" s="1"/>
  <c r="I247" i="17" s="1"/>
  <c r="J247" i="17" s="1"/>
  <c r="Q15" i="13" s="1"/>
  <c r="B247" i="17"/>
  <c r="G246" i="17"/>
  <c r="F246" i="17"/>
  <c r="C246" i="17"/>
  <c r="E246" i="17" s="1"/>
  <c r="H246" i="17" s="1"/>
  <c r="I246" i="17" s="1"/>
  <c r="J246" i="17" s="1"/>
  <c r="Q14" i="13" s="1"/>
  <c r="B246" i="17"/>
  <c r="G245" i="17"/>
  <c r="F245" i="17"/>
  <c r="C245" i="17"/>
  <c r="E245" i="17" s="1"/>
  <c r="H245" i="17" s="1"/>
  <c r="I245" i="17" s="1"/>
  <c r="J245" i="17" s="1"/>
  <c r="Q13" i="13" s="1"/>
  <c r="B245" i="17"/>
  <c r="G244" i="17"/>
  <c r="F244" i="17"/>
  <c r="C244" i="17"/>
  <c r="E244" i="17" s="1"/>
  <c r="H244" i="17" s="1"/>
  <c r="I244" i="17" s="1"/>
  <c r="J244" i="17" s="1"/>
  <c r="Q12" i="13" s="1"/>
  <c r="B244" i="17"/>
  <c r="G243" i="17"/>
  <c r="F243" i="17"/>
  <c r="C243" i="17"/>
  <c r="E243" i="17" s="1"/>
  <c r="H243" i="17" s="1"/>
  <c r="I243" i="17" s="1"/>
  <c r="J243" i="17" s="1"/>
  <c r="Q11" i="13" s="1"/>
  <c r="B243" i="17"/>
  <c r="G242" i="17"/>
  <c r="F242" i="17"/>
  <c r="C242" i="17"/>
  <c r="E242" i="17" s="1"/>
  <c r="H242" i="17" s="1"/>
  <c r="I242" i="17" s="1"/>
  <c r="J242" i="17" s="1"/>
  <c r="Q10" i="13" s="1"/>
  <c r="B242" i="17"/>
  <c r="G241" i="17"/>
  <c r="F241" i="17"/>
  <c r="C241" i="17"/>
  <c r="E241" i="17" s="1"/>
  <c r="H241" i="17" s="1"/>
  <c r="I241" i="17" s="1"/>
  <c r="J241" i="17" s="1"/>
  <c r="Q9" i="13" s="1"/>
  <c r="B241" i="17"/>
  <c r="G240" i="17"/>
  <c r="F240" i="17"/>
  <c r="C240" i="17"/>
  <c r="E240" i="17" s="1"/>
  <c r="H240" i="17" s="1"/>
  <c r="I240" i="17" s="1"/>
  <c r="J240" i="17" s="1"/>
  <c r="Q8" i="13" s="1"/>
  <c r="B240" i="17"/>
  <c r="G239" i="17"/>
  <c r="F239" i="17"/>
  <c r="C239" i="17"/>
  <c r="E239" i="17" s="1"/>
  <c r="H239" i="17" s="1"/>
  <c r="I239" i="17" s="1"/>
  <c r="J239" i="17" s="1"/>
  <c r="Q7" i="13" s="1"/>
  <c r="B239" i="17"/>
  <c r="C234" i="17"/>
  <c r="E234" i="17" s="1"/>
  <c r="H234" i="17" s="1"/>
  <c r="I234" i="17" s="1"/>
  <c r="J234" i="17" s="1"/>
  <c r="P28" i="13" s="1"/>
  <c r="B234" i="17"/>
  <c r="C233" i="17"/>
  <c r="E233" i="17" s="1"/>
  <c r="H233" i="17" s="1"/>
  <c r="I233" i="17" s="1"/>
  <c r="J233" i="17" s="1"/>
  <c r="P27" i="13" s="1"/>
  <c r="B233" i="17"/>
  <c r="C232" i="17"/>
  <c r="E232" i="17" s="1"/>
  <c r="H232" i="17" s="1"/>
  <c r="I232" i="17" s="1"/>
  <c r="J232" i="17" s="1"/>
  <c r="P26" i="13" s="1"/>
  <c r="B232" i="17"/>
  <c r="C231" i="17"/>
  <c r="E231" i="17" s="1"/>
  <c r="H231" i="17" s="1"/>
  <c r="I231" i="17" s="1"/>
  <c r="J231" i="17" s="1"/>
  <c r="P25" i="13" s="1"/>
  <c r="B231" i="17"/>
  <c r="C230" i="17"/>
  <c r="E230" i="17" s="1"/>
  <c r="H230" i="17" s="1"/>
  <c r="I230" i="17" s="1"/>
  <c r="J230" i="17" s="1"/>
  <c r="P24" i="13" s="1"/>
  <c r="B230" i="17"/>
  <c r="C229" i="17"/>
  <c r="E229" i="17" s="1"/>
  <c r="H229" i="17" s="1"/>
  <c r="I229" i="17" s="1"/>
  <c r="J229" i="17" s="1"/>
  <c r="P23" i="13" s="1"/>
  <c r="B229" i="17"/>
  <c r="C228" i="17"/>
  <c r="E228" i="17" s="1"/>
  <c r="H228" i="17" s="1"/>
  <c r="I228" i="17" s="1"/>
  <c r="J228" i="17" s="1"/>
  <c r="P22" i="13" s="1"/>
  <c r="B228" i="17"/>
  <c r="C227" i="17"/>
  <c r="E227" i="17" s="1"/>
  <c r="H227" i="17" s="1"/>
  <c r="I227" i="17" s="1"/>
  <c r="J227" i="17" s="1"/>
  <c r="P21" i="13" s="1"/>
  <c r="B227" i="17"/>
  <c r="C226" i="17"/>
  <c r="E226" i="17" s="1"/>
  <c r="H226" i="17" s="1"/>
  <c r="I226" i="17" s="1"/>
  <c r="J226" i="17" s="1"/>
  <c r="P20" i="13" s="1"/>
  <c r="B226" i="17"/>
  <c r="C225" i="17"/>
  <c r="E225" i="17" s="1"/>
  <c r="H225" i="17" s="1"/>
  <c r="I225" i="17" s="1"/>
  <c r="J225" i="17" s="1"/>
  <c r="P19" i="13" s="1"/>
  <c r="B225" i="17"/>
  <c r="C224" i="17"/>
  <c r="E224" i="17" s="1"/>
  <c r="H224" i="17" s="1"/>
  <c r="I224" i="17" s="1"/>
  <c r="J224" i="17" s="1"/>
  <c r="P17" i="13" s="1"/>
  <c r="B224" i="17"/>
  <c r="C223" i="17"/>
  <c r="E223" i="17" s="1"/>
  <c r="H223" i="17" s="1"/>
  <c r="I223" i="17" s="1"/>
  <c r="J223" i="17" s="1"/>
  <c r="P16" i="13" s="1"/>
  <c r="B223" i="17"/>
  <c r="C222" i="17"/>
  <c r="E222" i="17" s="1"/>
  <c r="H222" i="17" s="1"/>
  <c r="I222" i="17" s="1"/>
  <c r="J222" i="17" s="1"/>
  <c r="P15" i="13" s="1"/>
  <c r="B222" i="17"/>
  <c r="C221" i="17"/>
  <c r="E221" i="17" s="1"/>
  <c r="H221" i="17" s="1"/>
  <c r="I221" i="17" s="1"/>
  <c r="J221" i="17" s="1"/>
  <c r="P14" i="13" s="1"/>
  <c r="B221" i="17"/>
  <c r="C220" i="17"/>
  <c r="E220" i="17" s="1"/>
  <c r="H220" i="17" s="1"/>
  <c r="I220" i="17" s="1"/>
  <c r="J220" i="17" s="1"/>
  <c r="P13" i="13" s="1"/>
  <c r="B220" i="17"/>
  <c r="C219" i="17"/>
  <c r="E219" i="17" s="1"/>
  <c r="H219" i="17" s="1"/>
  <c r="I219" i="17" s="1"/>
  <c r="J219" i="17" s="1"/>
  <c r="P12" i="13" s="1"/>
  <c r="B219" i="17"/>
  <c r="C218" i="17"/>
  <c r="E218" i="17" s="1"/>
  <c r="H218" i="17" s="1"/>
  <c r="I218" i="17" s="1"/>
  <c r="J218" i="17" s="1"/>
  <c r="P11" i="13" s="1"/>
  <c r="B218" i="17"/>
  <c r="C217" i="17"/>
  <c r="E217" i="17" s="1"/>
  <c r="H217" i="17" s="1"/>
  <c r="I217" i="17" s="1"/>
  <c r="J217" i="17" s="1"/>
  <c r="P10" i="13" s="1"/>
  <c r="B217" i="17"/>
  <c r="C216" i="17"/>
  <c r="E216" i="17" s="1"/>
  <c r="H216" i="17" s="1"/>
  <c r="I216" i="17" s="1"/>
  <c r="J216" i="17" s="1"/>
  <c r="P9" i="13" s="1"/>
  <c r="B216" i="17"/>
  <c r="C215" i="17"/>
  <c r="E215" i="17" s="1"/>
  <c r="H215" i="17" s="1"/>
  <c r="I215" i="17" s="1"/>
  <c r="J215" i="17" s="1"/>
  <c r="P8" i="13" s="1"/>
  <c r="B215" i="17"/>
  <c r="C214" i="17"/>
  <c r="B214" i="17"/>
  <c r="C209" i="17"/>
  <c r="E209" i="17" s="1"/>
  <c r="H209" i="17" s="1"/>
  <c r="I209" i="17" s="1"/>
  <c r="J209" i="17" s="1"/>
  <c r="O28" i="13" s="1"/>
  <c r="B209" i="17"/>
  <c r="C208" i="17"/>
  <c r="E208" i="17" s="1"/>
  <c r="H208" i="17" s="1"/>
  <c r="I208" i="17" s="1"/>
  <c r="J208" i="17" s="1"/>
  <c r="O27" i="13" s="1"/>
  <c r="B208" i="17"/>
  <c r="C207" i="17"/>
  <c r="E207" i="17" s="1"/>
  <c r="H207" i="17" s="1"/>
  <c r="I207" i="17" s="1"/>
  <c r="J207" i="17" s="1"/>
  <c r="O26" i="13" s="1"/>
  <c r="B207" i="17"/>
  <c r="C206" i="17"/>
  <c r="E206" i="17" s="1"/>
  <c r="H206" i="17" s="1"/>
  <c r="I206" i="17" s="1"/>
  <c r="J206" i="17" s="1"/>
  <c r="O25" i="13" s="1"/>
  <c r="B206" i="17"/>
  <c r="C205" i="17"/>
  <c r="E205" i="17" s="1"/>
  <c r="H205" i="17" s="1"/>
  <c r="I205" i="17" s="1"/>
  <c r="J205" i="17" s="1"/>
  <c r="O24" i="13" s="1"/>
  <c r="B205" i="17"/>
  <c r="C204" i="17"/>
  <c r="E204" i="17" s="1"/>
  <c r="H204" i="17" s="1"/>
  <c r="I204" i="17" s="1"/>
  <c r="J204" i="17" s="1"/>
  <c r="O23" i="13" s="1"/>
  <c r="B204" i="17"/>
  <c r="C203" i="17"/>
  <c r="E203" i="17" s="1"/>
  <c r="H203" i="17" s="1"/>
  <c r="I203" i="17" s="1"/>
  <c r="J203" i="17" s="1"/>
  <c r="O22" i="13" s="1"/>
  <c r="B203" i="17"/>
  <c r="C202" i="17"/>
  <c r="E202" i="17" s="1"/>
  <c r="H202" i="17" s="1"/>
  <c r="I202" i="17" s="1"/>
  <c r="J202" i="17" s="1"/>
  <c r="O21" i="13" s="1"/>
  <c r="B202" i="17"/>
  <c r="C201" i="17"/>
  <c r="E201" i="17" s="1"/>
  <c r="H201" i="17" s="1"/>
  <c r="I201" i="17" s="1"/>
  <c r="J201" i="17" s="1"/>
  <c r="O20" i="13" s="1"/>
  <c r="B201" i="17"/>
  <c r="C200" i="17"/>
  <c r="E200" i="17" s="1"/>
  <c r="H200" i="17" s="1"/>
  <c r="I200" i="17" s="1"/>
  <c r="J200" i="17" s="1"/>
  <c r="O19" i="13" s="1"/>
  <c r="B200" i="17"/>
  <c r="C199" i="17"/>
  <c r="E199" i="17" s="1"/>
  <c r="H199" i="17" s="1"/>
  <c r="I199" i="17" s="1"/>
  <c r="J199" i="17" s="1"/>
  <c r="O17" i="13" s="1"/>
  <c r="B199" i="17"/>
  <c r="C198" i="17"/>
  <c r="E198" i="17" s="1"/>
  <c r="H198" i="17" s="1"/>
  <c r="I198" i="17" s="1"/>
  <c r="J198" i="17" s="1"/>
  <c r="O16" i="13" s="1"/>
  <c r="B198" i="17"/>
  <c r="C197" i="17"/>
  <c r="E197" i="17" s="1"/>
  <c r="H197" i="17" s="1"/>
  <c r="I197" i="17" s="1"/>
  <c r="J197" i="17" s="1"/>
  <c r="O15" i="13" s="1"/>
  <c r="B197" i="17"/>
  <c r="C196" i="17"/>
  <c r="E196" i="17" s="1"/>
  <c r="H196" i="17" s="1"/>
  <c r="I196" i="17" s="1"/>
  <c r="J196" i="17" s="1"/>
  <c r="O14" i="13" s="1"/>
  <c r="B196" i="17"/>
  <c r="C195" i="17"/>
  <c r="E195" i="17" s="1"/>
  <c r="H195" i="17" s="1"/>
  <c r="I195" i="17" s="1"/>
  <c r="J195" i="17" s="1"/>
  <c r="O13" i="13" s="1"/>
  <c r="B195" i="17"/>
  <c r="C194" i="17"/>
  <c r="E194" i="17" s="1"/>
  <c r="H194" i="17" s="1"/>
  <c r="I194" i="17" s="1"/>
  <c r="J194" i="17" s="1"/>
  <c r="O12" i="13" s="1"/>
  <c r="B194" i="17"/>
  <c r="C193" i="17"/>
  <c r="E193" i="17" s="1"/>
  <c r="H193" i="17" s="1"/>
  <c r="I193" i="17" s="1"/>
  <c r="J193" i="17" s="1"/>
  <c r="O11" i="13" s="1"/>
  <c r="B193" i="17"/>
  <c r="C192" i="17"/>
  <c r="E192" i="17" s="1"/>
  <c r="H192" i="17" s="1"/>
  <c r="I192" i="17" s="1"/>
  <c r="J192" i="17" s="1"/>
  <c r="O10" i="13" s="1"/>
  <c r="B192" i="17"/>
  <c r="C191" i="17"/>
  <c r="E191" i="17" s="1"/>
  <c r="H191" i="17" s="1"/>
  <c r="I191" i="17" s="1"/>
  <c r="J191" i="17" s="1"/>
  <c r="O9" i="13" s="1"/>
  <c r="B191" i="17"/>
  <c r="C190" i="17"/>
  <c r="E190" i="17" s="1"/>
  <c r="H190" i="17" s="1"/>
  <c r="I190" i="17" s="1"/>
  <c r="J190" i="17" s="1"/>
  <c r="O8" i="13" s="1"/>
  <c r="B190" i="17"/>
  <c r="C189" i="17"/>
  <c r="B189" i="17"/>
  <c r="C184" i="17"/>
  <c r="E184" i="17" s="1"/>
  <c r="H184" i="17" s="1"/>
  <c r="I184" i="17" s="1"/>
  <c r="J184" i="17" s="1"/>
  <c r="N28" i="13" s="1"/>
  <c r="B184" i="17"/>
  <c r="C183" i="17"/>
  <c r="E183" i="17" s="1"/>
  <c r="H183" i="17" s="1"/>
  <c r="I183" i="17" s="1"/>
  <c r="J183" i="17" s="1"/>
  <c r="N27" i="13" s="1"/>
  <c r="B183" i="17"/>
  <c r="C182" i="17"/>
  <c r="E182" i="17" s="1"/>
  <c r="H182" i="17" s="1"/>
  <c r="I182" i="17" s="1"/>
  <c r="J182" i="17" s="1"/>
  <c r="N26" i="13" s="1"/>
  <c r="B182" i="17"/>
  <c r="C181" i="17"/>
  <c r="E181" i="17" s="1"/>
  <c r="H181" i="17" s="1"/>
  <c r="I181" i="17" s="1"/>
  <c r="J181" i="17" s="1"/>
  <c r="N25" i="13" s="1"/>
  <c r="B181" i="17"/>
  <c r="C180" i="17"/>
  <c r="E180" i="17" s="1"/>
  <c r="H180" i="17" s="1"/>
  <c r="I180" i="17" s="1"/>
  <c r="J180" i="17" s="1"/>
  <c r="N24" i="13" s="1"/>
  <c r="B180" i="17"/>
  <c r="C179" i="17"/>
  <c r="E179" i="17" s="1"/>
  <c r="H179" i="17" s="1"/>
  <c r="I179" i="17" s="1"/>
  <c r="J179" i="17" s="1"/>
  <c r="N23" i="13" s="1"/>
  <c r="B179" i="17"/>
  <c r="C178" i="17"/>
  <c r="E178" i="17" s="1"/>
  <c r="H178" i="17" s="1"/>
  <c r="I178" i="17" s="1"/>
  <c r="J178" i="17" s="1"/>
  <c r="N22" i="13" s="1"/>
  <c r="B178" i="17"/>
  <c r="C177" i="17"/>
  <c r="E177" i="17" s="1"/>
  <c r="H177" i="17" s="1"/>
  <c r="I177" i="17" s="1"/>
  <c r="J177" i="17" s="1"/>
  <c r="N21" i="13" s="1"/>
  <c r="B177" i="17"/>
  <c r="C176" i="17"/>
  <c r="E176" i="17" s="1"/>
  <c r="H176" i="17" s="1"/>
  <c r="I176" i="17" s="1"/>
  <c r="J176" i="17" s="1"/>
  <c r="N20" i="13" s="1"/>
  <c r="B176" i="17"/>
  <c r="C175" i="17"/>
  <c r="E175" i="17" s="1"/>
  <c r="H175" i="17" s="1"/>
  <c r="I175" i="17" s="1"/>
  <c r="J175" i="17" s="1"/>
  <c r="N19" i="13" s="1"/>
  <c r="B175" i="17"/>
  <c r="C174" i="17"/>
  <c r="E174" i="17" s="1"/>
  <c r="H174" i="17" s="1"/>
  <c r="I174" i="17" s="1"/>
  <c r="J174" i="17" s="1"/>
  <c r="N17" i="13" s="1"/>
  <c r="B174" i="17"/>
  <c r="C173" i="17"/>
  <c r="E173" i="17" s="1"/>
  <c r="H173" i="17" s="1"/>
  <c r="I173" i="17" s="1"/>
  <c r="J173" i="17" s="1"/>
  <c r="N16" i="13" s="1"/>
  <c r="B173" i="17"/>
  <c r="C172" i="17"/>
  <c r="E172" i="17" s="1"/>
  <c r="H172" i="17" s="1"/>
  <c r="I172" i="17" s="1"/>
  <c r="J172" i="17" s="1"/>
  <c r="N15" i="13" s="1"/>
  <c r="B172" i="17"/>
  <c r="C171" i="17"/>
  <c r="E171" i="17" s="1"/>
  <c r="H171" i="17" s="1"/>
  <c r="I171" i="17" s="1"/>
  <c r="J171" i="17" s="1"/>
  <c r="N14" i="13" s="1"/>
  <c r="B171" i="17"/>
  <c r="C170" i="17"/>
  <c r="E170" i="17" s="1"/>
  <c r="H170" i="17" s="1"/>
  <c r="I170" i="17" s="1"/>
  <c r="J170" i="17" s="1"/>
  <c r="N13" i="13" s="1"/>
  <c r="B170" i="17"/>
  <c r="C169" i="17"/>
  <c r="E169" i="17" s="1"/>
  <c r="H169" i="17" s="1"/>
  <c r="I169" i="17" s="1"/>
  <c r="J169" i="17" s="1"/>
  <c r="N12" i="13" s="1"/>
  <c r="B169" i="17"/>
  <c r="C168" i="17"/>
  <c r="E168" i="17" s="1"/>
  <c r="H168" i="17" s="1"/>
  <c r="I168" i="17" s="1"/>
  <c r="J168" i="17" s="1"/>
  <c r="N11" i="13" s="1"/>
  <c r="B168" i="17"/>
  <c r="C167" i="17"/>
  <c r="E167" i="17" s="1"/>
  <c r="H167" i="17" s="1"/>
  <c r="I167" i="17" s="1"/>
  <c r="J167" i="17" s="1"/>
  <c r="N10" i="13" s="1"/>
  <c r="B167" i="17"/>
  <c r="C166" i="17"/>
  <c r="E166" i="17" s="1"/>
  <c r="H166" i="17" s="1"/>
  <c r="I166" i="17" s="1"/>
  <c r="J166" i="17" s="1"/>
  <c r="N9" i="13" s="1"/>
  <c r="B166" i="17"/>
  <c r="C165" i="17"/>
  <c r="E165" i="17" s="1"/>
  <c r="H165" i="17" s="1"/>
  <c r="I165" i="17" s="1"/>
  <c r="J165" i="17" s="1"/>
  <c r="N8" i="13" s="1"/>
  <c r="B165" i="17"/>
  <c r="C164" i="17"/>
  <c r="B164" i="17"/>
  <c r="Q159" i="17"/>
  <c r="P159" i="17"/>
  <c r="M159" i="17"/>
  <c r="O159" i="17" s="1"/>
  <c r="L159" i="17"/>
  <c r="C159" i="17"/>
  <c r="E159" i="17" s="1"/>
  <c r="H159" i="17" s="1"/>
  <c r="I159" i="17" s="1"/>
  <c r="J159" i="17" s="1"/>
  <c r="M28" i="13" s="1"/>
  <c r="B159" i="17"/>
  <c r="Q158" i="17"/>
  <c r="P158" i="17"/>
  <c r="M158" i="17"/>
  <c r="O158" i="17" s="1"/>
  <c r="R158" i="17" s="1"/>
  <c r="S158" i="17" s="1"/>
  <c r="T158" i="17" s="1"/>
  <c r="W27" i="13" s="1"/>
  <c r="L158" i="17"/>
  <c r="C158" i="17"/>
  <c r="E158" i="17" s="1"/>
  <c r="H158" i="17" s="1"/>
  <c r="I158" i="17" s="1"/>
  <c r="J158" i="17" s="1"/>
  <c r="M27" i="13" s="1"/>
  <c r="B158" i="17"/>
  <c r="Q157" i="17"/>
  <c r="P157" i="17"/>
  <c r="M157" i="17"/>
  <c r="O157" i="17" s="1"/>
  <c r="L157" i="17"/>
  <c r="C157" i="17"/>
  <c r="E157" i="17" s="1"/>
  <c r="H157" i="17" s="1"/>
  <c r="I157" i="17" s="1"/>
  <c r="J157" i="17" s="1"/>
  <c r="M26" i="13" s="1"/>
  <c r="B157" i="17"/>
  <c r="Q156" i="17"/>
  <c r="P156" i="17"/>
  <c r="M156" i="17"/>
  <c r="O156" i="17" s="1"/>
  <c r="R156" i="17" s="1"/>
  <c r="S156" i="17" s="1"/>
  <c r="T156" i="17" s="1"/>
  <c r="W25" i="13" s="1"/>
  <c r="L156" i="17"/>
  <c r="C156" i="17"/>
  <c r="E156" i="17" s="1"/>
  <c r="H156" i="17" s="1"/>
  <c r="I156" i="17" s="1"/>
  <c r="J156" i="17" s="1"/>
  <c r="M25" i="13" s="1"/>
  <c r="B156" i="17"/>
  <c r="Q155" i="17"/>
  <c r="P155" i="17"/>
  <c r="M155" i="17"/>
  <c r="O155" i="17" s="1"/>
  <c r="L155" i="17"/>
  <c r="C155" i="17"/>
  <c r="E155" i="17" s="1"/>
  <c r="H155" i="17" s="1"/>
  <c r="I155" i="17" s="1"/>
  <c r="J155" i="17" s="1"/>
  <c r="M24" i="13" s="1"/>
  <c r="B155" i="17"/>
  <c r="Q154" i="17"/>
  <c r="P154" i="17"/>
  <c r="M154" i="17"/>
  <c r="O154" i="17" s="1"/>
  <c r="R154" i="17" s="1"/>
  <c r="S154" i="17" s="1"/>
  <c r="T154" i="17" s="1"/>
  <c r="W23" i="13" s="1"/>
  <c r="L154" i="17"/>
  <c r="C154" i="17"/>
  <c r="E154" i="17" s="1"/>
  <c r="H154" i="17" s="1"/>
  <c r="I154" i="17" s="1"/>
  <c r="J154" i="17" s="1"/>
  <c r="M23" i="13" s="1"/>
  <c r="B154" i="17"/>
  <c r="Q153" i="17"/>
  <c r="P153" i="17"/>
  <c r="M153" i="17"/>
  <c r="O153" i="17" s="1"/>
  <c r="L153" i="17"/>
  <c r="C153" i="17"/>
  <c r="E153" i="17" s="1"/>
  <c r="H153" i="17" s="1"/>
  <c r="I153" i="17" s="1"/>
  <c r="J153" i="17" s="1"/>
  <c r="M22" i="13" s="1"/>
  <c r="B153" i="17"/>
  <c r="Q152" i="17"/>
  <c r="P152" i="17"/>
  <c r="M152" i="17"/>
  <c r="O152" i="17" s="1"/>
  <c r="R152" i="17" s="1"/>
  <c r="S152" i="17" s="1"/>
  <c r="T152" i="17" s="1"/>
  <c r="W21" i="13" s="1"/>
  <c r="L152" i="17"/>
  <c r="C152" i="17"/>
  <c r="E152" i="17" s="1"/>
  <c r="H152" i="17" s="1"/>
  <c r="I152" i="17" s="1"/>
  <c r="J152" i="17" s="1"/>
  <c r="M21" i="13" s="1"/>
  <c r="B152" i="17"/>
  <c r="Q151" i="17"/>
  <c r="P151" i="17"/>
  <c r="M151" i="17"/>
  <c r="O151" i="17" s="1"/>
  <c r="L151" i="17"/>
  <c r="C151" i="17"/>
  <c r="E151" i="17" s="1"/>
  <c r="H151" i="17" s="1"/>
  <c r="I151" i="17" s="1"/>
  <c r="J151" i="17" s="1"/>
  <c r="M20" i="13" s="1"/>
  <c r="B151" i="17"/>
  <c r="Q150" i="17"/>
  <c r="P150" i="17"/>
  <c r="M150" i="17"/>
  <c r="O150" i="17" s="1"/>
  <c r="R150" i="17" s="1"/>
  <c r="S150" i="17" s="1"/>
  <c r="T150" i="17" s="1"/>
  <c r="W19" i="13" s="1"/>
  <c r="L150" i="17"/>
  <c r="C150" i="17"/>
  <c r="E150" i="17" s="1"/>
  <c r="H150" i="17" s="1"/>
  <c r="I150" i="17" s="1"/>
  <c r="J150" i="17" s="1"/>
  <c r="M19" i="13" s="1"/>
  <c r="B150" i="17"/>
  <c r="Q149" i="17"/>
  <c r="P149" i="17"/>
  <c r="M149" i="17"/>
  <c r="O149" i="17" s="1"/>
  <c r="L149" i="17"/>
  <c r="C149" i="17"/>
  <c r="E149" i="17" s="1"/>
  <c r="H149" i="17" s="1"/>
  <c r="I149" i="17" s="1"/>
  <c r="J149" i="17" s="1"/>
  <c r="M17" i="13" s="1"/>
  <c r="B149" i="17"/>
  <c r="Q148" i="17"/>
  <c r="P148" i="17"/>
  <c r="M148" i="17"/>
  <c r="O148" i="17" s="1"/>
  <c r="R148" i="17" s="1"/>
  <c r="S148" i="17" s="1"/>
  <c r="T148" i="17" s="1"/>
  <c r="W16" i="13" s="1"/>
  <c r="L148" i="17"/>
  <c r="C148" i="17"/>
  <c r="E148" i="17" s="1"/>
  <c r="H148" i="17" s="1"/>
  <c r="I148" i="17" s="1"/>
  <c r="J148" i="17" s="1"/>
  <c r="M16" i="13" s="1"/>
  <c r="B148" i="17"/>
  <c r="Q147" i="17"/>
  <c r="P147" i="17"/>
  <c r="M147" i="17"/>
  <c r="O147" i="17" s="1"/>
  <c r="L147" i="17"/>
  <c r="C147" i="17"/>
  <c r="E147" i="17" s="1"/>
  <c r="H147" i="17" s="1"/>
  <c r="I147" i="17" s="1"/>
  <c r="J147" i="17" s="1"/>
  <c r="M15" i="13" s="1"/>
  <c r="B147" i="17"/>
  <c r="Q146" i="17"/>
  <c r="P146" i="17"/>
  <c r="M146" i="17"/>
  <c r="O146" i="17" s="1"/>
  <c r="R146" i="17" s="1"/>
  <c r="S146" i="17" s="1"/>
  <c r="T146" i="17" s="1"/>
  <c r="W14" i="13" s="1"/>
  <c r="L146" i="17"/>
  <c r="C146" i="17"/>
  <c r="E146" i="17" s="1"/>
  <c r="H146" i="17" s="1"/>
  <c r="I146" i="17" s="1"/>
  <c r="J146" i="17" s="1"/>
  <c r="M14" i="13" s="1"/>
  <c r="B146" i="17"/>
  <c r="Q145" i="17"/>
  <c r="P145" i="17"/>
  <c r="M145" i="17"/>
  <c r="O145" i="17" s="1"/>
  <c r="L145" i="17"/>
  <c r="C145" i="17"/>
  <c r="E145" i="17" s="1"/>
  <c r="H145" i="17" s="1"/>
  <c r="I145" i="17" s="1"/>
  <c r="J145" i="17" s="1"/>
  <c r="M13" i="13" s="1"/>
  <c r="B145" i="17"/>
  <c r="Q144" i="17"/>
  <c r="P144" i="17"/>
  <c r="M144" i="17"/>
  <c r="O144" i="17" s="1"/>
  <c r="R144" i="17" s="1"/>
  <c r="S144" i="17" s="1"/>
  <c r="T144" i="17" s="1"/>
  <c r="W12" i="13" s="1"/>
  <c r="L144" i="17"/>
  <c r="C144" i="17"/>
  <c r="E144" i="17" s="1"/>
  <c r="H144" i="17" s="1"/>
  <c r="I144" i="17" s="1"/>
  <c r="J144" i="17" s="1"/>
  <c r="M12" i="13" s="1"/>
  <c r="B144" i="17"/>
  <c r="Q143" i="17"/>
  <c r="P143" i="17"/>
  <c r="M143" i="17"/>
  <c r="O143" i="17" s="1"/>
  <c r="L143" i="17"/>
  <c r="C143" i="17"/>
  <c r="E143" i="17" s="1"/>
  <c r="H143" i="17" s="1"/>
  <c r="I143" i="17" s="1"/>
  <c r="J143" i="17" s="1"/>
  <c r="M11" i="13" s="1"/>
  <c r="B143" i="17"/>
  <c r="Q142" i="17"/>
  <c r="P142" i="17"/>
  <c r="M142" i="17"/>
  <c r="O142" i="17" s="1"/>
  <c r="R142" i="17" s="1"/>
  <c r="S142" i="17" s="1"/>
  <c r="T142" i="17" s="1"/>
  <c r="W10" i="13" s="1"/>
  <c r="L142" i="17"/>
  <c r="C142" i="17"/>
  <c r="E142" i="17" s="1"/>
  <c r="H142" i="17" s="1"/>
  <c r="I142" i="17" s="1"/>
  <c r="J142" i="17" s="1"/>
  <c r="M10" i="13" s="1"/>
  <c r="B142" i="17"/>
  <c r="Q141" i="17"/>
  <c r="P141" i="17"/>
  <c r="M141" i="17"/>
  <c r="O141" i="17" s="1"/>
  <c r="L141" i="17"/>
  <c r="C141" i="17"/>
  <c r="E141" i="17" s="1"/>
  <c r="H141" i="17" s="1"/>
  <c r="I141" i="17" s="1"/>
  <c r="J141" i="17" s="1"/>
  <c r="M9" i="13" s="1"/>
  <c r="B141" i="17"/>
  <c r="Q140" i="17"/>
  <c r="P140" i="17"/>
  <c r="M140" i="17"/>
  <c r="O140" i="17" s="1"/>
  <c r="R140" i="17" s="1"/>
  <c r="S140" i="17" s="1"/>
  <c r="T140" i="17" s="1"/>
  <c r="W8" i="13" s="1"/>
  <c r="L140" i="17"/>
  <c r="C140" i="17"/>
  <c r="E140" i="17" s="1"/>
  <c r="H140" i="17" s="1"/>
  <c r="I140" i="17" s="1"/>
  <c r="J140" i="17" s="1"/>
  <c r="M8" i="13" s="1"/>
  <c r="B140" i="17"/>
  <c r="Q139" i="17"/>
  <c r="P139" i="17"/>
  <c r="M139" i="17"/>
  <c r="O139" i="17" s="1"/>
  <c r="L139" i="17"/>
  <c r="C139" i="17"/>
  <c r="B139" i="17"/>
  <c r="Q134" i="17"/>
  <c r="P134" i="17"/>
  <c r="M134" i="17"/>
  <c r="O134" i="17" s="1"/>
  <c r="L134" i="17"/>
  <c r="C134" i="17"/>
  <c r="E134" i="17" s="1"/>
  <c r="H134" i="17" s="1"/>
  <c r="I134" i="17" s="1"/>
  <c r="J134" i="17" s="1"/>
  <c r="L28" i="13" s="1"/>
  <c r="B134" i="17"/>
  <c r="Q133" i="17"/>
  <c r="P133" i="17"/>
  <c r="M133" i="17"/>
  <c r="O133" i="17" s="1"/>
  <c r="R133" i="17" s="1"/>
  <c r="S133" i="17" s="1"/>
  <c r="T133" i="17" s="1"/>
  <c r="V27" i="13" s="1"/>
  <c r="L133" i="17"/>
  <c r="C133" i="17"/>
  <c r="E133" i="17" s="1"/>
  <c r="H133" i="17" s="1"/>
  <c r="I133" i="17" s="1"/>
  <c r="J133" i="17" s="1"/>
  <c r="L27" i="13" s="1"/>
  <c r="B133" i="17"/>
  <c r="Q132" i="17"/>
  <c r="P132" i="17"/>
  <c r="M132" i="17"/>
  <c r="O132" i="17" s="1"/>
  <c r="L132" i="17"/>
  <c r="C132" i="17"/>
  <c r="E132" i="17" s="1"/>
  <c r="H132" i="17" s="1"/>
  <c r="I132" i="17" s="1"/>
  <c r="J132" i="17" s="1"/>
  <c r="L26" i="13" s="1"/>
  <c r="B132" i="17"/>
  <c r="Q131" i="17"/>
  <c r="P131" i="17"/>
  <c r="M131" i="17"/>
  <c r="O131" i="17" s="1"/>
  <c r="R131" i="17" s="1"/>
  <c r="S131" i="17" s="1"/>
  <c r="T131" i="17" s="1"/>
  <c r="V25" i="13" s="1"/>
  <c r="L131" i="17"/>
  <c r="C131" i="17"/>
  <c r="E131" i="17" s="1"/>
  <c r="H131" i="17" s="1"/>
  <c r="I131" i="17" s="1"/>
  <c r="J131" i="17" s="1"/>
  <c r="L25" i="13" s="1"/>
  <c r="B131" i="17"/>
  <c r="Q130" i="17"/>
  <c r="P130" i="17"/>
  <c r="M130" i="17"/>
  <c r="O130" i="17" s="1"/>
  <c r="L130" i="17"/>
  <c r="C130" i="17"/>
  <c r="E130" i="17" s="1"/>
  <c r="H130" i="17" s="1"/>
  <c r="I130" i="17" s="1"/>
  <c r="J130" i="17" s="1"/>
  <c r="L24" i="13" s="1"/>
  <c r="B130" i="17"/>
  <c r="Q129" i="17"/>
  <c r="P129" i="17"/>
  <c r="M129" i="17"/>
  <c r="O129" i="17" s="1"/>
  <c r="R129" i="17" s="1"/>
  <c r="S129" i="17" s="1"/>
  <c r="T129" i="17" s="1"/>
  <c r="V23" i="13" s="1"/>
  <c r="L129" i="17"/>
  <c r="C129" i="17"/>
  <c r="E129" i="17" s="1"/>
  <c r="H129" i="17" s="1"/>
  <c r="I129" i="17" s="1"/>
  <c r="J129" i="17" s="1"/>
  <c r="L23" i="13" s="1"/>
  <c r="B129" i="17"/>
  <c r="Q128" i="17"/>
  <c r="P128" i="17"/>
  <c r="M128" i="17"/>
  <c r="O128" i="17" s="1"/>
  <c r="L128" i="17"/>
  <c r="C128" i="17"/>
  <c r="E128" i="17" s="1"/>
  <c r="H128" i="17" s="1"/>
  <c r="I128" i="17" s="1"/>
  <c r="J128" i="17" s="1"/>
  <c r="L22" i="13" s="1"/>
  <c r="B128" i="17"/>
  <c r="Q127" i="17"/>
  <c r="P127" i="17"/>
  <c r="M127" i="17"/>
  <c r="O127" i="17" s="1"/>
  <c r="R127" i="17" s="1"/>
  <c r="S127" i="17" s="1"/>
  <c r="T127" i="17" s="1"/>
  <c r="V21" i="13" s="1"/>
  <c r="L127" i="17"/>
  <c r="C127" i="17"/>
  <c r="E127" i="17" s="1"/>
  <c r="H127" i="17" s="1"/>
  <c r="I127" i="17" s="1"/>
  <c r="J127" i="17" s="1"/>
  <c r="L21" i="13" s="1"/>
  <c r="B127" i="17"/>
  <c r="Q126" i="17"/>
  <c r="P126" i="17"/>
  <c r="M126" i="17"/>
  <c r="O126" i="17" s="1"/>
  <c r="L126" i="17"/>
  <c r="C126" i="17"/>
  <c r="E126" i="17" s="1"/>
  <c r="H126" i="17" s="1"/>
  <c r="I126" i="17" s="1"/>
  <c r="J126" i="17" s="1"/>
  <c r="L20" i="13" s="1"/>
  <c r="B126" i="17"/>
  <c r="Q125" i="17"/>
  <c r="P125" i="17"/>
  <c r="M125" i="17"/>
  <c r="O125" i="17" s="1"/>
  <c r="R125" i="17" s="1"/>
  <c r="S125" i="17" s="1"/>
  <c r="T125" i="17" s="1"/>
  <c r="V19" i="13" s="1"/>
  <c r="L125" i="17"/>
  <c r="C125" i="17"/>
  <c r="E125" i="17" s="1"/>
  <c r="H125" i="17" s="1"/>
  <c r="I125" i="17" s="1"/>
  <c r="J125" i="17" s="1"/>
  <c r="L19" i="13" s="1"/>
  <c r="B125" i="17"/>
  <c r="Q124" i="17"/>
  <c r="P124" i="17"/>
  <c r="M124" i="17"/>
  <c r="O124" i="17" s="1"/>
  <c r="L124" i="17"/>
  <c r="C124" i="17"/>
  <c r="E124" i="17" s="1"/>
  <c r="H124" i="17" s="1"/>
  <c r="I124" i="17" s="1"/>
  <c r="J124" i="17" s="1"/>
  <c r="L17" i="13" s="1"/>
  <c r="B124" i="17"/>
  <c r="Q123" i="17"/>
  <c r="P123" i="17"/>
  <c r="M123" i="17"/>
  <c r="O123" i="17" s="1"/>
  <c r="R123" i="17" s="1"/>
  <c r="S123" i="17" s="1"/>
  <c r="T123" i="17" s="1"/>
  <c r="V16" i="13" s="1"/>
  <c r="L123" i="17"/>
  <c r="C123" i="17"/>
  <c r="E123" i="17" s="1"/>
  <c r="H123" i="17" s="1"/>
  <c r="I123" i="17" s="1"/>
  <c r="J123" i="17" s="1"/>
  <c r="L16" i="13" s="1"/>
  <c r="B123" i="17"/>
  <c r="Q122" i="17"/>
  <c r="P122" i="17"/>
  <c r="M122" i="17"/>
  <c r="O122" i="17" s="1"/>
  <c r="L122" i="17"/>
  <c r="C122" i="17"/>
  <c r="E122" i="17" s="1"/>
  <c r="H122" i="17" s="1"/>
  <c r="I122" i="17" s="1"/>
  <c r="J122" i="17" s="1"/>
  <c r="L15" i="13" s="1"/>
  <c r="B122" i="17"/>
  <c r="Q121" i="17"/>
  <c r="P121" i="17"/>
  <c r="M121" i="17"/>
  <c r="O121" i="17" s="1"/>
  <c r="R121" i="17" s="1"/>
  <c r="S121" i="17" s="1"/>
  <c r="T121" i="17" s="1"/>
  <c r="V14" i="13" s="1"/>
  <c r="L121" i="17"/>
  <c r="C121" i="17"/>
  <c r="E121" i="17" s="1"/>
  <c r="H121" i="17" s="1"/>
  <c r="I121" i="17" s="1"/>
  <c r="J121" i="17" s="1"/>
  <c r="L14" i="13" s="1"/>
  <c r="B121" i="17"/>
  <c r="Q120" i="17"/>
  <c r="P120" i="17"/>
  <c r="M120" i="17"/>
  <c r="O120" i="17" s="1"/>
  <c r="L120" i="17"/>
  <c r="C120" i="17"/>
  <c r="E120" i="17" s="1"/>
  <c r="H120" i="17" s="1"/>
  <c r="I120" i="17" s="1"/>
  <c r="J120" i="17" s="1"/>
  <c r="L13" i="13" s="1"/>
  <c r="B120" i="17"/>
  <c r="Q119" i="17"/>
  <c r="P119" i="17"/>
  <c r="M119" i="17"/>
  <c r="O119" i="17" s="1"/>
  <c r="R119" i="17" s="1"/>
  <c r="S119" i="17" s="1"/>
  <c r="T119" i="17" s="1"/>
  <c r="V12" i="13" s="1"/>
  <c r="L119" i="17"/>
  <c r="C119" i="17"/>
  <c r="E119" i="17" s="1"/>
  <c r="H119" i="17" s="1"/>
  <c r="I119" i="17" s="1"/>
  <c r="J119" i="17" s="1"/>
  <c r="L12" i="13" s="1"/>
  <c r="B119" i="17"/>
  <c r="Q118" i="17"/>
  <c r="P118" i="17"/>
  <c r="M118" i="17"/>
  <c r="O118" i="17" s="1"/>
  <c r="L118" i="17"/>
  <c r="C118" i="17"/>
  <c r="E118" i="17" s="1"/>
  <c r="H118" i="17" s="1"/>
  <c r="I118" i="17" s="1"/>
  <c r="J118" i="17" s="1"/>
  <c r="L11" i="13" s="1"/>
  <c r="B118" i="17"/>
  <c r="Q117" i="17"/>
  <c r="P117" i="17"/>
  <c r="M117" i="17"/>
  <c r="O117" i="17" s="1"/>
  <c r="R117" i="17" s="1"/>
  <c r="S117" i="17" s="1"/>
  <c r="T117" i="17" s="1"/>
  <c r="V10" i="13" s="1"/>
  <c r="L117" i="17"/>
  <c r="C117" i="17"/>
  <c r="E117" i="17" s="1"/>
  <c r="H117" i="17" s="1"/>
  <c r="I117" i="17" s="1"/>
  <c r="J117" i="17" s="1"/>
  <c r="L10" i="13" s="1"/>
  <c r="B117" i="17"/>
  <c r="Q116" i="17"/>
  <c r="P116" i="17"/>
  <c r="M116" i="17"/>
  <c r="O116" i="17" s="1"/>
  <c r="L116" i="17"/>
  <c r="C116" i="17"/>
  <c r="E116" i="17" s="1"/>
  <c r="H116" i="17" s="1"/>
  <c r="I116" i="17" s="1"/>
  <c r="J116" i="17" s="1"/>
  <c r="L9" i="13" s="1"/>
  <c r="B116" i="17"/>
  <c r="Q115" i="17"/>
  <c r="P115" i="17"/>
  <c r="M115" i="17"/>
  <c r="O115" i="17" s="1"/>
  <c r="R115" i="17" s="1"/>
  <c r="S115" i="17" s="1"/>
  <c r="T115" i="17" s="1"/>
  <c r="V8" i="13" s="1"/>
  <c r="L115" i="17"/>
  <c r="C115" i="17"/>
  <c r="E115" i="17" s="1"/>
  <c r="H115" i="17" s="1"/>
  <c r="I115" i="17" s="1"/>
  <c r="J115" i="17" s="1"/>
  <c r="L8" i="13" s="1"/>
  <c r="B115" i="17"/>
  <c r="Q114" i="17"/>
  <c r="P114" i="17"/>
  <c r="M114" i="17"/>
  <c r="O114" i="17" s="1"/>
  <c r="L114" i="17"/>
  <c r="C114" i="17"/>
  <c r="E114" i="17" s="1"/>
  <c r="H114" i="17" s="1"/>
  <c r="I114" i="17" s="1"/>
  <c r="J114" i="17" s="1"/>
  <c r="L7" i="13" s="1"/>
  <c r="B114" i="17"/>
  <c r="Q109" i="17"/>
  <c r="M109" i="17"/>
  <c r="O109" i="17" s="1"/>
  <c r="R109" i="17" s="1"/>
  <c r="S109" i="17" s="1"/>
  <c r="T109" i="17" s="1"/>
  <c r="U28" i="13" s="1"/>
  <c r="L109" i="17"/>
  <c r="C109" i="17"/>
  <c r="E109" i="17" s="1"/>
  <c r="H109" i="17" s="1"/>
  <c r="I109" i="17" s="1"/>
  <c r="J109" i="17" s="1"/>
  <c r="K28" i="13" s="1"/>
  <c r="B109" i="17"/>
  <c r="Q108" i="17"/>
  <c r="M108" i="17"/>
  <c r="O108" i="17" s="1"/>
  <c r="R108" i="17" s="1"/>
  <c r="S108" i="17" s="1"/>
  <c r="T108" i="17" s="1"/>
  <c r="U27" i="13" s="1"/>
  <c r="L108" i="17"/>
  <c r="C108" i="17"/>
  <c r="E108" i="17" s="1"/>
  <c r="H108" i="17" s="1"/>
  <c r="I108" i="17" s="1"/>
  <c r="J108" i="17" s="1"/>
  <c r="K27" i="13" s="1"/>
  <c r="B108" i="17"/>
  <c r="Q107" i="17"/>
  <c r="M107" i="17"/>
  <c r="O107" i="17" s="1"/>
  <c r="R107" i="17" s="1"/>
  <c r="S107" i="17" s="1"/>
  <c r="T107" i="17" s="1"/>
  <c r="U26" i="13" s="1"/>
  <c r="L107" i="17"/>
  <c r="C107" i="17"/>
  <c r="E107" i="17" s="1"/>
  <c r="H107" i="17" s="1"/>
  <c r="I107" i="17" s="1"/>
  <c r="J107" i="17" s="1"/>
  <c r="K26" i="13" s="1"/>
  <c r="B107" i="17"/>
  <c r="Q106" i="17"/>
  <c r="M106" i="17"/>
  <c r="O106" i="17" s="1"/>
  <c r="R106" i="17" s="1"/>
  <c r="S106" i="17" s="1"/>
  <c r="T106" i="17" s="1"/>
  <c r="U25" i="13" s="1"/>
  <c r="L106" i="17"/>
  <c r="C106" i="17"/>
  <c r="E106" i="17" s="1"/>
  <c r="H106" i="17" s="1"/>
  <c r="I106" i="17" s="1"/>
  <c r="J106" i="17" s="1"/>
  <c r="K25" i="13" s="1"/>
  <c r="B106" i="17"/>
  <c r="Q105" i="17"/>
  <c r="M105" i="17"/>
  <c r="O105" i="17" s="1"/>
  <c r="R105" i="17" s="1"/>
  <c r="S105" i="17" s="1"/>
  <c r="T105" i="17" s="1"/>
  <c r="U24" i="13" s="1"/>
  <c r="L105" i="17"/>
  <c r="C105" i="17"/>
  <c r="E105" i="17" s="1"/>
  <c r="H105" i="17" s="1"/>
  <c r="I105" i="17" s="1"/>
  <c r="J105" i="17" s="1"/>
  <c r="K24" i="13" s="1"/>
  <c r="B105" i="17"/>
  <c r="Q104" i="17"/>
  <c r="M104" i="17"/>
  <c r="O104" i="17" s="1"/>
  <c r="R104" i="17" s="1"/>
  <c r="S104" i="17" s="1"/>
  <c r="T104" i="17" s="1"/>
  <c r="U23" i="13" s="1"/>
  <c r="L104" i="17"/>
  <c r="C104" i="17"/>
  <c r="E104" i="17" s="1"/>
  <c r="H104" i="17" s="1"/>
  <c r="I104" i="17" s="1"/>
  <c r="J104" i="17" s="1"/>
  <c r="K23" i="13" s="1"/>
  <c r="B104" i="17"/>
  <c r="Q103" i="17"/>
  <c r="M103" i="17"/>
  <c r="O103" i="17" s="1"/>
  <c r="R103" i="17" s="1"/>
  <c r="S103" i="17" s="1"/>
  <c r="T103" i="17" s="1"/>
  <c r="U22" i="13" s="1"/>
  <c r="L103" i="17"/>
  <c r="C103" i="17"/>
  <c r="E103" i="17" s="1"/>
  <c r="H103" i="17" s="1"/>
  <c r="I103" i="17" s="1"/>
  <c r="J103" i="17" s="1"/>
  <c r="K22" i="13" s="1"/>
  <c r="B103" i="17"/>
  <c r="Q102" i="17"/>
  <c r="M102" i="17"/>
  <c r="O102" i="17" s="1"/>
  <c r="R102" i="17" s="1"/>
  <c r="S102" i="17" s="1"/>
  <c r="T102" i="17" s="1"/>
  <c r="U21" i="13" s="1"/>
  <c r="L102" i="17"/>
  <c r="C102" i="17"/>
  <c r="E102" i="17" s="1"/>
  <c r="H102" i="17" s="1"/>
  <c r="I102" i="17" s="1"/>
  <c r="J102" i="17" s="1"/>
  <c r="K21" i="13" s="1"/>
  <c r="B102" i="17"/>
  <c r="Q101" i="17"/>
  <c r="M101" i="17"/>
  <c r="O101" i="17" s="1"/>
  <c r="R101" i="17" s="1"/>
  <c r="S101" i="17" s="1"/>
  <c r="T101" i="17" s="1"/>
  <c r="U20" i="13" s="1"/>
  <c r="L101" i="17"/>
  <c r="C101" i="17"/>
  <c r="E101" i="17" s="1"/>
  <c r="H101" i="17" s="1"/>
  <c r="I101" i="17" s="1"/>
  <c r="J101" i="17" s="1"/>
  <c r="K20" i="13" s="1"/>
  <c r="B101" i="17"/>
  <c r="Q100" i="17"/>
  <c r="M100" i="17"/>
  <c r="O100" i="17" s="1"/>
  <c r="R100" i="17" s="1"/>
  <c r="S100" i="17" s="1"/>
  <c r="T100" i="17" s="1"/>
  <c r="U19" i="13" s="1"/>
  <c r="L100" i="17"/>
  <c r="C100" i="17"/>
  <c r="E100" i="17" s="1"/>
  <c r="H100" i="17" s="1"/>
  <c r="I100" i="17" s="1"/>
  <c r="J100" i="17" s="1"/>
  <c r="K19" i="13" s="1"/>
  <c r="B100" i="17"/>
  <c r="Q99" i="17"/>
  <c r="M99" i="17"/>
  <c r="O99" i="17" s="1"/>
  <c r="R99" i="17" s="1"/>
  <c r="S99" i="17" s="1"/>
  <c r="T99" i="17" s="1"/>
  <c r="U17" i="13" s="1"/>
  <c r="L99" i="17"/>
  <c r="C99" i="17"/>
  <c r="E99" i="17" s="1"/>
  <c r="H99" i="17" s="1"/>
  <c r="I99" i="17" s="1"/>
  <c r="J99" i="17" s="1"/>
  <c r="K17" i="13" s="1"/>
  <c r="B99" i="17"/>
  <c r="Q98" i="17"/>
  <c r="M98" i="17"/>
  <c r="O98" i="17" s="1"/>
  <c r="R98" i="17" s="1"/>
  <c r="S98" i="17" s="1"/>
  <c r="T98" i="17" s="1"/>
  <c r="U16" i="13" s="1"/>
  <c r="L98" i="17"/>
  <c r="C98" i="17"/>
  <c r="E98" i="17" s="1"/>
  <c r="H98" i="17" s="1"/>
  <c r="I98" i="17" s="1"/>
  <c r="J98" i="17" s="1"/>
  <c r="K16" i="13" s="1"/>
  <c r="B98" i="17"/>
  <c r="Q97" i="17"/>
  <c r="M97" i="17"/>
  <c r="O97" i="17" s="1"/>
  <c r="R97" i="17" s="1"/>
  <c r="S97" i="17" s="1"/>
  <c r="T97" i="17" s="1"/>
  <c r="U15" i="13" s="1"/>
  <c r="L97" i="17"/>
  <c r="C97" i="17"/>
  <c r="E97" i="17" s="1"/>
  <c r="H97" i="17" s="1"/>
  <c r="I97" i="17" s="1"/>
  <c r="J97" i="17" s="1"/>
  <c r="K15" i="13" s="1"/>
  <c r="B97" i="17"/>
  <c r="Q96" i="17"/>
  <c r="M96" i="17"/>
  <c r="O96" i="17" s="1"/>
  <c r="R96" i="17" s="1"/>
  <c r="S96" i="17" s="1"/>
  <c r="T96" i="17" s="1"/>
  <c r="U14" i="13" s="1"/>
  <c r="L96" i="17"/>
  <c r="C96" i="17"/>
  <c r="E96" i="17" s="1"/>
  <c r="H96" i="17" s="1"/>
  <c r="I96" i="17" s="1"/>
  <c r="J96" i="17" s="1"/>
  <c r="K14" i="13" s="1"/>
  <c r="B96" i="17"/>
  <c r="Q95" i="17"/>
  <c r="M95" i="17"/>
  <c r="O95" i="17" s="1"/>
  <c r="R95" i="17" s="1"/>
  <c r="S95" i="17" s="1"/>
  <c r="T95" i="17" s="1"/>
  <c r="U13" i="13" s="1"/>
  <c r="L95" i="17"/>
  <c r="C95" i="17"/>
  <c r="E95" i="17" s="1"/>
  <c r="H95" i="17" s="1"/>
  <c r="I95" i="17" s="1"/>
  <c r="J95" i="17" s="1"/>
  <c r="K13" i="13" s="1"/>
  <c r="B95" i="17"/>
  <c r="Q94" i="17"/>
  <c r="M94" i="17"/>
  <c r="O94" i="17" s="1"/>
  <c r="R94" i="17" s="1"/>
  <c r="S94" i="17" s="1"/>
  <c r="T94" i="17" s="1"/>
  <c r="U12" i="13" s="1"/>
  <c r="L94" i="17"/>
  <c r="C94" i="17"/>
  <c r="E94" i="17" s="1"/>
  <c r="H94" i="17" s="1"/>
  <c r="I94" i="17" s="1"/>
  <c r="J94" i="17" s="1"/>
  <c r="K12" i="13" s="1"/>
  <c r="B94" i="17"/>
  <c r="Q93" i="17"/>
  <c r="M93" i="17"/>
  <c r="O93" i="17" s="1"/>
  <c r="R93" i="17" s="1"/>
  <c r="S93" i="17" s="1"/>
  <c r="T93" i="17" s="1"/>
  <c r="U11" i="13" s="1"/>
  <c r="L93" i="17"/>
  <c r="C93" i="17"/>
  <c r="E93" i="17" s="1"/>
  <c r="H93" i="17" s="1"/>
  <c r="I93" i="17" s="1"/>
  <c r="J93" i="17" s="1"/>
  <c r="K11" i="13" s="1"/>
  <c r="B93" i="17"/>
  <c r="Q92" i="17"/>
  <c r="M92" i="17"/>
  <c r="O92" i="17" s="1"/>
  <c r="R92" i="17" s="1"/>
  <c r="S92" i="17" s="1"/>
  <c r="T92" i="17" s="1"/>
  <c r="U10" i="13" s="1"/>
  <c r="L92" i="17"/>
  <c r="C92" i="17"/>
  <c r="E92" i="17" s="1"/>
  <c r="H92" i="17" s="1"/>
  <c r="I92" i="17" s="1"/>
  <c r="J92" i="17" s="1"/>
  <c r="K10" i="13" s="1"/>
  <c r="B92" i="17"/>
  <c r="Q91" i="17"/>
  <c r="M91" i="17"/>
  <c r="O91" i="17" s="1"/>
  <c r="R91" i="17" s="1"/>
  <c r="S91" i="17" s="1"/>
  <c r="T91" i="17" s="1"/>
  <c r="U9" i="13" s="1"/>
  <c r="L91" i="17"/>
  <c r="C91" i="17"/>
  <c r="E91" i="17" s="1"/>
  <c r="H91" i="17" s="1"/>
  <c r="I91" i="17" s="1"/>
  <c r="J91" i="17" s="1"/>
  <c r="K9" i="13" s="1"/>
  <c r="B91" i="17"/>
  <c r="Q90" i="17"/>
  <c r="M90" i="17"/>
  <c r="O90" i="17" s="1"/>
  <c r="R90" i="17" s="1"/>
  <c r="S90" i="17" s="1"/>
  <c r="T90" i="17" s="1"/>
  <c r="U8" i="13" s="1"/>
  <c r="L90" i="17"/>
  <c r="C90" i="17"/>
  <c r="E90" i="17" s="1"/>
  <c r="H90" i="17" s="1"/>
  <c r="I90" i="17" s="1"/>
  <c r="J90" i="17" s="1"/>
  <c r="K8" i="13" s="1"/>
  <c r="B90" i="17"/>
  <c r="Q89" i="17"/>
  <c r="P89" i="17"/>
  <c r="N89" i="17"/>
  <c r="M89" i="17"/>
  <c r="L89" i="17"/>
  <c r="C89" i="17"/>
  <c r="E89" i="17" s="1"/>
  <c r="H89" i="17" s="1"/>
  <c r="I89" i="17" s="1"/>
  <c r="J89" i="17" s="1"/>
  <c r="K7" i="13" s="1"/>
  <c r="B89" i="17"/>
  <c r="Q84" i="17"/>
  <c r="P84" i="17"/>
  <c r="M84" i="17"/>
  <c r="O84" i="17" s="1"/>
  <c r="L84" i="17"/>
  <c r="C84" i="17"/>
  <c r="E84" i="17" s="1"/>
  <c r="H84" i="17" s="1"/>
  <c r="I84" i="17" s="1"/>
  <c r="J84" i="17" s="1"/>
  <c r="J28" i="13" s="1"/>
  <c r="B84" i="17"/>
  <c r="Q83" i="17"/>
  <c r="P83" i="17"/>
  <c r="M83" i="17"/>
  <c r="O83" i="17" s="1"/>
  <c r="R83" i="17" s="1"/>
  <c r="S83" i="17" s="1"/>
  <c r="T83" i="17" s="1"/>
  <c r="T27" i="13" s="1"/>
  <c r="L83" i="17"/>
  <c r="C83" i="17"/>
  <c r="E83" i="17" s="1"/>
  <c r="H83" i="17" s="1"/>
  <c r="I83" i="17" s="1"/>
  <c r="J83" i="17" s="1"/>
  <c r="J27" i="13" s="1"/>
  <c r="B83" i="17"/>
  <c r="Q82" i="17"/>
  <c r="P82" i="17"/>
  <c r="M82" i="17"/>
  <c r="O82" i="17" s="1"/>
  <c r="L82" i="17"/>
  <c r="C82" i="17"/>
  <c r="E82" i="17" s="1"/>
  <c r="H82" i="17" s="1"/>
  <c r="I82" i="17" s="1"/>
  <c r="J82" i="17" s="1"/>
  <c r="J26" i="13" s="1"/>
  <c r="B82" i="17"/>
  <c r="Q81" i="17"/>
  <c r="P81" i="17"/>
  <c r="M81" i="17"/>
  <c r="O81" i="17" s="1"/>
  <c r="R81" i="17" s="1"/>
  <c r="S81" i="17" s="1"/>
  <c r="T81" i="17" s="1"/>
  <c r="T25" i="13" s="1"/>
  <c r="L81" i="17"/>
  <c r="C81" i="17"/>
  <c r="E81" i="17" s="1"/>
  <c r="H81" i="17" s="1"/>
  <c r="I81" i="17" s="1"/>
  <c r="J81" i="17" s="1"/>
  <c r="J25" i="13" s="1"/>
  <c r="B81" i="17"/>
  <c r="Q80" i="17"/>
  <c r="P80" i="17"/>
  <c r="M80" i="17"/>
  <c r="O80" i="17" s="1"/>
  <c r="L80" i="17"/>
  <c r="C80" i="17"/>
  <c r="E80" i="17" s="1"/>
  <c r="H80" i="17" s="1"/>
  <c r="I80" i="17" s="1"/>
  <c r="J80" i="17" s="1"/>
  <c r="J24" i="13" s="1"/>
  <c r="B80" i="17"/>
  <c r="Q79" i="17"/>
  <c r="P79" i="17"/>
  <c r="M79" i="17"/>
  <c r="O79" i="17" s="1"/>
  <c r="R79" i="17" s="1"/>
  <c r="S79" i="17" s="1"/>
  <c r="T79" i="17" s="1"/>
  <c r="T23" i="13" s="1"/>
  <c r="L79" i="17"/>
  <c r="C79" i="17"/>
  <c r="E79" i="17" s="1"/>
  <c r="H79" i="17" s="1"/>
  <c r="I79" i="17" s="1"/>
  <c r="J79" i="17" s="1"/>
  <c r="J23" i="13" s="1"/>
  <c r="B79" i="17"/>
  <c r="Q78" i="17"/>
  <c r="P78" i="17"/>
  <c r="M78" i="17"/>
  <c r="O78" i="17" s="1"/>
  <c r="L78" i="17"/>
  <c r="C78" i="17"/>
  <c r="E78" i="17" s="1"/>
  <c r="H78" i="17" s="1"/>
  <c r="I78" i="17" s="1"/>
  <c r="J78" i="17" s="1"/>
  <c r="J22" i="13" s="1"/>
  <c r="B78" i="17"/>
  <c r="Q77" i="17"/>
  <c r="P77" i="17"/>
  <c r="M77" i="17"/>
  <c r="O77" i="17" s="1"/>
  <c r="R77" i="17" s="1"/>
  <c r="S77" i="17" s="1"/>
  <c r="T77" i="17" s="1"/>
  <c r="T21" i="13" s="1"/>
  <c r="L77" i="17"/>
  <c r="C77" i="17"/>
  <c r="E77" i="17" s="1"/>
  <c r="H77" i="17" s="1"/>
  <c r="I77" i="17" s="1"/>
  <c r="J77" i="17" s="1"/>
  <c r="J21" i="13" s="1"/>
  <c r="B77" i="17"/>
  <c r="Q76" i="17"/>
  <c r="P76" i="17"/>
  <c r="M76" i="17"/>
  <c r="O76" i="17" s="1"/>
  <c r="L76" i="17"/>
  <c r="C76" i="17"/>
  <c r="E76" i="17" s="1"/>
  <c r="H76" i="17" s="1"/>
  <c r="I76" i="17" s="1"/>
  <c r="J76" i="17" s="1"/>
  <c r="J20" i="13" s="1"/>
  <c r="B76" i="17"/>
  <c r="Q75" i="17"/>
  <c r="P75" i="17"/>
  <c r="M75" i="17"/>
  <c r="O75" i="17" s="1"/>
  <c r="R75" i="17" s="1"/>
  <c r="S75" i="17" s="1"/>
  <c r="T75" i="17" s="1"/>
  <c r="T19" i="13" s="1"/>
  <c r="L75" i="17"/>
  <c r="C75" i="17"/>
  <c r="E75" i="17" s="1"/>
  <c r="H75" i="17" s="1"/>
  <c r="I75" i="17" s="1"/>
  <c r="J75" i="17" s="1"/>
  <c r="J19" i="13" s="1"/>
  <c r="B75" i="17"/>
  <c r="Q74" i="17"/>
  <c r="P74" i="17"/>
  <c r="M74" i="17"/>
  <c r="O74" i="17" s="1"/>
  <c r="L74" i="17"/>
  <c r="C74" i="17"/>
  <c r="E74" i="17" s="1"/>
  <c r="H74" i="17" s="1"/>
  <c r="I74" i="17" s="1"/>
  <c r="J74" i="17" s="1"/>
  <c r="J17" i="13" s="1"/>
  <c r="B74" i="17"/>
  <c r="Q73" i="17"/>
  <c r="P73" i="17"/>
  <c r="M73" i="17"/>
  <c r="O73" i="17" s="1"/>
  <c r="R73" i="17" s="1"/>
  <c r="S73" i="17" s="1"/>
  <c r="T73" i="17" s="1"/>
  <c r="T16" i="13" s="1"/>
  <c r="L73" i="17"/>
  <c r="C73" i="17"/>
  <c r="E73" i="17" s="1"/>
  <c r="H73" i="17" s="1"/>
  <c r="I73" i="17" s="1"/>
  <c r="J73" i="17" s="1"/>
  <c r="J16" i="13" s="1"/>
  <c r="B73" i="17"/>
  <c r="Q72" i="17"/>
  <c r="P72" i="17"/>
  <c r="M72" i="17"/>
  <c r="O72" i="17" s="1"/>
  <c r="L72" i="17"/>
  <c r="C72" i="17"/>
  <c r="E72" i="17" s="1"/>
  <c r="H72" i="17" s="1"/>
  <c r="I72" i="17" s="1"/>
  <c r="J72" i="17" s="1"/>
  <c r="J15" i="13" s="1"/>
  <c r="B72" i="17"/>
  <c r="Q71" i="17"/>
  <c r="P71" i="17"/>
  <c r="M71" i="17"/>
  <c r="O71" i="17" s="1"/>
  <c r="L71" i="17"/>
  <c r="C71" i="17"/>
  <c r="E71" i="17" s="1"/>
  <c r="H71" i="17" s="1"/>
  <c r="I71" i="17" s="1"/>
  <c r="J71" i="17" s="1"/>
  <c r="J14" i="13" s="1"/>
  <c r="B71" i="17"/>
  <c r="Q70" i="17"/>
  <c r="P70" i="17"/>
  <c r="M70" i="17"/>
  <c r="O70" i="17" s="1"/>
  <c r="L70" i="17"/>
  <c r="C70" i="17"/>
  <c r="E70" i="17" s="1"/>
  <c r="H70" i="17" s="1"/>
  <c r="I70" i="17" s="1"/>
  <c r="J70" i="17" s="1"/>
  <c r="J13" i="13" s="1"/>
  <c r="B70" i="17"/>
  <c r="Q69" i="17"/>
  <c r="P69" i="17"/>
  <c r="M69" i="17"/>
  <c r="O69" i="17" s="1"/>
  <c r="L69" i="17"/>
  <c r="C69" i="17"/>
  <c r="E69" i="17" s="1"/>
  <c r="H69" i="17" s="1"/>
  <c r="I69" i="17" s="1"/>
  <c r="J69" i="17" s="1"/>
  <c r="J12" i="13" s="1"/>
  <c r="B69" i="17"/>
  <c r="Q68" i="17"/>
  <c r="P68" i="17"/>
  <c r="M68" i="17"/>
  <c r="O68" i="17" s="1"/>
  <c r="R68" i="17" s="1"/>
  <c r="S68" i="17" s="1"/>
  <c r="T68" i="17" s="1"/>
  <c r="T11" i="13" s="1"/>
  <c r="L68" i="17"/>
  <c r="C68" i="17"/>
  <c r="E68" i="17" s="1"/>
  <c r="H68" i="17" s="1"/>
  <c r="I68" i="17" s="1"/>
  <c r="J68" i="17" s="1"/>
  <c r="J11" i="13" s="1"/>
  <c r="B68" i="17"/>
  <c r="Q67" i="17"/>
  <c r="P67" i="17"/>
  <c r="M67" i="17"/>
  <c r="O67" i="17" s="1"/>
  <c r="L67" i="17"/>
  <c r="C67" i="17"/>
  <c r="E67" i="17" s="1"/>
  <c r="H67" i="17" s="1"/>
  <c r="I67" i="17" s="1"/>
  <c r="J67" i="17" s="1"/>
  <c r="J10" i="13" s="1"/>
  <c r="B67" i="17"/>
  <c r="Q66" i="17"/>
  <c r="P66" i="17"/>
  <c r="M66" i="17"/>
  <c r="O66" i="17" s="1"/>
  <c r="R66" i="17" s="1"/>
  <c r="S66" i="17" s="1"/>
  <c r="T66" i="17" s="1"/>
  <c r="T9" i="13" s="1"/>
  <c r="L66" i="17"/>
  <c r="C66" i="17"/>
  <c r="E66" i="17" s="1"/>
  <c r="H66" i="17" s="1"/>
  <c r="I66" i="17" s="1"/>
  <c r="J66" i="17" s="1"/>
  <c r="J9" i="13" s="1"/>
  <c r="B66" i="17"/>
  <c r="Q65" i="17"/>
  <c r="P65" i="17"/>
  <c r="M65" i="17"/>
  <c r="O65" i="17" s="1"/>
  <c r="L65" i="17"/>
  <c r="C65" i="17"/>
  <c r="E65" i="17" s="1"/>
  <c r="H65" i="17" s="1"/>
  <c r="I65" i="17" s="1"/>
  <c r="J65" i="17" s="1"/>
  <c r="J8" i="13" s="1"/>
  <c r="B65" i="17"/>
  <c r="Q64" i="17"/>
  <c r="P64" i="17"/>
  <c r="N64" i="17"/>
  <c r="M64" i="17"/>
  <c r="L64" i="17"/>
  <c r="C64" i="17"/>
  <c r="E64" i="17" s="1"/>
  <c r="H64" i="17" s="1"/>
  <c r="I64" i="17" s="1"/>
  <c r="J64" i="17" s="1"/>
  <c r="J7" i="13" s="1"/>
  <c r="B64" i="17"/>
  <c r="Q59" i="17"/>
  <c r="P59" i="17"/>
  <c r="M59" i="17"/>
  <c r="O59" i="17" s="1"/>
  <c r="L59" i="17"/>
  <c r="C59" i="17"/>
  <c r="E59" i="17" s="1"/>
  <c r="H59" i="17" s="1"/>
  <c r="I59" i="17" s="1"/>
  <c r="J59" i="17" s="1"/>
  <c r="I28" i="13" s="1"/>
  <c r="B59" i="17"/>
  <c r="Q58" i="17"/>
  <c r="P58" i="17"/>
  <c r="M58" i="17"/>
  <c r="O58" i="17" s="1"/>
  <c r="R58" i="17" s="1"/>
  <c r="S58" i="17" s="1"/>
  <c r="T58" i="17" s="1"/>
  <c r="S27" i="13" s="1"/>
  <c r="L58" i="17"/>
  <c r="C58" i="17"/>
  <c r="E58" i="17" s="1"/>
  <c r="H58" i="17" s="1"/>
  <c r="I58" i="17" s="1"/>
  <c r="J58" i="17" s="1"/>
  <c r="I27" i="13" s="1"/>
  <c r="B58" i="17"/>
  <c r="Q57" i="17"/>
  <c r="P57" i="17"/>
  <c r="M57" i="17"/>
  <c r="O57" i="17" s="1"/>
  <c r="L57" i="17"/>
  <c r="C57" i="17"/>
  <c r="E57" i="17" s="1"/>
  <c r="H57" i="17" s="1"/>
  <c r="I57" i="17" s="1"/>
  <c r="J57" i="17" s="1"/>
  <c r="I26" i="13" s="1"/>
  <c r="B57" i="17"/>
  <c r="Q56" i="17"/>
  <c r="P56" i="17"/>
  <c r="M56" i="17"/>
  <c r="O56" i="17" s="1"/>
  <c r="R56" i="17" s="1"/>
  <c r="S56" i="17" s="1"/>
  <c r="T56" i="17" s="1"/>
  <c r="S25" i="13" s="1"/>
  <c r="L56" i="17"/>
  <c r="C56" i="17"/>
  <c r="E56" i="17" s="1"/>
  <c r="H56" i="17" s="1"/>
  <c r="I56" i="17" s="1"/>
  <c r="J56" i="17" s="1"/>
  <c r="I25" i="13" s="1"/>
  <c r="B56" i="17"/>
  <c r="Q55" i="17"/>
  <c r="P55" i="17"/>
  <c r="M55" i="17"/>
  <c r="O55" i="17" s="1"/>
  <c r="L55" i="17"/>
  <c r="C55" i="17"/>
  <c r="E55" i="17" s="1"/>
  <c r="H55" i="17" s="1"/>
  <c r="I55" i="17" s="1"/>
  <c r="J55" i="17" s="1"/>
  <c r="I24" i="13" s="1"/>
  <c r="B55" i="17"/>
  <c r="Q54" i="17"/>
  <c r="P54" i="17"/>
  <c r="M54" i="17"/>
  <c r="O54" i="17" s="1"/>
  <c r="R54" i="17" s="1"/>
  <c r="S54" i="17" s="1"/>
  <c r="T54" i="17" s="1"/>
  <c r="S23" i="13" s="1"/>
  <c r="L54" i="17"/>
  <c r="C54" i="17"/>
  <c r="E54" i="17" s="1"/>
  <c r="H54" i="17" s="1"/>
  <c r="I54" i="17" s="1"/>
  <c r="J54" i="17" s="1"/>
  <c r="I23" i="13" s="1"/>
  <c r="B54" i="17"/>
  <c r="Q53" i="17"/>
  <c r="P53" i="17"/>
  <c r="M53" i="17"/>
  <c r="O53" i="17" s="1"/>
  <c r="L53" i="17"/>
  <c r="C53" i="17"/>
  <c r="E53" i="17" s="1"/>
  <c r="H53" i="17" s="1"/>
  <c r="I53" i="17" s="1"/>
  <c r="J53" i="17" s="1"/>
  <c r="I22" i="13" s="1"/>
  <c r="B53" i="17"/>
  <c r="Q52" i="17"/>
  <c r="P52" i="17"/>
  <c r="M52" i="17"/>
  <c r="O52" i="17" s="1"/>
  <c r="R52" i="17" s="1"/>
  <c r="S52" i="17" s="1"/>
  <c r="T52" i="17" s="1"/>
  <c r="S21" i="13" s="1"/>
  <c r="L52" i="17"/>
  <c r="C52" i="17"/>
  <c r="E52" i="17" s="1"/>
  <c r="H52" i="17" s="1"/>
  <c r="I52" i="17" s="1"/>
  <c r="J52" i="17" s="1"/>
  <c r="I21" i="13" s="1"/>
  <c r="B52" i="17"/>
  <c r="Q51" i="17"/>
  <c r="P51" i="17"/>
  <c r="M51" i="17"/>
  <c r="O51" i="17" s="1"/>
  <c r="L51" i="17"/>
  <c r="C51" i="17"/>
  <c r="E51" i="17" s="1"/>
  <c r="H51" i="17" s="1"/>
  <c r="I51" i="17" s="1"/>
  <c r="J51" i="17" s="1"/>
  <c r="I20" i="13" s="1"/>
  <c r="B51" i="17"/>
  <c r="Q50" i="17"/>
  <c r="P50" i="17"/>
  <c r="M50" i="17"/>
  <c r="O50" i="17" s="1"/>
  <c r="R50" i="17" s="1"/>
  <c r="S50" i="17" s="1"/>
  <c r="T50" i="17" s="1"/>
  <c r="S19" i="13" s="1"/>
  <c r="L50" i="17"/>
  <c r="C50" i="17"/>
  <c r="E50" i="17" s="1"/>
  <c r="H50" i="17" s="1"/>
  <c r="I50" i="17" s="1"/>
  <c r="J50" i="17" s="1"/>
  <c r="I19" i="13" s="1"/>
  <c r="B50" i="17"/>
  <c r="Q49" i="17"/>
  <c r="P49" i="17"/>
  <c r="M49" i="17"/>
  <c r="O49" i="17" s="1"/>
  <c r="L49" i="17"/>
  <c r="C49" i="17"/>
  <c r="E49" i="17" s="1"/>
  <c r="H49" i="17" s="1"/>
  <c r="I49" i="17" s="1"/>
  <c r="J49" i="17" s="1"/>
  <c r="I17" i="13" s="1"/>
  <c r="B49" i="17"/>
  <c r="Q48" i="17"/>
  <c r="P48" i="17"/>
  <c r="M48" i="17"/>
  <c r="O48" i="17" s="1"/>
  <c r="R48" i="17" s="1"/>
  <c r="S48" i="17" s="1"/>
  <c r="T48" i="17" s="1"/>
  <c r="S16" i="13" s="1"/>
  <c r="L48" i="17"/>
  <c r="C48" i="17"/>
  <c r="E48" i="17" s="1"/>
  <c r="H48" i="17" s="1"/>
  <c r="I48" i="17" s="1"/>
  <c r="J48" i="17" s="1"/>
  <c r="I16" i="13" s="1"/>
  <c r="B48" i="17"/>
  <c r="Q47" i="17"/>
  <c r="P47" i="17"/>
  <c r="M47" i="17"/>
  <c r="O47" i="17" s="1"/>
  <c r="L47" i="17"/>
  <c r="C47" i="17"/>
  <c r="E47" i="17" s="1"/>
  <c r="H47" i="17" s="1"/>
  <c r="I47" i="17" s="1"/>
  <c r="J47" i="17" s="1"/>
  <c r="I15" i="13" s="1"/>
  <c r="B47" i="17"/>
  <c r="Q46" i="17"/>
  <c r="P46" i="17"/>
  <c r="M46" i="17"/>
  <c r="O46" i="17" s="1"/>
  <c r="R46" i="17" s="1"/>
  <c r="S46" i="17" s="1"/>
  <c r="T46" i="17" s="1"/>
  <c r="S14" i="13" s="1"/>
  <c r="L46" i="17"/>
  <c r="C46" i="17"/>
  <c r="E46" i="17" s="1"/>
  <c r="H46" i="17" s="1"/>
  <c r="I46" i="17" s="1"/>
  <c r="J46" i="17" s="1"/>
  <c r="I14" i="13" s="1"/>
  <c r="B46" i="17"/>
  <c r="Q45" i="17"/>
  <c r="P45" i="17"/>
  <c r="M45" i="17"/>
  <c r="O45" i="17" s="1"/>
  <c r="L45" i="17"/>
  <c r="C45" i="17"/>
  <c r="E45" i="17" s="1"/>
  <c r="H45" i="17" s="1"/>
  <c r="I45" i="17" s="1"/>
  <c r="J45" i="17" s="1"/>
  <c r="I13" i="13" s="1"/>
  <c r="B45" i="17"/>
  <c r="Q44" i="17"/>
  <c r="P44" i="17"/>
  <c r="M44" i="17"/>
  <c r="O44" i="17" s="1"/>
  <c r="R44" i="17" s="1"/>
  <c r="S44" i="17" s="1"/>
  <c r="T44" i="17" s="1"/>
  <c r="S12" i="13" s="1"/>
  <c r="L44" i="17"/>
  <c r="C44" i="17"/>
  <c r="E44" i="17" s="1"/>
  <c r="H44" i="17" s="1"/>
  <c r="I44" i="17" s="1"/>
  <c r="J44" i="17" s="1"/>
  <c r="I12" i="13" s="1"/>
  <c r="B44" i="17"/>
  <c r="Q43" i="17"/>
  <c r="P43" i="17"/>
  <c r="M43" i="17"/>
  <c r="O43" i="17" s="1"/>
  <c r="L43" i="17"/>
  <c r="C43" i="17"/>
  <c r="E43" i="17" s="1"/>
  <c r="H43" i="17" s="1"/>
  <c r="I43" i="17" s="1"/>
  <c r="J43" i="17" s="1"/>
  <c r="I11" i="13" s="1"/>
  <c r="B43" i="17"/>
  <c r="Q42" i="17"/>
  <c r="P42" i="17"/>
  <c r="M42" i="17"/>
  <c r="O42" i="17" s="1"/>
  <c r="R42" i="17" s="1"/>
  <c r="S42" i="17" s="1"/>
  <c r="T42" i="17" s="1"/>
  <c r="S10" i="13" s="1"/>
  <c r="L42" i="17"/>
  <c r="C42" i="17"/>
  <c r="E42" i="17" s="1"/>
  <c r="H42" i="17" s="1"/>
  <c r="I42" i="17" s="1"/>
  <c r="J42" i="17" s="1"/>
  <c r="I10" i="13" s="1"/>
  <c r="B42" i="17"/>
  <c r="Q41" i="17"/>
  <c r="P41" i="17"/>
  <c r="M41" i="17"/>
  <c r="O41" i="17" s="1"/>
  <c r="L41" i="17"/>
  <c r="C41" i="17"/>
  <c r="E41" i="17" s="1"/>
  <c r="H41" i="17" s="1"/>
  <c r="I41" i="17" s="1"/>
  <c r="J41" i="17" s="1"/>
  <c r="I9" i="13" s="1"/>
  <c r="B41" i="17"/>
  <c r="Q40" i="17"/>
  <c r="P40" i="17"/>
  <c r="M40" i="17"/>
  <c r="O40" i="17" s="1"/>
  <c r="R40" i="17" s="1"/>
  <c r="S40" i="17" s="1"/>
  <c r="T40" i="17" s="1"/>
  <c r="S8" i="13" s="1"/>
  <c r="L40" i="17"/>
  <c r="C40" i="17"/>
  <c r="E40" i="17" s="1"/>
  <c r="H40" i="17" s="1"/>
  <c r="I40" i="17" s="1"/>
  <c r="J40" i="17" s="1"/>
  <c r="I8" i="13" s="1"/>
  <c r="B40" i="17"/>
  <c r="Q39" i="17"/>
  <c r="P39" i="17"/>
  <c r="N39" i="17"/>
  <c r="M39" i="17"/>
  <c r="O39" i="17" s="1"/>
  <c r="L39" i="17"/>
  <c r="C39" i="17"/>
  <c r="E39" i="17" s="1"/>
  <c r="H39" i="17" s="1"/>
  <c r="I39" i="17" s="1"/>
  <c r="J39" i="17" s="1"/>
  <c r="I7" i="13" s="1"/>
  <c r="B39" i="17"/>
  <c r="C34" i="17"/>
  <c r="E34" i="17" s="1"/>
  <c r="H34" i="17" s="1"/>
  <c r="I34" i="17" s="1"/>
  <c r="J34" i="17" s="1"/>
  <c r="C33" i="17"/>
  <c r="E33" i="17" s="1"/>
  <c r="H33" i="17" s="1"/>
  <c r="I33" i="17" s="1"/>
  <c r="J33" i="17" s="1"/>
  <c r="C30" i="17"/>
  <c r="E30" i="17" s="1"/>
  <c r="H30" i="17" s="1"/>
  <c r="I30" i="17" s="1"/>
  <c r="J30" i="17" s="1"/>
  <c r="C29" i="17"/>
  <c r="E29" i="17" s="1"/>
  <c r="H29" i="17" s="1"/>
  <c r="I29" i="17" s="1"/>
  <c r="J29" i="17" s="1"/>
  <c r="C25" i="17"/>
  <c r="E25" i="17" s="1"/>
  <c r="H25" i="17" s="1"/>
  <c r="I25" i="17" s="1"/>
  <c r="J25" i="17" s="1"/>
  <c r="C21" i="17"/>
  <c r="E21" i="17" s="1"/>
  <c r="H21" i="17" s="1"/>
  <c r="I21" i="17" s="1"/>
  <c r="J21" i="17" s="1"/>
  <c r="C20" i="17"/>
  <c r="E20" i="17" s="1"/>
  <c r="H20" i="17" s="1"/>
  <c r="I20" i="17" s="1"/>
  <c r="J20" i="17" s="1"/>
  <c r="C19" i="17"/>
  <c r="E19" i="17" s="1"/>
  <c r="H19" i="17" s="1"/>
  <c r="I19" i="17" s="1"/>
  <c r="J19" i="17" s="1"/>
  <c r="D18" i="17"/>
  <c r="C18" i="17"/>
  <c r="E18" i="17" s="1"/>
  <c r="D13" i="17"/>
  <c r="D214" i="17" s="1"/>
  <c r="C13" i="17"/>
  <c r="E13" i="17" s="1"/>
  <c r="H13" i="17" s="1"/>
  <c r="I13" i="17" s="1"/>
  <c r="J13" i="17" s="1"/>
  <c r="D12" i="17"/>
  <c r="D189" i="17" s="1"/>
  <c r="C12" i="17"/>
  <c r="D11" i="17"/>
  <c r="D164" i="17" s="1"/>
  <c r="C11" i="17"/>
  <c r="E11" i="17" s="1"/>
  <c r="H11" i="17" s="1"/>
  <c r="I11" i="17" s="1"/>
  <c r="J11" i="17" s="1"/>
  <c r="D10" i="17"/>
  <c r="D139" i="17" s="1"/>
  <c r="C10" i="17"/>
  <c r="D9" i="17"/>
  <c r="C9" i="17"/>
  <c r="E9" i="17" s="1"/>
  <c r="H9" i="17" s="1"/>
  <c r="I9" i="17" s="1"/>
  <c r="J9" i="17" s="1"/>
  <c r="D8" i="17"/>
  <c r="C8" i="17"/>
  <c r="D7" i="17"/>
  <c r="C7" i="17"/>
  <c r="E7" i="17" s="1"/>
  <c r="H7" i="17" s="1"/>
  <c r="I7" i="17" s="1"/>
  <c r="J7" i="17" s="1"/>
  <c r="D6" i="17"/>
  <c r="C6" i="17"/>
  <c r="E214" i="17" l="1"/>
  <c r="H214" i="17" s="1"/>
  <c r="I214" i="17" s="1"/>
  <c r="J214" i="17" s="1"/>
  <c r="P7" i="13" s="1"/>
  <c r="E139" i="17"/>
  <c r="H139" i="17" s="1"/>
  <c r="I139" i="17" s="1"/>
  <c r="J139" i="17" s="1"/>
  <c r="M7" i="13" s="1"/>
  <c r="F160" i="25"/>
  <c r="F161" i="25" s="1"/>
  <c r="F162" i="25" s="1"/>
  <c r="F163" i="25" s="1"/>
  <c r="F164" i="25" s="1"/>
  <c r="F165" i="25" s="1"/>
  <c r="F166" i="25" s="1"/>
  <c r="F167" i="25" s="1"/>
  <c r="F168" i="25" s="1"/>
  <c r="F169" i="25" s="1"/>
  <c r="F170" i="25" s="1"/>
  <c r="F171" i="25" s="1"/>
  <c r="F172" i="25" s="1"/>
  <c r="F173" i="25" s="1"/>
  <c r="F174" i="25" s="1"/>
  <c r="F175" i="25" s="1"/>
  <c r="F176" i="25" s="1"/>
  <c r="F177" i="25" s="1"/>
  <c r="F178" i="25" s="1"/>
  <c r="F179" i="25" s="1"/>
  <c r="F180" i="25" s="1"/>
  <c r="F181" i="25" s="1"/>
  <c r="R53" i="17"/>
  <c r="S53" i="17" s="1"/>
  <c r="T53" i="17" s="1"/>
  <c r="S22" i="13" s="1"/>
  <c r="R82" i="17"/>
  <c r="S82" i="17" s="1"/>
  <c r="T82" i="17" s="1"/>
  <c r="T26" i="13" s="1"/>
  <c r="R55" i="17"/>
  <c r="S55" i="17" s="1"/>
  <c r="T55" i="17" s="1"/>
  <c r="S24" i="13" s="1"/>
  <c r="E161" i="25"/>
  <c r="R57" i="17"/>
  <c r="S57" i="17" s="1"/>
  <c r="T57" i="17" s="1"/>
  <c r="S26" i="13" s="1"/>
  <c r="O64" i="17"/>
  <c r="R64" i="17" s="1"/>
  <c r="S64" i="17" s="1"/>
  <c r="T64" i="17" s="1"/>
  <c r="T7" i="13" s="1"/>
  <c r="R43" i="17"/>
  <c r="S43" i="17" s="1"/>
  <c r="T43" i="17" s="1"/>
  <c r="S11" i="13" s="1"/>
  <c r="R126" i="17"/>
  <c r="S126" i="17" s="1"/>
  <c r="T126" i="17" s="1"/>
  <c r="V20" i="13" s="1"/>
  <c r="R116" i="17"/>
  <c r="S116" i="17" s="1"/>
  <c r="T116" i="17" s="1"/>
  <c r="V9" i="13" s="1"/>
  <c r="R134" i="17"/>
  <c r="S134" i="17" s="1"/>
  <c r="T134" i="17" s="1"/>
  <c r="V28" i="13" s="1"/>
  <c r="H5" i="19"/>
  <c r="H6" i="19"/>
  <c r="H10" i="19"/>
  <c r="H9" i="19"/>
  <c r="H7" i="19"/>
  <c r="H8" i="19"/>
  <c r="R132" i="17"/>
  <c r="S132" i="17" s="1"/>
  <c r="T132" i="17" s="1"/>
  <c r="V26" i="13" s="1"/>
  <c r="R47" i="17"/>
  <c r="S47" i="17" s="1"/>
  <c r="T47" i="17" s="1"/>
  <c r="S15" i="13" s="1"/>
  <c r="R71" i="17"/>
  <c r="S71" i="17" s="1"/>
  <c r="T71" i="17" s="1"/>
  <c r="T14" i="13" s="1"/>
  <c r="R74" i="17"/>
  <c r="S74" i="17" s="1"/>
  <c r="T74" i="17" s="1"/>
  <c r="T17" i="13" s="1"/>
  <c r="R124" i="17"/>
  <c r="S124" i="17" s="1"/>
  <c r="T124" i="17" s="1"/>
  <c r="V17" i="13" s="1"/>
  <c r="R41" i="17"/>
  <c r="S41" i="17" s="1"/>
  <c r="T41" i="17" s="1"/>
  <c r="S9" i="13" s="1"/>
  <c r="R78" i="17"/>
  <c r="S78" i="17" s="1"/>
  <c r="T78" i="17" s="1"/>
  <c r="T22" i="13" s="1"/>
  <c r="R118" i="17"/>
  <c r="S118" i="17" s="1"/>
  <c r="T118" i="17" s="1"/>
  <c r="V11" i="13" s="1"/>
  <c r="R45" i="17"/>
  <c r="S45" i="17" s="1"/>
  <c r="T45" i="17" s="1"/>
  <c r="S13" i="13" s="1"/>
  <c r="R122" i="17"/>
  <c r="S122" i="17" s="1"/>
  <c r="T122" i="17" s="1"/>
  <c r="V15" i="13" s="1"/>
  <c r="R130" i="17"/>
  <c r="S130" i="17" s="1"/>
  <c r="T130" i="17" s="1"/>
  <c r="V24" i="13" s="1"/>
  <c r="R114" i="17"/>
  <c r="S114" i="17" s="1"/>
  <c r="T114" i="17" s="1"/>
  <c r="V7" i="13" s="1"/>
  <c r="E164" i="17"/>
  <c r="H164" i="17" s="1"/>
  <c r="I164" i="17" s="1"/>
  <c r="J164" i="17" s="1"/>
  <c r="N7" i="13" s="1"/>
  <c r="R49" i="17"/>
  <c r="S49" i="17" s="1"/>
  <c r="T49" i="17" s="1"/>
  <c r="S17" i="13" s="1"/>
  <c r="R51" i="17"/>
  <c r="S51" i="17" s="1"/>
  <c r="T51" i="17" s="1"/>
  <c r="S20" i="13" s="1"/>
  <c r="R72" i="17"/>
  <c r="S72" i="17" s="1"/>
  <c r="T72" i="17" s="1"/>
  <c r="T15" i="13" s="1"/>
  <c r="R76" i="17"/>
  <c r="S76" i="17" s="1"/>
  <c r="T76" i="17" s="1"/>
  <c r="T20" i="13" s="1"/>
  <c r="R80" i="17"/>
  <c r="S80" i="17" s="1"/>
  <c r="T80" i="17" s="1"/>
  <c r="T24" i="13" s="1"/>
  <c r="R84" i="17"/>
  <c r="S84" i="17" s="1"/>
  <c r="T84" i="17" s="1"/>
  <c r="T28" i="13" s="1"/>
  <c r="R120" i="17"/>
  <c r="S120" i="17" s="1"/>
  <c r="T120" i="17" s="1"/>
  <c r="V13" i="13" s="1"/>
  <c r="R128" i="17"/>
  <c r="S128" i="17" s="1"/>
  <c r="T128" i="17" s="1"/>
  <c r="V22" i="13" s="1"/>
  <c r="R67" i="17"/>
  <c r="S67" i="17" s="1"/>
  <c r="T67" i="17" s="1"/>
  <c r="T10" i="13" s="1"/>
  <c r="E6" i="17"/>
  <c r="H6" i="17" s="1"/>
  <c r="I6" i="17" s="1"/>
  <c r="J6" i="17" s="1"/>
  <c r="E8" i="17"/>
  <c r="H8" i="17" s="1"/>
  <c r="I8" i="17" s="1"/>
  <c r="J8" i="17" s="1"/>
  <c r="E10" i="17"/>
  <c r="H10" i="17" s="1"/>
  <c r="I10" i="17" s="1"/>
  <c r="J10" i="17" s="1"/>
  <c r="E12" i="17"/>
  <c r="H12" i="17" s="1"/>
  <c r="I12" i="17" s="1"/>
  <c r="J12" i="17" s="1"/>
  <c r="R59" i="17"/>
  <c r="S59" i="17" s="1"/>
  <c r="T59" i="17" s="1"/>
  <c r="S28" i="13" s="1"/>
  <c r="R65" i="17"/>
  <c r="S65" i="17" s="1"/>
  <c r="T65" i="17" s="1"/>
  <c r="T8" i="13" s="1"/>
  <c r="R69" i="17"/>
  <c r="S69" i="17" s="1"/>
  <c r="T69" i="17" s="1"/>
  <c r="T12" i="13" s="1"/>
  <c r="R70" i="17"/>
  <c r="S70" i="17" s="1"/>
  <c r="T70" i="17" s="1"/>
  <c r="T13" i="13" s="1"/>
  <c r="E189" i="17"/>
  <c r="H189" i="17" s="1"/>
  <c r="I189" i="17" s="1"/>
  <c r="J189" i="17" s="1"/>
  <c r="O7" i="13" s="1"/>
  <c r="H18" i="17"/>
  <c r="I18" i="17" s="1"/>
  <c r="J18" i="17" s="1"/>
  <c r="R39" i="17"/>
  <c r="S39" i="17" s="1"/>
  <c r="T39" i="17" s="1"/>
  <c r="S7" i="13" s="1"/>
  <c r="O89" i="17"/>
  <c r="R89" i="17" s="1"/>
  <c r="S89" i="17" s="1"/>
  <c r="T89" i="17" s="1"/>
  <c r="U7" i="13" s="1"/>
  <c r="E264" i="17"/>
  <c r="H264" i="17" s="1"/>
  <c r="I264" i="17" s="1"/>
  <c r="J264" i="17" s="1"/>
  <c r="R7" i="13" s="1"/>
  <c r="R139" i="17"/>
  <c r="S139" i="17" s="1"/>
  <c r="T139" i="17" s="1"/>
  <c r="W7" i="13" s="1"/>
  <c r="R141" i="17"/>
  <c r="S141" i="17" s="1"/>
  <c r="T141" i="17" s="1"/>
  <c r="W9" i="13" s="1"/>
  <c r="R143" i="17"/>
  <c r="S143" i="17" s="1"/>
  <c r="T143" i="17" s="1"/>
  <c r="W11" i="13" s="1"/>
  <c r="R145" i="17"/>
  <c r="S145" i="17" s="1"/>
  <c r="T145" i="17" s="1"/>
  <c r="W13" i="13" s="1"/>
  <c r="R147" i="17"/>
  <c r="S147" i="17" s="1"/>
  <c r="T147" i="17" s="1"/>
  <c r="W15" i="13" s="1"/>
  <c r="R149" i="17"/>
  <c r="S149" i="17" s="1"/>
  <c r="T149" i="17" s="1"/>
  <c r="W17" i="13" s="1"/>
  <c r="R151" i="17"/>
  <c r="S151" i="17" s="1"/>
  <c r="T151" i="17" s="1"/>
  <c r="W20" i="13" s="1"/>
  <c r="R153" i="17"/>
  <c r="S153" i="17" s="1"/>
  <c r="T153" i="17" s="1"/>
  <c r="W22" i="13" s="1"/>
  <c r="R155" i="17"/>
  <c r="S155" i="17" s="1"/>
  <c r="T155" i="17" s="1"/>
  <c r="W24" i="13" s="1"/>
  <c r="R157" i="17"/>
  <c r="S157" i="17" s="1"/>
  <c r="T157" i="17" s="1"/>
  <c r="W26" i="13" s="1"/>
  <c r="R159" i="17"/>
  <c r="S159" i="17" s="1"/>
  <c r="T159" i="17" s="1"/>
  <c r="W28" i="13" s="1"/>
  <c r="H284" i="17"/>
  <c r="I284" i="17" s="1"/>
  <c r="J284" i="17" s="1"/>
  <c r="R28" i="13" s="1"/>
  <c r="G160" i="25" l="1"/>
  <c r="G161" i="25"/>
  <c r="E162" i="25"/>
  <c r="E40" i="10"/>
  <c r="G162" i="25" l="1"/>
  <c r="E163" i="25"/>
  <c r="AD48" i="10"/>
  <c r="AD47" i="10"/>
  <c r="AD46" i="10"/>
  <c r="AD45" i="10"/>
  <c r="AD44" i="10"/>
  <c r="AD43" i="10"/>
  <c r="AD42" i="10"/>
  <c r="AD41" i="10"/>
  <c r="AD40" i="10"/>
  <c r="E29" i="10"/>
  <c r="G29" i="10"/>
  <c r="F29" i="10"/>
  <c r="G163" i="25" l="1"/>
  <c r="E164" i="25"/>
  <c r="E42" i="10"/>
  <c r="E46" i="10"/>
  <c r="E52" i="10"/>
  <c r="E60" i="10"/>
  <c r="E43" i="10"/>
  <c r="E47" i="10"/>
  <c r="E53" i="10"/>
  <c r="E57" i="10"/>
  <c r="E44" i="10"/>
  <c r="E50" i="10"/>
  <c r="E55" i="10"/>
  <c r="E58" i="10"/>
  <c r="E45" i="10"/>
  <c r="E51" i="10"/>
  <c r="E41" i="10"/>
  <c r="E59" i="10"/>
  <c r="F41" i="10"/>
  <c r="F45" i="10"/>
  <c r="F51" i="10"/>
  <c r="F59" i="10"/>
  <c r="F42" i="10"/>
  <c r="F46" i="10"/>
  <c r="F52" i="10"/>
  <c r="F60" i="10"/>
  <c r="F40" i="10"/>
  <c r="F43" i="10"/>
  <c r="F47" i="10"/>
  <c r="F53" i="10"/>
  <c r="F57" i="10"/>
  <c r="F55" i="10"/>
  <c r="F44" i="10"/>
  <c r="F50" i="10"/>
  <c r="F58" i="10"/>
  <c r="F66" i="8"/>
  <c r="F67" i="8"/>
  <c r="F68" i="8"/>
  <c r="F69" i="8"/>
  <c r="F70" i="8"/>
  <c r="F71" i="8"/>
  <c r="F72" i="8"/>
  <c r="F73" i="8"/>
  <c r="F65" i="8"/>
  <c r="G12" i="8"/>
  <c r="D47" i="8"/>
  <c r="D14" i="8"/>
  <c r="D13" i="8"/>
  <c r="D12" i="8"/>
  <c r="R32" i="8"/>
  <c r="AC46" i="8" s="1"/>
  <c r="L32" i="8"/>
  <c r="R46" i="8" s="1"/>
  <c r="F32" i="8"/>
  <c r="F46" i="8" s="1"/>
  <c r="D9" i="8"/>
  <c r="AA48" i="8"/>
  <c r="P48" i="8"/>
  <c r="D48" i="8"/>
  <c r="AB47" i="8"/>
  <c r="AA47" i="8"/>
  <c r="Q47" i="8"/>
  <c r="P47" i="8"/>
  <c r="E47" i="8"/>
  <c r="G16" i="8"/>
  <c r="F16" i="8"/>
  <c r="D16" i="8"/>
  <c r="G15" i="8"/>
  <c r="F15" i="8"/>
  <c r="D15" i="8"/>
  <c r="G14" i="8"/>
  <c r="F14" i="8"/>
  <c r="G13" i="8"/>
  <c r="F13" i="8"/>
  <c r="F12" i="8"/>
  <c r="G11" i="8"/>
  <c r="F11" i="8"/>
  <c r="D11" i="8"/>
  <c r="G10" i="8"/>
  <c r="F10" i="8"/>
  <c r="D10" i="8"/>
  <c r="G9" i="8"/>
  <c r="F9" i="8"/>
  <c r="G164" i="25" l="1"/>
  <c r="E165" i="25"/>
  <c r="D17" i="8"/>
  <c r="G17" i="8"/>
  <c r="L30" i="8" s="1"/>
  <c r="R44" i="8" s="1"/>
  <c r="S44" i="8" s="1"/>
  <c r="U44" i="8" s="1"/>
  <c r="F17" i="8"/>
  <c r="S46" i="8"/>
  <c r="U46" i="8" s="1"/>
  <c r="G46" i="8"/>
  <c r="I46" i="8" s="1"/>
  <c r="AD46" i="8"/>
  <c r="AF46" i="8" s="1"/>
  <c r="G165" i="25" l="1"/>
  <c r="E166" i="25"/>
  <c r="C91" i="8"/>
  <c r="C87" i="8"/>
  <c r="C83" i="8"/>
  <c r="C79" i="8"/>
  <c r="C75" i="8"/>
  <c r="C94" i="8"/>
  <c r="C90" i="8"/>
  <c r="C86" i="8"/>
  <c r="C82" i="8"/>
  <c r="C78" i="8"/>
  <c r="C74" i="8"/>
  <c r="C93" i="8"/>
  <c r="C89" i="8"/>
  <c r="C85" i="8"/>
  <c r="C81" i="8"/>
  <c r="C77" i="8"/>
  <c r="F24" i="8"/>
  <c r="F38" i="8" s="1"/>
  <c r="G38" i="8" s="1"/>
  <c r="I38" i="8" s="1"/>
  <c r="F26" i="8"/>
  <c r="F40" i="8" s="1"/>
  <c r="G40" i="8" s="1"/>
  <c r="I40" i="8" s="1"/>
  <c r="C92" i="8"/>
  <c r="C88" i="8"/>
  <c r="C84" i="8"/>
  <c r="C80" i="8"/>
  <c r="C76" i="8"/>
  <c r="R31" i="8"/>
  <c r="AC45" i="8" s="1"/>
  <c r="AD45" i="8" s="1"/>
  <c r="AF45" i="8" s="1"/>
  <c r="R24" i="8"/>
  <c r="AC38" i="8" s="1"/>
  <c r="AD38" i="8" s="1"/>
  <c r="AF38" i="8" s="1"/>
  <c r="R28" i="8"/>
  <c r="AC42" i="8" s="1"/>
  <c r="AD42" i="8" s="1"/>
  <c r="AF42" i="8" s="1"/>
  <c r="R30" i="8"/>
  <c r="AC44" i="8" s="1"/>
  <c r="AD44" i="8" s="1"/>
  <c r="AF44" i="8" s="1"/>
  <c r="R25" i="8"/>
  <c r="AC39" i="8" s="1"/>
  <c r="AD39" i="8" s="1"/>
  <c r="AF39" i="8" s="1"/>
  <c r="R27" i="8"/>
  <c r="AC41" i="8" s="1"/>
  <c r="AD41" i="8" s="1"/>
  <c r="AF41" i="8" s="1"/>
  <c r="R29" i="8"/>
  <c r="AC43" i="8" s="1"/>
  <c r="AD43" i="8" s="1"/>
  <c r="AF43" i="8" s="1"/>
  <c r="R26" i="8"/>
  <c r="AC40" i="8" s="1"/>
  <c r="AD40" i="8" s="1"/>
  <c r="AF40" i="8" s="1"/>
  <c r="L29" i="8"/>
  <c r="R43" i="8" s="1"/>
  <c r="S43" i="8" s="1"/>
  <c r="U43" i="8" s="1"/>
  <c r="L27" i="8"/>
  <c r="R41" i="8" s="1"/>
  <c r="S41" i="8" s="1"/>
  <c r="U41" i="8" s="1"/>
  <c r="L24" i="8"/>
  <c r="R38" i="8" s="1"/>
  <c r="S38" i="8" s="1"/>
  <c r="U38" i="8" s="1"/>
  <c r="L31" i="8"/>
  <c r="R45" i="8" s="1"/>
  <c r="S45" i="8" s="1"/>
  <c r="U45" i="8" s="1"/>
  <c r="L28" i="8"/>
  <c r="R42" i="8" s="1"/>
  <c r="S42" i="8" s="1"/>
  <c r="U42" i="8" s="1"/>
  <c r="L26" i="8"/>
  <c r="R40" i="8" s="1"/>
  <c r="S40" i="8" s="1"/>
  <c r="U40" i="8" s="1"/>
  <c r="L25" i="8"/>
  <c r="R39" i="8" s="1"/>
  <c r="S39" i="8" s="1"/>
  <c r="U39" i="8" s="1"/>
  <c r="F31" i="8"/>
  <c r="F45" i="8" s="1"/>
  <c r="G45" i="8" s="1"/>
  <c r="I45" i="8" s="1"/>
  <c r="F27" i="8"/>
  <c r="F41" i="8" s="1"/>
  <c r="G41" i="8" s="1"/>
  <c r="I41" i="8" s="1"/>
  <c r="F28" i="8"/>
  <c r="F42" i="8" s="1"/>
  <c r="G42" i="8" s="1"/>
  <c r="I42" i="8" s="1"/>
  <c r="F30" i="8"/>
  <c r="F44" i="8" s="1"/>
  <c r="G44" i="8" s="1"/>
  <c r="I44" i="8" s="1"/>
  <c r="F25" i="8"/>
  <c r="F39" i="8" s="1"/>
  <c r="G39" i="8" s="1"/>
  <c r="I39" i="8" s="1"/>
  <c r="F29" i="8"/>
  <c r="F43" i="8" s="1"/>
  <c r="G43" i="8" s="1"/>
  <c r="I43" i="8" s="1"/>
  <c r="G166" i="25" l="1"/>
  <c r="E167" i="25"/>
  <c r="D54" i="13"/>
  <c r="D26" i="13"/>
  <c r="C32" i="5"/>
  <c r="F32" i="5" s="1"/>
  <c r="AD67" i="10"/>
  <c r="F77" i="8"/>
  <c r="D38" i="13"/>
  <c r="C17" i="5"/>
  <c r="F17" i="5" s="1"/>
  <c r="D10" i="13"/>
  <c r="AD52" i="10"/>
  <c r="F81" i="8"/>
  <c r="D42" i="13"/>
  <c r="D14" i="13"/>
  <c r="C21" i="5"/>
  <c r="F21" i="5" s="1"/>
  <c r="AD56" i="10"/>
  <c r="D47" i="13"/>
  <c r="D19" i="13"/>
  <c r="C25" i="5"/>
  <c r="F25" i="5" s="1"/>
  <c r="AD60" i="10"/>
  <c r="D50" i="13"/>
  <c r="D22" i="13"/>
  <c r="C28" i="5"/>
  <c r="F28" i="5" s="1"/>
  <c r="AD63" i="10"/>
  <c r="D23" i="13"/>
  <c r="D51" i="13"/>
  <c r="C29" i="5"/>
  <c r="F29" i="5" s="1"/>
  <c r="AD64" i="10"/>
  <c r="D55" i="13"/>
  <c r="D27" i="13"/>
  <c r="C33" i="5"/>
  <c r="F33" i="5" s="1"/>
  <c r="AD68" i="10"/>
  <c r="F74" i="8"/>
  <c r="D35" i="13"/>
  <c r="D7" i="13"/>
  <c r="C14" i="5"/>
  <c r="F14" i="5" s="1"/>
  <c r="AD49" i="10"/>
  <c r="F78" i="8"/>
  <c r="D39" i="13"/>
  <c r="C18" i="5"/>
  <c r="F18" i="5" s="1"/>
  <c r="D11" i="13"/>
  <c r="AD53" i="10"/>
  <c r="F82" i="8"/>
  <c r="D43" i="13"/>
  <c r="D15" i="13"/>
  <c r="C22" i="5"/>
  <c r="F22" i="5" s="1"/>
  <c r="AD57" i="10"/>
  <c r="D48" i="13"/>
  <c r="D20" i="13"/>
  <c r="C26" i="5"/>
  <c r="F26" i="5" s="1"/>
  <c r="AD61" i="10"/>
  <c r="D52" i="13"/>
  <c r="D24" i="13"/>
  <c r="C30" i="5"/>
  <c r="F30" i="5" s="1"/>
  <c r="AD65" i="10"/>
  <c r="D56" i="13"/>
  <c r="C34" i="5"/>
  <c r="F34" i="5" s="1"/>
  <c r="D28" i="13"/>
  <c r="AD69" i="10"/>
  <c r="F75" i="8"/>
  <c r="D36" i="13"/>
  <c r="C15" i="5"/>
  <c r="D8" i="13"/>
  <c r="AD50" i="10"/>
  <c r="F79" i="8"/>
  <c r="D40" i="13"/>
  <c r="C19" i="5"/>
  <c r="F19" i="5" s="1"/>
  <c r="D12" i="13"/>
  <c r="AD54" i="10"/>
  <c r="F76" i="8"/>
  <c r="D37" i="13"/>
  <c r="C16" i="5"/>
  <c r="F16" i="5" s="1"/>
  <c r="D9" i="13"/>
  <c r="AD51" i="10"/>
  <c r="F83" i="8"/>
  <c r="D44" i="13"/>
  <c r="D16" i="13"/>
  <c r="C23" i="5"/>
  <c r="F23" i="5" s="1"/>
  <c r="AD58" i="10"/>
  <c r="F80" i="8"/>
  <c r="D41" i="13"/>
  <c r="C20" i="5"/>
  <c r="F20" i="5" s="1"/>
  <c r="D13" i="13"/>
  <c r="AD55" i="10"/>
  <c r="D49" i="13"/>
  <c r="D21" i="13"/>
  <c r="C27" i="5"/>
  <c r="F27" i="5" s="1"/>
  <c r="AD62" i="10"/>
  <c r="D45" i="13"/>
  <c r="D17" i="13"/>
  <c r="C24" i="5"/>
  <c r="AD59" i="10"/>
  <c r="D25" i="13"/>
  <c r="C31" i="5"/>
  <c r="F31" i="5" s="1"/>
  <c r="D53" i="13"/>
  <c r="AD66" i="10"/>
  <c r="I47" i="8"/>
  <c r="U47" i="8"/>
  <c r="AF47" i="8"/>
  <c r="E60" i="2"/>
  <c r="G58" i="2"/>
  <c r="G59" i="2"/>
  <c r="G57" i="2"/>
  <c r="G55" i="2"/>
  <c r="G53" i="2"/>
  <c r="G51" i="2"/>
  <c r="G50" i="2"/>
  <c r="G48" i="2"/>
  <c r="G46" i="2"/>
  <c r="G60" i="2" s="1"/>
  <c r="G45" i="2"/>
  <c r="E43" i="2"/>
  <c r="G42" i="2"/>
  <c r="G40" i="2"/>
  <c r="G35" i="2"/>
  <c r="G36" i="2"/>
  <c r="G37" i="2"/>
  <c r="G38" i="2"/>
  <c r="G39" i="2"/>
  <c r="G34" i="2"/>
  <c r="E30" i="2"/>
  <c r="G25" i="2"/>
  <c r="G26" i="2"/>
  <c r="G27" i="2"/>
  <c r="G28" i="2"/>
  <c r="G29" i="2"/>
  <c r="G24" i="2"/>
  <c r="G22" i="2"/>
  <c r="G21" i="2"/>
  <c r="G19" i="2"/>
  <c r="G18" i="2"/>
  <c r="E16" i="2"/>
  <c r="G11" i="2"/>
  <c r="G12" i="2"/>
  <c r="G13" i="2"/>
  <c r="G14" i="2"/>
  <c r="G15" i="2"/>
  <c r="G10" i="2"/>
  <c r="G8" i="2"/>
  <c r="G7" i="2"/>
  <c r="G6" i="2"/>
  <c r="G5" i="2"/>
  <c r="G16" i="2" s="1"/>
  <c r="G167" i="25" l="1"/>
  <c r="E168" i="25"/>
  <c r="R46" i="10"/>
  <c r="R52" i="10"/>
  <c r="R60" i="10"/>
  <c r="R43" i="10"/>
  <c r="R47" i="10"/>
  <c r="R53" i="10"/>
  <c r="R57" i="10"/>
  <c r="R45" i="10"/>
  <c r="R50" i="10"/>
  <c r="R58" i="10"/>
  <c r="R40" i="10"/>
  <c r="R41" i="10"/>
  <c r="R51" i="10"/>
  <c r="R59" i="10"/>
  <c r="R44" i="10"/>
  <c r="R55" i="10"/>
  <c r="R42" i="10"/>
  <c r="I25" i="5"/>
  <c r="L25" i="5" s="1"/>
  <c r="F19" i="13" s="1"/>
  <c r="G25" i="5"/>
  <c r="H25" i="5"/>
  <c r="U49" i="8"/>
  <c r="D54" i="8" s="1"/>
  <c r="I20" i="5"/>
  <c r="L20" i="5" s="1"/>
  <c r="F13" i="13" s="1"/>
  <c r="G20" i="5"/>
  <c r="H20" i="5"/>
  <c r="G45" i="10"/>
  <c r="G44" i="10"/>
  <c r="G42" i="10"/>
  <c r="G53" i="10"/>
  <c r="G47" i="10"/>
  <c r="G57" i="10"/>
  <c r="G55" i="10"/>
  <c r="G40" i="10"/>
  <c r="G43" i="10"/>
  <c r="G50" i="10"/>
  <c r="G58" i="10"/>
  <c r="G52" i="10"/>
  <c r="G51" i="10"/>
  <c r="G59" i="10"/>
  <c r="G41" i="10"/>
  <c r="G60" i="10"/>
  <c r="G46" i="10"/>
  <c r="K42" i="10"/>
  <c r="K47" i="10"/>
  <c r="K60" i="10"/>
  <c r="K43" i="10"/>
  <c r="K44" i="10"/>
  <c r="K50" i="10"/>
  <c r="K52" i="10"/>
  <c r="K55" i="10"/>
  <c r="K58" i="10"/>
  <c r="K45" i="10"/>
  <c r="K57" i="10"/>
  <c r="K40" i="10"/>
  <c r="K41" i="10"/>
  <c r="K46" i="10"/>
  <c r="K53" i="10"/>
  <c r="K59" i="10"/>
  <c r="K51" i="10"/>
  <c r="X46" i="10"/>
  <c r="X41" i="10"/>
  <c r="X58" i="10"/>
  <c r="X52" i="10"/>
  <c r="X53" i="10"/>
  <c r="X57" i="10"/>
  <c r="X60" i="10"/>
  <c r="X43" i="10"/>
  <c r="X44" i="10"/>
  <c r="X47" i="10"/>
  <c r="X51" i="10"/>
  <c r="X59" i="10"/>
  <c r="X42" i="10"/>
  <c r="X55" i="10"/>
  <c r="X45" i="10"/>
  <c r="X50" i="10"/>
  <c r="X40" i="10"/>
  <c r="H14" i="5"/>
  <c r="I14" i="5"/>
  <c r="G14" i="5"/>
  <c r="N43" i="10"/>
  <c r="N47" i="10"/>
  <c r="N53" i="10"/>
  <c r="N57" i="10"/>
  <c r="N45" i="10"/>
  <c r="N50" i="10"/>
  <c r="N58" i="10"/>
  <c r="N40" i="10"/>
  <c r="N55" i="10"/>
  <c r="N41" i="10"/>
  <c r="N51" i="10"/>
  <c r="N59" i="10"/>
  <c r="N44" i="10"/>
  <c r="N42" i="10"/>
  <c r="N46" i="10"/>
  <c r="N52" i="10"/>
  <c r="N60" i="10"/>
  <c r="W42" i="10"/>
  <c r="W52" i="10"/>
  <c r="W60" i="10"/>
  <c r="W43" i="10"/>
  <c r="W53" i="10"/>
  <c r="W46" i="10"/>
  <c r="W44" i="10"/>
  <c r="W50" i="10"/>
  <c r="W55" i="10"/>
  <c r="W58" i="10"/>
  <c r="W41" i="10"/>
  <c r="W45" i="10"/>
  <c r="W51" i="10"/>
  <c r="W59" i="10"/>
  <c r="W47" i="10"/>
  <c r="W57" i="10"/>
  <c r="W40" i="10"/>
  <c r="H21" i="5"/>
  <c r="G21" i="5"/>
  <c r="I21" i="5"/>
  <c r="I30" i="5"/>
  <c r="L30" i="5" s="1"/>
  <c r="F24" i="13" s="1"/>
  <c r="G30" i="5"/>
  <c r="H30" i="5"/>
  <c r="AA55" i="10"/>
  <c r="AA57" i="10"/>
  <c r="AA58" i="10"/>
  <c r="AA40" i="10"/>
  <c r="AA59" i="10"/>
  <c r="AA60" i="10"/>
  <c r="AA41" i="10"/>
  <c r="AA43" i="10"/>
  <c r="AA44" i="10"/>
  <c r="AA53" i="10"/>
  <c r="AA45" i="10"/>
  <c r="AA50" i="10"/>
  <c r="AA42" i="10"/>
  <c r="AA46" i="10"/>
  <c r="AA47" i="10"/>
  <c r="AA51" i="10"/>
  <c r="AA52" i="10"/>
  <c r="G16" i="5"/>
  <c r="I16" i="5"/>
  <c r="L16" i="5" s="1"/>
  <c r="F9" i="13" s="1"/>
  <c r="H16" i="5"/>
  <c r="Z59" i="10"/>
  <c r="Z60" i="10"/>
  <c r="Z40" i="10"/>
  <c r="Z44" i="10"/>
  <c r="Z45" i="10"/>
  <c r="Z43" i="10"/>
  <c r="Z46" i="10"/>
  <c r="Z47" i="10"/>
  <c r="Z55" i="10"/>
  <c r="Z41" i="10"/>
  <c r="Z52" i="10"/>
  <c r="Z50" i="10"/>
  <c r="Z58" i="10"/>
  <c r="Z51" i="10"/>
  <c r="Z53" i="10"/>
  <c r="Z57" i="10"/>
  <c r="Z42" i="10"/>
  <c r="S40" i="10"/>
  <c r="S42" i="10"/>
  <c r="S52" i="10"/>
  <c r="S55" i="10"/>
  <c r="S60" i="10"/>
  <c r="S46" i="10"/>
  <c r="S43" i="10"/>
  <c r="S53" i="10"/>
  <c r="S44" i="10"/>
  <c r="S50" i="10"/>
  <c r="S58" i="10"/>
  <c r="S41" i="10"/>
  <c r="S45" i="10"/>
  <c r="S51" i="10"/>
  <c r="S59" i="10"/>
  <c r="S47" i="10"/>
  <c r="S57" i="10"/>
  <c r="H33" i="5"/>
  <c r="I33" i="5"/>
  <c r="L33" i="5" s="1"/>
  <c r="F27" i="13" s="1"/>
  <c r="G33" i="5"/>
  <c r="J51" i="10"/>
  <c r="J57" i="10"/>
  <c r="J40" i="10"/>
  <c r="J41" i="10"/>
  <c r="J59" i="10"/>
  <c r="J45" i="10"/>
  <c r="J53" i="10"/>
  <c r="J58" i="10"/>
  <c r="J47" i="10"/>
  <c r="J55" i="10"/>
  <c r="J42" i="10"/>
  <c r="J46" i="10"/>
  <c r="J52" i="10"/>
  <c r="J60" i="10"/>
  <c r="J43" i="10"/>
  <c r="J50" i="10"/>
  <c r="J44" i="10"/>
  <c r="H34" i="5"/>
  <c r="I34" i="5"/>
  <c r="G34" i="5"/>
  <c r="I26" i="5"/>
  <c r="L26" i="5" s="1"/>
  <c r="F20" i="13" s="1"/>
  <c r="G26" i="5"/>
  <c r="H26" i="5"/>
  <c r="F15" i="5"/>
  <c r="H15" i="5" s="1"/>
  <c r="G23" i="5"/>
  <c r="H23" i="5"/>
  <c r="I23" i="5"/>
  <c r="G17" i="5"/>
  <c r="H17" i="5"/>
  <c r="I17" i="5"/>
  <c r="T43" i="10"/>
  <c r="T51" i="10"/>
  <c r="T44" i="10"/>
  <c r="T52" i="10"/>
  <c r="T47" i="10"/>
  <c r="T60" i="10"/>
  <c r="T53" i="10"/>
  <c r="T59" i="10"/>
  <c r="T58" i="10"/>
  <c r="T57" i="10"/>
  <c r="T41" i="10"/>
  <c r="T55" i="10"/>
  <c r="T50" i="10"/>
  <c r="T45" i="10"/>
  <c r="T40" i="10"/>
  <c r="T42" i="10"/>
  <c r="T46" i="10"/>
  <c r="V42" i="10"/>
  <c r="V46" i="10"/>
  <c r="V52" i="10"/>
  <c r="V60" i="10"/>
  <c r="V43" i="10"/>
  <c r="V47" i="10"/>
  <c r="V53" i="10"/>
  <c r="V57" i="10"/>
  <c r="V45" i="10"/>
  <c r="V50" i="10"/>
  <c r="V58" i="10"/>
  <c r="V40" i="10"/>
  <c r="V55" i="10"/>
  <c r="V41" i="10"/>
  <c r="V51" i="10"/>
  <c r="V59" i="10"/>
  <c r="V44" i="10"/>
  <c r="O53" i="10"/>
  <c r="O45" i="10"/>
  <c r="O46" i="10"/>
  <c r="O44" i="10"/>
  <c r="O58" i="10"/>
  <c r="O59" i="10"/>
  <c r="O55" i="10"/>
  <c r="O50" i="10"/>
  <c r="O41" i="10"/>
  <c r="O43" i="10"/>
  <c r="O51" i="10"/>
  <c r="O47" i="10"/>
  <c r="O57" i="10"/>
  <c r="O40" i="10"/>
  <c r="O42" i="10"/>
  <c r="O52" i="10"/>
  <c r="O60" i="10"/>
  <c r="I29" i="5"/>
  <c r="L29" i="5" s="1"/>
  <c r="F23" i="13" s="1"/>
  <c r="G29" i="5"/>
  <c r="H29" i="5"/>
  <c r="P57" i="10"/>
  <c r="P58" i="10"/>
  <c r="P41" i="10"/>
  <c r="P50" i="10"/>
  <c r="P51" i="10"/>
  <c r="P59" i="10"/>
  <c r="P44" i="10"/>
  <c r="P55" i="10"/>
  <c r="P45" i="10"/>
  <c r="P53" i="10"/>
  <c r="P40" i="10"/>
  <c r="P42" i="10"/>
  <c r="P43" i="10"/>
  <c r="P46" i="10"/>
  <c r="P47" i="10"/>
  <c r="P52" i="10"/>
  <c r="P60" i="10"/>
  <c r="H19" i="5"/>
  <c r="G19" i="5"/>
  <c r="I19" i="5"/>
  <c r="L19" i="5" s="1"/>
  <c r="F12" i="13" s="1"/>
  <c r="G22" i="5"/>
  <c r="H22" i="5"/>
  <c r="I22" i="5"/>
  <c r="Y40" i="10"/>
  <c r="Y44" i="10"/>
  <c r="Y50" i="10"/>
  <c r="Y55" i="10"/>
  <c r="Y58" i="10"/>
  <c r="Y41" i="10"/>
  <c r="Y42" i="10"/>
  <c r="Y45" i="10"/>
  <c r="Y51" i="10"/>
  <c r="Y59" i="10"/>
  <c r="Y43" i="10"/>
  <c r="Y53" i="10"/>
  <c r="Y46" i="10"/>
  <c r="Y60" i="10"/>
  <c r="Y47" i="10"/>
  <c r="Y57" i="10"/>
  <c r="Y52" i="10"/>
  <c r="AF49" i="8"/>
  <c r="D55" i="8" s="1"/>
  <c r="H31" i="5"/>
  <c r="I31" i="5"/>
  <c r="L31" i="5" s="1"/>
  <c r="F25" i="13" s="1"/>
  <c r="G31" i="5"/>
  <c r="D43" i="5"/>
  <c r="F24" i="5"/>
  <c r="G27" i="5"/>
  <c r="H27" i="5"/>
  <c r="I27" i="5"/>
  <c r="H32" i="5"/>
  <c r="G32" i="5"/>
  <c r="I32" i="5"/>
  <c r="L32" i="5" s="1"/>
  <c r="F26" i="13" s="1"/>
  <c r="I49" i="8"/>
  <c r="I43" i="10"/>
  <c r="I51" i="10"/>
  <c r="I40" i="10"/>
  <c r="I45" i="10"/>
  <c r="I52" i="10"/>
  <c r="I41" i="10"/>
  <c r="I44" i="10"/>
  <c r="I50" i="10"/>
  <c r="I55" i="10"/>
  <c r="I58" i="10"/>
  <c r="I46" i="10"/>
  <c r="I53" i="10"/>
  <c r="I59" i="10"/>
  <c r="I57" i="10"/>
  <c r="I42" i="10"/>
  <c r="I47" i="10"/>
  <c r="I60" i="10"/>
  <c r="L59" i="10"/>
  <c r="L50" i="10"/>
  <c r="L44" i="10"/>
  <c r="L55" i="10"/>
  <c r="L58" i="10"/>
  <c r="L40" i="10"/>
  <c r="L45" i="10"/>
  <c r="L51" i="10"/>
  <c r="L52" i="10"/>
  <c r="L42" i="10"/>
  <c r="L53" i="10"/>
  <c r="L46" i="10"/>
  <c r="L60" i="10"/>
  <c r="L43" i="10"/>
  <c r="L47" i="10"/>
  <c r="L41" i="10"/>
  <c r="L57" i="10"/>
  <c r="M53" i="10"/>
  <c r="M46" i="10"/>
  <c r="M52" i="10"/>
  <c r="M47" i="10"/>
  <c r="M60" i="10"/>
  <c r="M57" i="10"/>
  <c r="M40" i="10"/>
  <c r="M42" i="10"/>
  <c r="M50" i="10"/>
  <c r="M44" i="10"/>
  <c r="M55" i="10"/>
  <c r="M58" i="10"/>
  <c r="M41" i="10"/>
  <c r="M45" i="10"/>
  <c r="M51" i="10"/>
  <c r="M59" i="10"/>
  <c r="M43" i="10"/>
  <c r="H59" i="10"/>
  <c r="H43" i="10"/>
  <c r="H50" i="10"/>
  <c r="H40" i="10"/>
  <c r="H42" i="10"/>
  <c r="H44" i="10"/>
  <c r="H46" i="10"/>
  <c r="H58" i="10"/>
  <c r="H47" i="10"/>
  <c r="H52" i="10"/>
  <c r="H60" i="10"/>
  <c r="H51" i="10"/>
  <c r="H57" i="10"/>
  <c r="H45" i="10"/>
  <c r="H53" i="10"/>
  <c r="H55" i="10"/>
  <c r="H41" i="10"/>
  <c r="U58" i="10"/>
  <c r="U41" i="10"/>
  <c r="U45" i="10"/>
  <c r="U51" i="10"/>
  <c r="U59" i="10"/>
  <c r="U42" i="10"/>
  <c r="U43" i="10"/>
  <c r="U53" i="10"/>
  <c r="U46" i="10"/>
  <c r="U52" i="10"/>
  <c r="U47" i="10"/>
  <c r="U57" i="10"/>
  <c r="U40" i="10"/>
  <c r="U60" i="10"/>
  <c r="U44" i="10"/>
  <c r="U50" i="10"/>
  <c r="U55" i="10"/>
  <c r="H18" i="5"/>
  <c r="I18" i="5"/>
  <c r="G18" i="5"/>
  <c r="Q51" i="10"/>
  <c r="Q59" i="10"/>
  <c r="Q43" i="10"/>
  <c r="Q53" i="10"/>
  <c r="Q46" i="10"/>
  <c r="Q42" i="10"/>
  <c r="Q60" i="10"/>
  <c r="Q47" i="10"/>
  <c r="Q57" i="10"/>
  <c r="Q40" i="10"/>
  <c r="Q52" i="10"/>
  <c r="Q44" i="10"/>
  <c r="Q50" i="10"/>
  <c r="Q55" i="10"/>
  <c r="Q58" i="10"/>
  <c r="Q41" i="10"/>
  <c r="Q45" i="10"/>
  <c r="I28" i="5"/>
  <c r="L28" i="5" s="1"/>
  <c r="F22" i="13" s="1"/>
  <c r="G28" i="5"/>
  <c r="H28" i="5"/>
  <c r="G43" i="2"/>
  <c r="G61" i="2" s="1"/>
  <c r="G30" i="2"/>
  <c r="G31" i="2" s="1"/>
  <c r="M204" i="17" l="1"/>
  <c r="O204" i="17" s="1"/>
  <c r="R204" i="17" s="1"/>
  <c r="S204" i="17" s="1"/>
  <c r="T204" i="17" s="1"/>
  <c r="Y23" i="13" s="1"/>
  <c r="M178" i="17"/>
  <c r="O178" i="17" s="1"/>
  <c r="R178" i="17" s="1"/>
  <c r="S178" i="17" s="1"/>
  <c r="T178" i="17" s="1"/>
  <c r="X22" i="13" s="1"/>
  <c r="M166" i="17"/>
  <c r="O166" i="17" s="1"/>
  <c r="R166" i="17" s="1"/>
  <c r="S166" i="17" s="1"/>
  <c r="T166" i="17" s="1"/>
  <c r="X9" i="13" s="1"/>
  <c r="M172" i="17"/>
  <c r="O172" i="17" s="1"/>
  <c r="R172" i="17" s="1"/>
  <c r="S172" i="17" s="1"/>
  <c r="T172" i="17" s="1"/>
  <c r="X15" i="13" s="1"/>
  <c r="M206" i="17"/>
  <c r="O206" i="17" s="1"/>
  <c r="R206" i="17" s="1"/>
  <c r="S206" i="17" s="1"/>
  <c r="T206" i="17" s="1"/>
  <c r="Y25" i="13" s="1"/>
  <c r="M200" i="17"/>
  <c r="O200" i="17" s="1"/>
  <c r="R200" i="17" s="1"/>
  <c r="S200" i="17" s="1"/>
  <c r="T200" i="17" s="1"/>
  <c r="Y19" i="13" s="1"/>
  <c r="M170" i="17"/>
  <c r="O170" i="17" s="1"/>
  <c r="R170" i="17" s="1"/>
  <c r="S170" i="17" s="1"/>
  <c r="T170" i="17" s="1"/>
  <c r="X13" i="13" s="1"/>
  <c r="M194" i="17"/>
  <c r="O194" i="17" s="1"/>
  <c r="R194" i="17" s="1"/>
  <c r="S194" i="17" s="1"/>
  <c r="T194" i="17" s="1"/>
  <c r="Y12" i="13" s="1"/>
  <c r="M201" i="17"/>
  <c r="O201" i="17" s="1"/>
  <c r="R201" i="17" s="1"/>
  <c r="S201" i="17" s="1"/>
  <c r="T201" i="17" s="1"/>
  <c r="Y20" i="13" s="1"/>
  <c r="M179" i="17"/>
  <c r="O179" i="17" s="1"/>
  <c r="R179" i="17" s="1"/>
  <c r="S179" i="17" s="1"/>
  <c r="T179" i="17" s="1"/>
  <c r="X23" i="13" s="1"/>
  <c r="M205" i="17"/>
  <c r="O205" i="17" s="1"/>
  <c r="R205" i="17" s="1"/>
  <c r="S205" i="17" s="1"/>
  <c r="T205" i="17" s="1"/>
  <c r="Y24" i="13" s="1"/>
  <c r="M164" i="17"/>
  <c r="O164" i="17" s="1"/>
  <c r="R164" i="17" s="1"/>
  <c r="S164" i="17" s="1"/>
  <c r="T164" i="17" s="1"/>
  <c r="X7" i="13" s="1"/>
  <c r="M168" i="17"/>
  <c r="O168" i="17" s="1"/>
  <c r="R168" i="17" s="1"/>
  <c r="S168" i="17" s="1"/>
  <c r="T168" i="17" s="1"/>
  <c r="X11" i="13" s="1"/>
  <c r="M207" i="17"/>
  <c r="O207" i="17" s="1"/>
  <c r="R207" i="17" s="1"/>
  <c r="S207" i="17" s="1"/>
  <c r="T207" i="17" s="1"/>
  <c r="Y26" i="13" s="1"/>
  <c r="M198" i="17"/>
  <c r="O198" i="17" s="1"/>
  <c r="R198" i="17" s="1"/>
  <c r="S198" i="17" s="1"/>
  <c r="T198" i="17" s="1"/>
  <c r="Y16" i="13" s="1"/>
  <c r="M197" i="17"/>
  <c r="O197" i="17" s="1"/>
  <c r="R197" i="17" s="1"/>
  <c r="S197" i="17" s="1"/>
  <c r="T197" i="17" s="1"/>
  <c r="Y15" i="13" s="1"/>
  <c r="M196" i="17"/>
  <c r="O196" i="17" s="1"/>
  <c r="R196" i="17" s="1"/>
  <c r="S196" i="17" s="1"/>
  <c r="T196" i="17" s="1"/>
  <c r="Y14" i="13" s="1"/>
  <c r="M203" i="17"/>
  <c r="O203" i="17" s="1"/>
  <c r="R203" i="17" s="1"/>
  <c r="S203" i="17" s="1"/>
  <c r="T203" i="17" s="1"/>
  <c r="Y22" i="13" s="1"/>
  <c r="M190" i="17"/>
  <c r="O190" i="17" s="1"/>
  <c r="R190" i="17" s="1"/>
  <c r="S190" i="17" s="1"/>
  <c r="T190" i="17" s="1"/>
  <c r="Y8" i="13" s="1"/>
  <c r="M175" i="17"/>
  <c r="O175" i="17" s="1"/>
  <c r="R175" i="17" s="1"/>
  <c r="S175" i="17" s="1"/>
  <c r="T175" i="17" s="1"/>
  <c r="X19" i="13" s="1"/>
  <c r="Z19" i="13" s="1"/>
  <c r="AA19" i="13" s="1"/>
  <c r="F47" i="13" s="1"/>
  <c r="M177" i="17"/>
  <c r="O177" i="17" s="1"/>
  <c r="R177" i="17" s="1"/>
  <c r="S177" i="17" s="1"/>
  <c r="T177" i="17" s="1"/>
  <c r="X21" i="13" s="1"/>
  <c r="M182" i="17"/>
  <c r="O182" i="17" s="1"/>
  <c r="R182" i="17" s="1"/>
  <c r="S182" i="17" s="1"/>
  <c r="T182" i="17" s="1"/>
  <c r="X26" i="13" s="1"/>
  <c r="M195" i="17"/>
  <c r="O195" i="17" s="1"/>
  <c r="R195" i="17" s="1"/>
  <c r="S195" i="17" s="1"/>
  <c r="T195" i="17" s="1"/>
  <c r="Y13" i="13" s="1"/>
  <c r="M202" i="17"/>
  <c r="O202" i="17" s="1"/>
  <c r="R202" i="17" s="1"/>
  <c r="S202" i="17" s="1"/>
  <c r="T202" i="17" s="1"/>
  <c r="Y21" i="13" s="1"/>
  <c r="M169" i="17"/>
  <c r="O169" i="17" s="1"/>
  <c r="R169" i="17" s="1"/>
  <c r="S169" i="17" s="1"/>
  <c r="T169" i="17" s="1"/>
  <c r="X12" i="13" s="1"/>
  <c r="M176" i="17"/>
  <c r="O176" i="17" s="1"/>
  <c r="R176" i="17" s="1"/>
  <c r="S176" i="17" s="1"/>
  <c r="T176" i="17" s="1"/>
  <c r="X20" i="13" s="1"/>
  <c r="M171" i="17"/>
  <c r="O171" i="17" s="1"/>
  <c r="R171" i="17" s="1"/>
  <c r="S171" i="17" s="1"/>
  <c r="T171" i="17" s="1"/>
  <c r="X14" i="13" s="1"/>
  <c r="Z14" i="13" s="1"/>
  <c r="M181" i="17"/>
  <c r="O181" i="17" s="1"/>
  <c r="R181" i="17" s="1"/>
  <c r="S181" i="17" s="1"/>
  <c r="T181" i="17" s="1"/>
  <c r="X25" i="13" s="1"/>
  <c r="M191" i="17"/>
  <c r="O191" i="17" s="1"/>
  <c r="R191" i="17" s="1"/>
  <c r="S191" i="17" s="1"/>
  <c r="T191" i="17" s="1"/>
  <c r="Y9" i="13" s="1"/>
  <c r="M192" i="17"/>
  <c r="O192" i="17" s="1"/>
  <c r="R192" i="17" s="1"/>
  <c r="S192" i="17" s="1"/>
  <c r="T192" i="17" s="1"/>
  <c r="Y10" i="13" s="1"/>
  <c r="M180" i="17"/>
  <c r="O180" i="17" s="1"/>
  <c r="R180" i="17" s="1"/>
  <c r="S180" i="17" s="1"/>
  <c r="T180" i="17" s="1"/>
  <c r="X24" i="13" s="1"/>
  <c r="M199" i="17"/>
  <c r="O199" i="17" s="1"/>
  <c r="R199" i="17" s="1"/>
  <c r="S199" i="17" s="1"/>
  <c r="T199" i="17" s="1"/>
  <c r="Y17" i="13" s="1"/>
  <c r="M173" i="17"/>
  <c r="O173" i="17" s="1"/>
  <c r="R173" i="17" s="1"/>
  <c r="S173" i="17" s="1"/>
  <c r="T173" i="17" s="1"/>
  <c r="X16" i="13" s="1"/>
  <c r="M165" i="17"/>
  <c r="O165" i="17" s="1"/>
  <c r="R165" i="17" s="1"/>
  <c r="S165" i="17" s="1"/>
  <c r="T165" i="17" s="1"/>
  <c r="X8" i="13" s="1"/>
  <c r="M209" i="17"/>
  <c r="O209" i="17" s="1"/>
  <c r="R209" i="17" s="1"/>
  <c r="S209" i="17" s="1"/>
  <c r="T209" i="17" s="1"/>
  <c r="Y28" i="13" s="1"/>
  <c r="M193" i="17"/>
  <c r="O193" i="17" s="1"/>
  <c r="R193" i="17" s="1"/>
  <c r="S193" i="17" s="1"/>
  <c r="T193" i="17" s="1"/>
  <c r="Y11" i="13" s="1"/>
  <c r="M184" i="17"/>
  <c r="O184" i="17" s="1"/>
  <c r="R184" i="17" s="1"/>
  <c r="S184" i="17" s="1"/>
  <c r="T184" i="17" s="1"/>
  <c r="X28" i="13" s="1"/>
  <c r="M174" i="17"/>
  <c r="O174" i="17" s="1"/>
  <c r="R174" i="17" s="1"/>
  <c r="S174" i="17" s="1"/>
  <c r="T174" i="17" s="1"/>
  <c r="X17" i="13" s="1"/>
  <c r="M167" i="17"/>
  <c r="O167" i="17" s="1"/>
  <c r="R167" i="17" s="1"/>
  <c r="S167" i="17" s="1"/>
  <c r="T167" i="17" s="1"/>
  <c r="X10" i="13" s="1"/>
  <c r="M208" i="17"/>
  <c r="O208" i="17" s="1"/>
  <c r="R208" i="17" s="1"/>
  <c r="S208" i="17" s="1"/>
  <c r="T208" i="17" s="1"/>
  <c r="Y27" i="13" s="1"/>
  <c r="M189" i="17"/>
  <c r="O189" i="17" s="1"/>
  <c r="R189" i="17" s="1"/>
  <c r="S189" i="17" s="1"/>
  <c r="T189" i="17" s="1"/>
  <c r="Y7" i="13" s="1"/>
  <c r="M183" i="17"/>
  <c r="O183" i="17" s="1"/>
  <c r="R183" i="17" s="1"/>
  <c r="S183" i="17" s="1"/>
  <c r="T183" i="17" s="1"/>
  <c r="X27" i="13" s="1"/>
  <c r="G168" i="25"/>
  <c r="E169" i="25"/>
  <c r="I24" i="5"/>
  <c r="G24" i="5"/>
  <c r="H24" i="5"/>
  <c r="L21" i="5"/>
  <c r="F14" i="13" s="1"/>
  <c r="J21" i="5"/>
  <c r="M21" i="5" s="1"/>
  <c r="K21" i="5"/>
  <c r="N21" i="5" s="1"/>
  <c r="K25" i="5"/>
  <c r="N25" i="5" s="1"/>
  <c r="J25" i="5"/>
  <c r="M25" i="5" s="1"/>
  <c r="K14" i="5"/>
  <c r="N14" i="5" s="1"/>
  <c r="J14" i="5"/>
  <c r="M14" i="5" s="1"/>
  <c r="K28" i="5"/>
  <c r="N28" i="5" s="1"/>
  <c r="J28" i="5"/>
  <c r="M28" i="5" s="1"/>
  <c r="L17" i="5"/>
  <c r="F10" i="13" s="1"/>
  <c r="K17" i="5"/>
  <c r="N17" i="5" s="1"/>
  <c r="J17" i="5"/>
  <c r="M17" i="5" s="1"/>
  <c r="L22" i="5"/>
  <c r="F15" i="13" s="1"/>
  <c r="J22" i="5"/>
  <c r="M22" i="5" s="1"/>
  <c r="K22" i="5"/>
  <c r="N22" i="5" s="1"/>
  <c r="J31" i="5"/>
  <c r="M31" i="5" s="1"/>
  <c r="K31" i="5"/>
  <c r="N31" i="5" s="1"/>
  <c r="L23" i="5"/>
  <c r="F16" i="13" s="1"/>
  <c r="J23" i="5"/>
  <c r="M23" i="5" s="1"/>
  <c r="K23" i="5"/>
  <c r="N23" i="5" s="1"/>
  <c r="J19" i="5"/>
  <c r="M19" i="5" s="1"/>
  <c r="K19" i="5"/>
  <c r="N19" i="5" s="1"/>
  <c r="G15" i="5"/>
  <c r="I15" i="5"/>
  <c r="L15" i="5" s="1"/>
  <c r="F8" i="13" s="1"/>
  <c r="K29" i="5"/>
  <c r="N29" i="5" s="1"/>
  <c r="J29" i="5"/>
  <c r="M29" i="5" s="1"/>
  <c r="K26" i="5"/>
  <c r="N26" i="5" s="1"/>
  <c r="J26" i="5"/>
  <c r="M26" i="5" s="1"/>
  <c r="K20" i="5"/>
  <c r="N20" i="5" s="1"/>
  <c r="J20" i="5"/>
  <c r="M20" i="5" s="1"/>
  <c r="J27" i="5"/>
  <c r="M27" i="5" s="1"/>
  <c r="K27" i="5"/>
  <c r="N27" i="5" s="1"/>
  <c r="J34" i="5"/>
  <c r="M34" i="5" s="1"/>
  <c r="K34" i="5"/>
  <c r="N34" i="5" s="1"/>
  <c r="J16" i="5"/>
  <c r="M16" i="5" s="1"/>
  <c r="K16" i="5"/>
  <c r="N16" i="5" s="1"/>
  <c r="L14" i="5"/>
  <c r="F7" i="13" s="1"/>
  <c r="K30" i="5"/>
  <c r="N30" i="5" s="1"/>
  <c r="J30" i="5"/>
  <c r="M30" i="5" s="1"/>
  <c r="L18" i="5"/>
  <c r="F11" i="13" s="1"/>
  <c r="K18" i="5"/>
  <c r="N18" i="5" s="1"/>
  <c r="J18" i="5"/>
  <c r="M18" i="5" s="1"/>
  <c r="J32" i="5"/>
  <c r="M32" i="5" s="1"/>
  <c r="K32" i="5"/>
  <c r="N32" i="5" s="1"/>
  <c r="L27" i="5"/>
  <c r="F21" i="13" s="1"/>
  <c r="L34" i="5"/>
  <c r="F28" i="13" s="1"/>
  <c r="J33" i="5"/>
  <c r="M33" i="5" s="1"/>
  <c r="K33" i="5"/>
  <c r="N33" i="5" s="1"/>
  <c r="Z13" i="13" l="1"/>
  <c r="AA13" i="13" s="1"/>
  <c r="F41" i="13" s="1"/>
  <c r="M41" i="13" s="1"/>
  <c r="P41" i="13" s="1"/>
  <c r="Z21" i="13"/>
  <c r="AA21" i="13" s="1"/>
  <c r="F49" i="13" s="1"/>
  <c r="Z17" i="13"/>
  <c r="Z20" i="13"/>
  <c r="AA20" i="13" s="1"/>
  <c r="F48" i="13" s="1"/>
  <c r="M48" i="13" s="1"/>
  <c r="P48" i="13" s="1"/>
  <c r="Z25" i="13"/>
  <c r="AA25" i="13" s="1"/>
  <c r="F53" i="13" s="1"/>
  <c r="I53" i="13" s="1"/>
  <c r="Z8" i="13"/>
  <c r="AA8" i="13" s="1"/>
  <c r="F36" i="13" s="1"/>
  <c r="J36" i="13" s="1"/>
  <c r="Z15" i="13"/>
  <c r="AA15" i="13" s="1"/>
  <c r="F43" i="13" s="1"/>
  <c r="H43" i="13" s="1"/>
  <c r="Z10" i="13"/>
  <c r="AA10" i="13" s="1"/>
  <c r="F38" i="13" s="1"/>
  <c r="H38" i="13" s="1"/>
  <c r="Z16" i="13"/>
  <c r="AA16" i="13" s="1"/>
  <c r="F44" i="13" s="1"/>
  <c r="Z11" i="13"/>
  <c r="AA11" i="13" s="1"/>
  <c r="F39" i="13" s="1"/>
  <c r="H39" i="13" s="1"/>
  <c r="Z9" i="13"/>
  <c r="AA9" i="13" s="1"/>
  <c r="F37" i="13" s="1"/>
  <c r="H37" i="13" s="1"/>
  <c r="Z28" i="13"/>
  <c r="AA28" i="13" s="1"/>
  <c r="F56" i="13" s="1"/>
  <c r="M56" i="13" s="1"/>
  <c r="P56" i="13" s="1"/>
  <c r="Z24" i="13"/>
  <c r="AA24" i="13" s="1"/>
  <c r="F52" i="13" s="1"/>
  <c r="I52" i="13" s="1"/>
  <c r="Z23" i="13"/>
  <c r="AA23" i="13" s="1"/>
  <c r="F51" i="13" s="1"/>
  <c r="H51" i="13" s="1"/>
  <c r="Z12" i="13"/>
  <c r="AA12" i="13" s="1"/>
  <c r="F40" i="13" s="1"/>
  <c r="J40" i="13" s="1"/>
  <c r="Z27" i="13"/>
  <c r="AA27" i="13" s="1"/>
  <c r="F55" i="13" s="1"/>
  <c r="I55" i="13" s="1"/>
  <c r="Z26" i="13"/>
  <c r="AA26" i="13" s="1"/>
  <c r="F54" i="13" s="1"/>
  <c r="L54" i="13" s="1"/>
  <c r="O54" i="13" s="1"/>
  <c r="Z7" i="13"/>
  <c r="AA7" i="13" s="1"/>
  <c r="F35" i="13" s="1"/>
  <c r="I35" i="13" s="1"/>
  <c r="Z22" i="13"/>
  <c r="AA22" i="13" s="1"/>
  <c r="F50" i="13" s="1"/>
  <c r="I50" i="13" s="1"/>
  <c r="G169" i="25"/>
  <c r="E170" i="25"/>
  <c r="AA14" i="13"/>
  <c r="F42" i="13" s="1"/>
  <c r="H42" i="13" s="1"/>
  <c r="M47" i="13"/>
  <c r="P47" i="13" s="1"/>
  <c r="J47" i="13"/>
  <c r="H47" i="13"/>
  <c r="N47" i="13"/>
  <c r="Q47" i="13" s="1"/>
  <c r="I47" i="13"/>
  <c r="L47" i="13"/>
  <c r="O47" i="13" s="1"/>
  <c r="L24" i="5"/>
  <c r="F17" i="13" s="1"/>
  <c r="K24" i="5"/>
  <c r="N24" i="5" s="1"/>
  <c r="J24" i="5"/>
  <c r="M24" i="5" s="1"/>
  <c r="J15" i="5"/>
  <c r="M15" i="5" s="1"/>
  <c r="K15" i="5"/>
  <c r="N15" i="5" s="1"/>
  <c r="J41" i="13" l="1"/>
  <c r="H41" i="13"/>
  <c r="N41" i="13"/>
  <c r="Q41" i="13" s="1"/>
  <c r="M37" i="13"/>
  <c r="P37" i="13" s="1"/>
  <c r="N37" i="13"/>
  <c r="Q37" i="13" s="1"/>
  <c r="L37" i="13"/>
  <c r="O37" i="13" s="1"/>
  <c r="J37" i="13"/>
  <c r="I37" i="13"/>
  <c r="M49" i="13"/>
  <c r="P49" i="13" s="1"/>
  <c r="I49" i="13"/>
  <c r="L49" i="13"/>
  <c r="O49" i="13" s="1"/>
  <c r="N49" i="13"/>
  <c r="Q49" i="13" s="1"/>
  <c r="I41" i="13"/>
  <c r="L41" i="13"/>
  <c r="O41" i="13" s="1"/>
  <c r="J49" i="13"/>
  <c r="H49" i="13"/>
  <c r="L43" i="13"/>
  <c r="O43" i="13" s="1"/>
  <c r="H44" i="13"/>
  <c r="L44" i="13"/>
  <c r="O44" i="13" s="1"/>
  <c r="N44" i="13"/>
  <c r="Q44" i="13" s="1"/>
  <c r="M44" i="13"/>
  <c r="P44" i="13" s="1"/>
  <c r="L40" i="13"/>
  <c r="O40" i="13" s="1"/>
  <c r="I43" i="13"/>
  <c r="J43" i="13"/>
  <c r="L48" i="13"/>
  <c r="O48" i="13" s="1"/>
  <c r="I48" i="13"/>
  <c r="AA17" i="13"/>
  <c r="F45" i="13" s="1"/>
  <c r="H45" i="13" s="1"/>
  <c r="J48" i="13"/>
  <c r="M43" i="13"/>
  <c r="P43" i="13" s="1"/>
  <c r="N48" i="13"/>
  <c r="Q48" i="13" s="1"/>
  <c r="H48" i="13"/>
  <c r="L53" i="13"/>
  <c r="O53" i="13" s="1"/>
  <c r="H53" i="13"/>
  <c r="N43" i="13"/>
  <c r="Q43" i="13" s="1"/>
  <c r="M52" i="13"/>
  <c r="P52" i="13" s="1"/>
  <c r="H40" i="13"/>
  <c r="M40" i="13"/>
  <c r="P40" i="13" s="1"/>
  <c r="N53" i="13"/>
  <c r="Q53" i="13" s="1"/>
  <c r="N40" i="13"/>
  <c r="Q40" i="13" s="1"/>
  <c r="J50" i="13"/>
  <c r="N50" i="13"/>
  <c r="Q50" i="13" s="1"/>
  <c r="I54" i="13"/>
  <c r="M54" i="13"/>
  <c r="P54" i="13" s="1"/>
  <c r="H54" i="13"/>
  <c r="L51" i="13"/>
  <c r="O51" i="13" s="1"/>
  <c r="N54" i="13"/>
  <c r="Q54" i="13" s="1"/>
  <c r="L55" i="13"/>
  <c r="O55" i="13" s="1"/>
  <c r="H50" i="13"/>
  <c r="L50" i="13"/>
  <c r="O50" i="13" s="1"/>
  <c r="J54" i="13"/>
  <c r="I51" i="13"/>
  <c r="M51" i="13"/>
  <c r="P51" i="13" s="1"/>
  <c r="H55" i="13"/>
  <c r="N52" i="13"/>
  <c r="Q52" i="13" s="1"/>
  <c r="J55" i="13"/>
  <c r="M50" i="13"/>
  <c r="P50" i="13" s="1"/>
  <c r="J51" i="13"/>
  <c r="N51" i="13"/>
  <c r="Q51" i="13" s="1"/>
  <c r="L52" i="13"/>
  <c r="O52" i="13" s="1"/>
  <c r="M55" i="13"/>
  <c r="P55" i="13" s="1"/>
  <c r="J52" i="13"/>
  <c r="J53" i="13"/>
  <c r="N55" i="13"/>
  <c r="Q55" i="13" s="1"/>
  <c r="I40" i="13"/>
  <c r="H52" i="13"/>
  <c r="M53" i="13"/>
  <c r="P53" i="13" s="1"/>
  <c r="I44" i="13"/>
  <c r="J44" i="13"/>
  <c r="M38" i="13"/>
  <c r="P38" i="13" s="1"/>
  <c r="E171" i="25"/>
  <c r="G170" i="25"/>
  <c r="N38" i="13"/>
  <c r="Q38" i="13" s="1"/>
  <c r="L38" i="13"/>
  <c r="O38" i="13" s="1"/>
  <c r="M39" i="13"/>
  <c r="P39" i="13" s="1"/>
  <c r="N39" i="13"/>
  <c r="Q39" i="13" s="1"/>
  <c r="L39" i="13"/>
  <c r="O39" i="13" s="1"/>
  <c r="J39" i="13"/>
  <c r="I39" i="13"/>
  <c r="J38" i="13"/>
  <c r="I38" i="13"/>
  <c r="J35" i="13"/>
  <c r="J56" i="13"/>
  <c r="M36" i="13"/>
  <c r="P36" i="13" s="1"/>
  <c r="N36" i="13"/>
  <c r="Q36" i="13" s="1"/>
  <c r="M35" i="13"/>
  <c r="P35" i="13" s="1"/>
  <c r="H35" i="13"/>
  <c r="N35" i="13"/>
  <c r="Q35" i="13" s="1"/>
  <c r="I36" i="13"/>
  <c r="L35" i="13"/>
  <c r="O35" i="13" s="1"/>
  <c r="L56" i="13"/>
  <c r="O56" i="13" s="1"/>
  <c r="I56" i="13"/>
  <c r="N56" i="13"/>
  <c r="Q56" i="13" s="1"/>
  <c r="H56" i="13"/>
  <c r="N42" i="13"/>
  <c r="Q42" i="13" s="1"/>
  <c r="L42" i="13"/>
  <c r="O42" i="13" s="1"/>
  <c r="I42" i="13"/>
  <c r="M42" i="13"/>
  <c r="P42" i="13" s="1"/>
  <c r="J42" i="13"/>
  <c r="H36" i="13"/>
  <c r="L36" i="13"/>
  <c r="O36" i="13" s="1"/>
  <c r="N45" i="13" l="1"/>
  <c r="Q45" i="13" s="1"/>
  <c r="I45" i="13"/>
  <c r="L45" i="13"/>
  <c r="F6" i="29" s="1"/>
  <c r="M45" i="13"/>
  <c r="F46" i="25" s="1"/>
  <c r="J45" i="13"/>
  <c r="G171" i="25"/>
  <c r="E172" i="25"/>
  <c r="O45" i="13" l="1"/>
  <c r="F5" i="27" s="1"/>
  <c r="F91" i="25"/>
  <c r="F92" i="25" s="1"/>
  <c r="F95" i="25" s="1"/>
  <c r="P45" i="13"/>
  <c r="F64" i="25"/>
  <c r="F65" i="25" s="1"/>
  <c r="F67" i="25" s="1"/>
  <c r="G172" i="25"/>
  <c r="E173" i="25"/>
  <c r="F47" i="25"/>
  <c r="F50" i="25" s="1"/>
  <c r="F54" i="25" s="1"/>
  <c r="F56" i="25" s="1"/>
  <c r="F7" i="27" l="1"/>
  <c r="F9" i="27" s="1"/>
  <c r="F50" i="27" s="1"/>
  <c r="F51" i="27" s="1"/>
  <c r="F8" i="31"/>
  <c r="F9" i="31" s="1"/>
  <c r="F10" i="31" s="1"/>
  <c r="F49" i="29"/>
  <c r="F5" i="25"/>
  <c r="F12" i="25" s="1"/>
  <c r="F13" i="25" s="1"/>
  <c r="F14" i="25" s="1"/>
  <c r="F15" i="25" s="1"/>
  <c r="F16" i="25" s="1"/>
  <c r="F17" i="25" s="1"/>
  <c r="F19" i="25" s="1"/>
  <c r="F20" i="25" s="1"/>
  <c r="F5" i="37"/>
  <c r="F6" i="37" s="1"/>
  <c r="F5" i="31"/>
  <c r="F6" i="31" s="1"/>
  <c r="F7" i="31" s="1"/>
  <c r="F47" i="29"/>
  <c r="F8" i="29"/>
  <c r="F101" i="25"/>
  <c r="F102" i="25" s="1"/>
  <c r="F105" i="25"/>
  <c r="F68" i="25"/>
  <c r="F73" i="25" s="1"/>
  <c r="F21" i="25"/>
  <c r="F22" i="25" s="1"/>
  <c r="F23" i="25" s="1"/>
  <c r="F24" i="25" s="1"/>
  <c r="F25" i="25" s="1"/>
  <c r="F26" i="25" s="1"/>
  <c r="F27" i="25" s="1"/>
  <c r="F29" i="25" s="1"/>
  <c r="F30" i="25" s="1"/>
  <c r="F34" i="25" s="1"/>
  <c r="F39" i="25" s="1"/>
  <c r="F36" i="25"/>
  <c r="F38" i="25" s="1"/>
  <c r="G173" i="25"/>
  <c r="E174" i="25"/>
  <c r="F71" i="25"/>
  <c r="F78" i="25"/>
  <c r="F81" i="25" s="1"/>
  <c r="F82" i="25" s="1"/>
  <c r="F70" i="25"/>
  <c r="F100" i="25"/>
  <c r="F8" i="27" l="1"/>
  <c r="F29" i="27" s="1"/>
  <c r="F89" i="29"/>
  <c r="F90" i="29" s="1"/>
  <c r="F48" i="29"/>
  <c r="F52" i="29"/>
  <c r="F51" i="29"/>
  <c r="F92" i="29" s="1"/>
  <c r="F93" i="29" s="1"/>
  <c r="F50" i="29"/>
  <c r="F24" i="37"/>
  <c r="F26" i="37" s="1"/>
  <c r="F13" i="37"/>
  <c r="F9" i="29"/>
  <c r="F11" i="29" s="1"/>
  <c r="F12" i="29" s="1"/>
  <c r="C16" i="38" s="1"/>
  <c r="M41" i="41" s="1"/>
  <c r="O41" i="41" s="1"/>
  <c r="O47" i="41" s="1"/>
  <c r="S8" i="41" s="1"/>
  <c r="S10" i="41" s="1"/>
  <c r="F10" i="27"/>
  <c r="F47" i="27"/>
  <c r="F48" i="27" s="1"/>
  <c r="F6" i="27"/>
  <c r="F12" i="27" s="1"/>
  <c r="F15" i="27" s="1"/>
  <c r="F41" i="27" s="1"/>
  <c r="F40" i="25"/>
  <c r="F43" i="25" s="1"/>
  <c r="F44" i="25" s="1"/>
  <c r="F74" i="25"/>
  <c r="F79" i="25"/>
  <c r="F84" i="25" s="1"/>
  <c r="F85" i="25" s="1"/>
  <c r="G174" i="25"/>
  <c r="E175" i="25"/>
  <c r="F108" i="25"/>
  <c r="F103" i="25"/>
  <c r="F104" i="25" s="1"/>
  <c r="F30" i="29" l="1"/>
  <c r="F14" i="29"/>
  <c r="F15" i="29" s="1"/>
  <c r="F20" i="29" s="1"/>
  <c r="F20" i="27"/>
  <c r="F30" i="27"/>
  <c r="F16" i="33"/>
  <c r="F27" i="37"/>
  <c r="F18" i="37"/>
  <c r="F71" i="29"/>
  <c r="F54" i="29"/>
  <c r="F57" i="29" s="1"/>
  <c r="F60" i="29" s="1"/>
  <c r="F17" i="27"/>
  <c r="F19" i="27" s="1"/>
  <c r="F28" i="29"/>
  <c r="F18" i="27"/>
  <c r="F21" i="27"/>
  <c r="F38" i="27" s="1"/>
  <c r="F37" i="27"/>
  <c r="F45" i="27" s="1"/>
  <c r="F33" i="27"/>
  <c r="E176" i="25"/>
  <c r="G175" i="25"/>
  <c r="F7" i="33" l="1"/>
  <c r="F11" i="33" s="1"/>
  <c r="F13" i="33" s="1"/>
  <c r="F28" i="37"/>
  <c r="F25" i="29"/>
  <c r="F34" i="29" s="1"/>
  <c r="F38" i="29" s="1"/>
  <c r="F43" i="29" s="1"/>
  <c r="F44" i="29" s="1"/>
  <c r="F45" i="29" s="1"/>
  <c r="H24" i="29"/>
  <c r="F59" i="29"/>
  <c r="F83" i="29"/>
  <c r="F62" i="29"/>
  <c r="F22" i="33"/>
  <c r="F24" i="33" s="1"/>
  <c r="F17" i="33"/>
  <c r="F72" i="29"/>
  <c r="F32" i="29"/>
  <c r="F40" i="29" s="1"/>
  <c r="F41" i="29" s="1"/>
  <c r="F42" i="29" s="1"/>
  <c r="F34" i="27"/>
  <c r="G176" i="25"/>
  <c r="E177" i="25"/>
  <c r="F37" i="29" l="1"/>
  <c r="F61" i="29"/>
  <c r="F63" i="29"/>
  <c r="F14" i="33"/>
  <c r="F4" i="36"/>
  <c r="F5" i="36" s="1"/>
  <c r="G177" i="25"/>
  <c r="E178" i="25"/>
  <c r="F36" i="36" l="1"/>
  <c r="F38" i="36" s="1"/>
  <c r="F39" i="36" s="1"/>
  <c r="F11" i="36"/>
  <c r="F80" i="29"/>
  <c r="F76" i="29"/>
  <c r="F79" i="29"/>
  <c r="F87" i="29" s="1"/>
  <c r="F75" i="29"/>
  <c r="G178" i="25"/>
  <c r="E179" i="25"/>
  <c r="F25" i="36" l="1"/>
  <c r="F12" i="36"/>
  <c r="F14" i="36" s="1"/>
  <c r="G179" i="25"/>
  <c r="E180" i="25"/>
  <c r="F34" i="36" l="1"/>
  <c r="F15" i="36"/>
  <c r="F18" i="36" s="1"/>
  <c r="F26" i="36" s="1"/>
  <c r="F27" i="36" s="1"/>
  <c r="G180" i="25"/>
  <c r="E181" i="25"/>
  <c r="G181" i="25" s="1"/>
  <c r="F115" i="25" l="1"/>
  <c r="F116" i="25" s="1"/>
  <c r="F123"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tc={7BCB970B-51B3-4B5D-B235-6974884DDB9E}</author>
  </authors>
  <commentList>
    <comment ref="P17" authorId="0" shapeId="0" xr:uid="{7BCB970B-51B3-4B5D-B235-6974884DDB9E}">
      <text>
        <t>[Threaded comment]
Your version of Excel allows you to read this threaded comment; however, any edits to it will get removed if the file is opened in a newer version of Excel. Learn more: https://go.microsoft.com/fwlink/?linkid=870924
Comment:
    Tidak akan direncanakan secara detail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tc={F92E6BEC-8ED6-4838-8361-82CD8E852447}</author>
  </authors>
  <commentList>
    <comment ref="B36" authorId="0" shapeId="0" xr:uid="{F92E6BEC-8ED6-4838-8361-82CD8E852447}">
      <text>
        <t>[Threaded comment]
Your version of Excel allows you to read this threaded comment; however, any edits to it will get removed if the file is opened in a newer version of Excel. Learn more: https://go.microsoft.com/fwlink/?linkid=870924
Comment:
    To maintain aerobic conditions, air should be supplied at this rate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tc={0984C86A-5D4B-46C2-9189-EB6E7AF44ED9}</author>
  </authors>
  <commentList>
    <comment ref="B32" authorId="0" shapeId="0" xr:uid="{0984C86A-5D4B-46C2-9189-EB6E7AF44ED9}">
      <text>
        <t xml:space="preserve">[Threaded comment]
Your version of Excel allows you to read this threaded comment; however, any edits to it will get removed if the file is opened in a newer version of Excel. Learn more: https://go.microsoft.com/fwlink/?linkid=870924
Comment:
    The channel depth is the depth at maximum flow plus the freeboard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tc={2650E6B5-941F-44CC-9FD7-CE4361CBEB16}</author>
  </authors>
  <commentList>
    <comment ref="F50" authorId="0" shapeId="0" xr:uid="{2650E6B5-941F-44CC-9FD7-CE4361CBEB16}">
      <text>
        <t>[Threaded comment]
Your version of Excel allows you to read this threaded comment; however, any edits to it will get removed if the file is opened in a newer version of Excel. Learn more: https://go.microsoft.com/fwlink/?linkid=870924
Comment:
    Terlalu panjang?</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tc={82E29CAC-ACD2-4F96-AEB0-2188C00B0FF1}</author>
  </authors>
  <commentList>
    <comment ref="F92" authorId="0" shapeId="0" xr:uid="{82E29CAC-ACD2-4F96-AEB0-2188C00B0FF1}">
      <text>
        <t>[Threaded comment]
Your version of Excel allows you to read this threaded comment; however, any edits to it will get removed if the file is opened in a newer version of Excel. Learn more: https://go.microsoft.com/fwlink/?linkid=870924
Comment:
    Terlalu panjang?</t>
      </text>
    </comment>
  </commentList>
</comments>
</file>

<file path=xl/sharedStrings.xml><?xml version="1.0" encoding="utf-8"?>
<sst xmlns="http://schemas.openxmlformats.org/spreadsheetml/2006/main" count="3561" uniqueCount="1461">
  <si>
    <t>Resume Kondisi Sanitasi Kabupaten Cianjur</t>
  </si>
  <si>
    <t>No</t>
  </si>
  <si>
    <t>Uraian</t>
  </si>
  <si>
    <t>Sarana sanitasi dasar keluarga terdiri dari kepemilikan jamban, tempat sampah dan pengelolaan limbah yang sesuai dengan standar kesehatan. Berdasarkan data cakupan sarana jamban dan akses sanitasi dasar di Kabupaten Cianjur tahun 2019 - 2020 dapat diketahui Tahun 2020 sebanyak 83,36% penduduk sudah memiliki akses sanitasi layak.</t>
  </si>
  <si>
    <t xml:space="preserve">Cakupan pelayanan pengelolaan limbah cair domestik, di Kabupaten Cianjur meliputi sistem offsite 57% (untuk wilayah perkotaan), sedangkan sebanyak 85% penduduk Cianjur belum terlayani. </t>
  </si>
  <si>
    <t xml:space="preserve">Untuk wilayah perkotaan pengolahan limbah cair domestik dilakukan dengan menggunakan septic tank komunal, misal MCK dan MCK Plus untuk 1.104 jiwa, individual septic tank sebanyak 346.784 jiwa, dan tanpa diolah sebanyak 34.406 jiwa. </t>
  </si>
  <si>
    <t>Jumlah Instalasi Pengolahan Lumpur Tinja (IPLT) 1 unir terletak di desa Babakankaret Kecamatan Cianjur,</t>
  </si>
  <si>
    <t>Dinas Tata Ruang dan Pemukiman Kabupaten Cianjur mendata sekitar 20 persen dari total jumlah penduduk Cianjur membutuhkan MCK. Akibatnya, banyak di antara warga yang masih mengandalkan sungai atau kubangan air kampungnya untuk melakukan MCK padahal air sungai dan fasilitasnya tidak layak.</t>
  </si>
  <si>
    <t>Berdasarkan data sektoral Dinas Perumahan Kawasan Permukiman dan Pertanahan Cianjur, pada tahun 2020 jumlah rumah tangga berakses sanitasi berjumlah 710.722.</t>
  </si>
  <si>
    <t>Berdasarkan data sektoral Dinas Perumahan Kawasan Permukiman dan Pertanahan Cianjur, pada tahun 2020 jumlah rumah penanganan luasan permukiman kumuh adalah 28.611.</t>
  </si>
  <si>
    <t>Adapun tahapan pengembangan air limbah domestik Kab/Kota sebagai berikut:</t>
  </si>
  <si>
    <t>Sesuai dengan dokumen RPIJM Kabupaten Cianjur tahun 2010 - 2014, usulan dan prioritas program di Kabupaten Cianjur terkait sistem penyediaan air limbah diprogramkan 5 tahun kedepan adalah dengan membangun komponen-komponen sebagai berikut :</t>
  </si>
  <si>
    <t>- Optimalisasi sitem IPLT/IPAL</t>
  </si>
  <si>
    <t>- Pembangunan jaringan air limbah</t>
  </si>
  <si>
    <t>- Pembangunan IPAL</t>
  </si>
  <si>
    <t>- Pembangunan IPLT</t>
  </si>
  <si>
    <t>- Pembangunan septic tank komunal</t>
  </si>
  <si>
    <t>- Pengadaan truk tinja</t>
  </si>
  <si>
    <t>- DED, pelatihan manajemen dan supervisi.</t>
  </si>
  <si>
    <t>NO</t>
  </si>
  <si>
    <t>ELEMEN</t>
  </si>
  <si>
    <t>BOBOT</t>
  </si>
  <si>
    <t>TINGKAT PENGARUH</t>
  </si>
  <si>
    <t>PERKALIAN BOBOT DAN TINGKAT PENGARUH</t>
  </si>
  <si>
    <t>Internal Factor Analysis Summary (IFAS)</t>
  </si>
  <si>
    <t>Kekuatan (Strength)</t>
  </si>
  <si>
    <t>Sudah ada Peraturan Daerah Nomor 07 Tahun 2012</t>
  </si>
  <si>
    <t>Sudah ada kebijakan pendukung (RTRW dan RPJM)</t>
  </si>
  <si>
    <t>Sudah terbentuk Pokja Sanitasi</t>
  </si>
  <si>
    <t>Sudah ada pembagian tugas/wewenang dalam pengelolaan air limbah akan tetapi belum detail antara DKP dengan Tarkim</t>
  </si>
  <si>
    <t>Adanya program dari DKP Sektor Air Limbah</t>
  </si>
  <si>
    <t>Sudah tersedia anggaran DAK Sektor Air Limbah</t>
  </si>
  <si>
    <t>Adanya anggaran sanitasi dari APBDA</t>
  </si>
  <si>
    <t>Sudah ada SDM pengelola air limbah (kurang 10 orang)</t>
  </si>
  <si>
    <t>Terdapat 1 unit IPAL di desa Babakan Karet Kec. Cianjur</t>
  </si>
  <si>
    <t>Sebagian SDM ikut pelatihan pengelolaan air limbah</t>
  </si>
  <si>
    <t>Total</t>
  </si>
  <si>
    <t>Kelemahan (Weakness)</t>
  </si>
  <si>
    <t>Perda air limbah belum tersosialisasi</t>
  </si>
  <si>
    <t>Tidak ada sanksi bagi perusahaan/ home industry yang membuang air limbah sembarangan</t>
  </si>
  <si>
    <t>Masih banyak BABS</t>
  </si>
  <si>
    <t>Terkendalanya lahan unruk septic tank bersama dan MCK plusplus</t>
  </si>
  <si>
    <t>Belum ada database kepemilikan jamban</t>
  </si>
  <si>
    <t>Belum ada IPLT</t>
  </si>
  <si>
    <t>Anggaran untuk air limbah kurang memadai</t>
  </si>
  <si>
    <t>Monev (monitoring dan evaluasi) air limbah belum berjalan</t>
  </si>
  <si>
    <t>Belum ada masterplan air limbah</t>
  </si>
  <si>
    <t>Kebijakan berupa perda sektor air limbah belum ada</t>
  </si>
  <si>
    <t>Selisih Kekuatan dan Kelemahan</t>
  </si>
  <si>
    <t>External Factor Analysis Summary (EFAS)</t>
  </si>
  <si>
    <t>Peluang (Opportunity)</t>
  </si>
  <si>
    <t>Belum ada industri/swasta yang mengembangkan jasa IPAL</t>
  </si>
  <si>
    <t>Adanya kesadaran masyarakat cukup tinggi</t>
  </si>
  <si>
    <t>Adanya pertumbuhan perumahan</t>
  </si>
  <si>
    <t>Ketersediaan tenaga kerja yang cukup</t>
  </si>
  <si>
    <t>Adanya peningkatan pertumbuhan ekonomi</t>
  </si>
  <si>
    <t>Adanya sungai besar sebagai badan air penerima</t>
  </si>
  <si>
    <t>Munculnya perusahaan-perusahaan baru yang bisa dilibatkan dalam CSR</t>
  </si>
  <si>
    <t>Ada usaha sedot WC</t>
  </si>
  <si>
    <t>Masih bercampurnya sistem pembuangan grey water dan black water</t>
  </si>
  <si>
    <t>Masih banyak masyarakat yang buang air limbah dialirkan ke sungai</t>
  </si>
  <si>
    <t>Perilaku BABS yang masih besar presentasenya</t>
  </si>
  <si>
    <t>Sebagian besar septic tank belum memenuhi Standar Nasional Indonesia (SNI)</t>
  </si>
  <si>
    <t>Masih lemahnya pemahaman konstruksi pembangunan dan jarak septic tank terhadap sumber air</t>
  </si>
  <si>
    <t>Partisipasi masyarakat daerah pesisir/bantaran sungai masih rendah dan banyak perilaku PHBS</t>
  </si>
  <si>
    <t>Adanya kebiasaan membuang air limbah di sungai</t>
  </si>
  <si>
    <t>Adanya kewajiban mengikuti SPM (PP No.65 Tahun 2005)</t>
  </si>
  <si>
    <t>Adanya sejumlah kloset helikopter</t>
  </si>
  <si>
    <t>Ancaman (Threath)</t>
  </si>
  <si>
    <t>Selisih Peluang dan Ancaman</t>
  </si>
  <si>
    <t>S</t>
  </si>
  <si>
    <t>Strengths</t>
  </si>
  <si>
    <t>Internal</t>
  </si>
  <si>
    <t>W</t>
  </si>
  <si>
    <t>Weaknesses</t>
  </si>
  <si>
    <t>O</t>
  </si>
  <si>
    <t>Opportunities</t>
  </si>
  <si>
    <t>T</t>
  </si>
  <si>
    <t>Threats</t>
  </si>
  <si>
    <t>External</t>
  </si>
  <si>
    <t>ANALISIS SWOT</t>
  </si>
  <si>
    <t>Lingkungan Mendukung (+)</t>
  </si>
  <si>
    <t>PELUANG</t>
  </si>
  <si>
    <t>KELEMAHAN</t>
  </si>
  <si>
    <t>KEKUATAN</t>
  </si>
  <si>
    <t>Internal Kuat (+)</t>
  </si>
  <si>
    <t>-0,8</t>
  </si>
  <si>
    <t>-0,6</t>
  </si>
  <si>
    <t>-0,4</t>
  </si>
  <si>
    <t>-0,2</t>
  </si>
  <si>
    <t>0,00</t>
  </si>
  <si>
    <t>ANCAMAN</t>
  </si>
  <si>
    <t>Berdasarkan data analisis SWOT diatas dapat diambil kesimpulan bahwa analisis nilai pada kondisi internal organisasi menunjukkan nilai kekuatan adalah 3,68  dan kelemahan adalah 3,81. Jadi, kekuatan lebih kecil -0,136 poin dibandingkan dengan kelemahannya.</t>
  </si>
  <si>
    <t>Analisis nilai pada kondisi eksternal menunjukkan nilai peluan adalah 3,88 dan ancaman 3,58. Jadi peluang lebih besar 0,304 poin dibandingkan dengan ancaman yang ada.</t>
  </si>
  <si>
    <t>Masih rendahnya rasa memiliki prasarana dan sarana sanimas</t>
  </si>
  <si>
    <t>(-0,136 ; 0,304)</t>
  </si>
  <si>
    <t>POSISI PENGELOLAAN AIR LIMBAH DOMESTIK</t>
  </si>
  <si>
    <t>Hasil</t>
  </si>
  <si>
    <t>Tahun</t>
  </si>
  <si>
    <t>Jumlah Penduduk (Jiwa)</t>
  </si>
  <si>
    <t>Tingkat Pertumbuhan</t>
  </si>
  <si>
    <t>Aritmatik</t>
  </si>
  <si>
    <t>Geometrik</t>
  </si>
  <si>
    <t>Exponensial</t>
  </si>
  <si>
    <t>Rata-Rata</t>
  </si>
  <si>
    <t>Backward Projection Metode Geometrik</t>
  </si>
  <si>
    <t>Backward Projection Metode Exponensial</t>
  </si>
  <si>
    <t>Backward Projection Metode Aritmatik</t>
  </si>
  <si>
    <t>Jumlah Penduduk</t>
  </si>
  <si>
    <t>n</t>
  </si>
  <si>
    <t xml:space="preserve">Backward Projection Geometrik </t>
  </si>
  <si>
    <t>Backward Projection Exponensial</t>
  </si>
  <si>
    <t>Backward Projection Aritmatik</t>
  </si>
  <si>
    <t>Standar Deviasi Metode Geometrik</t>
  </si>
  <si>
    <t>Standar Deviasi Metode Eksponensial</t>
  </si>
  <si>
    <t>Standar Deviasi Metode Aritmatik</t>
  </si>
  <si>
    <t>Tahun ke (X)</t>
  </si>
  <si>
    <t>Proyeksi Geometrik (Yi)</t>
  </si>
  <si>
    <t>Yi-Ymean</t>
  </si>
  <si>
    <t>(Yi-Ymean)²</t>
  </si>
  <si>
    <t>Proyeksi Exsponensial (Yi)</t>
  </si>
  <si>
    <t>Proyeksi Aritmatik (Yi)</t>
  </si>
  <si>
    <t>Jumlah</t>
  </si>
  <si>
    <t>Ymean</t>
  </si>
  <si>
    <t xml:space="preserve">Standar Deviasi </t>
  </si>
  <si>
    <t>Metode Proyeksi</t>
  </si>
  <si>
    <t>Standar Deviasi</t>
  </si>
  <si>
    <r>
      <t xml:space="preserve">Metode proyeksi yang terpilih untuk proyeksi penduduk pada kasus ini adalah </t>
    </r>
    <r>
      <rPr>
        <b/>
        <sz val="11"/>
        <color theme="1"/>
        <rFont val="Times New Roman"/>
        <family val="1"/>
      </rPr>
      <t>Metode Geometrik</t>
    </r>
    <r>
      <rPr>
        <sz val="11"/>
        <color theme="1"/>
        <rFont val="Times New Roman"/>
        <family val="1"/>
      </rPr>
      <t xml:space="preserve"> dikarenakan memiliki standar deviasi terkecil</t>
    </r>
  </si>
  <si>
    <t>Forward Projection Metode Geometrik (20 Tahun)</t>
  </si>
  <si>
    <t>Forward Projection Metode Geometrik (10 Tahun)</t>
  </si>
  <si>
    <t>- Kepadatan penduduk</t>
  </si>
  <si>
    <t>- Klasifikasi wilayah (perkotaan atau perdesaan)</t>
  </si>
  <si>
    <t>- Resiko kesehatan lingkungan</t>
  </si>
  <si>
    <t>- Karakteristik tata guna lahan/ Center of Business Development (CBD) (komersial atau rumah tangga)</t>
  </si>
  <si>
    <t xml:space="preserve">Kriteria Zona Prioritas : </t>
  </si>
  <si>
    <t>Agrabinta</t>
  </si>
  <si>
    <t>Leles</t>
  </si>
  <si>
    <t>Sindangbarang</t>
  </si>
  <si>
    <t>Cidaun</t>
  </si>
  <si>
    <t>Naringgul</t>
  </si>
  <si>
    <t>Cibinong</t>
  </si>
  <si>
    <t>Cikadu</t>
  </si>
  <si>
    <t>Tanggeung</t>
  </si>
  <si>
    <t>Pasirkuda</t>
  </si>
  <si>
    <t>Kadupandak</t>
  </si>
  <si>
    <t>Cijati</t>
  </si>
  <si>
    <t>Takokak</t>
  </si>
  <si>
    <t>Sukanagara</t>
  </si>
  <si>
    <t>Pagelaran</t>
  </si>
  <si>
    <t>Campaka</t>
  </si>
  <si>
    <t>Campakamulya</t>
  </si>
  <si>
    <t>Cibeber</t>
  </si>
  <si>
    <t>Warungkondang</t>
  </si>
  <si>
    <t>Gekbrong</t>
  </si>
  <si>
    <t>Cilaku</t>
  </si>
  <si>
    <t>Sukaluyu</t>
  </si>
  <si>
    <t>Bojongpicung</t>
  </si>
  <si>
    <t>Haurwangi</t>
  </si>
  <si>
    <t>Ciranjang</t>
  </si>
  <si>
    <t>Mande</t>
  </si>
  <si>
    <t>Karangtengah</t>
  </si>
  <si>
    <t>Cianjur</t>
  </si>
  <si>
    <t>Cugenang</t>
  </si>
  <si>
    <t>Pacet</t>
  </si>
  <si>
    <t>Cipanas</t>
  </si>
  <si>
    <t>Sukaresmi</t>
  </si>
  <si>
    <t>Cikalongkulon</t>
  </si>
  <si>
    <t>Kecamatan</t>
  </si>
  <si>
    <t>Luas Total Area (km2/sq.km)</t>
  </si>
  <si>
    <t>Penduduk (2021) (orang)</t>
  </si>
  <si>
    <t>Kepadatan Penduduk per Km2 (2021)</t>
  </si>
  <si>
    <t>Kepadatan Penduduk per Km2 (2022)</t>
  </si>
  <si>
    <t>Penduduk, Luas Total Area dan Kepadatan Penduduk Menurut Kecamatan</t>
  </si>
  <si>
    <t>Penduduk, Luas Total Area dan Kepadatan Penduduk Menurut Kecamatan Yang Sudah Diurutkan Dari Yang Paling Padat Penduduknya</t>
  </si>
  <si>
    <t>Sehingga demikian, posisi pengelolaan air limbah Kabupaten Cianjur berada pada kuadran II. Strategi yang diambil adalah Strategi Selektif (Turn arround), sebab kondisi SPAL memiliki banyak peluang untuk semakin berkembang, akan tetapi kondisinya masih lemah.</t>
  </si>
  <si>
    <t>Pada Kuadran II, arah pengembangan grand strategi SPAL adalah pengembangan selektif sistem off-site.</t>
  </si>
  <si>
    <t>Grand strategi kuadran II : Pengembangan selektif sistem terpusat</t>
  </si>
  <si>
    <t>- Pengawasan dan pengendalian sarana prasarana sistem air limbah setempat (individual dan komunal)</t>
  </si>
  <si>
    <t>- Optimalisasi pemanfaatan IPLT terbangun</t>
  </si>
  <si>
    <t>- Peningkatan pelayanan penyedotan lumpur tinja</t>
  </si>
  <si>
    <t xml:space="preserve">      a. Peningkatan kapasitas armada</t>
  </si>
  <si>
    <t xml:space="preserve">      b. Peningkatan kapasitas IPLT</t>
  </si>
  <si>
    <t>- Pengembangan prasarana air limbah berbasis masyarakat</t>
  </si>
  <si>
    <t>- Pengembangan sistem terpusat skala kawasan (IPAL) pada daerah-daerah prioritas</t>
  </si>
  <si>
    <t>Pada strategi ini transformasi dari sistem setempat menjadi sistem terpusat akan dimulai secara kawasan demi kawasan.</t>
  </si>
  <si>
    <t>Fasilitas</t>
  </si>
  <si>
    <t>Unit Satuan</t>
  </si>
  <si>
    <t>Pendidikan :</t>
  </si>
  <si>
    <t>TK</t>
  </si>
  <si>
    <t>Unit</t>
  </si>
  <si>
    <t>SD</t>
  </si>
  <si>
    <t>SMA</t>
  </si>
  <si>
    <t>SMK</t>
  </si>
  <si>
    <t>PT</t>
  </si>
  <si>
    <t>Komersial :</t>
  </si>
  <si>
    <t>Pasar</t>
  </si>
  <si>
    <t>Kesehatan :</t>
  </si>
  <si>
    <t>Tempat Ibadah :</t>
  </si>
  <si>
    <t>Masjid</t>
  </si>
  <si>
    <t>Gereja</t>
  </si>
  <si>
    <t>Zona Prioritas</t>
  </si>
  <si>
    <t>Zona Pengembangan</t>
  </si>
  <si>
    <t>Proyeksi Fasilitas Umum</t>
  </si>
  <si>
    <t>- Diambil dari zona prioritas (Kecamatan : Cianjur, Karangtengah, Ciranjang, dan Cilaku)</t>
  </si>
  <si>
    <t>MI</t>
  </si>
  <si>
    <t>SMP</t>
  </si>
  <si>
    <t>MTs</t>
  </si>
  <si>
    <t>MA</t>
  </si>
  <si>
    <t>Toko/Kios</t>
  </si>
  <si>
    <t>Warung</t>
  </si>
  <si>
    <t>Minimarket</t>
  </si>
  <si>
    <t>Rumah Sakit Umum</t>
  </si>
  <si>
    <t>Mushola/Langgar</t>
  </si>
  <si>
    <t>Vihara/Kuil</t>
  </si>
  <si>
    <t>Proyeksi Fasilitas Umum 2021 Sampai 2041</t>
  </si>
  <si>
    <t>Proyeksi Penduduk</t>
  </si>
  <si>
    <t>Q air limbah</t>
  </si>
  <si>
    <t>(60-80%) x Q air minum</t>
  </si>
  <si>
    <t>Sumber : SNI 03-7065-2005</t>
  </si>
  <si>
    <t>Q timbulan air limbah</t>
  </si>
  <si>
    <t>(60-80%) x Q air minum x Pt</t>
  </si>
  <si>
    <t>Keterangan :</t>
  </si>
  <si>
    <t>Pt : Total jumlah penduduk (jiwa)</t>
  </si>
  <si>
    <t>Jumlah Penduduk Proyeksi (Jiwa)</t>
  </si>
  <si>
    <t>Kebutuhan Air (L/orang/hari)</t>
  </si>
  <si>
    <t>Timbulan Air Limbah Domestik (%)</t>
  </si>
  <si>
    <t>Faktor Puncak</t>
  </si>
  <si>
    <t>Air Limbah Domestik</t>
  </si>
  <si>
    <t>Debit Max</t>
  </si>
  <si>
    <t>Debit Min</t>
  </si>
  <si>
    <t>Infiltrasi (L/det.Km)</t>
  </si>
  <si>
    <t>Debit Rerata</t>
  </si>
  <si>
    <t>Debit Air Limbah Domestik (m3/Hari)</t>
  </si>
  <si>
    <t>Debit Infiltrasi (m3/Hari)</t>
  </si>
  <si>
    <t>Debit Total (m3/Hari)</t>
  </si>
  <si>
    <t>Jumlah (Unit)</t>
  </si>
  <si>
    <t>Jumlah Penduduk (Unit)</t>
  </si>
  <si>
    <t>Total Penduduk (Jiwa)</t>
  </si>
  <si>
    <t>Jumlah Pemakaian  (L/hari)</t>
  </si>
  <si>
    <t>Debit Air Limbah (Qr) (L/hari)</t>
  </si>
  <si>
    <t>Satuan</t>
  </si>
  <si>
    <t>Pemakaian Air</t>
  </si>
  <si>
    <t xml:space="preserve"> (L/org/hari)</t>
  </si>
  <si>
    <t xml:space="preserve"> (L/m2)</t>
  </si>
  <si>
    <t>(L/bed/hari)</t>
  </si>
  <si>
    <t>(L/unit/hari)</t>
  </si>
  <si>
    <t>Jumlah m2 (Unit)</t>
  </si>
  <si>
    <t>Total m2</t>
  </si>
  <si>
    <t>Jumlah unit (Unit)</t>
  </si>
  <si>
    <t>Total unit</t>
  </si>
  <si>
    <t>Debit Air Limbah (Qr) (m3/hari)</t>
  </si>
  <si>
    <t>Sumber : Buku SPALD-A</t>
  </si>
  <si>
    <t>ALTERNATIF I</t>
  </si>
  <si>
    <t>ALTERNATIF II</t>
  </si>
  <si>
    <t>Bak Ekualisasi</t>
  </si>
  <si>
    <t>Bak Sedimentasi I</t>
  </si>
  <si>
    <t>RBC</t>
  </si>
  <si>
    <t>Bak Sedimentasi II</t>
  </si>
  <si>
    <t>Disinfeksi</t>
  </si>
  <si>
    <t>Sludge Thickening</t>
  </si>
  <si>
    <t>Sludge Digestion</t>
  </si>
  <si>
    <t>Sludge Dewatering</t>
  </si>
  <si>
    <t>Biological Aerated Filter</t>
  </si>
  <si>
    <t>MBBR</t>
  </si>
  <si>
    <t>ALTERNATIF III</t>
  </si>
  <si>
    <t>PASAR</t>
  </si>
  <si>
    <t>TOKO / KIOS</t>
  </si>
  <si>
    <t>MINIMARKET</t>
  </si>
  <si>
    <t>WARUNG</t>
  </si>
  <si>
    <t>RUMAH SAKIT UMUM</t>
  </si>
  <si>
    <t>MUSHOLLA / LANGGAR</t>
  </si>
  <si>
    <t>GEREJA</t>
  </si>
  <si>
    <t>Debit Air Limbah Domestik</t>
  </si>
  <si>
    <t>RS</t>
  </si>
  <si>
    <t>Musholla</t>
  </si>
  <si>
    <t>Vihara</t>
  </si>
  <si>
    <t>Debit Air Limbah Non Domestik (m3/h)</t>
  </si>
  <si>
    <t>Debit Air Limbah Total</t>
  </si>
  <si>
    <t>Penduduk (2022) (orang)</t>
  </si>
  <si>
    <t>Kriteria Pemilihan</t>
  </si>
  <si>
    <t>Perencanaan Kota</t>
  </si>
  <si>
    <t>Area diperlukan</t>
  </si>
  <si>
    <t>Ketersediaan lahan IPAL menjadi sangat penting, karena bagaimanapun harus dekat dengan pelanggan yang dilayani</t>
  </si>
  <si>
    <t>Gangguan berupa bau dan bising</t>
  </si>
  <si>
    <t>Karena IPAL melayani sejumlah rumah tangga, maka timbulnya bau tidak sedap dan kebisingan haruslah diupayakan seminimal mungkin.</t>
  </si>
  <si>
    <t>Desain dan Konstruksi</t>
  </si>
  <si>
    <t>Pembangunan secara bertahap</t>
  </si>
  <si>
    <t>Pembangunan secara bertahap akan memperbaiki kualitas effluent dan menjaga kapasitas sesuai fungsi waktu.</t>
  </si>
  <si>
    <t>Kesederhanaan struktur sipil dan peralatan mekanik</t>
  </si>
  <si>
    <t>Sangat menguntungkan apalabila kontraktor lokal dapat membangun IPAL dengan kepakarannya sendiri. Demikian juga dengan ketersediaan peralatan lokal yang ada untuk pekerjaan konstruksi dan perawatan.</t>
  </si>
  <si>
    <t>Keperluan peralatan listrik dan mekanik</t>
  </si>
  <si>
    <t>Diharapkan penggunaan peralatan listrik dan mekanik minimal guna penghematan biaya untuk keperluan energi.</t>
  </si>
  <si>
    <t>Biaya</t>
  </si>
  <si>
    <t>Biaya investasi</t>
  </si>
  <si>
    <t>Biaya investasi yang rendah meningkatkan kelayakan proyek serta kemudahan mendapatkan pinjaman.</t>
  </si>
  <si>
    <t>Biaya operasi</t>
  </si>
  <si>
    <t>Biaya operasi harus seminimal mungkin. Faktor biaya di antaranya: energi, perawatan, bahan kimia, dan pembuangan. Faktor pendapatan bisa berupa daur ulang dari effluent, dihasilkannya gas dan adanya lumpur.</t>
  </si>
  <si>
    <t>Operasi dan Perawatan</t>
  </si>
  <si>
    <t>Kemudahan operasi</t>
  </si>
  <si>
    <t>Diharapkan pengoperasian lebih mudah. Karena itu, kebutuhan pelatihan untuk operator haruslah diupayakan minimal.</t>
  </si>
  <si>
    <t>Kemudahan perawatan</t>
  </si>
  <si>
    <t>Diharapkan perawatan juga minimal, meski tidak ada pengoperasian IPAL yang tanpa perawatan . Kebutuhan pelatihan untuk operator haruslah minimal.</t>
  </si>
  <si>
    <t>Kinerja</t>
  </si>
  <si>
    <t>Sensitivitas terhadap fluktuasi influent</t>
  </si>
  <si>
    <t>Karena adanya beban kejut hidrolis dan kualitas influent, upayakan gangguan terhadap IPAL seminimal mungkin.</t>
  </si>
  <si>
    <t>Kepatutan terhadap baku mutu</t>
  </si>
  <si>
    <t>Teknologi terpilih haruslah mampu mengeluarkan effluent yang sesuai dengan baku mutu.</t>
  </si>
  <si>
    <t>Kepatutan terhadap baku mutu di masa yang akan datang</t>
  </si>
  <si>
    <t>Teknologi terpilih juga harus mampu mengeluarkan effluent yang sesuai dengan baku mutu lingkungan di masa depan. Setidaknya teknologi mudah dimodifikasi untuk mencapai baku mutu tersebut.</t>
  </si>
  <si>
    <t>Pengelolaan lumpur</t>
  </si>
  <si>
    <t>Pengelolaan lumpur haruslah aman untuk kesehatan lingkungan masyarakat setempat.</t>
  </si>
  <si>
    <t>Reliabilitas kinerja</t>
  </si>
  <si>
    <t>Proses yang sehat lebih disukai.</t>
  </si>
  <si>
    <t>Penjelasan</t>
  </si>
  <si>
    <t>MASJID</t>
  </si>
  <si>
    <t>VIHARA/KUIL</t>
  </si>
  <si>
    <t>IPAL-DS</t>
  </si>
  <si>
    <t>IPAL-DT</t>
  </si>
  <si>
    <t>TAHAP II</t>
  </si>
  <si>
    <t>TAHAP I</t>
  </si>
  <si>
    <t>- IPAL-DS (Instalasi Pengolahan Air Limbah Daerah Setempat)</t>
  </si>
  <si>
    <t>- IPAL-DT (Instalasi Pengolahan Air Limbah Daerah Terpusat)</t>
  </si>
  <si>
    <t>- Hitungan detail dibuat hanya di Tahap I</t>
  </si>
  <si>
    <t xml:space="preserve">- Rencana untuk tahun 2043 tetap akan diikutkan dalam layout </t>
  </si>
  <si>
    <t>- Rancangan itungan pompa dan beberapa unit juga akan (kalau bisa) sampai dengan Tahap II</t>
  </si>
  <si>
    <t>- Debit akan direncanakan sampai dengan Tahap II</t>
  </si>
  <si>
    <t>Catatan :</t>
  </si>
  <si>
    <t>TOTAL Debit (m3/hari)</t>
  </si>
  <si>
    <t>(m3/hari)</t>
  </si>
  <si>
    <t>m3/hari</t>
  </si>
  <si>
    <t>Q Total (m3/hari)</t>
  </si>
  <si>
    <t>Terlayani IPAL-DT</t>
  </si>
  <si>
    <t>Terlayani IPAL-DS</t>
  </si>
  <si>
    <t>Q Rerata IPAL-DS</t>
  </si>
  <si>
    <t>Q maksimum IPAL-DS</t>
  </si>
  <si>
    <t>Q minimum IPAL-DS</t>
  </si>
  <si>
    <t>Q Rerata IPAL-DT</t>
  </si>
  <si>
    <t>Q maksimum IPAL-DT</t>
  </si>
  <si>
    <t>Q minimum IPAL-DT</t>
  </si>
  <si>
    <t>Luas IPAL</t>
  </si>
  <si>
    <t>Desain Konstruksi</t>
  </si>
  <si>
    <t>Kebutuhan peralatan mekanik dan elektrikal</t>
  </si>
  <si>
    <t>Pembiayaan</t>
  </si>
  <si>
    <t>Sensitif terhadap kualitas influent</t>
  </si>
  <si>
    <t>Kepatutan terhadap baku mutu lingkungan</t>
  </si>
  <si>
    <t>Lumpur dihasilkan</t>
  </si>
  <si>
    <t>Reliabilitas</t>
  </si>
  <si>
    <t>Total Score</t>
  </si>
  <si>
    <t>Faktor Pembobotan</t>
  </si>
  <si>
    <t>Scoring</t>
  </si>
  <si>
    <t>Pentahapan pembangunan</t>
  </si>
  <si>
    <t>Struktur dan peralatan mekanik sederhana</t>
  </si>
  <si>
    <t>Scoring Teknologi</t>
  </si>
  <si>
    <t>- RBC memiliki nilai scoring yang paling tinggi, teknologi inilah yang akan dipakai.</t>
  </si>
  <si>
    <t>Hasil :</t>
  </si>
  <si>
    <t>Parameter Kualitas AL</t>
  </si>
  <si>
    <t>Influent</t>
  </si>
  <si>
    <t>Effluent</t>
  </si>
  <si>
    <t>BOD (mg/L)</t>
  </si>
  <si>
    <t>COD (mg/L)</t>
  </si>
  <si>
    <t>TSS (mg/L)</t>
  </si>
  <si>
    <t>Minyak &amp; Lemak</t>
  </si>
  <si>
    <t>NH3-N (mg/L)</t>
  </si>
  <si>
    <t>Total Coliform (3000/100 ml)</t>
  </si>
  <si>
    <t>BML</t>
  </si>
  <si>
    <t>Sumur Pengumpul (Wet Well)</t>
  </si>
  <si>
    <t>Fine Screen</t>
  </si>
  <si>
    <t>Grit Removal</t>
  </si>
  <si>
    <t>% Removal Coarse Screen</t>
  </si>
  <si>
    <t>% Removal Fine Screen</t>
  </si>
  <si>
    <t>% Removal Equalization Tank</t>
  </si>
  <si>
    <t>Coarse Screen</t>
  </si>
  <si>
    <t>% Removal Sewage Lift Station</t>
  </si>
  <si>
    <t>% Removal Primary Sedimentation</t>
  </si>
  <si>
    <t>% Removal RBC</t>
  </si>
  <si>
    <t>% Removal Grit and Oil Removal</t>
  </si>
  <si>
    <t>Data Fasilitas Umum 2017 Sampai 2020</t>
  </si>
  <si>
    <t>% Removal Secondary Sedimentation</t>
  </si>
  <si>
    <t>% Removal Sludge Thickening</t>
  </si>
  <si>
    <t>% Removal Sludge Digestion</t>
  </si>
  <si>
    <t>% Removal Sludge Dewatering</t>
  </si>
  <si>
    <t>Source : Japan Sewage Works Association</t>
  </si>
  <si>
    <t>BOD = 200 mg/L</t>
  </si>
  <si>
    <t>COD = 508 mg/L</t>
  </si>
  <si>
    <t>TSS = 195 mg/L</t>
  </si>
  <si>
    <t>FOG = 76 mg/L</t>
  </si>
  <si>
    <t>NH3-N = 35 mg/L</t>
  </si>
  <si>
    <t>BOD = 150 mg/L</t>
  </si>
  <si>
    <t>TSS = 136,5 mg/L</t>
  </si>
  <si>
    <t>FOG = 49,4 mg/L</t>
  </si>
  <si>
    <t>Sewage Lift Station</t>
  </si>
  <si>
    <t>Grit &amp; Oil Removal</t>
  </si>
  <si>
    <t>FOG = 4,94 mg/L</t>
  </si>
  <si>
    <t>Equalization Tank</t>
  </si>
  <si>
    <t>Primary Sedimentation</t>
  </si>
  <si>
    <t>BOD = 97,5 mg/L</t>
  </si>
  <si>
    <t>COD = 279,4 mg/L</t>
  </si>
  <si>
    <t>TSS = 54,6 mg/L</t>
  </si>
  <si>
    <t>BOD = 14,625 mg/L</t>
  </si>
  <si>
    <t>COD = 41,91 mg/L</t>
  </si>
  <si>
    <t>TSS = 16,38 mg/L</t>
  </si>
  <si>
    <t>NH3-N = 8,75 mg/L</t>
  </si>
  <si>
    <r>
      <t>TC = 12.10</t>
    </r>
    <r>
      <rPr>
        <sz val="11"/>
        <color theme="1"/>
        <rFont val="Calibri"/>
        <family val="2"/>
      </rPr>
      <t>⁵ /100mL</t>
    </r>
  </si>
  <si>
    <r>
      <t>TC = 4.10</t>
    </r>
    <r>
      <rPr>
        <sz val="11"/>
        <color theme="1"/>
        <rFont val="Times New Roman"/>
        <family val="1"/>
      </rPr>
      <t>⁷</t>
    </r>
    <r>
      <rPr>
        <sz val="11"/>
        <color theme="1"/>
        <rFont val="Calibri"/>
        <family val="2"/>
      </rPr>
      <t xml:space="preserve"> /100mL</t>
    </r>
  </si>
  <si>
    <r>
      <t>TC = 10</t>
    </r>
    <r>
      <rPr>
        <sz val="11"/>
        <color theme="1"/>
        <rFont val="Times New Roman"/>
        <family val="1"/>
      </rPr>
      <t>⁸</t>
    </r>
    <r>
      <rPr>
        <sz val="11"/>
        <color theme="1"/>
        <rFont val="Calibri"/>
        <family val="2"/>
      </rPr>
      <t xml:space="preserve"> /100mL</t>
    </r>
  </si>
  <si>
    <t>TC = 10⁸ /100mL</t>
  </si>
  <si>
    <t>2nd Sedimentation</t>
  </si>
  <si>
    <t>BOD = 7,31 mg/L</t>
  </si>
  <si>
    <t>COD = 20,95 mg/L</t>
  </si>
  <si>
    <t>TSS = 8,19 mg/L</t>
  </si>
  <si>
    <t>TC = 12.10⁵ /100mL</t>
  </si>
  <si>
    <t>UV Disinfection</t>
  </si>
  <si>
    <t>TC = 1200 /100mL</t>
  </si>
  <si>
    <t>Sludge</t>
  </si>
  <si>
    <t>Juknis DED IPAL PUPR</t>
  </si>
  <si>
    <t>Metcalf &amp; Eddy</t>
  </si>
  <si>
    <t>CPHEEO</t>
  </si>
  <si>
    <t>Adopsi</t>
  </si>
  <si>
    <t>1. Screen</t>
  </si>
  <si>
    <t>Clear spacing between bars</t>
  </si>
  <si>
    <t>Slope from vertical</t>
  </si>
  <si>
    <t>Approach velocity maximum</t>
  </si>
  <si>
    <t>Approach velocity minimum</t>
  </si>
  <si>
    <t>Allowable headloss</t>
  </si>
  <si>
    <t>Coarse screen (Manual)</t>
  </si>
  <si>
    <t>mm</t>
  </si>
  <si>
    <t>deg</t>
  </si>
  <si>
    <t>m/s</t>
  </si>
  <si>
    <t>5 - 15</t>
  </si>
  <si>
    <t>25 - 38</t>
  </si>
  <si>
    <t>25 - 50</t>
  </si>
  <si>
    <t>30 - 45</t>
  </si>
  <si>
    <t>0,3 - 0,6</t>
  </si>
  <si>
    <t>10 - 50</t>
  </si>
  <si>
    <t>Slope from horizontal</t>
  </si>
  <si>
    <t>60 - 85</t>
  </si>
  <si>
    <t>8 - 10</t>
  </si>
  <si>
    <t>Width (Bar size)</t>
  </si>
  <si>
    <t>Depth (Bar size)</t>
  </si>
  <si>
    <t>50 - 75</t>
  </si>
  <si>
    <t>0,6 - 1</t>
  </si>
  <si>
    <t>Fine screen  (Static wedge wire screens)</t>
  </si>
  <si>
    <t>0,2 - 1,2</t>
  </si>
  <si>
    <t>Headloss</t>
  </si>
  <si>
    <t>m</t>
  </si>
  <si>
    <t>1,2 - 2</t>
  </si>
  <si>
    <t>2. Sewage Lift Station</t>
  </si>
  <si>
    <t>% Removal UV Disinfeksi</t>
  </si>
  <si>
    <t>Screen</t>
  </si>
  <si>
    <t>Intake</t>
  </si>
  <si>
    <t>Pra-Sedimentasi</t>
  </si>
  <si>
    <t>(m3/s)</t>
  </si>
  <si>
    <t>Pump flow rate</t>
  </si>
  <si>
    <t>Detention time</t>
  </si>
  <si>
    <t>m/det</t>
  </si>
  <si>
    <t>&gt; 5.0</t>
  </si>
  <si>
    <t>1,5 - 3,0</t>
  </si>
  <si>
    <t>Sewage Lift Station (Wet Well)</t>
  </si>
  <si>
    <t>3. Aerated Grit Removal</t>
  </si>
  <si>
    <t>Detention time at peak flowrate</t>
  </si>
  <si>
    <t>Dimension (Depth)</t>
  </si>
  <si>
    <t>Dimension (Length)</t>
  </si>
  <si>
    <t>Dimension (Width)</t>
  </si>
  <si>
    <t>Width-depth ratio</t>
  </si>
  <si>
    <t>Length-width ratio</t>
  </si>
  <si>
    <t>Air supply per unit of length</t>
  </si>
  <si>
    <t>Grit quantities</t>
  </si>
  <si>
    <t>min</t>
  </si>
  <si>
    <t>Ratio</t>
  </si>
  <si>
    <t>m3/m.min</t>
  </si>
  <si>
    <t>7,5 - 20</t>
  </si>
  <si>
    <t>2,5 - 7</t>
  </si>
  <si>
    <t>2 - 5</t>
  </si>
  <si>
    <t>1:1 to 5:1</t>
  </si>
  <si>
    <t>3:1 to 5:1</t>
  </si>
  <si>
    <t>0,2 - 0,5</t>
  </si>
  <si>
    <t>0,004 - 0,20</t>
  </si>
  <si>
    <t>1,5 : 1</t>
  </si>
  <si>
    <t>4 : 1</t>
  </si>
  <si>
    <t>2 -5</t>
  </si>
  <si>
    <t>3:1 - 5:1</t>
  </si>
  <si>
    <t>1:1 - 5:1</t>
  </si>
  <si>
    <t>4. Equalization Tank</t>
  </si>
  <si>
    <t>mm/m diameter</t>
  </si>
  <si>
    <t>1,5 - 2</t>
  </si>
  <si>
    <t>0,01 - 0,015</t>
  </si>
  <si>
    <t>40 -100</t>
  </si>
  <si>
    <t>The minimum water depth</t>
  </si>
  <si>
    <t xml:space="preserve">1,5 - 2 </t>
  </si>
  <si>
    <t>Air pumping rate</t>
  </si>
  <si>
    <t>m3/m3.min</t>
  </si>
  <si>
    <t>Interior side slopes</t>
  </si>
  <si>
    <t>Freeboard</t>
  </si>
  <si>
    <t>I</t>
  </si>
  <si>
    <t>1.</t>
  </si>
  <si>
    <t>Simbol</t>
  </si>
  <si>
    <t>Perhitungan</t>
  </si>
  <si>
    <t>Q1</t>
  </si>
  <si>
    <t>Q2</t>
  </si>
  <si>
    <t>m3/s</t>
  </si>
  <si>
    <t>Q rerata</t>
  </si>
  <si>
    <t>Average design flow rate</t>
  </si>
  <si>
    <t>Manning coeff. For smooth concrete</t>
  </si>
  <si>
    <t>Manning's roughness coefficient</t>
  </si>
  <si>
    <t>Channel Design</t>
  </si>
  <si>
    <t>Slope of channel</t>
  </si>
  <si>
    <t>m/m</t>
  </si>
  <si>
    <t>Asumsi</t>
  </si>
  <si>
    <t>Width</t>
  </si>
  <si>
    <t>Area</t>
  </si>
  <si>
    <t>A</t>
  </si>
  <si>
    <t>m2</t>
  </si>
  <si>
    <t>Approach velocity at average flow rate</t>
  </si>
  <si>
    <t>Kriteria desain</t>
  </si>
  <si>
    <t>Q</t>
  </si>
  <si>
    <t>Depth</t>
  </si>
  <si>
    <t>D</t>
  </si>
  <si>
    <t>Hydraulic radius</t>
  </si>
  <si>
    <t>R</t>
  </si>
  <si>
    <t>Velocity</t>
  </si>
  <si>
    <t>v1</t>
  </si>
  <si>
    <t>v2</t>
  </si>
  <si>
    <t>R1</t>
  </si>
  <si>
    <t>R^0,6667</t>
  </si>
  <si>
    <t>S1</t>
  </si>
  <si>
    <t>S^0,5</t>
  </si>
  <si>
    <t>1/n x (R^0,6667) x (S^0,5)</t>
  </si>
  <si>
    <t>Area (trial)</t>
  </si>
  <si>
    <t>A1</t>
  </si>
  <si>
    <t>A1/W</t>
  </si>
  <si>
    <t>A2</t>
  </si>
  <si>
    <t>D2</t>
  </si>
  <si>
    <t>A2/W</t>
  </si>
  <si>
    <t>Fb</t>
  </si>
  <si>
    <t>D3</t>
  </si>
  <si>
    <t>D2+Fb</t>
  </si>
  <si>
    <t>Depth (trial)</t>
  </si>
  <si>
    <t>D1</t>
  </si>
  <si>
    <t>(W x D1) / (W + (2D1))</t>
  </si>
  <si>
    <t>Dimensi</t>
  </si>
  <si>
    <t>Qpeak</t>
  </si>
  <si>
    <t>A3</t>
  </si>
  <si>
    <t>Q2/v1</t>
  </si>
  <si>
    <t>A3/W</t>
  </si>
  <si>
    <t>R2</t>
  </si>
  <si>
    <t>R3</t>
  </si>
  <si>
    <t>R2^0,6667</t>
  </si>
  <si>
    <t>v3</t>
  </si>
  <si>
    <t>1/n x (R2^0,6667) x (S^0,5)</t>
  </si>
  <si>
    <t>A4</t>
  </si>
  <si>
    <t>Q2/v3</t>
  </si>
  <si>
    <t>Fb1</t>
  </si>
  <si>
    <t>D4</t>
  </si>
  <si>
    <t>A4/W</t>
  </si>
  <si>
    <t>(W x D4) / (W + (2D4))</t>
  </si>
  <si>
    <t>D5</t>
  </si>
  <si>
    <t>D6</t>
  </si>
  <si>
    <t>D5+Fb1</t>
  </si>
  <si>
    <t>Peak flow rate</t>
  </si>
  <si>
    <t>Q1/v1</t>
  </si>
  <si>
    <t>Q1/v2</t>
  </si>
  <si>
    <t>Perencanaan Saringan</t>
  </si>
  <si>
    <t>Debit air limbah domestik</t>
  </si>
  <si>
    <t>Kecepatan aliran melalui rak</t>
  </si>
  <si>
    <t>Vbar</t>
  </si>
  <si>
    <t>Lebar bukaan batang</t>
  </si>
  <si>
    <t>Q/Vbar</t>
  </si>
  <si>
    <t>Kedalaman air limbah domestik</t>
  </si>
  <si>
    <t>d</t>
  </si>
  <si>
    <t>Lebar bukaan bersih</t>
  </si>
  <si>
    <t>A/d</t>
  </si>
  <si>
    <t>Lebar batang</t>
  </si>
  <si>
    <t>Sehingga ditentukan</t>
  </si>
  <si>
    <t>Jumlah batang</t>
  </si>
  <si>
    <t>b1</t>
  </si>
  <si>
    <t>b2</t>
  </si>
  <si>
    <t>(I/b2)-1</t>
  </si>
  <si>
    <t>Lebar bukaan total saringan</t>
  </si>
  <si>
    <t>w1</t>
  </si>
  <si>
    <t>(n+1)xb</t>
  </si>
  <si>
    <t>2.</t>
  </si>
  <si>
    <t>Debit desain</t>
  </si>
  <si>
    <t>Jumlah ruang sumur</t>
  </si>
  <si>
    <t>Waktu tinggal</t>
  </si>
  <si>
    <t>Kebutuhan volume</t>
  </si>
  <si>
    <t>Kedalaman</t>
  </si>
  <si>
    <t>Kebutuhan luasan</t>
  </si>
  <si>
    <t>Lebar</t>
  </si>
  <si>
    <t>Panjang</t>
  </si>
  <si>
    <t xml:space="preserve">Kedalaman </t>
  </si>
  <si>
    <t>Sumur</t>
  </si>
  <si>
    <t>L</t>
  </si>
  <si>
    <t>H</t>
  </si>
  <si>
    <t>BN</t>
  </si>
  <si>
    <t>RT</t>
  </si>
  <si>
    <t>RV</t>
  </si>
  <si>
    <t>RA</t>
  </si>
  <si>
    <t>L1</t>
  </si>
  <si>
    <t>L2</t>
  </si>
  <si>
    <t>m3/min</t>
  </si>
  <si>
    <t>unit</t>
  </si>
  <si>
    <t>m3</t>
  </si>
  <si>
    <t>Q2 x RT</t>
  </si>
  <si>
    <t>RV/H</t>
  </si>
  <si>
    <t>RA/W</t>
  </si>
  <si>
    <t>Pompa</t>
  </si>
  <si>
    <t>3.</t>
  </si>
  <si>
    <t>Jumlah pompa</t>
  </si>
  <si>
    <t>Laju aliran discharge pompa</t>
  </si>
  <si>
    <t>Kecepatan aliran masuk pompa</t>
  </si>
  <si>
    <t>Kebutuhan diameter pompa</t>
  </si>
  <si>
    <t>Total head pompa</t>
  </si>
  <si>
    <t>Efisiensi pompa</t>
  </si>
  <si>
    <t>Axis power</t>
  </si>
  <si>
    <t>Motor allowance</t>
  </si>
  <si>
    <t>Power pompa</t>
  </si>
  <si>
    <t>UN</t>
  </si>
  <si>
    <t>DF1</t>
  </si>
  <si>
    <t>DF2</t>
  </si>
  <si>
    <t>PV</t>
  </si>
  <si>
    <t>D1-1</t>
  </si>
  <si>
    <t>D1-2</t>
  </si>
  <si>
    <t>D2-1</t>
  </si>
  <si>
    <t>D2-2</t>
  </si>
  <si>
    <t>PE</t>
  </si>
  <si>
    <t>AP1</t>
  </si>
  <si>
    <t>AP2</t>
  </si>
  <si>
    <t>P1</t>
  </si>
  <si>
    <t>m3/min/unit</t>
  </si>
  <si>
    <t>kw</t>
  </si>
  <si>
    <t>P2</t>
  </si>
  <si>
    <t>1 pompa standby</t>
  </si>
  <si>
    <t>Q2/4</t>
  </si>
  <si>
    <t>Q2/2</t>
  </si>
  <si>
    <t>146x(DF1/3,0)0,5</t>
  </si>
  <si>
    <t>146x(DF1/1,5)0,5</t>
  </si>
  <si>
    <t>146x(DF2/3,0)0,5</t>
  </si>
  <si>
    <t>146x(DF2/1,5)0,5</t>
  </si>
  <si>
    <t>0,163xDF1xH/PE</t>
  </si>
  <si>
    <t>0,163xDF2xH/PE</t>
  </si>
  <si>
    <t>AP1x(1+MA)</t>
  </si>
  <si>
    <t>AP2x(1+MA)</t>
  </si>
  <si>
    <t>Spesifikasi Pompa</t>
  </si>
  <si>
    <t>2 (1)</t>
  </si>
  <si>
    <t>4.</t>
  </si>
  <si>
    <t>Aerated Grit Removal</t>
  </si>
  <si>
    <t>Jumlah chamber</t>
  </si>
  <si>
    <t>DT</t>
  </si>
  <si>
    <t>menit</t>
  </si>
  <si>
    <t>Grit chamber volume</t>
  </si>
  <si>
    <t>V</t>
  </si>
  <si>
    <t>(1/2)*Q2*DT*60s/min</t>
  </si>
  <si>
    <t>Length</t>
  </si>
  <si>
    <t>Width to depth ratio (1,2 : 1)</t>
  </si>
  <si>
    <t>Volume/(widthxdepth)</t>
  </si>
  <si>
    <t xml:space="preserve">Average detention time </t>
  </si>
  <si>
    <t>Detention time for each grit chamber</t>
  </si>
  <si>
    <t>DT1</t>
  </si>
  <si>
    <t>Average flow</t>
  </si>
  <si>
    <t>Q3</t>
  </si>
  <si>
    <t>Qaverage</t>
  </si>
  <si>
    <t>V/Q3*(1min/60s)</t>
  </si>
  <si>
    <t>Air supply requirement</t>
  </si>
  <si>
    <t>AR</t>
  </si>
  <si>
    <t>L*0,3m3/min.m</t>
  </si>
  <si>
    <t>Total air supply required</t>
  </si>
  <si>
    <t>TAR</t>
  </si>
  <si>
    <t>ARx2</t>
  </si>
  <si>
    <t>Quantitiy of grit at peak flow</t>
  </si>
  <si>
    <t>GV</t>
  </si>
  <si>
    <t>m3/d</t>
  </si>
  <si>
    <t>Q2X86400X0,05m3/10^3m3</t>
  </si>
  <si>
    <t>Chamber</t>
  </si>
  <si>
    <t>5.</t>
  </si>
  <si>
    <t>Equalization tank</t>
  </si>
  <si>
    <t xml:space="preserve">   </t>
  </si>
  <si>
    <t>Rata-rata</t>
  </si>
  <si>
    <t>Time Period</t>
  </si>
  <si>
    <t>Average flowrate during the time period (m3/s)</t>
  </si>
  <si>
    <t>BOD concentration of water coming into the equalization basin during time period (mg/L)</t>
  </si>
  <si>
    <t>00:00 - 01:00</t>
  </si>
  <si>
    <t>01:00 - 02:00</t>
  </si>
  <si>
    <t>02:00 - 03:00</t>
  </si>
  <si>
    <t>03:00 - 04:00</t>
  </si>
  <si>
    <t>04:00 - 05:00</t>
  </si>
  <si>
    <t>05:00 - 06:00</t>
  </si>
  <si>
    <t>06:00 - 07:00</t>
  </si>
  <si>
    <t>07:00 - 08:00</t>
  </si>
  <si>
    <t>08:00 - 09:00</t>
  </si>
  <si>
    <t>09:00 - 10:00</t>
  </si>
  <si>
    <t>10:00 -11:00</t>
  </si>
  <si>
    <t>11:00 -12:00</t>
  </si>
  <si>
    <t>12:00 - 13:00</t>
  </si>
  <si>
    <t>13:00 - 14:00</t>
  </si>
  <si>
    <t>14:00 - 15:00</t>
  </si>
  <si>
    <t>15:00 - 16:00</t>
  </si>
  <si>
    <t xml:space="preserve">16:00 - 17:00 </t>
  </si>
  <si>
    <t xml:space="preserve">17:00 - 18:00 </t>
  </si>
  <si>
    <t>18:00 - 19:00</t>
  </si>
  <si>
    <t>19:00 - 20:00</t>
  </si>
  <si>
    <t>20:00 - 21:00</t>
  </si>
  <si>
    <t>21:00 - 22:00</t>
  </si>
  <si>
    <t>22:00 - 23:00</t>
  </si>
  <si>
    <t>23:00 - 00:00</t>
  </si>
  <si>
    <t>Periode Waktu</t>
  </si>
  <si>
    <t>Volume influen (m3)</t>
  </si>
  <si>
    <t>Volume efluen (m3)</t>
  </si>
  <si>
    <t>Volume kumulatif influen (m3)</t>
  </si>
  <si>
    <t>Volume kumulatif efluen (m3)</t>
  </si>
  <si>
    <t>Diferensial kumulatif (m3)</t>
  </si>
  <si>
    <t>Volume tangki</t>
  </si>
  <si>
    <t>Vt</t>
  </si>
  <si>
    <t>|Abs perbedaan nilai kumulatif terkecil (negatif) + Nilai terkecil kumulatif (positif)|</t>
  </si>
  <si>
    <t>Ve</t>
  </si>
  <si>
    <t>Safety Factor</t>
  </si>
  <si>
    <t>Sf</t>
  </si>
  <si>
    <t>%</t>
  </si>
  <si>
    <t>Minimal 10%</t>
  </si>
  <si>
    <t>Maka,</t>
  </si>
  <si>
    <t>Volume ekualisasi</t>
  </si>
  <si>
    <t>Vt + Sf</t>
  </si>
  <si>
    <t>h</t>
  </si>
  <si>
    <t>P</t>
  </si>
  <si>
    <t>V / (P x H)</t>
  </si>
  <si>
    <t>Overflow rate</t>
  </si>
  <si>
    <t>Weir loading rate</t>
  </si>
  <si>
    <t>m3/m2.d</t>
  </si>
  <si>
    <t>m3/m.d</t>
  </si>
  <si>
    <t>1,5 - 2,5</t>
  </si>
  <si>
    <t>30 - 50</t>
  </si>
  <si>
    <t>80 - 120</t>
  </si>
  <si>
    <t>125 - 500</t>
  </si>
  <si>
    <t>Primary Sedimentation (Rectangular)</t>
  </si>
  <si>
    <t>Flight speed</t>
  </si>
  <si>
    <t>m/min</t>
  </si>
  <si>
    <t>3 - 4,9</t>
  </si>
  <si>
    <t>15 - 90</t>
  </si>
  <si>
    <t>3 - 24</t>
  </si>
  <si>
    <t>0,6 - 1,2</t>
  </si>
  <si>
    <t>td</t>
  </si>
  <si>
    <t>70 - 130</t>
  </si>
  <si>
    <t>124 - 496</t>
  </si>
  <si>
    <t>2,5 - 5</t>
  </si>
  <si>
    <t>10 - 100</t>
  </si>
  <si>
    <t>6 - 24</t>
  </si>
  <si>
    <t>Penyisihan SS</t>
  </si>
  <si>
    <t>Penyisihan BOD</t>
  </si>
  <si>
    <t>50 - 70</t>
  </si>
  <si>
    <t>25 - 40</t>
  </si>
  <si>
    <t>Kemiringan dasar</t>
  </si>
  <si>
    <t>1 - 2</t>
  </si>
  <si>
    <t>Width*</t>
  </si>
  <si>
    <t>*If widths of rectangular mechanically cleaned tanks are greater than 6 m (20 ft), multiple bays with with individual cleaning equipment may be used, thus permitting tank widths up 24 m (80 ft) or more</t>
  </si>
  <si>
    <t xml:space="preserve">Average flowrate </t>
  </si>
  <si>
    <t>Qav</t>
  </si>
  <si>
    <t>Qav x 86400</t>
  </si>
  <si>
    <t>Peak daily flowrate</t>
  </si>
  <si>
    <t>m3/day</t>
  </si>
  <si>
    <t>Qpeak x 86400</t>
  </si>
  <si>
    <t>-Average flowrate</t>
  </si>
  <si>
    <t>-Peak hourly flowrate</t>
  </si>
  <si>
    <t>OR</t>
  </si>
  <si>
    <t>Qav / OR</t>
  </si>
  <si>
    <t>A / W</t>
  </si>
  <si>
    <t>Sidewater depth</t>
  </si>
  <si>
    <t>Tank volume</t>
  </si>
  <si>
    <t>Overflow rate'</t>
  </si>
  <si>
    <t>OR'</t>
  </si>
  <si>
    <t>hour</t>
  </si>
  <si>
    <t>( V x 24 ) / Qav</t>
  </si>
  <si>
    <t>Overflow rate at peak flow</t>
  </si>
  <si>
    <t>ORpeak</t>
  </si>
  <si>
    <t>Detention time at peak flow</t>
  </si>
  <si>
    <t>td'</t>
  </si>
  <si>
    <t xml:space="preserve">Cohession constant </t>
  </si>
  <si>
    <t>k</t>
  </si>
  <si>
    <t>Ketentuan</t>
  </si>
  <si>
    <t xml:space="preserve">Specific gravity </t>
  </si>
  <si>
    <t>s</t>
  </si>
  <si>
    <t>Acceleration due to gravity</t>
  </si>
  <si>
    <t>g</t>
  </si>
  <si>
    <t>m/s2</t>
  </si>
  <si>
    <t>Diameter of particles</t>
  </si>
  <si>
    <t>mikrometer</t>
  </si>
  <si>
    <t>Ditentukan</t>
  </si>
  <si>
    <t>Darcy Weisbach friction factor</t>
  </si>
  <si>
    <t>f</t>
  </si>
  <si>
    <t>Horizontal velocity that will just produce scour</t>
  </si>
  <si>
    <t>vh</t>
  </si>
  <si>
    <t>(V x 24) / Qpeak</t>
  </si>
  <si>
    <t>((8 x k x (s-1)gd)/(f))^1/2</t>
  </si>
  <si>
    <t>The peak flow horizontal velocity through the settling tank</t>
  </si>
  <si>
    <t>vhp</t>
  </si>
  <si>
    <t>(Qpeak / (2 x (W x h))) x (1 / (24 x 3600))</t>
  </si>
  <si>
    <t>Item</t>
  </si>
  <si>
    <t>BOD</t>
  </si>
  <si>
    <t>TSS</t>
  </si>
  <si>
    <t>b</t>
  </si>
  <si>
    <t>a</t>
  </si>
  <si>
    <t>Empirical constant</t>
  </si>
  <si>
    <t>BOD removal average flow</t>
  </si>
  <si>
    <t>BODav</t>
  </si>
  <si>
    <t>td/a+(b x td)</t>
  </si>
  <si>
    <t>a BOD removal</t>
  </si>
  <si>
    <t>b BOD removal</t>
  </si>
  <si>
    <t>a TSS removal</t>
  </si>
  <si>
    <t>BOD removal peak flow</t>
  </si>
  <si>
    <t>BODpeak</t>
  </si>
  <si>
    <t>td'/a+(b x td')</t>
  </si>
  <si>
    <t>b TSS removal</t>
  </si>
  <si>
    <t>a'</t>
  </si>
  <si>
    <t>b'</t>
  </si>
  <si>
    <t>TSS removal average flow</t>
  </si>
  <si>
    <t>TSS removal peak flow</t>
  </si>
  <si>
    <t>TSSav</t>
  </si>
  <si>
    <t>TSSpeak</t>
  </si>
  <si>
    <t>td/a'+(b' x td)</t>
  </si>
  <si>
    <t>td'/a'+(b' x td')</t>
  </si>
  <si>
    <t>Debit lumpur</t>
  </si>
  <si>
    <t>Qsl</t>
  </si>
  <si>
    <t>Konsentrasi solid</t>
  </si>
  <si>
    <t>Cs</t>
  </si>
  <si>
    <t>Specific gravity sludge</t>
  </si>
  <si>
    <t>Sgs</t>
  </si>
  <si>
    <t>(TSSav x 1000) / (Cs x Sgs x 10^6)</t>
  </si>
  <si>
    <t>Kecepatan dalam pipa</t>
  </si>
  <si>
    <t>Vin</t>
  </si>
  <si>
    <t>Flowrate</t>
  </si>
  <si>
    <t>Luas permukaan pipa inlet</t>
  </si>
  <si>
    <t>Ap</t>
  </si>
  <si>
    <t>Qav/Vin</t>
  </si>
  <si>
    <t>- Diambil dari zona prioritas (Kecamatan : Cianjur, Karangtengah)</t>
  </si>
  <si>
    <t>2 x "W"</t>
  </si>
  <si>
    <t>Surface overflow rate</t>
  </si>
  <si>
    <t>Vo</t>
  </si>
  <si>
    <t>Flow in each tank</t>
  </si>
  <si>
    <t>Qe</t>
  </si>
  <si>
    <t>Qe/L x W</t>
  </si>
  <si>
    <t>h x 2 (L x W)</t>
  </si>
  <si>
    <t>Qav / (2 x (W x L))</t>
  </si>
  <si>
    <t>Qpeak / (2 x (W x L))</t>
  </si>
  <si>
    <t>1:5:1 to 2:1</t>
  </si>
  <si>
    <t xml:space="preserve">0,3 - 0,4 </t>
  </si>
  <si>
    <t>Panjang weir</t>
  </si>
  <si>
    <t>Pweir</t>
  </si>
  <si>
    <t>Wl</t>
  </si>
  <si>
    <t>Depth'</t>
  </si>
  <si>
    <t>H'</t>
  </si>
  <si>
    <t>H+Fb</t>
  </si>
  <si>
    <t>Rotating Biological Reactor</t>
  </si>
  <si>
    <t>Peak flow in each tank</t>
  </si>
  <si>
    <t>Qpe</t>
  </si>
  <si>
    <t>(Qpeak x 86400)/2</t>
  </si>
  <si>
    <t>(Qav x 86400)/2</t>
  </si>
  <si>
    <t>Qpe/Wl</t>
  </si>
  <si>
    <t>Total number of notches</t>
  </si>
  <si>
    <t>Tn</t>
  </si>
  <si>
    <t>5*Pweir</t>
  </si>
  <si>
    <t>Beban hidrolik penyisihan BOD</t>
  </si>
  <si>
    <t>Beban hidrolik penyisihan BOD dan nitrifikasi</t>
  </si>
  <si>
    <t>Beban hidrolik pemisahan nitrifikasi</t>
  </si>
  <si>
    <t>Beban organik penyisihan BOD</t>
  </si>
  <si>
    <t>Beban organik penyisihan BOD dan nitrifikasi</t>
  </si>
  <si>
    <t>Beban organik pemisahan nitrifikasi</t>
  </si>
  <si>
    <t>Maks. Tahap pertama beban organik penyisihan BOD</t>
  </si>
  <si>
    <t>Maks. Tahap pertama beban organik penyisihan BOD dan nitrifikasi</t>
  </si>
  <si>
    <t>Beban NH3 penyisihan BOD</t>
  </si>
  <si>
    <t>Beban NH3 penyisihan BOD dan nitrifikasi</t>
  </si>
  <si>
    <t>Beban NH3 pemisahan nitrifikasi</t>
  </si>
  <si>
    <t>Waktu detensi penyisihan BOD</t>
  </si>
  <si>
    <t xml:space="preserve">Waktu detensi penyisihan BOD dan nitrifikasi </t>
  </si>
  <si>
    <t>Waktu detensi pemisahan nitrifikasi</t>
  </si>
  <si>
    <t>Efluen BOD penyisihan BOD</t>
  </si>
  <si>
    <t>Efluen BOD penyisihan BOD dan nitrifikasi</t>
  </si>
  <si>
    <t>Efluen BOD pemisahan nitrifikasi</t>
  </si>
  <si>
    <t>Efluen NH4-N penyisihan BOD dan nitrifikasi</t>
  </si>
  <si>
    <t>Efluen NH4-N penyisihan BOD</t>
  </si>
  <si>
    <t>Efluen NH4-N pemisahan nitrifikasi</t>
  </si>
  <si>
    <t>m3/m2.hari</t>
  </si>
  <si>
    <t>gr BOD/m2.hari</t>
  </si>
  <si>
    <t>gr N/m2.hari</t>
  </si>
  <si>
    <t>Maks. Tahap pertama beban organik pemisahan nitrifikasi</t>
  </si>
  <si>
    <t>Jam</t>
  </si>
  <si>
    <t>mg/L</t>
  </si>
  <si>
    <t>0,08 - 0,16</t>
  </si>
  <si>
    <t>0,03 - 0,08</t>
  </si>
  <si>
    <t>0,04 - 0,10</t>
  </si>
  <si>
    <t>5 - 16</t>
  </si>
  <si>
    <t>24 - 30</t>
  </si>
  <si>
    <t>-</t>
  </si>
  <si>
    <t>0,75 - 1,5</t>
  </si>
  <si>
    <t>1,2 - 3</t>
  </si>
  <si>
    <t>15 - 39</t>
  </si>
  <si>
    <t>7 - 15</t>
  </si>
  <si>
    <t>8 - 20</t>
  </si>
  <si>
    <t>1,5 - 4</t>
  </si>
  <si>
    <t>0,7 - 1,5</t>
  </si>
  <si>
    <t>&lt;2</t>
  </si>
  <si>
    <t>1-2</t>
  </si>
  <si>
    <t>Rotating Biological Contactor</t>
  </si>
  <si>
    <t>Influent soluble BOD5</t>
  </si>
  <si>
    <t>S0</t>
  </si>
  <si>
    <t>BOD5/L</t>
  </si>
  <si>
    <t>BOD5</t>
  </si>
  <si>
    <t>Flow</t>
  </si>
  <si>
    <t>Qin</t>
  </si>
  <si>
    <t>1st stage BOD5 organic loading</t>
  </si>
  <si>
    <t>B1</t>
  </si>
  <si>
    <t>mg/m2.d</t>
  </si>
  <si>
    <t>BOD5 loading</t>
  </si>
  <si>
    <t>BODloading</t>
  </si>
  <si>
    <t>g/day</t>
  </si>
  <si>
    <t>BOD5 x Qin ((10^3 L/m3) x( g/10^3 mg))</t>
  </si>
  <si>
    <t>First Disk Area</t>
  </si>
  <si>
    <t>DA1</t>
  </si>
  <si>
    <t>BOD5 loading/B1</t>
  </si>
  <si>
    <t>Area of each shaft</t>
  </si>
  <si>
    <t>SA</t>
  </si>
  <si>
    <t>m2/shaft</t>
  </si>
  <si>
    <t>Number of shafts</t>
  </si>
  <si>
    <t>N</t>
  </si>
  <si>
    <t>DA1/SA</t>
  </si>
  <si>
    <t>BOD concentration on "n" stage</t>
  </si>
  <si>
    <t>Sn</t>
  </si>
  <si>
    <t>((-1)+(SQRT(1+0,039 x (As/Qin) x Sn-1)))/(0,0195 x (As/Qin))</t>
  </si>
  <si>
    <t>Shaft area total</t>
  </si>
  <si>
    <t>As</t>
  </si>
  <si>
    <t>N x SA</t>
  </si>
  <si>
    <t>BOD concentration after the first stage</t>
  </si>
  <si>
    <t>((-1)+(SQRT(1+0,039 x (As/Qin) x S0)))/(0,0195 x (As/Qin))</t>
  </si>
  <si>
    <t>Akan tetapi</t>
  </si>
  <si>
    <t>Jadi, memerlukan satu stage lagi</t>
  </si>
  <si>
    <t>Number of shafts for 2nd stage</t>
  </si>
  <si>
    <t>N2</t>
  </si>
  <si>
    <t>Shaft area total for 2nd stage</t>
  </si>
  <si>
    <t>As2</t>
  </si>
  <si>
    <t>N2 x SA</t>
  </si>
  <si>
    <t>BOD concentration after the 2nd stage</t>
  </si>
  <si>
    <t>S2</t>
  </si>
  <si>
    <t>((-1)+(SQRT(1+0,039 x (As2/Qin) x S1)))/(0,0195 x (As2/Qin))</t>
  </si>
  <si>
    <t>Jadi memerlukan satu stage lagi</t>
  </si>
  <si>
    <t>Number of shafts for 3rd stage</t>
  </si>
  <si>
    <t>N3</t>
  </si>
  <si>
    <t>Shaft area total for 3rd stage</t>
  </si>
  <si>
    <t>As3</t>
  </si>
  <si>
    <t>N3 x SA</t>
  </si>
  <si>
    <t>BOD concentration after the 3rd stage</t>
  </si>
  <si>
    <t>S3</t>
  </si>
  <si>
    <t>((-1)+(SQRT(1+0,039 x (As3/Qin) x S2)))/(0,0195 x (As3/Qin))</t>
  </si>
  <si>
    <t>OK!</t>
  </si>
  <si>
    <t>Hydraulic loading</t>
  </si>
  <si>
    <t>HLR</t>
  </si>
  <si>
    <t>Q / total number of "N" x SA</t>
  </si>
  <si>
    <t>Nitrification (only possible when soluble BOD5 loading is less than 10 BOD/m2.d)</t>
  </si>
  <si>
    <t>BOD5 loading for 1st stage</t>
  </si>
  <si>
    <t>BOD5a</t>
  </si>
  <si>
    <t>gBOD5/m2.d</t>
  </si>
  <si>
    <t xml:space="preserve">Q x S0 x 1/(N x SA) </t>
  </si>
  <si>
    <t>Maka</t>
  </si>
  <si>
    <t>no need nitrification</t>
  </si>
  <si>
    <t>BOD5 loading for 2nd stage</t>
  </si>
  <si>
    <t>BOD5b</t>
  </si>
  <si>
    <t xml:space="preserve">Q x S1 x 1/(N2 x SA) </t>
  </si>
  <si>
    <t>nitrification occurs</t>
  </si>
  <si>
    <t>BOD5 loading for 3rd stage</t>
  </si>
  <si>
    <t>BOD5c</t>
  </si>
  <si>
    <t>Gbod5/m2.d</t>
  </si>
  <si>
    <t xml:space="preserve">Q x S3 x 1/(N3 x SA) </t>
  </si>
  <si>
    <t>Rate of nitrification is related to the soluble BOD5 loading</t>
  </si>
  <si>
    <t>rn</t>
  </si>
  <si>
    <t>gN/m2.d</t>
  </si>
  <si>
    <t>1,5 x (1-0,1 x (BOD5))</t>
  </si>
  <si>
    <t xml:space="preserve">Nitrification rate for 2nd stage </t>
  </si>
  <si>
    <t>r2</t>
  </si>
  <si>
    <t>1,5 x (1-0,1 x (BOD5b))</t>
  </si>
  <si>
    <t>Nitrification for 3rd stage</t>
  </si>
  <si>
    <t>r3</t>
  </si>
  <si>
    <t>1,5 x (1-0,1 x (BOD5c))</t>
  </si>
  <si>
    <t>If the ammonia concentration in the influent to 2nd stage is 30 mgN/L, find the effluent ammonia concentration</t>
  </si>
  <si>
    <t>Nitrogen removal for 2nd stage</t>
  </si>
  <si>
    <t>Nr2</t>
  </si>
  <si>
    <t>r2 x (N2 x SA)</t>
  </si>
  <si>
    <t>Concentration for 2nd stage</t>
  </si>
  <si>
    <t>C2</t>
  </si>
  <si>
    <t>Nr2/Q</t>
  </si>
  <si>
    <t>Nitrogen removal for 3rd stage</t>
  </si>
  <si>
    <t>Nr3</t>
  </si>
  <si>
    <t>r3 x (N3 x SA)</t>
  </si>
  <si>
    <t>Concentration for 3rd stage</t>
  </si>
  <si>
    <t>C3</t>
  </si>
  <si>
    <t>Nr3/Q</t>
  </si>
  <si>
    <t>Effluent ammonia concentration</t>
  </si>
  <si>
    <t>Ne</t>
  </si>
  <si>
    <t>mgN/L</t>
  </si>
  <si>
    <t>27,5-C3</t>
  </si>
  <si>
    <t>32,12 mg/L &gt; 14 mg/L</t>
  </si>
  <si>
    <t>13,62 mg/L &lt; 14 mg/L</t>
  </si>
  <si>
    <t>Terdapat 2 titik tangen, maka volume bak ekualisasi yang dipilih adalah yang memiliki nilai terbesar</t>
  </si>
  <si>
    <t>18,25 mg/L &gt; 14 mg/L</t>
  </si>
  <si>
    <t>Secondary Sedimentation (Rectangular)</t>
  </si>
  <si>
    <t>UV Disinfection (Low pressure, High Intensity)</t>
  </si>
  <si>
    <t>Power consumption</t>
  </si>
  <si>
    <t>Lamp current</t>
  </si>
  <si>
    <t>Lamp voltage</t>
  </si>
  <si>
    <t>Germicidal output/input</t>
  </si>
  <si>
    <t>Lamp output at 254 nm</t>
  </si>
  <si>
    <t>Lamp operating temperature</t>
  </si>
  <si>
    <t>Pressure</t>
  </si>
  <si>
    <t>Lamp length</t>
  </si>
  <si>
    <t>Lamp diameter</t>
  </si>
  <si>
    <t>Sleeve life</t>
  </si>
  <si>
    <t>Ballast life</t>
  </si>
  <si>
    <t>Estimated lamp life</t>
  </si>
  <si>
    <t>mA</t>
  </si>
  <si>
    <t>˚C</t>
  </si>
  <si>
    <t>mm Hg</t>
  </si>
  <si>
    <t>y</t>
  </si>
  <si>
    <t>200 - 500*</t>
  </si>
  <si>
    <t>Variable</t>
  </si>
  <si>
    <t>35 - 50</t>
  </si>
  <si>
    <t>60 - 400</t>
  </si>
  <si>
    <t>100 - 150</t>
  </si>
  <si>
    <t>0,01 - 0,8</t>
  </si>
  <si>
    <t>1,8 - 2,5</t>
  </si>
  <si>
    <t>4 - 6</t>
  </si>
  <si>
    <t>10 - 15</t>
  </si>
  <si>
    <t>9000 - 15000</t>
  </si>
  <si>
    <t>Average design flowrate</t>
  </si>
  <si>
    <t>L/min</t>
  </si>
  <si>
    <t>Q x 86400</t>
  </si>
  <si>
    <t>Q1 / 1,44</t>
  </si>
  <si>
    <t>Maximum design flowrate</t>
  </si>
  <si>
    <t>Qmax</t>
  </si>
  <si>
    <t>Qmax1</t>
  </si>
  <si>
    <t>Qmax2</t>
  </si>
  <si>
    <t>Qmax x 86400</t>
  </si>
  <si>
    <t>Qmax1 / 1,44</t>
  </si>
  <si>
    <t>Maximum total suspended solids</t>
  </si>
  <si>
    <t>TSSmax</t>
  </si>
  <si>
    <t>Minimum transmittance</t>
  </si>
  <si>
    <t>mt</t>
  </si>
  <si>
    <t>Minimum design dose</t>
  </si>
  <si>
    <t>do</t>
  </si>
  <si>
    <t>mJ/cm2</t>
  </si>
  <si>
    <t>Kriteria Desain</t>
  </si>
  <si>
    <t>Fecal coliform discharge limit based on geometric mean</t>
  </si>
  <si>
    <t>FC/100 Ml</t>
  </si>
  <si>
    <t>Fc</t>
  </si>
  <si>
    <t>System characteristic</t>
  </si>
  <si>
    <t>Horizontal lamp configuration</t>
  </si>
  <si>
    <t>System headloss coefficient</t>
  </si>
  <si>
    <t>hc</t>
  </si>
  <si>
    <t>Lamp/sleeve diameter</t>
  </si>
  <si>
    <t>Cross sectional area of quartz sleeve</t>
  </si>
  <si>
    <t>cs</t>
  </si>
  <si>
    <t>Lamp spacing (center to center)</t>
  </si>
  <si>
    <t>ls</t>
  </si>
  <si>
    <t>One standby UV Bank will be required per channel</t>
  </si>
  <si>
    <t>Flowrate per lamp, for a dose 30 mJ/cm2</t>
  </si>
  <si>
    <t>fl</t>
  </si>
  <si>
    <t>L/min.lamp</t>
  </si>
  <si>
    <t>(do/(10^-2,428) x (mt^3,126) x (0,64))^(1/0,650)</t>
  </si>
  <si>
    <t>Specify the flowrate range per UV channel assuming three channel will be operation during peak flow conditions</t>
  </si>
  <si>
    <t>a. Up to 24.000 L/min, use one channel</t>
  </si>
  <si>
    <t>b. From 24.000 to 48.000 L/min, split the flow between two channels such that each channel receives up to 24.000 L.min</t>
  </si>
  <si>
    <t>c. From 48.000 to 72.000 L/min, split the flow between three channels such that each channel reveives up to 24.000 L/min</t>
  </si>
  <si>
    <t>Number of lamps required per bank</t>
  </si>
  <si>
    <t>lb</t>
  </si>
  <si>
    <t>lamps/bank</t>
  </si>
  <si>
    <t>(24.000 L/min.bank/fl)</t>
  </si>
  <si>
    <t xml:space="preserve">Configure the UV disinfection system </t>
  </si>
  <si>
    <t>Typically 2,4,8, or 16 lamps per module are available. Using an 8 lamp module, 12 modules are required per bank for a total of 96 lamps per bank.</t>
  </si>
  <si>
    <t>Determine the total number of lamps per channel including stanby</t>
  </si>
  <si>
    <t>lbtot</t>
  </si>
  <si>
    <t>lamps/channel</t>
  </si>
  <si>
    <t>2 x 96</t>
  </si>
  <si>
    <t>lb2</t>
  </si>
  <si>
    <t>Determine total number of lamps</t>
  </si>
  <si>
    <t>3 x lb2</t>
  </si>
  <si>
    <t>Check whether the headloss for the selected configuration is acceptable</t>
  </si>
  <si>
    <t>Cross sectional area of channel</t>
  </si>
  <si>
    <t>csa</t>
  </si>
  <si>
    <t>(12 x (ls/1000)) x (8 x (ls/1000))</t>
  </si>
  <si>
    <t>Area of the quarz sleeves</t>
  </si>
  <si>
    <t>Achannel</t>
  </si>
  <si>
    <t>csa - [(12 x 8) lamps/bank] x cs</t>
  </si>
  <si>
    <t>Maximum velocity in the channel</t>
  </si>
  <si>
    <t>v</t>
  </si>
  <si>
    <t>(24000 x 0,001 x (1/60))/Achannel</t>
  </si>
  <si>
    <t>Headloss per UV channel</t>
  </si>
  <si>
    <t>hchannel</t>
  </si>
  <si>
    <t>((hc x (v^2) x 1000)/(2 x 9,81)) x 2 banks</t>
  </si>
  <si>
    <t>Sludge Volume</t>
  </si>
  <si>
    <t xml:space="preserve">Debit </t>
  </si>
  <si>
    <t>BOD Influent</t>
  </si>
  <si>
    <t>TSS Influent</t>
  </si>
  <si>
    <t>BODin</t>
  </si>
  <si>
    <t>TSSin</t>
  </si>
  <si>
    <t>Diketahui</t>
  </si>
  <si>
    <t>BOD from final clarifier</t>
  </si>
  <si>
    <t>BODf</t>
  </si>
  <si>
    <t>kg/m3</t>
  </si>
  <si>
    <t>TSSin / 1000</t>
  </si>
  <si>
    <t>Removal efficiency SS Primary</t>
  </si>
  <si>
    <t>RSS</t>
  </si>
  <si>
    <t>Mass of Primary Sludge</t>
  </si>
  <si>
    <t>Mp</t>
  </si>
  <si>
    <t>kg/d</t>
  </si>
  <si>
    <t>Q x TSSin x RSS</t>
  </si>
  <si>
    <t>Volume of Primary Sludge</t>
  </si>
  <si>
    <t>Solids content</t>
  </si>
  <si>
    <t>SC</t>
  </si>
  <si>
    <t>100 - Water content = 100 - 95%</t>
  </si>
  <si>
    <t>Vp</t>
  </si>
  <si>
    <t>Specific gravity</t>
  </si>
  <si>
    <t>Sg</t>
  </si>
  <si>
    <t>Massa jenis air</t>
  </si>
  <si>
    <t>pw</t>
  </si>
  <si>
    <t>Mp / (Sg x pw x SC)</t>
  </si>
  <si>
    <t>Sludge volume (Primary)</t>
  </si>
  <si>
    <t>Primary clarifier BOD removal</t>
  </si>
  <si>
    <t>pcb</t>
  </si>
  <si>
    <t>BOD after removal</t>
  </si>
  <si>
    <t>Volume of secondary sludge</t>
  </si>
  <si>
    <t>kg/day</t>
  </si>
  <si>
    <t>Q x (So - S) x 0,38</t>
  </si>
  <si>
    <t>So</t>
  </si>
  <si>
    <t>So / 1000</t>
  </si>
  <si>
    <t>S / 1000</t>
  </si>
  <si>
    <t>Mass of secondary sludge</t>
  </si>
  <si>
    <t>Sg1</t>
  </si>
  <si>
    <t>Ms</t>
  </si>
  <si>
    <t>Vs</t>
  </si>
  <si>
    <t>Ms / (Sg1 x pw x S)</t>
  </si>
  <si>
    <t>Total mass of primary and secondary sludge</t>
  </si>
  <si>
    <t>Mt</t>
  </si>
  <si>
    <t>Mp + Ms</t>
  </si>
  <si>
    <t>Total volume of primary and secondary sludge</t>
  </si>
  <si>
    <t>Vp + Vs</t>
  </si>
  <si>
    <t>Thickener</t>
  </si>
  <si>
    <t>Solid loading</t>
  </si>
  <si>
    <t>Radius</t>
  </si>
  <si>
    <t>Kedalaman bak</t>
  </si>
  <si>
    <t>Dry solid influent</t>
  </si>
  <si>
    <t>Dry solid effluent</t>
  </si>
  <si>
    <t>Solid capture</t>
  </si>
  <si>
    <t>m3/m2/hari</t>
  </si>
  <si>
    <t>kg/m2.hari</t>
  </si>
  <si>
    <t>12 - 32</t>
  </si>
  <si>
    <t>Qasim</t>
  </si>
  <si>
    <t>15 - 150</t>
  </si>
  <si>
    <t>3 - 60</t>
  </si>
  <si>
    <t>3,5 - 5</t>
  </si>
  <si>
    <t>0,5 - 2</t>
  </si>
  <si>
    <t>2 - 1</t>
  </si>
  <si>
    <t>25 - 80</t>
  </si>
  <si>
    <t>85 - 92</t>
  </si>
  <si>
    <t>300 - 800</t>
  </si>
  <si>
    <t>Gravity Thickener</t>
  </si>
  <si>
    <t>Diameter</t>
  </si>
  <si>
    <t>Primary sludge</t>
  </si>
  <si>
    <t>Sludge blanket</t>
  </si>
  <si>
    <t>sb</t>
  </si>
  <si>
    <t>Surface area</t>
  </si>
  <si>
    <t>(phi / 4 ) x (d^2)</t>
  </si>
  <si>
    <t>Additional treated wastewater applied to the thickener to increase overlow rate</t>
  </si>
  <si>
    <t>atw</t>
  </si>
  <si>
    <t>Hydraulic overflow rate</t>
  </si>
  <si>
    <t>Vp + atw</t>
  </si>
  <si>
    <t>Qthickened</t>
  </si>
  <si>
    <t>Qt</t>
  </si>
  <si>
    <t>Qeffluent</t>
  </si>
  <si>
    <t>Qef</t>
  </si>
  <si>
    <t>Qin - Qt</t>
  </si>
  <si>
    <t>Or</t>
  </si>
  <si>
    <t>Qef / SA</t>
  </si>
  <si>
    <t>Solids loading rate</t>
  </si>
  <si>
    <t>Mass of primary solids</t>
  </si>
  <si>
    <t>Solids loading</t>
  </si>
  <si>
    <t>Sl</t>
  </si>
  <si>
    <t>kg/m2.d</t>
  </si>
  <si>
    <t>Mp / SA</t>
  </si>
  <si>
    <t>Sludge volume ratio</t>
  </si>
  <si>
    <t>Volume of sludge blanket thickener</t>
  </si>
  <si>
    <t>Vsb</t>
  </si>
  <si>
    <t>sb x SA</t>
  </si>
  <si>
    <t>SS pada supermatan</t>
  </si>
  <si>
    <t>svr</t>
  </si>
  <si>
    <t>day</t>
  </si>
  <si>
    <t>Vsb / Qt</t>
  </si>
  <si>
    <t>Solids capture</t>
  </si>
  <si>
    <t>Mass of solids coming</t>
  </si>
  <si>
    <t>Mass of solids in thickened sludge</t>
  </si>
  <si>
    <t>Mst</t>
  </si>
  <si>
    <t>Qt x 0,07 x 1000</t>
  </si>
  <si>
    <t>Sc</t>
  </si>
  <si>
    <t>Mst / Mp x 100%</t>
  </si>
  <si>
    <t>Lebar belt</t>
  </si>
  <si>
    <t>Beban lumpur</t>
  </si>
  <si>
    <t>Beban hidrolis</t>
  </si>
  <si>
    <t>kg/m.Jam</t>
  </si>
  <si>
    <t>L/m.detik</t>
  </si>
  <si>
    <t>0,5 - 3,5</t>
  </si>
  <si>
    <t>90 - 680</t>
  </si>
  <si>
    <t>1,6 - 6,3</t>
  </si>
  <si>
    <t>Belt Filter Press</t>
  </si>
  <si>
    <t>Thickened biosolids</t>
  </si>
  <si>
    <t>Percent of solids</t>
  </si>
  <si>
    <t>Operation</t>
  </si>
  <si>
    <t>Loading rate</t>
  </si>
  <si>
    <t>Tb</t>
  </si>
  <si>
    <t>L/d</t>
  </si>
  <si>
    <t>Qef x 1000</t>
  </si>
  <si>
    <t>ps</t>
  </si>
  <si>
    <t>op</t>
  </si>
  <si>
    <t>h/d</t>
  </si>
  <si>
    <t>d/wk</t>
  </si>
  <si>
    <t>lr</t>
  </si>
  <si>
    <t>kg/m.h</t>
  </si>
  <si>
    <t>Kriteria</t>
  </si>
  <si>
    <t>Average weekly sludge production rate</t>
  </si>
  <si>
    <t>Wet biosolids</t>
  </si>
  <si>
    <t>wbs</t>
  </si>
  <si>
    <t>kg/wk</t>
  </si>
  <si>
    <t>Tb x 7 d/wk x 10^3 x (1/10^3) x 1,02</t>
  </si>
  <si>
    <t>Dry biosolids</t>
  </si>
  <si>
    <t>dbs</t>
  </si>
  <si>
    <t>wbs x ps</t>
  </si>
  <si>
    <t>Daily and hourly dry solids processing requirements</t>
  </si>
  <si>
    <t>Daily rate</t>
  </si>
  <si>
    <t>dr</t>
  </si>
  <si>
    <t>dbs x (1/5)</t>
  </si>
  <si>
    <t>Hourly rate</t>
  </si>
  <si>
    <t>hr</t>
  </si>
  <si>
    <t>kg/h</t>
  </si>
  <si>
    <t>dr / 8</t>
  </si>
  <si>
    <t>Belt-filter press size 3</t>
  </si>
  <si>
    <t>w</t>
  </si>
  <si>
    <t>Jumlah belt filter</t>
  </si>
  <si>
    <t>Belt width</t>
  </si>
  <si>
    <t>hr / lr / n</t>
  </si>
  <si>
    <t>Use 3 of 3m belt filter press and provide one identical size for standby</t>
  </si>
  <si>
    <t>Solids and flow balance equations</t>
  </si>
  <si>
    <t>Daily solids balance equation</t>
  </si>
  <si>
    <t>dsb</t>
  </si>
  <si>
    <t>dr = solids in sludge cake (S x 0,22) + solids in filtrate (F x 0,0009)</t>
  </si>
  <si>
    <t>41899 = ( S x 0,22) + ( F x 0,0009)</t>
  </si>
  <si>
    <t>S = sludge cake flowrate (wet), kg/d</t>
  </si>
  <si>
    <t>F = filtrate flowrate (wet), kg/d</t>
  </si>
  <si>
    <t>Mass flowrate equation</t>
  </si>
  <si>
    <t>mfe</t>
  </si>
  <si>
    <t>Sludge flowrate + wastewater flowrate = filtrate flowrate + cake flowrate</t>
  </si>
  <si>
    <t>Daily sludge flowrate</t>
  </si>
  <si>
    <t>dsf</t>
  </si>
  <si>
    <t>wbs / op</t>
  </si>
  <si>
    <t xml:space="preserve">Wastewater flowrate </t>
  </si>
  <si>
    <t>wf</t>
  </si>
  <si>
    <t>500 x w x 60 x 8 x 1 x 1</t>
  </si>
  <si>
    <t>F + S</t>
  </si>
  <si>
    <t>fs</t>
  </si>
  <si>
    <t>dsf + wf</t>
  </si>
  <si>
    <t>fs - F</t>
  </si>
  <si>
    <t>F</t>
  </si>
  <si>
    <t>dr = 0,22 (fs - F)+0,0009(F)</t>
  </si>
  <si>
    <t>41899 = 0,22(2094954-F)+0,0009 (F)</t>
  </si>
  <si>
    <t>460889,88 kg/d - 0,2209 (F)</t>
  </si>
  <si>
    <t>1896744,59 x 1 x 1,01</t>
  </si>
  <si>
    <t>((dr-F) x (0,0009))/dr x 100</t>
  </si>
  <si>
    <t>Operating requirements for sustained peak biosolid load</t>
  </si>
  <si>
    <t>Peak 3-d load</t>
  </si>
  <si>
    <t>p3</t>
  </si>
  <si>
    <t>Qef x 2</t>
  </si>
  <si>
    <t xml:space="preserve">Operating time requirements </t>
  </si>
  <si>
    <t>Dry solids per day</t>
  </si>
  <si>
    <t>dsp</t>
  </si>
  <si>
    <t>p3 x 1 x 1,02 x 0,03</t>
  </si>
  <si>
    <t>Operating time</t>
  </si>
  <si>
    <t>ot</t>
  </si>
  <si>
    <t>dsp/(lr x 3 x 3)</t>
  </si>
  <si>
    <t>m3/10³m3</t>
  </si>
  <si>
    <t>BAF</t>
  </si>
  <si>
    <t>Dewatering</t>
  </si>
  <si>
    <t xml:space="preserve">Unit </t>
  </si>
  <si>
    <t>Jumlah Unit</t>
  </si>
  <si>
    <t>Panjang (m)</t>
  </si>
  <si>
    <t xml:space="preserve">Lebar (m) </t>
  </si>
  <si>
    <t>Tinggi (m)</t>
  </si>
  <si>
    <t xml:space="preserve">Diameter (m) </t>
  </si>
  <si>
    <t>Volume (m3)</t>
  </si>
  <si>
    <t>Perencanaan</t>
  </si>
  <si>
    <t>Volume beton (m3)</t>
  </si>
  <si>
    <t>Luas Area (m2)</t>
  </si>
  <si>
    <t>Pekerjaan Beton</t>
  </si>
  <si>
    <t>Setelah di Beton</t>
  </si>
  <si>
    <t>Channel coarse screen</t>
  </si>
  <si>
    <t xml:space="preserve">Sewage lift station </t>
  </si>
  <si>
    <t>Aerated grit removal</t>
  </si>
  <si>
    <t>Primary sedimentation</t>
  </si>
  <si>
    <t>Secondary sedimentation</t>
  </si>
  <si>
    <t>Pengadaan Unit</t>
  </si>
  <si>
    <t xml:space="preserve">RBC </t>
  </si>
  <si>
    <t>Gravity thickener</t>
  </si>
  <si>
    <t>Belt filter press</t>
  </si>
  <si>
    <t>Total head</t>
  </si>
  <si>
    <t>Q pompa</t>
  </si>
  <si>
    <t>PVC</t>
  </si>
  <si>
    <t>Friction Head Loss</t>
  </si>
  <si>
    <t xml:space="preserve">Major Head Loss </t>
  </si>
  <si>
    <t>C</t>
  </si>
  <si>
    <t>hf</t>
  </si>
  <si>
    <t xml:space="preserve">Minor Head Loss </t>
  </si>
  <si>
    <t>Fitting</t>
  </si>
  <si>
    <t>K total</t>
  </si>
  <si>
    <t>Elbow 90</t>
  </si>
  <si>
    <t>K Total</t>
  </si>
  <si>
    <t>m2/s2</t>
  </si>
  <si>
    <t>2g</t>
  </si>
  <si>
    <t>Static Head</t>
  </si>
  <si>
    <t>Static Head Loss</t>
  </si>
  <si>
    <t>Velocity Head</t>
  </si>
  <si>
    <t>Aerated Grit Removal - Equalization tank</t>
  </si>
  <si>
    <t>RBC - Secondary clarifier</t>
  </si>
  <si>
    <t>Equalization tank - primary sedimentation</t>
  </si>
  <si>
    <t xml:space="preserve">Secondary sedimentation - UV Desinfection </t>
  </si>
  <si>
    <t>Secondary sedimentation - Gravity Thickener</t>
  </si>
  <si>
    <t>Primary Sedimentation - Gravity Thickener</t>
  </si>
  <si>
    <t xml:space="preserve">Gravity Thickener - Belt Press </t>
  </si>
  <si>
    <t>Pengadaan Mekanikal</t>
  </si>
  <si>
    <t>Diameter 70 mm x 15 m</t>
  </si>
  <si>
    <t>Diameter 500 mm x 30 m x 25 kw unit</t>
  </si>
  <si>
    <t>Diameter 1000 mm x 30 m x 50 kw unit</t>
  </si>
  <si>
    <t>Diameter 600 mm x 15 m</t>
  </si>
  <si>
    <t>Dari</t>
  </si>
  <si>
    <t>Ke</t>
  </si>
  <si>
    <t>Panjang pipa (m)</t>
  </si>
  <si>
    <t>Diameter (mm)</t>
  </si>
  <si>
    <t>Panjang pipa pasaran (m)</t>
  </si>
  <si>
    <t xml:space="preserve">Jumlah dibutuhkan </t>
  </si>
  <si>
    <t>Pengadaan Pipa</t>
  </si>
  <si>
    <t xml:space="preserve">Inlet </t>
  </si>
  <si>
    <t>Bar screen</t>
  </si>
  <si>
    <t>Sewage lift station</t>
  </si>
  <si>
    <t>Grit removal</t>
  </si>
  <si>
    <t>Bel filter press</t>
  </si>
  <si>
    <t>Pekerjaan Galian</t>
  </si>
  <si>
    <t>Galian Tanah</t>
  </si>
  <si>
    <t>Uraian Pekerjaan</t>
  </si>
  <si>
    <t>Koefisien</t>
  </si>
  <si>
    <t>Harga Satuan Bahan/Upah</t>
  </si>
  <si>
    <t>Unit IPAL</t>
  </si>
  <si>
    <t>Volume Unit (m3)</t>
  </si>
  <si>
    <t>Total Harga</t>
  </si>
  <si>
    <t xml:space="preserve">REKAPITULASI </t>
  </si>
  <si>
    <t>Harga Satuan (m3)</t>
  </si>
  <si>
    <t>PEKERJAAN PERSIAPAN</t>
  </si>
  <si>
    <t>PEKERJAAN PEMBANGUNAN IPAL</t>
  </si>
  <si>
    <t xml:space="preserve">Pekerjaan Persiapan </t>
  </si>
  <si>
    <t>PEKERJAAN PEMBUATAN PAPAN NAMA PROYEK</t>
  </si>
  <si>
    <t>Bahan</t>
  </si>
  <si>
    <t>Pekerjaan Tanah</t>
  </si>
  <si>
    <t>Multiplek 18 mm 120 x 240</t>
  </si>
  <si>
    <t>Pekerjaan Pembetonan</t>
  </si>
  <si>
    <t xml:space="preserve">Pekerjaan Pembangunan IPAL </t>
  </si>
  <si>
    <t>Kayu Balok 8/12 kelas II</t>
  </si>
  <si>
    <t>Seng Besi</t>
  </si>
  <si>
    <t>Total RAB</t>
  </si>
  <si>
    <t>Paku</t>
  </si>
  <si>
    <t>kg</t>
  </si>
  <si>
    <t>Cat Kayu</t>
  </si>
  <si>
    <t>Total Harga A</t>
  </si>
  <si>
    <t>B</t>
  </si>
  <si>
    <t>Tenaga Kerja</t>
  </si>
  <si>
    <t>Tukang Kayu</t>
  </si>
  <si>
    <t>OH</t>
  </si>
  <si>
    <t>Tukang Cat</t>
  </si>
  <si>
    <t>Pekerja</t>
  </si>
  <si>
    <t>Mandor</t>
  </si>
  <si>
    <t>Total Harga B</t>
  </si>
  <si>
    <t>Total Harga A + B</t>
  </si>
  <si>
    <t>Overhead + Profit 15%</t>
  </si>
  <si>
    <t>TOTAL</t>
  </si>
  <si>
    <t>PENGUKURAN DAN PEMASANGAN BOWPLANK</t>
  </si>
  <si>
    <t>Kaso 5/7 cm</t>
  </si>
  <si>
    <t>Papan 3/20</t>
  </si>
  <si>
    <t>Tenaga</t>
  </si>
  <si>
    <t>Kepala Tukang</t>
  </si>
  <si>
    <t>PEMBERSIHAN LAPANGAN</t>
  </si>
  <si>
    <t>TOTAL PEKERJAAN PERSIAPAN</t>
  </si>
  <si>
    <t>PEKERJAAN TANAH</t>
  </si>
  <si>
    <t>PEKERJAAN GALIAN TANAH</t>
  </si>
  <si>
    <t>PEKERJAAN PEMBUANGAN TANAH GALIAN</t>
  </si>
  <si>
    <t>PEKERJAAN PENGURUGAN TANAH</t>
  </si>
  <si>
    <t>Total Harga Pekerjaan Persiapan</t>
  </si>
  <si>
    <t>TOTAL PEKERJAAN TANAH</t>
  </si>
  <si>
    <t>PEKERJAAN PEMBETONAN</t>
  </si>
  <si>
    <t>Alat</t>
  </si>
  <si>
    <t>Molen kapasitas 0,3 m3</t>
  </si>
  <si>
    <t>Sewa/hari</t>
  </si>
  <si>
    <t>Portland cement (PC)</t>
  </si>
  <si>
    <t>/zak @50 kg</t>
  </si>
  <si>
    <t>Pasir beton (PB)</t>
  </si>
  <si>
    <t>Kerikil</t>
  </si>
  <si>
    <t>Air</t>
  </si>
  <si>
    <t>Liter</t>
  </si>
  <si>
    <t>Tukang batu</t>
  </si>
  <si>
    <t>Kepala tukang</t>
  </si>
  <si>
    <t>Total Harga C</t>
  </si>
  <si>
    <t>Total Harga A + B + C</t>
  </si>
  <si>
    <t>PEKERJAAN PEMASANGAN</t>
  </si>
  <si>
    <t>Bata merah</t>
  </si>
  <si>
    <t>Portland Cement (PC)</t>
  </si>
  <si>
    <t>Pasir pasang</t>
  </si>
  <si>
    <t>PEKERJAAN PENGACIAN</t>
  </si>
  <si>
    <t>Semen Portland (PC)</t>
  </si>
  <si>
    <t>Total Harga Pekerjaan Pembetonan</t>
  </si>
  <si>
    <t>TOTAL PEKERJAAN PEMBETONAN</t>
  </si>
  <si>
    <t>Fine screen</t>
  </si>
  <si>
    <t>Channel Coarse Screen</t>
  </si>
  <si>
    <t>Secondary Sedimentation</t>
  </si>
  <si>
    <t>Total Pekerjaan Channel Coarse Screen</t>
  </si>
  <si>
    <t>Total Pekerjaan Sewage Lift Station</t>
  </si>
  <si>
    <t>Total Pekerjaan Aerated Grit Removal</t>
  </si>
  <si>
    <t>Total Pekerjaan Equalization Tank</t>
  </si>
  <si>
    <t>Total Pekerjaan Primary Sedimentation</t>
  </si>
  <si>
    <t>Total Pekerjaan Secondary Sedimentation</t>
  </si>
  <si>
    <t>Harga Tiap m3</t>
  </si>
  <si>
    <t>Panjang Pasaran (m)</t>
  </si>
  <si>
    <t>Jumlah Dibutuhkan</t>
  </si>
  <si>
    <t>Harga Perbuah</t>
  </si>
  <si>
    <t>PENGADAAN PIPA</t>
  </si>
  <si>
    <t>TOTAL PENGADAAN PIPA</t>
  </si>
  <si>
    <t>Harga Satuan</t>
  </si>
  <si>
    <t>Pengadaan Mekanikal (Pompa)</t>
  </si>
  <si>
    <t>PENGADAAN UNIT</t>
  </si>
  <si>
    <t>TOTAL PENGADAAN UNIT</t>
  </si>
  <si>
    <t>PENGADAAN MEKANIKAL (POMPA)</t>
  </si>
  <si>
    <t>TOTAL PENGADAAN MEKANIKAL (POMPA)</t>
  </si>
  <si>
    <t xml:space="preserve">Biaya Listrik Mechanical </t>
  </si>
  <si>
    <t>Kebutuhan Power</t>
  </si>
  <si>
    <t>Tarif Listrik / kwh</t>
  </si>
  <si>
    <t>Biaya Listrik (Rp/Hari)</t>
  </si>
  <si>
    <t>Penerangan Jalan Umum (PJU)</t>
  </si>
  <si>
    <t>Total OPEX Kebutuhan Listrik (Rp/hari)</t>
  </si>
  <si>
    <t xml:space="preserve">Personil </t>
  </si>
  <si>
    <t>Personil</t>
  </si>
  <si>
    <t>Jumlah Personil</t>
  </si>
  <si>
    <t>Biaya/Tahun</t>
  </si>
  <si>
    <t>Biaya/Bulan</t>
  </si>
  <si>
    <t>Biaya/Hari</t>
  </si>
  <si>
    <t>Kepala Operator</t>
  </si>
  <si>
    <t>Operator ME</t>
  </si>
  <si>
    <t>Petugas Keamanan dan Kebersihan</t>
  </si>
  <si>
    <t>Total Personil</t>
  </si>
  <si>
    <t>Total Gaji</t>
  </si>
  <si>
    <t>REKAPITULASI</t>
  </si>
  <si>
    <t>Biaya (Rp/hari)</t>
  </si>
  <si>
    <t>Kebutuhan Listrik Mechanical Electrical IPAL</t>
  </si>
  <si>
    <t>Kebutuhan Personil</t>
  </si>
  <si>
    <t>Estimasi Total Biaya OPEX IPAL (Rp/hari)</t>
  </si>
  <si>
    <t>Alat-Alat ME yang terpasang di IPAL Kecamatan Cianjur (Contoh: Pompa)</t>
  </si>
  <si>
    <t>TOTAL RAB PEMBANGUNAN 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</si>
</sst>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Rp&quot;* #,##0_-;\-&quot;Rp&quot;* #,##0_-;_-&quot;Rp&quot;* &quot;-&quot;_-;_-@_-"/>
    <numFmt numFmtId="164" formatCode="0.0%"/>
    <numFmt numFmtId="165" formatCode="0.000"/>
    <numFmt numFmtId="166" formatCode="0.0"/>
    <numFmt numFmtId="167" formatCode="0.0000"/>
    <numFmt numFmtId="168" formatCode="_(&quot;IDR&quot;* #,##0_);_(&quot;IDR&quot;* \(#,##0\);_(&quot;IDR&quot;* &quot;-&quot;_);_(@_)"/>
    <numFmt numFmtId="169" formatCode="_-[$Rp-3809]* #,##0.00_-;\-[$Rp-3809]* #,##0.00_-;_-[$Rp-3809]* &quot;-&quot;??_-;_-@_-"/>
    <numFmt numFmtId="170" formatCode="_-[$Rp-421]* #,##0.0_-;\-[$Rp-421]* #,##0.0_-;_-[$Rp-421]* &quot;-&quot;?_-;_-@_-"/>
    <numFmt numFmtId="171" formatCode="_-[$Rp-421]* #,##0.00_-;\-[$Rp-421]* #,##0.00_-;_-[$Rp-421]* &quot;-&quot;??_-;_-@_-"/>
  </numFmts>
  <fonts count="17" x14ac:knownFonts="1">
    <font>
      <sz val="11"/>
      <color theme="1"/>
      <name val="Calibri"/>
      <family val="2"/>
      <scheme val="minor"/>
    </font>
    <font>
      <b/>
      <sz val="11"/>
      <color theme="1"/>
      <name val="Calibri"/>
      <family val="2"/>
      <scheme val="minor"/>
    </font>
    <font>
      <sz val="11"/>
      <color theme="1"/>
      <name val="Calibri"/>
      <family val="2"/>
      <scheme val="minor"/>
    </font>
    <font>
      <b/>
      <sz val="11"/>
      <color theme="1"/>
      <name val="Times New Roman"/>
      <family val="1"/>
    </font>
    <font>
      <sz val="11"/>
      <color theme="1"/>
      <name val="Times New Roman"/>
      <family val="1"/>
    </font>
    <font>
      <sz val="11"/>
      <name val="Times New Roman"/>
      <family val="1"/>
    </font>
    <font>
      <b/>
      <i/>
      <sz val="11"/>
      <name val="Calibri"/>
      <family val="2"/>
      <scheme val="minor"/>
    </font>
    <font>
      <sz val="11"/>
      <color theme="1"/>
      <name val="Calibri"/>
      <family val="2"/>
    </font>
    <font>
      <b/>
      <sz val="11"/>
      <color theme="1"/>
      <name val="Calibri"/>
      <family val="2"/>
    </font>
    <font>
      <sz val="11"/>
      <name val="Calibri"/>
      <family val="2"/>
    </font>
    <font>
      <i/>
      <sz val="11"/>
      <color theme="1"/>
      <name val="Calibri"/>
      <family val="2"/>
      <scheme val="minor"/>
    </font>
    <font>
      <b/>
      <sz val="11"/>
      <color rgb="FF000000"/>
      <name val="Calibri"/>
      <family val="2"/>
      <scheme val="minor"/>
    </font>
    <font>
      <sz val="8"/>
      <name val="Calibri"/>
      <family val="2"/>
      <scheme val="minor"/>
    </font>
    <font>
      <b/>
      <sz val="18"/>
      <color theme="1"/>
      <name val="Times New Roman"/>
      <family val="1"/>
    </font>
    <font>
      <b/>
      <sz val="14"/>
      <color theme="1"/>
      <name val="Times New Roman"/>
      <family val="1"/>
    </font>
    <font>
      <b/>
      <sz val="11"/>
      <name val="Times New Roman"/>
      <family val="1"/>
    </font>
    <font>
      <sz val="10"/>
      <color theme="1"/>
      <name val="Arial"/>
      <family val="2"/>
    </font>
  </fonts>
  <fills count="14">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9" tint="0.79998168889431442"/>
        <bgColor indexed="64"/>
      </patternFill>
    </fill>
    <fill>
      <patternFill patternType="solid">
        <fgColor rgb="FFFFCCCC"/>
        <bgColor indexed="64"/>
      </patternFill>
    </fill>
    <fill>
      <patternFill patternType="solid">
        <fgColor theme="0"/>
        <bgColor rgb="FFB6D7A8"/>
      </patternFill>
    </fill>
    <fill>
      <patternFill patternType="solid">
        <fgColor theme="0"/>
        <bgColor rgb="FFFFFF00"/>
      </patternFill>
    </fill>
    <fill>
      <patternFill patternType="solid">
        <fgColor theme="0"/>
        <bgColor rgb="FFA4C2F4"/>
      </patternFill>
    </fill>
    <fill>
      <patternFill patternType="solid">
        <fgColor theme="0"/>
        <bgColor rgb="FFFFD966"/>
      </patternFill>
    </fill>
    <fill>
      <patternFill patternType="solid">
        <fgColor theme="0"/>
        <bgColor rgb="FFEA9999"/>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auto="1"/>
      </top>
      <bottom/>
      <diagonal/>
    </border>
    <border>
      <left style="medium">
        <color indexed="64"/>
      </left>
      <right/>
      <top style="medium">
        <color auto="1"/>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bottom/>
      <diagonal/>
    </border>
    <border>
      <left/>
      <right style="medium">
        <color indexed="64"/>
      </right>
      <top style="medium">
        <color indexed="64"/>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s>
  <cellStyleXfs count="5">
    <xf numFmtId="0" fontId="0" fillId="0" borderId="0"/>
    <xf numFmtId="9" fontId="2" fillId="0" borderId="0" applyFont="0" applyFill="0" applyBorder="0" applyAlignment="0" applyProtection="0"/>
    <xf numFmtId="0" fontId="2" fillId="0" borderId="0"/>
    <xf numFmtId="0" fontId="16" fillId="0" borderId="0"/>
    <xf numFmtId="168" fontId="2" fillId="0" borderId="0" applyFont="0" applyFill="0" applyBorder="0" applyAlignment="0" applyProtection="0"/>
  </cellStyleXfs>
  <cellXfs count="492">
    <xf numFmtId="0" fontId="0" fillId="0" borderId="0" xfId="0"/>
    <xf numFmtId="0" fontId="0" fillId="2" borderId="1" xfId="0" applyFill="1" applyBorder="1" applyAlignment="1">
      <alignment horizont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horizontal="center"/>
    </xf>
    <xf numFmtId="2" fontId="0" fillId="0" borderId="1" xfId="0" applyNumberFormat="1" applyBorder="1" applyAlignment="1">
      <alignment horizontal="center" vertical="center"/>
    </xf>
    <xf numFmtId="2" fontId="0" fillId="0" borderId="1" xfId="0" applyNumberFormat="1" applyBorder="1" applyAlignment="1">
      <alignment horizontal="center"/>
    </xf>
    <xf numFmtId="0" fontId="0" fillId="0" borderId="0" xfId="0" applyAlignment="1">
      <alignment horizontal="right"/>
    </xf>
    <xf numFmtId="0" fontId="0" fillId="0" borderId="0" xfId="0" quotePrefix="1" applyAlignment="1">
      <alignment vertical="center"/>
    </xf>
    <xf numFmtId="0" fontId="0" fillId="0" borderId="0" xfId="0" applyAlignment="1">
      <alignment wrapText="1"/>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4" fillId="0" borderId="0" xfId="0" applyFont="1"/>
    <xf numFmtId="0" fontId="4" fillId="0" borderId="23" xfId="0" applyFont="1" applyBorder="1" applyAlignment="1">
      <alignment horizontal="center" vertical="center"/>
    </xf>
    <xf numFmtId="0" fontId="4" fillId="0" borderId="1" xfId="0" applyFont="1" applyBorder="1" applyAlignment="1">
      <alignment horizontal="center"/>
    </xf>
    <xf numFmtId="0" fontId="4" fillId="0" borderId="1" xfId="0" applyFont="1" applyBorder="1" applyAlignment="1">
      <alignment horizontal="center" vertical="center"/>
    </xf>
    <xf numFmtId="10" fontId="4" fillId="0" borderId="12" xfId="1" applyNumberFormat="1" applyFont="1" applyBorder="1" applyAlignment="1">
      <alignment horizontal="center"/>
    </xf>
    <xf numFmtId="0" fontId="4" fillId="0" borderId="20" xfId="0" applyFont="1" applyBorder="1" applyAlignment="1">
      <alignment horizontal="center" vertical="center"/>
    </xf>
    <xf numFmtId="1" fontId="4" fillId="0" borderId="1" xfId="0" applyNumberFormat="1" applyFont="1" applyBorder="1" applyAlignment="1">
      <alignment horizontal="center"/>
    </xf>
    <xf numFmtId="1" fontId="4" fillId="0" borderId="0" xfId="1" applyNumberFormat="1" applyFont="1" applyAlignment="1"/>
    <xf numFmtId="10" fontId="4" fillId="0" borderId="0" xfId="1" applyNumberFormat="1" applyFont="1" applyAlignment="1"/>
    <xf numFmtId="164" fontId="4" fillId="0" borderId="0" xfId="1" applyNumberFormat="1" applyFont="1" applyAlignment="1"/>
    <xf numFmtId="1" fontId="4" fillId="0" borderId="1" xfId="0" applyNumberFormat="1" applyFont="1" applyBorder="1" applyAlignment="1">
      <alignment horizontal="center" vertical="center"/>
    </xf>
    <xf numFmtId="1" fontId="3" fillId="0" borderId="1" xfId="0" applyNumberFormat="1" applyFont="1" applyBorder="1" applyAlignment="1">
      <alignment horizontal="center" vertical="center"/>
    </xf>
    <xf numFmtId="1" fontId="4" fillId="0" borderId="10" xfId="0" applyNumberFormat="1" applyFont="1" applyBorder="1" applyAlignment="1">
      <alignment horizontal="center"/>
    </xf>
    <xf numFmtId="1" fontId="0" fillId="0" borderId="1" xfId="0" applyNumberFormat="1" applyBorder="1" applyAlignment="1">
      <alignment horizontal="center"/>
    </xf>
    <xf numFmtId="1" fontId="3" fillId="0" borderId="1" xfId="0" applyNumberFormat="1" applyFont="1" applyBorder="1" applyAlignment="1">
      <alignment horizontal="center"/>
    </xf>
    <xf numFmtId="0" fontId="6" fillId="0" borderId="1" xfId="0" applyFont="1" applyBorder="1" applyAlignment="1">
      <alignment horizontal="center"/>
    </xf>
    <xf numFmtId="0" fontId="6" fillId="0" borderId="1" xfId="0" applyFont="1" applyBorder="1" applyAlignment="1">
      <alignment horizontal="left"/>
    </xf>
    <xf numFmtId="1" fontId="6" fillId="0" borderId="1" xfId="0" applyNumberFormat="1" applyFont="1" applyBorder="1" applyAlignment="1">
      <alignment horizontal="center"/>
    </xf>
    <xf numFmtId="0" fontId="0" fillId="0" borderId="0" xfId="0" quotePrefix="1"/>
    <xf numFmtId="0" fontId="7" fillId="0" borderId="0" xfId="0" applyFont="1"/>
    <xf numFmtId="0" fontId="7" fillId="0" borderId="30" xfId="0" applyFont="1" applyBorder="1" applyAlignment="1">
      <alignment horizontal="center" vertical="center"/>
    </xf>
    <xf numFmtId="0" fontId="8" fillId="0" borderId="32" xfId="0" applyFont="1" applyBorder="1"/>
    <xf numFmtId="0" fontId="7" fillId="0" borderId="32" xfId="0" applyFont="1" applyBorder="1"/>
    <xf numFmtId="0" fontId="7" fillId="0" borderId="32" xfId="0" applyFont="1" applyBorder="1" applyAlignment="1">
      <alignment horizontal="center" vertical="center"/>
    </xf>
    <xf numFmtId="0" fontId="7" fillId="0" borderId="0" xfId="0" applyFont="1" applyAlignment="1">
      <alignment horizontal="left"/>
    </xf>
    <xf numFmtId="0" fontId="7" fillId="0" borderId="23" xfId="0" applyFont="1" applyBorder="1"/>
    <xf numFmtId="0" fontId="6" fillId="0" borderId="11" xfId="0" applyFont="1" applyBorder="1" applyAlignment="1">
      <alignment horizontal="center"/>
    </xf>
    <xf numFmtId="0" fontId="6" fillId="0" borderId="11" xfId="0" applyFont="1" applyBorder="1" applyAlignment="1">
      <alignment horizontal="left"/>
    </xf>
    <xf numFmtId="0" fontId="1" fillId="0" borderId="0" xfId="0" applyFont="1"/>
    <xf numFmtId="0" fontId="1" fillId="0" borderId="0" xfId="0" applyFont="1" applyAlignment="1">
      <alignment horizontal="center"/>
    </xf>
    <xf numFmtId="0" fontId="7" fillId="0" borderId="31" xfId="0" applyFont="1" applyBorder="1" applyAlignment="1">
      <alignment horizontal="center" vertical="center"/>
    </xf>
    <xf numFmtId="0" fontId="7" fillId="0" borderId="29" xfId="0" applyFont="1" applyBorder="1" applyAlignment="1">
      <alignment horizontal="center" vertical="center"/>
    </xf>
    <xf numFmtId="0" fontId="9" fillId="0" borderId="1" xfId="0" applyFont="1" applyBorder="1"/>
    <xf numFmtId="0" fontId="8" fillId="0" borderId="31" xfId="0" applyFont="1" applyBorder="1"/>
    <xf numFmtId="0" fontId="7" fillId="0" borderId="31" xfId="0" applyFont="1" applyBorder="1"/>
    <xf numFmtId="0" fontId="7" fillId="0" borderId="1" xfId="0" applyFont="1" applyBorder="1"/>
    <xf numFmtId="0" fontId="0" fillId="0" borderId="0" xfId="0" applyAlignment="1">
      <alignment horizontal="center"/>
    </xf>
    <xf numFmtId="0" fontId="7" fillId="0" borderId="1" xfId="0" applyFont="1" applyBorder="1" applyAlignment="1">
      <alignment horizontal="center" vertical="center"/>
    </xf>
    <xf numFmtId="0" fontId="10" fillId="0" borderId="0" xfId="0" applyFont="1"/>
    <xf numFmtId="2" fontId="0" fillId="0" borderId="0" xfId="0" applyNumberFormat="1" applyAlignment="1">
      <alignment horizontal="center"/>
    </xf>
    <xf numFmtId="0" fontId="0" fillId="0" borderId="13" xfId="0" applyBorder="1" applyAlignment="1">
      <alignment horizontal="center" vertical="center"/>
    </xf>
    <xf numFmtId="0" fontId="8" fillId="0" borderId="1" xfId="0" applyFont="1" applyBorder="1"/>
    <xf numFmtId="0" fontId="8" fillId="0" borderId="22" xfId="0" applyFont="1" applyBorder="1"/>
    <xf numFmtId="0" fontId="8" fillId="0" borderId="23" xfId="0" applyFont="1" applyBorder="1"/>
    <xf numFmtId="0" fontId="7" fillId="0" borderId="12" xfId="0" applyFont="1" applyBorder="1"/>
    <xf numFmtId="0" fontId="8" fillId="0" borderId="12" xfId="0" applyFont="1" applyBorder="1"/>
    <xf numFmtId="0" fontId="8" fillId="2" borderId="1" xfId="0" applyFont="1" applyFill="1" applyBorder="1" applyAlignment="1">
      <alignment horizontal="center" vertical="center"/>
    </xf>
    <xf numFmtId="0" fontId="8" fillId="2" borderId="1" xfId="0" applyFont="1" applyFill="1" applyBorder="1" applyAlignment="1">
      <alignment horizontal="center"/>
    </xf>
    <xf numFmtId="1" fontId="0" fillId="0" borderId="1" xfId="0" applyNumberFormat="1" applyBorder="1" applyAlignment="1">
      <alignment horizontal="center" vertical="center"/>
    </xf>
    <xf numFmtId="0" fontId="9" fillId="0" borderId="1" xfId="0" applyFont="1" applyBorder="1" applyAlignment="1">
      <alignment horizont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1" fillId="3" borderId="1" xfId="0" applyFont="1" applyFill="1" applyBorder="1" applyAlignment="1">
      <alignment horizontal="center" vertical="center"/>
    </xf>
    <xf numFmtId="9" fontId="0" fillId="0" borderId="0" xfId="0" applyNumberFormat="1" applyAlignment="1">
      <alignment horizontal="center"/>
    </xf>
    <xf numFmtId="10" fontId="0" fillId="0" borderId="0" xfId="0" applyNumberFormat="1" applyAlignment="1">
      <alignment horizontal="center"/>
    </xf>
    <xf numFmtId="9" fontId="0" fillId="3" borderId="0" xfId="0" applyNumberFormat="1" applyFill="1" applyAlignment="1">
      <alignment horizontal="center"/>
    </xf>
    <xf numFmtId="0" fontId="0" fillId="0" borderId="17" xfId="0" applyBorder="1" applyAlignment="1">
      <alignment horizontal="center"/>
    </xf>
    <xf numFmtId="0" fontId="0" fillId="0" borderId="0" xfId="0" applyAlignment="1">
      <alignment horizontal="left"/>
    </xf>
    <xf numFmtId="0" fontId="0" fillId="6" borderId="0" xfId="0" applyFill="1"/>
    <xf numFmtId="0" fontId="0" fillId="6" borderId="19" xfId="0" applyFill="1" applyBorder="1" applyAlignment="1">
      <alignment horizontal="left"/>
    </xf>
    <xf numFmtId="0" fontId="0" fillId="6" borderId="35" xfId="0" applyFill="1" applyBorder="1" applyAlignment="1">
      <alignment horizontal="left"/>
    </xf>
    <xf numFmtId="0" fontId="0" fillId="6" borderId="15" xfId="0" applyFill="1" applyBorder="1" applyAlignment="1">
      <alignment horizontal="left"/>
    </xf>
    <xf numFmtId="0" fontId="0" fillId="6" borderId="16" xfId="0" applyFill="1" applyBorder="1" applyAlignment="1">
      <alignment horizontal="left"/>
    </xf>
    <xf numFmtId="0" fontId="0" fillId="6" borderId="24" xfId="0" applyFill="1" applyBorder="1" applyAlignment="1">
      <alignment horizontal="left"/>
    </xf>
    <xf numFmtId="0" fontId="0" fillId="6" borderId="25" xfId="0" applyFill="1" applyBorder="1" applyAlignment="1">
      <alignment horizontal="left"/>
    </xf>
    <xf numFmtId="0" fontId="10" fillId="6" borderId="0" xfId="0" applyFont="1" applyFill="1"/>
    <xf numFmtId="0" fontId="1" fillId="5" borderId="0" xfId="0" applyFont="1" applyFill="1" applyAlignment="1">
      <alignment horizontal="right"/>
    </xf>
    <xf numFmtId="0" fontId="1" fillId="5" borderId="0" xfId="0" applyFont="1" applyFill="1" applyAlignment="1">
      <alignment horizontal="left"/>
    </xf>
    <xf numFmtId="2" fontId="0" fillId="0" borderId="0" xfId="0" applyNumberFormat="1" applyAlignment="1">
      <alignment horizontal="right"/>
    </xf>
    <xf numFmtId="1" fontId="0" fillId="0" borderId="0" xfId="0" applyNumberFormat="1" applyAlignment="1">
      <alignment horizontal="right"/>
    </xf>
    <xf numFmtId="9" fontId="0" fillId="0" borderId="0" xfId="0" applyNumberFormat="1" applyAlignment="1">
      <alignment horizontal="right"/>
    </xf>
    <xf numFmtId="9" fontId="0" fillId="0" borderId="0" xfId="1" applyFont="1" applyAlignment="1">
      <alignment horizontal="right"/>
    </xf>
    <xf numFmtId="0" fontId="4" fillId="0" borderId="0" xfId="0" applyFont="1" applyAlignment="1">
      <alignment horizontal="left"/>
    </xf>
    <xf numFmtId="0" fontId="3" fillId="0" borderId="0" xfId="0" applyFont="1" applyAlignment="1">
      <alignment horizontal="left"/>
    </xf>
    <xf numFmtId="0" fontId="4" fillId="0" borderId="8" xfId="0" applyFont="1" applyBorder="1" applyAlignment="1">
      <alignment horizontal="left"/>
    </xf>
    <xf numFmtId="0" fontId="3" fillId="5" borderId="0" xfId="0" applyFont="1" applyFill="1" applyAlignment="1">
      <alignment horizontal="right"/>
    </xf>
    <xf numFmtId="0" fontId="3" fillId="5" borderId="0" xfId="0" applyFont="1" applyFill="1" applyAlignment="1">
      <alignment horizontal="left"/>
    </xf>
    <xf numFmtId="165" fontId="4" fillId="0" borderId="0" xfId="0" applyNumberFormat="1" applyFont="1" applyAlignment="1">
      <alignment horizontal="left"/>
    </xf>
    <xf numFmtId="0" fontId="4" fillId="0" borderId="8" xfId="0" applyFont="1" applyBorder="1"/>
    <xf numFmtId="166" fontId="4" fillId="0" borderId="8" xfId="0" applyNumberFormat="1" applyFont="1" applyBorder="1" applyAlignment="1">
      <alignment horizontal="left"/>
    </xf>
    <xf numFmtId="2" fontId="4" fillId="0" borderId="0" xfId="0" applyNumberFormat="1" applyFont="1" applyAlignment="1">
      <alignment horizontal="left"/>
    </xf>
    <xf numFmtId="0" fontId="4" fillId="0" borderId="13" xfId="0" applyFont="1" applyBorder="1"/>
    <xf numFmtId="0" fontId="4" fillId="0" borderId="13" xfId="0" applyFont="1" applyBorder="1" applyAlignment="1">
      <alignment horizontal="left"/>
    </xf>
    <xf numFmtId="2" fontId="4" fillId="0" borderId="13" xfId="0" applyNumberFormat="1" applyFont="1" applyBorder="1" applyAlignment="1">
      <alignment horizontal="left"/>
    </xf>
    <xf numFmtId="0" fontId="4" fillId="7" borderId="13" xfId="0" applyFont="1" applyFill="1" applyBorder="1"/>
    <xf numFmtId="0" fontId="3" fillId="7" borderId="13" xfId="0" applyFont="1" applyFill="1" applyBorder="1" applyAlignment="1">
      <alignment horizontal="left"/>
    </xf>
    <xf numFmtId="0" fontId="4" fillId="7" borderId="13" xfId="0" applyFont="1" applyFill="1" applyBorder="1" applyAlignment="1">
      <alignment horizontal="left"/>
    </xf>
    <xf numFmtId="0" fontId="4" fillId="7" borderId="0" xfId="0" applyFont="1" applyFill="1"/>
    <xf numFmtId="0" fontId="4" fillId="7" borderId="0" xfId="0" applyFont="1" applyFill="1" applyAlignment="1">
      <alignment horizontal="left"/>
    </xf>
    <xf numFmtId="2" fontId="4" fillId="7" borderId="0" xfId="0" applyNumberFormat="1" applyFont="1" applyFill="1" applyAlignment="1">
      <alignment horizontal="left"/>
    </xf>
    <xf numFmtId="0" fontId="4" fillId="7" borderId="8" xfId="0" applyFont="1" applyFill="1" applyBorder="1"/>
    <xf numFmtId="0" fontId="4" fillId="7" borderId="8" xfId="0" applyFont="1" applyFill="1" applyBorder="1" applyAlignment="1">
      <alignment horizontal="left"/>
    </xf>
    <xf numFmtId="2" fontId="4" fillId="7" borderId="8" xfId="0" applyNumberFormat="1" applyFont="1" applyFill="1" applyBorder="1" applyAlignment="1">
      <alignment horizontal="left"/>
    </xf>
    <xf numFmtId="1" fontId="4" fillId="0" borderId="0" xfId="0" applyNumberFormat="1" applyFont="1" applyAlignment="1">
      <alignment horizontal="left"/>
    </xf>
    <xf numFmtId="9" fontId="4" fillId="0" borderId="0" xfId="0" applyNumberFormat="1" applyFont="1" applyAlignment="1">
      <alignment horizontal="left"/>
    </xf>
    <xf numFmtId="166" fontId="4" fillId="0" borderId="0" xfId="0" applyNumberFormat="1" applyFont="1" applyAlignment="1">
      <alignment horizontal="left"/>
    </xf>
    <xf numFmtId="166" fontId="4" fillId="7" borderId="0" xfId="0" applyNumberFormat="1" applyFont="1" applyFill="1" applyAlignment="1">
      <alignment horizontal="left"/>
    </xf>
    <xf numFmtId="0" fontId="4" fillId="0" borderId="3" xfId="0" applyFont="1" applyBorder="1"/>
    <xf numFmtId="0" fontId="4" fillId="0" borderId="3" xfId="0" applyFont="1" applyBorder="1" applyAlignment="1">
      <alignment horizontal="left"/>
    </xf>
    <xf numFmtId="0" fontId="4" fillId="0" borderId="0" xfId="0" applyFont="1" applyAlignment="1">
      <alignment horizontal="center" wrapText="1"/>
    </xf>
    <xf numFmtId="2" fontId="4" fillId="0" borderId="1" xfId="0" applyNumberFormat="1" applyFont="1" applyBorder="1" applyAlignment="1">
      <alignment horizontal="center"/>
    </xf>
    <xf numFmtId="0" fontId="3" fillId="0" borderId="1" xfId="0" applyFont="1" applyBorder="1" applyAlignment="1">
      <alignment horizontal="center"/>
    </xf>
    <xf numFmtId="2" fontId="4" fillId="0" borderId="1" xfId="0" applyNumberFormat="1" applyFont="1" applyBorder="1" applyAlignment="1">
      <alignment horizontal="center" vertical="center"/>
    </xf>
    <xf numFmtId="0" fontId="4" fillId="0" borderId="0" xfId="0" applyFont="1" applyAlignment="1">
      <alignment vertical="top" wrapText="1"/>
    </xf>
    <xf numFmtId="0" fontId="4" fillId="0" borderId="1" xfId="0" applyFont="1" applyBorder="1"/>
    <xf numFmtId="2" fontId="4" fillId="0" borderId="8" xfId="0" applyNumberFormat="1" applyFont="1" applyBorder="1" applyAlignment="1">
      <alignment horizontal="left"/>
    </xf>
    <xf numFmtId="167" fontId="4" fillId="0" borderId="0" xfId="0" applyNumberFormat="1" applyFont="1" applyAlignment="1">
      <alignment horizontal="left"/>
    </xf>
    <xf numFmtId="1" fontId="4" fillId="0" borderId="0" xfId="1" applyNumberFormat="1" applyFont="1" applyAlignment="1">
      <alignment horizontal="left"/>
    </xf>
    <xf numFmtId="1" fontId="4" fillId="7" borderId="0" xfId="0" applyNumberFormat="1" applyFont="1" applyFill="1" applyAlignment="1">
      <alignment horizontal="left"/>
    </xf>
    <xf numFmtId="1" fontId="4" fillId="7" borderId="8" xfId="0" applyNumberFormat="1" applyFont="1" applyFill="1" applyBorder="1" applyAlignment="1">
      <alignment horizontal="left"/>
    </xf>
    <xf numFmtId="0" fontId="4" fillId="8" borderId="0" xfId="0" applyFont="1" applyFill="1"/>
    <xf numFmtId="0" fontId="4" fillId="8" borderId="0" xfId="0" applyFont="1" applyFill="1" applyAlignment="1">
      <alignment horizontal="left"/>
    </xf>
    <xf numFmtId="2" fontId="4" fillId="8" borderId="0" xfId="0" applyNumberFormat="1" applyFont="1" applyFill="1" applyAlignment="1">
      <alignment horizontal="left"/>
    </xf>
    <xf numFmtId="1" fontId="4" fillId="8" borderId="0" xfId="0" applyNumberFormat="1" applyFont="1" applyFill="1" applyAlignment="1">
      <alignment horizontal="left"/>
    </xf>
    <xf numFmtId="165" fontId="4" fillId="0" borderId="8" xfId="0" applyNumberFormat="1" applyFont="1" applyBorder="1" applyAlignment="1">
      <alignment horizontal="left"/>
    </xf>
    <xf numFmtId="0" fontId="3" fillId="0" borderId="0" xfId="0" applyFont="1"/>
    <xf numFmtId="2" fontId="4" fillId="0" borderId="0" xfId="0" applyNumberFormat="1" applyFont="1"/>
    <xf numFmtId="1" fontId="4" fillId="0" borderId="0" xfId="0" applyNumberFormat="1" applyFont="1"/>
    <xf numFmtId="166" fontId="4" fillId="0" borderId="0" xfId="0" applyNumberFormat="1" applyFont="1"/>
    <xf numFmtId="9" fontId="4" fillId="0" borderId="0" xfId="0" applyNumberFormat="1" applyFont="1"/>
    <xf numFmtId="165" fontId="4" fillId="0" borderId="0" xfId="0" applyNumberFormat="1" applyFont="1"/>
    <xf numFmtId="9" fontId="4" fillId="0" borderId="0" xfId="1" applyFont="1" applyAlignment="1">
      <alignment horizontal="left"/>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wrapText="1"/>
    </xf>
    <xf numFmtId="0" fontId="3" fillId="3" borderId="11" xfId="0" applyFont="1" applyFill="1" applyBorder="1" applyAlignment="1">
      <alignment horizontal="center"/>
    </xf>
    <xf numFmtId="0" fontId="4" fillId="0" borderId="1" xfId="0" applyFont="1" applyBorder="1" applyAlignment="1">
      <alignment horizontal="left"/>
    </xf>
    <xf numFmtId="0" fontId="4" fillId="0" borderId="1" xfId="0" applyFont="1" applyBorder="1" applyAlignment="1">
      <alignment horizontal="left" vertical="top"/>
    </xf>
    <xf numFmtId="0" fontId="3" fillId="3" borderId="1" xfId="0" applyFont="1" applyFill="1" applyBorder="1" applyAlignment="1">
      <alignment horizontal="center"/>
    </xf>
    <xf numFmtId="0" fontId="3" fillId="2" borderId="1" xfId="0" applyFont="1" applyFill="1" applyBorder="1" applyAlignment="1">
      <alignment horizontal="center" vertical="center" wrapText="1"/>
    </xf>
    <xf numFmtId="10" fontId="4" fillId="0" borderId="1" xfId="1" applyNumberFormat="1" applyFont="1" applyBorder="1" applyAlignment="1">
      <alignment horizontal="center" vertical="center"/>
    </xf>
    <xf numFmtId="9" fontId="4" fillId="0" borderId="1" xfId="1" applyFont="1" applyBorder="1" applyAlignment="1">
      <alignment horizontal="center" vertical="center"/>
    </xf>
    <xf numFmtId="9" fontId="4" fillId="0" borderId="1" xfId="0" applyNumberFormat="1" applyFont="1" applyBorder="1" applyAlignment="1">
      <alignment horizontal="center"/>
    </xf>
    <xf numFmtId="165" fontId="4" fillId="0" borderId="1" xfId="0" applyNumberFormat="1" applyFont="1" applyBorder="1" applyAlignment="1">
      <alignment horizontal="center"/>
    </xf>
    <xf numFmtId="9" fontId="4" fillId="0" borderId="1" xfId="0" applyNumberFormat="1" applyFont="1" applyBorder="1" applyAlignment="1">
      <alignment horizontal="center" vertical="center"/>
    </xf>
    <xf numFmtId="0" fontId="4" fillId="6" borderId="0" xfId="0" applyFont="1" applyFill="1"/>
    <xf numFmtId="166" fontId="4" fillId="6" borderId="6" xfId="0" applyNumberFormat="1" applyFont="1" applyFill="1" applyBorder="1" applyAlignment="1">
      <alignment vertical="center"/>
    </xf>
    <xf numFmtId="0" fontId="4" fillId="6" borderId="15" xfId="0" applyFont="1" applyFill="1" applyBorder="1"/>
    <xf numFmtId="0" fontId="4" fillId="6" borderId="0" xfId="0" applyFont="1" applyFill="1" applyAlignment="1">
      <alignment horizontal="right"/>
    </xf>
    <xf numFmtId="0" fontId="4" fillId="6" borderId="0" xfId="0" quotePrefix="1" applyFont="1" applyFill="1" applyAlignment="1">
      <alignment horizontal="right"/>
    </xf>
    <xf numFmtId="0" fontId="4" fillId="6" borderId="18" xfId="0" quotePrefix="1" applyFont="1" applyFill="1" applyBorder="1" applyAlignment="1">
      <alignment horizontal="right"/>
    </xf>
    <xf numFmtId="0" fontId="4" fillId="6" borderId="18" xfId="0" applyFont="1" applyFill="1" applyBorder="1" applyAlignment="1">
      <alignment horizontal="right"/>
    </xf>
    <xf numFmtId="0" fontId="4" fillId="6" borderId="19" xfId="0" applyFont="1" applyFill="1" applyBorder="1"/>
    <xf numFmtId="0" fontId="4" fillId="6" borderId="18" xfId="0" applyFont="1" applyFill="1" applyBorder="1"/>
    <xf numFmtId="0" fontId="4" fillId="6" borderId="0" xfId="0" quotePrefix="1" applyFont="1" applyFill="1" applyAlignment="1">
      <alignment vertical="center"/>
    </xf>
    <xf numFmtId="0" fontId="3" fillId="4" borderId="1" xfId="0" applyFont="1" applyFill="1" applyBorder="1" applyAlignment="1">
      <alignment horizontal="center"/>
    </xf>
    <xf numFmtId="0" fontId="4" fillId="0" borderId="5" xfId="0" applyFont="1" applyBorder="1"/>
    <xf numFmtId="0" fontId="4" fillId="0" borderId="6" xfId="0" applyFont="1" applyBorder="1"/>
    <xf numFmtId="0" fontId="4" fillId="0" borderId="9" xfId="0" applyFont="1" applyBorder="1"/>
    <xf numFmtId="0" fontId="3" fillId="5" borderId="1" xfId="0" applyFont="1" applyFill="1" applyBorder="1" applyAlignment="1">
      <alignment horizontal="center" vertical="center"/>
    </xf>
    <xf numFmtId="0" fontId="3" fillId="5" borderId="1" xfId="0" applyFont="1" applyFill="1" applyBorder="1" applyAlignment="1">
      <alignment horizontal="center"/>
    </xf>
    <xf numFmtId="0" fontId="4" fillId="0" borderId="8" xfId="0" applyFont="1" applyBorder="1" applyAlignment="1">
      <alignment horizontal="center" vertical="center"/>
    </xf>
    <xf numFmtId="2" fontId="4" fillId="0" borderId="0" xfId="0" applyNumberFormat="1" applyFont="1" applyAlignment="1">
      <alignment horizontal="center"/>
    </xf>
    <xf numFmtId="167" fontId="4" fillId="0" borderId="1" xfId="0" applyNumberFormat="1" applyFont="1" applyBorder="1" applyAlignment="1">
      <alignment horizontal="center"/>
    </xf>
    <xf numFmtId="167" fontId="4" fillId="7" borderId="1" xfId="0" applyNumberFormat="1" applyFont="1" applyFill="1" applyBorder="1" applyAlignment="1">
      <alignment horizontal="center"/>
    </xf>
    <xf numFmtId="0" fontId="3" fillId="6"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0" borderId="10" xfId="0" applyFont="1" applyBorder="1" applyAlignment="1">
      <alignment horizontal="center"/>
    </xf>
    <xf numFmtId="0" fontId="4" fillId="0" borderId="13" xfId="0" applyFont="1" applyBorder="1" applyAlignment="1">
      <alignment vertical="center"/>
    </xf>
    <xf numFmtId="0" fontId="4" fillId="0" borderId="8" xfId="0" applyFont="1" applyBorder="1" applyAlignment="1">
      <alignment vertical="center"/>
    </xf>
    <xf numFmtId="0" fontId="4" fillId="6" borderId="1" xfId="0" applyFont="1" applyFill="1" applyBorder="1" applyAlignment="1">
      <alignment horizontal="center"/>
    </xf>
    <xf numFmtId="0" fontId="4" fillId="6" borderId="1" xfId="0" applyFont="1" applyFill="1" applyBorder="1" applyAlignment="1">
      <alignment horizontal="center" vertical="center" wrapText="1"/>
    </xf>
    <xf numFmtId="165" fontId="4" fillId="6" borderId="1"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 xfId="0" applyFont="1" applyFill="1" applyBorder="1"/>
    <xf numFmtId="0" fontId="3" fillId="6" borderId="1" xfId="0" applyFont="1" applyFill="1" applyBorder="1" applyAlignment="1">
      <alignment horizontal="center"/>
    </xf>
    <xf numFmtId="1" fontId="4" fillId="6" borderId="12" xfId="0" applyNumberFormat="1" applyFont="1" applyFill="1" applyBorder="1" applyAlignment="1">
      <alignment horizontal="center" vertical="center" wrapText="1"/>
    </xf>
    <xf numFmtId="0" fontId="3" fillId="0" borderId="32"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xf>
    <xf numFmtId="0" fontId="3" fillId="0" borderId="32" xfId="0" applyFont="1" applyBorder="1" applyAlignment="1">
      <alignment horizontal="center"/>
    </xf>
    <xf numFmtId="0" fontId="4" fillId="0" borderId="32" xfId="0" applyFont="1" applyBorder="1" applyAlignment="1">
      <alignment horizontal="left"/>
    </xf>
    <xf numFmtId="0" fontId="4" fillId="0" borderId="32" xfId="0" applyFont="1" applyBorder="1" applyAlignment="1">
      <alignment horizontal="center"/>
    </xf>
    <xf numFmtId="165" fontId="4" fillId="6" borderId="32" xfId="0" applyNumberFormat="1" applyFont="1" applyFill="1" applyBorder="1" applyAlignment="1">
      <alignment horizontal="center" vertical="center"/>
    </xf>
    <xf numFmtId="0" fontId="4" fillId="6" borderId="32" xfId="0" applyFont="1" applyFill="1" applyBorder="1" applyAlignment="1">
      <alignment horizontal="center" vertical="center"/>
    </xf>
    <xf numFmtId="0" fontId="3" fillId="6" borderId="23" xfId="0" applyFont="1" applyFill="1" applyBorder="1" applyAlignment="1">
      <alignment horizontal="center"/>
    </xf>
    <xf numFmtId="169" fontId="4" fillId="0" borderId="1" xfId="0" applyNumberFormat="1" applyFont="1" applyBorder="1" applyAlignment="1">
      <alignment horizontal="center"/>
    </xf>
    <xf numFmtId="169" fontId="4" fillId="0" borderId="1" xfId="0" applyNumberFormat="1" applyFont="1" applyBorder="1" applyAlignment="1">
      <alignment horizontal="right"/>
    </xf>
    <xf numFmtId="169" fontId="4" fillId="0" borderId="1" xfId="0" applyNumberFormat="1" applyFont="1" applyBorder="1"/>
    <xf numFmtId="169" fontId="3" fillId="0" borderId="1" xfId="0" applyNumberFormat="1" applyFont="1" applyBorder="1" applyAlignment="1">
      <alignment horizontal="center"/>
    </xf>
    <xf numFmtId="169" fontId="3" fillId="0" borderId="1" xfId="0" applyNumberFormat="1" applyFont="1" applyBorder="1"/>
    <xf numFmtId="169" fontId="4" fillId="6" borderId="1" xfId="0" applyNumberFormat="1" applyFont="1" applyFill="1" applyBorder="1" applyAlignment="1">
      <alignment horizontal="right"/>
    </xf>
    <xf numFmtId="169" fontId="15" fillId="6" borderId="1" xfId="0" applyNumberFormat="1" applyFont="1" applyFill="1" applyBorder="1" applyAlignment="1">
      <alignment horizontal="center"/>
    </xf>
    <xf numFmtId="169" fontId="3" fillId="11" borderId="32" xfId="0" applyNumberFormat="1" applyFont="1" applyFill="1" applyBorder="1" applyAlignment="1">
      <alignment horizontal="center" vertical="center"/>
    </xf>
    <xf numFmtId="169" fontId="4" fillId="0" borderId="32" xfId="0" applyNumberFormat="1" applyFont="1" applyBorder="1" applyAlignment="1">
      <alignment horizontal="center" vertical="center"/>
    </xf>
    <xf numFmtId="169" fontId="3" fillId="0" borderId="32" xfId="0" applyNumberFormat="1" applyFont="1" applyBorder="1" applyAlignment="1">
      <alignment horizontal="center" vertical="center"/>
    </xf>
    <xf numFmtId="169" fontId="3" fillId="0" borderId="32" xfId="0" applyNumberFormat="1" applyFont="1" applyBorder="1" applyAlignment="1">
      <alignment horizontal="center"/>
    </xf>
    <xf numFmtId="169" fontId="3" fillId="12" borderId="32" xfId="0" applyNumberFormat="1" applyFont="1" applyFill="1" applyBorder="1" applyAlignment="1">
      <alignment horizontal="center"/>
    </xf>
    <xf numFmtId="169" fontId="4" fillId="0" borderId="32" xfId="0" applyNumberFormat="1" applyFont="1" applyBorder="1" applyAlignment="1">
      <alignment horizontal="center"/>
    </xf>
    <xf numFmtId="169" fontId="3" fillId="13" borderId="32" xfId="0" applyNumberFormat="1" applyFont="1" applyFill="1" applyBorder="1" applyAlignment="1">
      <alignment horizontal="center"/>
    </xf>
    <xf numFmtId="169" fontId="3" fillId="11" borderId="32" xfId="0" applyNumberFormat="1" applyFont="1" applyFill="1" applyBorder="1" applyAlignment="1">
      <alignment horizontal="center"/>
    </xf>
    <xf numFmtId="169" fontId="4" fillId="6" borderId="32" xfId="0" applyNumberFormat="1" applyFont="1" applyFill="1" applyBorder="1" applyAlignment="1">
      <alignment horizontal="center" vertical="center"/>
    </xf>
    <xf numFmtId="169" fontId="3" fillId="13" borderId="32"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70" fontId="4" fillId="6" borderId="1" xfId="0" applyNumberFormat="1" applyFont="1" applyFill="1" applyBorder="1" applyAlignment="1">
      <alignment horizontal="center"/>
    </xf>
    <xf numFmtId="171" fontId="4" fillId="6" borderId="1" xfId="0" applyNumberFormat="1" applyFont="1" applyFill="1" applyBorder="1" applyAlignment="1">
      <alignment horizontal="center"/>
    </xf>
    <xf numFmtId="0" fontId="3" fillId="6" borderId="12" xfId="0" applyFont="1" applyFill="1" applyBorder="1" applyAlignment="1">
      <alignment horizontal="center"/>
    </xf>
    <xf numFmtId="170" fontId="4" fillId="6" borderId="1" xfId="0" applyNumberFormat="1" applyFont="1" applyFill="1" applyBorder="1"/>
    <xf numFmtId="42" fontId="4" fillId="6" borderId="1" xfId="0" applyNumberFormat="1" applyFont="1" applyFill="1" applyBorder="1"/>
    <xf numFmtId="171" fontId="4" fillId="6" borderId="1" xfId="0" applyNumberFormat="1" applyFont="1" applyFill="1" applyBorder="1"/>
    <xf numFmtId="171" fontId="4" fillId="6" borderId="0" xfId="0" applyNumberFormat="1" applyFont="1" applyFill="1"/>
    <xf numFmtId="0" fontId="0" fillId="0" borderId="1" xfId="0" applyBorder="1" applyAlignment="1">
      <alignment horizontal="center" vertical="center"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2" xfId="0" quotePrefix="1" applyBorder="1" applyAlignment="1">
      <alignment horizontal="left"/>
    </xf>
    <xf numFmtId="0" fontId="0" fillId="0" borderId="0" xfId="0" quotePrefix="1" applyAlignment="1">
      <alignment horizontal="left"/>
    </xf>
    <xf numFmtId="0" fontId="0" fillId="0" borderId="6" xfId="0" quotePrefix="1" applyBorder="1" applyAlignment="1">
      <alignment horizontal="left"/>
    </xf>
    <xf numFmtId="0" fontId="0" fillId="0" borderId="7" xfId="0" quotePrefix="1" applyBorder="1" applyAlignment="1">
      <alignment horizontal="left"/>
    </xf>
    <xf numFmtId="0" fontId="0" fillId="0" borderId="8" xfId="0" quotePrefix="1" applyBorder="1" applyAlignment="1">
      <alignment horizontal="left"/>
    </xf>
    <xf numFmtId="0" fontId="0" fillId="0" borderId="9" xfId="0" quotePrefix="1" applyBorder="1" applyAlignment="1">
      <alignment horizontal="left"/>
    </xf>
    <xf numFmtId="0" fontId="0" fillId="0" borderId="1" xfId="0" applyBorder="1" applyAlignment="1">
      <alignment horizontal="center" vertical="center"/>
    </xf>
    <xf numFmtId="0" fontId="0" fillId="0" borderId="1" xfId="0" quotePrefix="1" applyBorder="1" applyAlignment="1">
      <alignment horizontal="left" vertical="top" wrapText="1"/>
    </xf>
    <xf numFmtId="0" fontId="0" fillId="0" borderId="1" xfId="0" applyBorder="1" applyAlignment="1">
      <alignment horizontal="left" wrapText="1"/>
    </xf>
    <xf numFmtId="0" fontId="0" fillId="0" borderId="1" xfId="0" applyBorder="1" applyAlignment="1">
      <alignment horizontal="left" vertical="top" wrapText="1"/>
    </xf>
    <xf numFmtId="0" fontId="1" fillId="0" borderId="0" xfId="0" applyFont="1" applyAlignment="1">
      <alignment horizontal="center" vertical="center"/>
    </xf>
    <xf numFmtId="0" fontId="0" fillId="2" borderId="1" xfId="0" applyFill="1" applyBorder="1" applyAlignment="1">
      <alignment horizontal="center"/>
    </xf>
    <xf numFmtId="0" fontId="0" fillId="0" borderId="2" xfId="0" applyBorder="1" applyAlignment="1">
      <alignment horizontal="center" vertical="top" wrapText="1"/>
    </xf>
    <xf numFmtId="0" fontId="0" fillId="0" borderId="0" xfId="0"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4" fillId="0" borderId="1" xfId="0" applyFont="1" applyBorder="1" applyAlignment="1">
      <alignment horizontal="left"/>
    </xf>
    <xf numFmtId="0" fontId="3" fillId="3" borderId="11" xfId="0" applyFont="1" applyFill="1" applyBorder="1" applyAlignment="1">
      <alignment horizontal="center"/>
    </xf>
    <xf numFmtId="0" fontId="14" fillId="3" borderId="11" xfId="0" applyFont="1" applyFill="1" applyBorder="1" applyAlignment="1">
      <alignment horizontal="center" vertical="center" textRotation="90"/>
    </xf>
    <xf numFmtId="0" fontId="14" fillId="3" borderId="1" xfId="0" applyFont="1" applyFill="1" applyBorder="1" applyAlignment="1">
      <alignment horizontal="center" vertical="center" textRotation="90"/>
    </xf>
    <xf numFmtId="0" fontId="4" fillId="0" borderId="1" xfId="0" applyFont="1" applyBorder="1" applyAlignment="1">
      <alignment horizontal="left" vertical="top" wrapText="1"/>
    </xf>
    <xf numFmtId="0" fontId="4" fillId="0" borderId="1" xfId="0" applyFont="1" applyBorder="1" applyAlignment="1">
      <alignment horizontal="center" vertical="center"/>
    </xf>
    <xf numFmtId="0" fontId="3" fillId="3" borderId="1" xfId="0" applyFont="1" applyFill="1" applyBorder="1" applyAlignment="1">
      <alignment horizontal="center"/>
    </xf>
    <xf numFmtId="0" fontId="4" fillId="0" borderId="1" xfId="0" applyFont="1" applyBorder="1" applyAlignment="1">
      <alignment horizontal="left" wrapText="1"/>
    </xf>
    <xf numFmtId="0" fontId="4" fillId="0" borderId="1" xfId="0" applyFont="1" applyBorder="1" applyAlignment="1">
      <alignment horizontal="center"/>
    </xf>
    <xf numFmtId="0" fontId="4" fillId="0" borderId="1" xfId="0" applyFont="1" applyBorder="1" applyAlignment="1">
      <alignment horizontal="left" vertical="top"/>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vertical="top"/>
    </xf>
    <xf numFmtId="0" fontId="13" fillId="3" borderId="1" xfId="0" applyFont="1" applyFill="1" applyBorder="1" applyAlignment="1">
      <alignment horizontal="center" vertical="center"/>
    </xf>
    <xf numFmtId="0" fontId="4" fillId="0" borderId="2" xfId="0" applyFont="1" applyBorder="1" applyAlignment="1">
      <alignment horizontal="center"/>
    </xf>
    <xf numFmtId="0" fontId="4" fillId="0" borderId="7" xfId="0" applyFont="1" applyBorder="1" applyAlignment="1">
      <alignment horizontal="center"/>
    </xf>
    <xf numFmtId="0" fontId="3" fillId="0" borderId="1" xfId="0" applyFont="1" applyBorder="1"/>
    <xf numFmtId="0" fontId="4" fillId="0" borderId="2" xfId="0" quotePrefix="1" applyFont="1" applyBorder="1"/>
    <xf numFmtId="0" fontId="4" fillId="0" borderId="0" xfId="0" quotePrefix="1" applyFont="1"/>
    <xf numFmtId="0" fontId="4" fillId="0" borderId="2" xfId="0" applyFont="1" applyBorder="1"/>
    <xf numFmtId="0" fontId="4" fillId="0" borderId="0" xfId="0" applyFont="1"/>
    <xf numFmtId="0" fontId="3" fillId="0" borderId="1" xfId="0" applyFont="1" applyBorder="1" applyAlignment="1">
      <alignment wrapText="1"/>
    </xf>
    <xf numFmtId="0" fontId="4" fillId="0" borderId="6" xfId="0" quotePrefix="1" applyFont="1" applyBorder="1"/>
    <xf numFmtId="0" fontId="3" fillId="2" borderId="1" xfId="0" applyFont="1" applyFill="1" applyBorder="1" applyAlignment="1">
      <alignment horizontal="center" vertical="center" wrapText="1"/>
    </xf>
    <xf numFmtId="0" fontId="3" fillId="3" borderId="1" xfId="0" applyFont="1" applyFill="1" applyBorder="1" applyAlignment="1">
      <alignment horizontal="left"/>
    </xf>
    <xf numFmtId="0" fontId="3" fillId="0" borderId="1" xfId="0" applyFont="1" applyBorder="1" applyAlignment="1">
      <alignment horizontal="center"/>
    </xf>
    <xf numFmtId="0" fontId="3" fillId="0" borderId="1"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2" fontId="4" fillId="0" borderId="10" xfId="0" applyNumberFormat="1" applyFont="1" applyBorder="1" applyAlignment="1">
      <alignment horizontal="center" vertical="center"/>
    </xf>
    <xf numFmtId="2" fontId="4" fillId="0" borderId="11" xfId="0" applyNumberFormat="1" applyFont="1" applyBorder="1" applyAlignment="1">
      <alignment horizontal="center" vertical="center"/>
    </xf>
    <xf numFmtId="10" fontId="4" fillId="0" borderId="10" xfId="1" applyNumberFormat="1" applyFont="1" applyBorder="1" applyAlignment="1">
      <alignment horizontal="center" vertical="center"/>
    </xf>
    <xf numFmtId="10" fontId="4" fillId="0" borderId="11" xfId="1" applyNumberFormat="1" applyFont="1" applyBorder="1" applyAlignment="1">
      <alignment horizontal="center" vertical="center"/>
    </xf>
    <xf numFmtId="0" fontId="3" fillId="4" borderId="1" xfId="0" applyFont="1" applyFill="1" applyBorder="1" applyAlignment="1">
      <alignment horizontal="center"/>
    </xf>
    <xf numFmtId="0" fontId="4" fillId="0" borderId="1" xfId="0" quotePrefix="1" applyFont="1" applyBorder="1" applyAlignment="1">
      <alignment horizontal="left" wrapText="1"/>
    </xf>
    <xf numFmtId="0" fontId="4" fillId="6" borderId="0" xfId="0" applyFont="1" applyFill="1" applyAlignment="1">
      <alignment horizontal="center"/>
    </xf>
    <xf numFmtId="0" fontId="3" fillId="6" borderId="0" xfId="0" applyFont="1" applyFill="1" applyAlignment="1">
      <alignment horizontal="center"/>
    </xf>
    <xf numFmtId="0" fontId="3" fillId="6" borderId="15" xfId="0" applyFont="1" applyFill="1" applyBorder="1" applyAlignment="1">
      <alignment horizontal="center"/>
    </xf>
    <xf numFmtId="0" fontId="4" fillId="6" borderId="16" xfId="0" applyFont="1" applyFill="1" applyBorder="1" applyAlignment="1">
      <alignment horizontal="right" vertical="top"/>
    </xf>
    <xf numFmtId="0" fontId="3" fillId="6" borderId="17" xfId="0" applyFont="1" applyFill="1" applyBorder="1" applyAlignment="1">
      <alignment horizontal="center"/>
    </xf>
    <xf numFmtId="0" fontId="3" fillId="6" borderId="17" xfId="0" applyFont="1" applyFill="1" applyBorder="1" applyAlignment="1">
      <alignment horizontal="center" vertical="center"/>
    </xf>
    <xf numFmtId="0" fontId="4" fillId="6" borderId="16" xfId="0" quotePrefix="1" applyFont="1" applyFill="1" applyBorder="1" applyAlignment="1">
      <alignment horizontal="right"/>
    </xf>
    <xf numFmtId="0" fontId="1" fillId="4" borderId="1" xfId="0" applyFont="1" applyFill="1" applyBorder="1" applyAlignment="1">
      <alignment horizontal="center" vertical="center" wrapText="1"/>
    </xf>
    <xf numFmtId="0" fontId="1" fillId="4" borderId="1" xfId="0" applyFont="1" applyFill="1" applyBorder="1" applyAlignment="1">
      <alignment horizontal="center"/>
    </xf>
    <xf numFmtId="0" fontId="1" fillId="2" borderId="1" xfId="0" applyFont="1" applyFill="1" applyBorder="1" applyAlignment="1">
      <alignment horizontal="center"/>
    </xf>
    <xf numFmtId="0" fontId="0" fillId="0" borderId="15" xfId="0" quotePrefix="1" applyBorder="1" applyAlignment="1">
      <alignment horizontal="left" wrapText="1"/>
    </xf>
    <xf numFmtId="0" fontId="0" fillId="0" borderId="0" xfId="0" quotePrefix="1" applyAlignment="1">
      <alignment horizontal="left" wrapText="1"/>
    </xf>
    <xf numFmtId="0" fontId="0" fillId="0" borderId="16" xfId="0" quotePrefix="1" applyBorder="1" applyAlignment="1">
      <alignment horizontal="left" wrapText="1"/>
    </xf>
    <xf numFmtId="0" fontId="1" fillId="0" borderId="26" xfId="0"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0" fillId="0" borderId="15" xfId="0" quotePrefix="1" applyBorder="1" applyAlignment="1">
      <alignment horizontal="left"/>
    </xf>
    <xf numFmtId="0" fontId="0" fillId="0" borderId="16" xfId="0" quotePrefix="1" applyBorder="1" applyAlignment="1">
      <alignment horizontal="left"/>
    </xf>
    <xf numFmtId="0" fontId="0" fillId="0" borderId="24" xfId="0" quotePrefix="1" applyBorder="1" applyAlignment="1">
      <alignment horizontal="left"/>
    </xf>
    <xf numFmtId="0" fontId="0" fillId="0" borderId="17" xfId="0" quotePrefix="1" applyBorder="1" applyAlignment="1">
      <alignment horizontal="left"/>
    </xf>
    <xf numFmtId="0" fontId="0" fillId="0" borderId="25" xfId="0" quotePrefix="1" applyBorder="1" applyAlignment="1">
      <alignment horizontal="left"/>
    </xf>
    <xf numFmtId="1" fontId="4" fillId="0" borderId="14" xfId="1" applyNumberFormat="1" applyFont="1" applyBorder="1" applyAlignment="1">
      <alignment horizontal="center"/>
    </xf>
    <xf numFmtId="1" fontId="4" fillId="0" borderId="1" xfId="1" applyNumberFormat="1" applyFont="1" applyBorder="1" applyAlignment="1">
      <alignment horizontal="center"/>
    </xf>
    <xf numFmtId="10" fontId="4" fillId="0" borderId="1" xfId="1" applyNumberFormat="1" applyFont="1" applyBorder="1" applyAlignment="1">
      <alignment horizont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 xfId="0" applyFont="1" applyBorder="1" applyAlignment="1">
      <alignment horizontal="center" vertical="center" wrapText="1"/>
    </xf>
    <xf numFmtId="0" fontId="5" fillId="0" borderId="1" xfId="0" applyFont="1" applyBorder="1"/>
    <xf numFmtId="0" fontId="3" fillId="0" borderId="14" xfId="0" applyFont="1" applyBorder="1" applyAlignment="1">
      <alignment horizontal="center" vertical="center"/>
    </xf>
    <xf numFmtId="1" fontId="4" fillId="0" borderId="12" xfId="1" applyNumberFormat="1" applyFont="1" applyBorder="1" applyAlignment="1">
      <alignment horizontal="center"/>
    </xf>
    <xf numFmtId="10" fontId="4" fillId="0" borderId="12" xfId="1" applyNumberFormat="1" applyFont="1" applyBorder="1" applyAlignment="1">
      <alignment horizontal="center"/>
    </xf>
    <xf numFmtId="10" fontId="4" fillId="0" borderId="14" xfId="1" applyNumberFormat="1"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xf>
    <xf numFmtId="1" fontId="4" fillId="0" borderId="1" xfId="0" applyNumberFormat="1" applyFont="1" applyBorder="1" applyAlignment="1">
      <alignment horizontal="center"/>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xf>
    <xf numFmtId="0" fontId="4" fillId="0" borderId="1" xfId="0" applyFont="1" applyBorder="1" applyAlignment="1">
      <alignment horizontal="center" vertical="center"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9" xfId="0" applyFont="1" applyBorder="1" applyAlignment="1">
      <alignment horizontal="center" vertical="center"/>
    </xf>
    <xf numFmtId="1" fontId="4" fillId="0" borderId="1" xfId="0" applyNumberFormat="1" applyFont="1" applyBorder="1" applyAlignment="1">
      <alignment horizontal="center" vertical="center"/>
    </xf>
    <xf numFmtId="1" fontId="4" fillId="0" borderId="12" xfId="0" applyNumberFormat="1" applyFont="1" applyBorder="1" applyAlignment="1">
      <alignment horizontal="center" vertical="center"/>
    </xf>
    <xf numFmtId="1" fontId="4" fillId="0" borderId="14" xfId="0" applyNumberFormat="1" applyFont="1" applyBorder="1" applyAlignment="1">
      <alignment horizontal="center" vertical="center"/>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0" borderId="13" xfId="0" applyFont="1" applyBorder="1" applyAlignment="1">
      <alignment horizontal="center" vertical="center"/>
    </xf>
    <xf numFmtId="0" fontId="4" fillId="0" borderId="1" xfId="0" quotePrefix="1" applyFont="1" applyBorder="1" applyAlignment="1">
      <alignment horizontal="center"/>
    </xf>
    <xf numFmtId="0" fontId="3" fillId="5" borderId="1"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horizontal="center"/>
    </xf>
    <xf numFmtId="0" fontId="7" fillId="0" borderId="1" xfId="0" applyFont="1" applyBorder="1" applyAlignment="1">
      <alignment horizontal="center" vertical="center"/>
    </xf>
    <xf numFmtId="1" fontId="0" fillId="0" borderId="1" xfId="0" applyNumberFormat="1" applyBorder="1" applyAlignment="1">
      <alignment horizontal="center"/>
    </xf>
    <xf numFmtId="0" fontId="8" fillId="2" borderId="1" xfId="0" applyFont="1" applyFill="1" applyBorder="1" applyAlignment="1">
      <alignment horizontal="center" vertical="center"/>
    </xf>
    <xf numFmtId="0" fontId="9" fillId="2" borderId="1" xfId="0" applyFont="1" applyFill="1" applyBorder="1"/>
    <xf numFmtId="0" fontId="8" fillId="2" borderId="1" xfId="0" applyFont="1" applyFill="1" applyBorder="1" applyAlignment="1">
      <alignment horizontal="center"/>
    </xf>
    <xf numFmtId="0" fontId="9" fillId="0" borderId="1" xfId="0" applyFont="1" applyBorder="1" applyAlignment="1">
      <alignment horizontal="center"/>
    </xf>
    <xf numFmtId="0" fontId="9" fillId="0" borderId="1" xfId="0" applyFont="1" applyBorder="1"/>
    <xf numFmtId="0" fontId="7" fillId="0" borderId="30" xfId="0" applyFont="1" applyBorder="1" applyAlignment="1">
      <alignment horizontal="center" vertical="center"/>
    </xf>
    <xf numFmtId="0" fontId="7" fillId="0" borderId="33" xfId="0" applyFont="1" applyBorder="1" applyAlignment="1">
      <alignment horizontal="center" vertical="center"/>
    </xf>
    <xf numFmtId="0" fontId="7" fillId="0" borderId="31" xfId="0" applyFont="1" applyBorder="1" applyAlignment="1">
      <alignment horizontal="center" vertical="center"/>
    </xf>
    <xf numFmtId="0" fontId="1" fillId="2" borderId="1" xfId="0" applyFont="1" applyFill="1" applyBorder="1" applyAlignment="1">
      <alignment horizontal="center" vertical="center" wrapText="1"/>
    </xf>
    <xf numFmtId="0" fontId="8" fillId="2" borderId="12" xfId="0" applyFont="1" applyFill="1" applyBorder="1" applyAlignment="1">
      <alignment horizontal="center" vertical="center"/>
    </xf>
    <xf numFmtId="0" fontId="9" fillId="2" borderId="12" xfId="0" applyFont="1" applyFill="1" applyBorder="1"/>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2" fontId="0" fillId="0" borderId="1" xfId="0" applyNumberFormat="1" applyBorder="1" applyAlignment="1">
      <alignment horizontal="center"/>
    </xf>
    <xf numFmtId="0" fontId="0" fillId="0" borderId="1" xfId="0" applyBorder="1" applyAlignment="1">
      <alignment horizontal="center"/>
    </xf>
    <xf numFmtId="0" fontId="1" fillId="3" borderId="1" xfId="0" applyFont="1" applyFill="1" applyBorder="1" applyAlignment="1">
      <alignment horizontal="center"/>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0" borderId="12" xfId="0" applyFont="1" applyBorder="1" applyAlignment="1">
      <alignment horizontal="left"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2"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3" fillId="4" borderId="1" xfId="0" applyFont="1" applyFill="1" applyBorder="1" applyAlignment="1">
      <alignment horizontal="center" vertical="center" wrapText="1"/>
    </xf>
    <xf numFmtId="0" fontId="3" fillId="0" borderId="1" xfId="0" applyFont="1" applyBorder="1" applyAlignment="1">
      <alignment horizontal="left" vertical="center"/>
    </xf>
    <xf numFmtId="0" fontId="3" fillId="0" borderId="1" xfId="0" applyFont="1" applyBorder="1" applyAlignment="1">
      <alignment horizontal="left"/>
    </xf>
    <xf numFmtId="0" fontId="4" fillId="6"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1" fillId="0" borderId="0" xfId="0" applyFont="1" applyAlignment="1">
      <alignment horizontal="left"/>
    </xf>
    <xf numFmtId="0" fontId="4" fillId="0" borderId="10" xfId="0" applyFont="1" applyBorder="1" applyAlignment="1">
      <alignment horizontal="left"/>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1" fillId="0" borderId="1" xfId="0" applyFont="1" applyBorder="1" applyAlignment="1">
      <alignment horizontal="center" vertical="center"/>
    </xf>
    <xf numFmtId="0" fontId="4" fillId="0" borderId="12"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2" xfId="0" applyFont="1" applyBorder="1" applyAlignment="1">
      <alignment horizontal="left" wrapText="1"/>
    </xf>
    <xf numFmtId="0" fontId="4" fillId="0" borderId="13" xfId="0" applyFont="1" applyBorder="1" applyAlignment="1">
      <alignment horizontal="left" wrapText="1"/>
    </xf>
    <xf numFmtId="0" fontId="4" fillId="0" borderId="14" xfId="0" applyFont="1" applyBorder="1" applyAlignment="1">
      <alignment horizontal="left" wrapText="1"/>
    </xf>
    <xf numFmtId="0" fontId="0" fillId="0" borderId="2" xfId="0" applyBorder="1" applyAlignment="1">
      <alignment horizontal="left" vertical="top"/>
    </xf>
    <xf numFmtId="0" fontId="0" fillId="0" borderId="0" xfId="0"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4" xfId="0" applyBorder="1" applyAlignment="1">
      <alignment horizontal="left" vertical="top"/>
    </xf>
    <xf numFmtId="0" fontId="0" fillId="0" borderId="3" xfId="0" applyBorder="1" applyAlignment="1">
      <alignment horizontal="left" vertical="top"/>
    </xf>
    <xf numFmtId="0" fontId="1" fillId="0" borderId="10" xfId="0" applyFont="1" applyBorder="1" applyAlignment="1">
      <alignment horizontal="left" vertical="top"/>
    </xf>
    <xf numFmtId="0" fontId="1" fillId="0" borderId="34" xfId="0" applyFont="1"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6" xfId="0" applyBorder="1" applyAlignment="1">
      <alignment horizontal="left" vertical="top"/>
    </xf>
    <xf numFmtId="0" fontId="11" fillId="6" borderId="0" xfId="0" applyFont="1" applyFill="1" applyAlignment="1">
      <alignment horizontal="center" vertical="center"/>
    </xf>
    <xf numFmtId="0" fontId="1" fillId="6" borderId="0" xfId="0" applyFont="1" applyFill="1" applyAlignment="1">
      <alignment horizontal="center"/>
    </xf>
    <xf numFmtId="0" fontId="0" fillId="6" borderId="15" xfId="0" applyFill="1" applyBorder="1" applyAlignment="1">
      <alignment horizontal="left"/>
    </xf>
    <xf numFmtId="0" fontId="0" fillId="6" borderId="16" xfId="0" applyFill="1" applyBorder="1" applyAlignment="1">
      <alignment horizontal="left"/>
    </xf>
    <xf numFmtId="0" fontId="0" fillId="6" borderId="24" xfId="0" applyFill="1" applyBorder="1" applyAlignment="1">
      <alignment horizontal="left"/>
    </xf>
    <xf numFmtId="0" fontId="0" fillId="6" borderId="25" xfId="0" applyFill="1" applyBorder="1" applyAlignment="1">
      <alignment horizontal="left"/>
    </xf>
    <xf numFmtId="0" fontId="0" fillId="6" borderId="19" xfId="0" applyFill="1" applyBorder="1" applyAlignment="1">
      <alignment horizontal="left"/>
    </xf>
    <xf numFmtId="0" fontId="0" fillId="6" borderId="35" xfId="0" applyFill="1" applyBorder="1" applyAlignment="1">
      <alignment horizontal="left"/>
    </xf>
    <xf numFmtId="0" fontId="0" fillId="6" borderId="1" xfId="0" applyFill="1" applyBorder="1" applyAlignment="1">
      <alignment horizontal="center" vertical="center"/>
    </xf>
    <xf numFmtId="0" fontId="0" fillId="6" borderId="4" xfId="0" applyFill="1" applyBorder="1" applyAlignment="1">
      <alignment horizontal="center" vertical="center"/>
    </xf>
    <xf numFmtId="0" fontId="0" fillId="6" borderId="3" xfId="0" applyFill="1" applyBorder="1" applyAlignment="1">
      <alignment horizontal="center" vertical="center"/>
    </xf>
    <xf numFmtId="0" fontId="0" fillId="6" borderId="5" xfId="0" applyFill="1" applyBorder="1" applyAlignment="1">
      <alignment horizontal="center" vertical="center"/>
    </xf>
    <xf numFmtId="0" fontId="0" fillId="6" borderId="7"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4" fillId="0" borderId="8" xfId="0" applyFont="1" applyBorder="1" applyAlignment="1">
      <alignment horizontal="center"/>
    </xf>
    <xf numFmtId="0" fontId="4" fillId="0" borderId="0" xfId="0" applyFont="1" applyAlignment="1">
      <alignment horizontal="left"/>
    </xf>
    <xf numFmtId="0" fontId="4" fillId="0" borderId="0" xfId="0" applyFont="1" applyAlignment="1">
      <alignment horizontal="center"/>
    </xf>
    <xf numFmtId="0" fontId="4" fillId="0" borderId="0" xfId="0" quotePrefix="1" applyFont="1" applyAlignment="1">
      <alignment horizontal="center"/>
    </xf>
    <xf numFmtId="0" fontId="3" fillId="0" borderId="8" xfId="0" applyFont="1" applyBorder="1" applyAlignment="1">
      <alignment horizontal="left"/>
    </xf>
    <xf numFmtId="0" fontId="3" fillId="0" borderId="0" xfId="0" applyFont="1" applyAlignment="1">
      <alignment horizontal="left"/>
    </xf>
    <xf numFmtId="0" fontId="3" fillId="5" borderId="0" xfId="0" applyFont="1" applyFill="1" applyAlignment="1">
      <alignment horizontal="center"/>
    </xf>
    <xf numFmtId="0" fontId="3" fillId="0" borderId="3" xfId="0" applyFont="1" applyBorder="1" applyAlignment="1">
      <alignment horizontal="left"/>
    </xf>
    <xf numFmtId="0" fontId="4" fillId="0" borderId="3" xfId="0" applyFont="1" applyBorder="1" applyAlignment="1">
      <alignment horizontal="center"/>
    </xf>
    <xf numFmtId="17" fontId="4" fillId="0" borderId="0" xfId="0" quotePrefix="1" applyNumberFormat="1" applyFont="1" applyAlignment="1">
      <alignment horizontal="center"/>
    </xf>
    <xf numFmtId="0" fontId="4" fillId="0" borderId="3" xfId="0" quotePrefix="1" applyFont="1" applyBorder="1" applyAlignment="1">
      <alignment horizontal="center"/>
    </xf>
    <xf numFmtId="20" fontId="4" fillId="0" borderId="0" xfId="0" quotePrefix="1" applyNumberFormat="1" applyFont="1" applyAlignment="1">
      <alignment horizontal="center"/>
    </xf>
    <xf numFmtId="0" fontId="4" fillId="0" borderId="8" xfId="0" applyFont="1" applyBorder="1" applyAlignment="1">
      <alignment horizontal="left"/>
    </xf>
    <xf numFmtId="0" fontId="4" fillId="0" borderId="0" xfId="0" applyFont="1" applyAlignment="1">
      <alignment horizontal="left" vertical="top" wrapText="1"/>
    </xf>
    <xf numFmtId="0" fontId="3" fillId="0" borderId="1" xfId="0" applyFont="1" applyBorder="1" applyAlignment="1">
      <alignment horizontal="center" wrapText="1"/>
    </xf>
    <xf numFmtId="0" fontId="4" fillId="0" borderId="0" xfId="0" applyFont="1" applyAlignment="1">
      <alignment horizontal="left" wrapText="1"/>
    </xf>
    <xf numFmtId="16" fontId="4" fillId="0" borderId="0" xfId="0" quotePrefix="1" applyNumberFormat="1" applyFont="1" applyAlignment="1">
      <alignment horizontal="center"/>
    </xf>
    <xf numFmtId="0" fontId="4" fillId="0" borderId="0" xfId="0" quotePrefix="1" applyFont="1" applyAlignment="1">
      <alignment horizontal="left"/>
    </xf>
    <xf numFmtId="0" fontId="3" fillId="0" borderId="13" xfId="0" applyFont="1" applyBorder="1" applyAlignment="1">
      <alignment horizontal="left"/>
    </xf>
    <xf numFmtId="0" fontId="4" fillId="0" borderId="3" xfId="0" applyFont="1" applyBorder="1" applyAlignment="1">
      <alignment horizontal="left"/>
    </xf>
    <xf numFmtId="0" fontId="4" fillId="6" borderId="1" xfId="0" applyFont="1" applyFill="1" applyBorder="1" applyAlignment="1">
      <alignment horizontal="center"/>
    </xf>
    <xf numFmtId="0" fontId="4" fillId="6" borderId="12" xfId="0" applyFont="1" applyFill="1" applyBorder="1" applyAlignment="1">
      <alignment horizontal="center" vertical="center"/>
    </xf>
    <xf numFmtId="0" fontId="4" fillId="6" borderId="14" xfId="0" applyFont="1" applyFill="1" applyBorder="1" applyAlignment="1">
      <alignment horizontal="center" vertical="center"/>
    </xf>
    <xf numFmtId="2" fontId="4" fillId="6" borderId="1" xfId="0" applyNumberFormat="1" applyFont="1" applyFill="1" applyBorder="1" applyAlignment="1">
      <alignment horizontal="center"/>
    </xf>
    <xf numFmtId="0" fontId="3" fillId="6" borderId="1" xfId="0" applyFont="1" applyFill="1" applyBorder="1" applyAlignment="1">
      <alignment horizontal="center" vertical="center" wrapText="1"/>
    </xf>
    <xf numFmtId="165" fontId="4" fillId="6" borderId="1" xfId="0" applyNumberFormat="1" applyFont="1" applyFill="1" applyBorder="1" applyAlignment="1">
      <alignment horizontal="center"/>
    </xf>
    <xf numFmtId="0" fontId="3" fillId="6" borderId="1" xfId="0" applyFont="1" applyFill="1" applyBorder="1" applyAlignment="1">
      <alignment horizontal="center"/>
    </xf>
    <xf numFmtId="0" fontId="3" fillId="0" borderId="1" xfId="0" applyFont="1" applyBorder="1" applyAlignment="1">
      <alignment horizontal="right"/>
    </xf>
    <xf numFmtId="0" fontId="3" fillId="13" borderId="23" xfId="0" applyFont="1" applyFill="1" applyBorder="1" applyAlignment="1">
      <alignment horizontal="center"/>
    </xf>
    <xf numFmtId="0" fontId="5" fillId="6" borderId="37" xfId="0" applyFont="1" applyFill="1" applyBorder="1"/>
    <xf numFmtId="0" fontId="5" fillId="6" borderId="29" xfId="0" applyFont="1" applyFill="1" applyBorder="1"/>
    <xf numFmtId="0" fontId="3" fillId="10" borderId="23" xfId="0" applyFont="1" applyFill="1" applyBorder="1" applyAlignment="1">
      <alignment horizontal="center" vertical="center"/>
    </xf>
    <xf numFmtId="0" fontId="15" fillId="6" borderId="37" xfId="0" applyFont="1" applyFill="1" applyBorder="1" applyAlignment="1">
      <alignment horizontal="center"/>
    </xf>
    <xf numFmtId="0" fontId="15" fillId="6" borderId="29" xfId="0" applyFont="1" applyFill="1" applyBorder="1" applyAlignment="1">
      <alignment horizontal="center"/>
    </xf>
    <xf numFmtId="0" fontId="4" fillId="0" borderId="30" xfId="0" applyFont="1" applyBorder="1" applyAlignment="1">
      <alignment horizontal="center"/>
    </xf>
    <xf numFmtId="0" fontId="5" fillId="0" borderId="33" xfId="0" applyFont="1" applyBorder="1"/>
    <xf numFmtId="0" fontId="5" fillId="0" borderId="31" xfId="0" applyFont="1" applyBorder="1"/>
    <xf numFmtId="0" fontId="3" fillId="11" borderId="23" xfId="0" applyFont="1" applyFill="1" applyBorder="1" applyAlignment="1">
      <alignment horizontal="center"/>
    </xf>
    <xf numFmtId="0" fontId="15" fillId="6" borderId="37" xfId="0" applyFont="1" applyFill="1" applyBorder="1"/>
    <xf numFmtId="0" fontId="15" fillId="6" borderId="29" xfId="0" applyFont="1" applyFill="1" applyBorder="1"/>
    <xf numFmtId="0" fontId="3" fillId="11" borderId="23" xfId="0" applyFont="1" applyFill="1" applyBorder="1" applyAlignment="1">
      <alignment horizontal="center" vertical="center"/>
    </xf>
    <xf numFmtId="0" fontId="4" fillId="0" borderId="23" xfId="0" applyFont="1" applyBorder="1" applyAlignment="1">
      <alignment horizontal="center" vertical="center"/>
    </xf>
    <xf numFmtId="0" fontId="5" fillId="0" borderId="37" xfId="0" applyFont="1" applyBorder="1"/>
    <xf numFmtId="0" fontId="5" fillId="0" borderId="29" xfId="0" applyFont="1" applyBorder="1"/>
    <xf numFmtId="0" fontId="3" fillId="12" borderId="23" xfId="0" applyFont="1" applyFill="1" applyBorder="1" applyAlignment="1">
      <alignment horizontal="center" vertical="center"/>
    </xf>
    <xf numFmtId="0" fontId="3" fillId="9" borderId="23" xfId="0" applyFont="1" applyFill="1" applyBorder="1" applyAlignment="1">
      <alignment horizontal="left"/>
    </xf>
    <xf numFmtId="0" fontId="15" fillId="6" borderId="37" xfId="0" applyFont="1" applyFill="1" applyBorder="1" applyAlignment="1">
      <alignment horizontal="left"/>
    </xf>
    <xf numFmtId="0" fontId="15" fillId="6" borderId="29" xfId="0" applyFont="1" applyFill="1" applyBorder="1" applyAlignment="1">
      <alignment horizontal="left"/>
    </xf>
    <xf numFmtId="0" fontId="3" fillId="0" borderId="23" xfId="0" applyFont="1" applyBorder="1" applyAlignment="1">
      <alignment horizontal="left"/>
    </xf>
    <xf numFmtId="0" fontId="3" fillId="6" borderId="23" xfId="0" applyFont="1" applyFill="1" applyBorder="1" applyAlignment="1">
      <alignment horizontal="left"/>
    </xf>
    <xf numFmtId="0" fontId="3" fillId="10" borderId="23" xfId="0" applyFont="1" applyFill="1" applyBorder="1" applyAlignment="1">
      <alignment horizontal="center"/>
    </xf>
    <xf numFmtId="0" fontId="4" fillId="0" borderId="30" xfId="0" applyFont="1" applyBorder="1" applyAlignment="1">
      <alignment horizontal="center" vertical="center"/>
    </xf>
    <xf numFmtId="0" fontId="3" fillId="9" borderId="23" xfId="0" applyFont="1" applyFill="1" applyBorder="1" applyAlignment="1">
      <alignment horizontal="left" vertical="center"/>
    </xf>
    <xf numFmtId="0" fontId="3" fillId="0" borderId="23" xfId="0" applyFont="1" applyBorder="1" applyAlignment="1">
      <alignment horizontal="left" vertical="center"/>
    </xf>
    <xf numFmtId="0" fontId="3" fillId="6" borderId="1" xfId="0" applyFont="1" applyFill="1" applyBorder="1" applyAlignment="1">
      <alignment horizontal="right"/>
    </xf>
    <xf numFmtId="0" fontId="3" fillId="0" borderId="23" xfId="0" applyFont="1" applyBorder="1" applyAlignment="1">
      <alignment horizontal="center" vertical="center"/>
    </xf>
    <xf numFmtId="0" fontId="15" fillId="0" borderId="37" xfId="0" applyFont="1" applyBorder="1"/>
    <xf numFmtId="0" fontId="15" fillId="0" borderId="29" xfId="0" applyFont="1" applyBorder="1"/>
    <xf numFmtId="0" fontId="5" fillId="0" borderId="37" xfId="0" applyFont="1" applyBorder="1" applyAlignment="1">
      <alignment horizontal="left"/>
    </xf>
    <xf numFmtId="0" fontId="5" fillId="0" borderId="29" xfId="0" applyFont="1" applyBorder="1" applyAlignment="1">
      <alignment horizontal="left"/>
    </xf>
    <xf numFmtId="0" fontId="4" fillId="0" borderId="33" xfId="0" applyFont="1" applyBorder="1" applyAlignment="1">
      <alignment horizontal="center" vertical="center"/>
    </xf>
    <xf numFmtId="0" fontId="4" fillId="0" borderId="31" xfId="0" applyFont="1" applyBorder="1" applyAlignment="1">
      <alignment horizontal="center" vertical="center"/>
    </xf>
    <xf numFmtId="0" fontId="4" fillId="6" borderId="23" xfId="0" applyFont="1" applyFill="1" applyBorder="1" applyAlignment="1">
      <alignment horizontal="left" vertical="center"/>
    </xf>
    <xf numFmtId="0" fontId="5" fillId="6" borderId="29" xfId="0" applyFont="1" applyFill="1" applyBorder="1" applyAlignment="1">
      <alignment horizontal="left"/>
    </xf>
    <xf numFmtId="0" fontId="3" fillId="13" borderId="23" xfId="0" applyFont="1" applyFill="1" applyBorder="1" applyAlignment="1">
      <alignment horizontal="right" vertical="center"/>
    </xf>
    <xf numFmtId="0" fontId="15" fillId="6" borderId="37" xfId="0" applyFont="1" applyFill="1" applyBorder="1" applyAlignment="1">
      <alignment horizontal="right"/>
    </xf>
    <xf numFmtId="0" fontId="15" fillId="6" borderId="29" xfId="0" applyFont="1" applyFill="1" applyBorder="1" applyAlignment="1">
      <alignment horizontal="right"/>
    </xf>
    <xf numFmtId="0" fontId="5" fillId="6" borderId="37" xfId="0" applyFont="1" applyFill="1" applyBorder="1" applyAlignment="1">
      <alignment horizontal="center"/>
    </xf>
    <xf numFmtId="0" fontId="5" fillId="6" borderId="29" xfId="0" applyFont="1" applyFill="1" applyBorder="1" applyAlignment="1">
      <alignment horizontal="center"/>
    </xf>
    <xf numFmtId="0" fontId="3" fillId="9" borderId="20" xfId="0" applyFont="1" applyFill="1" applyBorder="1" applyAlignment="1">
      <alignment horizontal="center" vertical="center"/>
    </xf>
    <xf numFmtId="0" fontId="15" fillId="6" borderId="36" xfId="0" applyFont="1" applyFill="1" applyBorder="1"/>
    <xf numFmtId="0" fontId="15" fillId="6" borderId="22" xfId="0" applyFont="1" applyFill="1" applyBorder="1"/>
    <xf numFmtId="0" fontId="15" fillId="6" borderId="38" xfId="0" applyFont="1" applyFill="1" applyBorder="1"/>
    <xf numFmtId="0" fontId="3" fillId="9" borderId="30" xfId="0" applyFont="1" applyFill="1" applyBorder="1" applyAlignment="1">
      <alignment horizontal="center" vertical="center" wrapText="1"/>
    </xf>
    <xf numFmtId="0" fontId="15" fillId="6" borderId="31" xfId="0" applyFont="1" applyFill="1" applyBorder="1"/>
    <xf numFmtId="0" fontId="3" fillId="9" borderId="30" xfId="0" applyFont="1" applyFill="1" applyBorder="1" applyAlignment="1">
      <alignment horizontal="center" vertical="center"/>
    </xf>
    <xf numFmtId="0" fontId="3" fillId="9" borderId="1" xfId="0" applyFont="1" applyFill="1" applyBorder="1" applyAlignment="1">
      <alignment horizontal="center"/>
    </xf>
    <xf numFmtId="0" fontId="4" fillId="6" borderId="1" xfId="0" applyFont="1" applyFill="1" applyBorder="1" applyAlignment="1">
      <alignment horizontal="left" wrapText="1"/>
    </xf>
    <xf numFmtId="170" fontId="4" fillId="6" borderId="1" xfId="0" applyNumberFormat="1" applyFont="1" applyFill="1" applyBorder="1" applyAlignment="1">
      <alignment horizontal="center" vertical="center"/>
    </xf>
    <xf numFmtId="171" fontId="4" fillId="6" borderId="1" xfId="0" applyNumberFormat="1" applyFont="1" applyFill="1" applyBorder="1" applyAlignment="1">
      <alignment horizontal="center" vertical="center"/>
    </xf>
  </cellXfs>
  <cellStyles count="5">
    <cellStyle name="Currency [0] 2" xfId="4" xr:uid="{961B270E-BBBF-4625-A852-16257312A9C1}"/>
    <cellStyle name="Normal" xfId="0" builtinId="0"/>
    <cellStyle name="Normal 2" xfId="3" xr:uid="{DA284F02-5306-4834-AC78-7246AA9A127D}"/>
    <cellStyle name="Normal 2 2 2" xfId="2" xr:uid="{30F18F65-E02D-4657-ABE3-82C45FB85654}"/>
    <cellStyle name="Percent" xfId="1" builtinId="5"/>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a:t>Diagram Volume Akumulasi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Kumulatif Influen</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'Preliminary Sizing'!$B$158:$B$181</c:f>
              <c:strCache>
                <c:ptCount val="24"/>
                <c:pt idx="0">
                  <c:v>00:00 - 01:00</c:v>
                </c:pt>
                <c:pt idx="1">
                  <c:v>01:00 - 02:00</c:v>
                </c:pt>
                <c:pt idx="2">
                  <c:v>02:00 - 03:00</c:v>
                </c:pt>
                <c:pt idx="3">
                  <c:v>03:00 - 04:00</c:v>
                </c:pt>
                <c:pt idx="4">
                  <c:v>04:00 - 05:00</c:v>
                </c:pt>
                <c:pt idx="5">
                  <c:v>05:00 - 06:00</c:v>
                </c:pt>
                <c:pt idx="6">
                  <c:v>06:00 - 07:00</c:v>
                </c:pt>
                <c:pt idx="7">
                  <c:v>07:00 - 08:00</c:v>
                </c:pt>
                <c:pt idx="8">
                  <c:v>08:00 - 09:00</c:v>
                </c:pt>
                <c:pt idx="9">
                  <c:v>09:00 - 10:00</c:v>
                </c:pt>
                <c:pt idx="10">
                  <c:v>10:00 -11:00</c:v>
                </c:pt>
                <c:pt idx="11">
                  <c:v>11:00 -12:00</c:v>
                </c:pt>
                <c:pt idx="12">
                  <c:v>12:00 - 13:00</c:v>
                </c:pt>
                <c:pt idx="13">
                  <c:v>13:00 - 14:00</c:v>
                </c:pt>
                <c:pt idx="14">
                  <c:v>14:00 - 15:00</c:v>
                </c:pt>
                <c:pt idx="15">
                  <c:v>15:00 - 16:00</c:v>
                </c:pt>
                <c:pt idx="16">
                  <c:v>16:00 - 17:00 </c:v>
                </c:pt>
                <c:pt idx="17">
                  <c:v>17:00 - 18:00 </c:v>
                </c:pt>
                <c:pt idx="18">
                  <c:v>18:00 - 19:00</c:v>
                </c:pt>
                <c:pt idx="19">
                  <c:v>19:00 - 20:00</c:v>
                </c:pt>
                <c:pt idx="20">
                  <c:v>20:00 - 21:00</c:v>
                </c:pt>
                <c:pt idx="21">
                  <c:v>21:00 - 22:00</c:v>
                </c:pt>
                <c:pt idx="22">
                  <c:v>22:00 - 23:00</c:v>
                </c:pt>
                <c:pt idx="23">
                  <c:v>23:00 - 00:00</c:v>
                </c:pt>
              </c:strCache>
            </c:strRef>
          </c:cat>
          <c:val>
            <c:numRef>
              <c:f>'Preliminary Sizing'!$E$158:$E$181</c:f>
              <c:numCache>
                <c:formatCode>General</c:formatCode>
                <c:ptCount val="24"/>
                <c:pt idx="0">
                  <c:v>720</c:v>
                </c:pt>
                <c:pt idx="1">
                  <c:v>1692</c:v>
                </c:pt>
                <c:pt idx="2">
                  <c:v>2664</c:v>
                </c:pt>
                <c:pt idx="3">
                  <c:v>3708</c:v>
                </c:pt>
                <c:pt idx="4">
                  <c:v>6444</c:v>
                </c:pt>
                <c:pt idx="5">
                  <c:v>9180</c:v>
                </c:pt>
                <c:pt idx="6">
                  <c:v>10260</c:v>
                </c:pt>
                <c:pt idx="7">
                  <c:v>11340</c:v>
                </c:pt>
                <c:pt idx="8">
                  <c:v>12312</c:v>
                </c:pt>
                <c:pt idx="9">
                  <c:v>13284</c:v>
                </c:pt>
                <c:pt idx="10">
                  <c:v>16344</c:v>
                </c:pt>
                <c:pt idx="11">
                  <c:v>19404</c:v>
                </c:pt>
                <c:pt idx="12">
                  <c:v>22464</c:v>
                </c:pt>
                <c:pt idx="13">
                  <c:v>25524</c:v>
                </c:pt>
                <c:pt idx="14">
                  <c:v>28260</c:v>
                </c:pt>
                <c:pt idx="15">
                  <c:v>30960</c:v>
                </c:pt>
                <c:pt idx="16">
                  <c:v>33480</c:v>
                </c:pt>
                <c:pt idx="17">
                  <c:v>35892</c:v>
                </c:pt>
                <c:pt idx="18">
                  <c:v>38232</c:v>
                </c:pt>
                <c:pt idx="19">
                  <c:v>39852</c:v>
                </c:pt>
                <c:pt idx="20">
                  <c:v>40824</c:v>
                </c:pt>
                <c:pt idx="21">
                  <c:v>41796</c:v>
                </c:pt>
                <c:pt idx="22">
                  <c:v>42768</c:v>
                </c:pt>
                <c:pt idx="23">
                  <c:v>43488</c:v>
                </c:pt>
              </c:numCache>
            </c:numRef>
          </c:val>
          <c:smooth val="0"/>
          <c:extLst>
            <c:ext xmlns:c16="http://schemas.microsoft.com/office/drawing/2014/chart" uri="{C3380CC4-5D6E-409C-BE32-E72D297353CC}">
              <c16:uniqueId val="{00000000-7935-40E0-AA94-C26D3234344C}"/>
            </c:ext>
          </c:extLst>
        </c:ser>
        <c:ser>
          <c:idx val="1"/>
          <c:order val="1"/>
          <c:tx>
            <c:v>Kumulatif Efluen</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'Preliminary Sizing'!$B$158:$B$181</c:f>
              <c:strCache>
                <c:ptCount val="24"/>
                <c:pt idx="0">
                  <c:v>00:00 - 01:00</c:v>
                </c:pt>
                <c:pt idx="1">
                  <c:v>01:00 - 02:00</c:v>
                </c:pt>
                <c:pt idx="2">
                  <c:v>02:00 - 03:00</c:v>
                </c:pt>
                <c:pt idx="3">
                  <c:v>03:00 - 04:00</c:v>
                </c:pt>
                <c:pt idx="4">
                  <c:v>04:00 - 05:00</c:v>
                </c:pt>
                <c:pt idx="5">
                  <c:v>05:00 - 06:00</c:v>
                </c:pt>
                <c:pt idx="6">
                  <c:v>06:00 - 07:00</c:v>
                </c:pt>
                <c:pt idx="7">
                  <c:v>07:00 - 08:00</c:v>
                </c:pt>
                <c:pt idx="8">
                  <c:v>08:00 - 09:00</c:v>
                </c:pt>
                <c:pt idx="9">
                  <c:v>09:00 - 10:00</c:v>
                </c:pt>
                <c:pt idx="10">
                  <c:v>10:00 -11:00</c:v>
                </c:pt>
                <c:pt idx="11">
                  <c:v>11:00 -12:00</c:v>
                </c:pt>
                <c:pt idx="12">
                  <c:v>12:00 - 13:00</c:v>
                </c:pt>
                <c:pt idx="13">
                  <c:v>13:00 - 14:00</c:v>
                </c:pt>
                <c:pt idx="14">
                  <c:v>14:00 - 15:00</c:v>
                </c:pt>
                <c:pt idx="15">
                  <c:v>15:00 - 16:00</c:v>
                </c:pt>
                <c:pt idx="16">
                  <c:v>16:00 - 17:00 </c:v>
                </c:pt>
                <c:pt idx="17">
                  <c:v>17:00 - 18:00 </c:v>
                </c:pt>
                <c:pt idx="18">
                  <c:v>18:00 - 19:00</c:v>
                </c:pt>
                <c:pt idx="19">
                  <c:v>19:00 - 20:00</c:v>
                </c:pt>
                <c:pt idx="20">
                  <c:v>20:00 - 21:00</c:v>
                </c:pt>
                <c:pt idx="21">
                  <c:v>21:00 - 22:00</c:v>
                </c:pt>
                <c:pt idx="22">
                  <c:v>22:00 - 23:00</c:v>
                </c:pt>
                <c:pt idx="23">
                  <c:v>23:00 - 00:00</c:v>
                </c:pt>
              </c:strCache>
            </c:strRef>
          </c:cat>
          <c:val>
            <c:numRef>
              <c:f>'Preliminary Sizing'!$F$158:$F$181</c:f>
              <c:numCache>
                <c:formatCode>General</c:formatCode>
                <c:ptCount val="24"/>
                <c:pt idx="0">
                  <c:v>1812</c:v>
                </c:pt>
                <c:pt idx="1">
                  <c:v>3624</c:v>
                </c:pt>
                <c:pt idx="2">
                  <c:v>5436</c:v>
                </c:pt>
                <c:pt idx="3">
                  <c:v>7248</c:v>
                </c:pt>
                <c:pt idx="4">
                  <c:v>9060</c:v>
                </c:pt>
                <c:pt idx="5">
                  <c:v>10872</c:v>
                </c:pt>
                <c:pt idx="6">
                  <c:v>12684</c:v>
                </c:pt>
                <c:pt idx="7">
                  <c:v>14496</c:v>
                </c:pt>
                <c:pt idx="8">
                  <c:v>16308</c:v>
                </c:pt>
                <c:pt idx="9">
                  <c:v>18120</c:v>
                </c:pt>
                <c:pt idx="10">
                  <c:v>19932</c:v>
                </c:pt>
                <c:pt idx="11">
                  <c:v>21744</c:v>
                </c:pt>
                <c:pt idx="12">
                  <c:v>23556</c:v>
                </c:pt>
                <c:pt idx="13">
                  <c:v>25368</c:v>
                </c:pt>
                <c:pt idx="14">
                  <c:v>27180</c:v>
                </c:pt>
                <c:pt idx="15">
                  <c:v>28992</c:v>
                </c:pt>
                <c:pt idx="16">
                  <c:v>30804</c:v>
                </c:pt>
                <c:pt idx="17">
                  <c:v>32616</c:v>
                </c:pt>
                <c:pt idx="18">
                  <c:v>34428</c:v>
                </c:pt>
                <c:pt idx="19">
                  <c:v>36240</c:v>
                </c:pt>
                <c:pt idx="20">
                  <c:v>38052</c:v>
                </c:pt>
                <c:pt idx="21">
                  <c:v>39864</c:v>
                </c:pt>
                <c:pt idx="22">
                  <c:v>41676</c:v>
                </c:pt>
                <c:pt idx="23">
                  <c:v>43488</c:v>
                </c:pt>
              </c:numCache>
            </c:numRef>
          </c:val>
          <c:smooth val="0"/>
          <c:extLst>
            <c:ext xmlns:c16="http://schemas.microsoft.com/office/drawing/2014/chart" uri="{C3380CC4-5D6E-409C-BE32-E72D297353CC}">
              <c16:uniqueId val="{00000001-7935-40E0-AA94-C26D3234344C}"/>
            </c:ext>
          </c:extLst>
        </c:ser>
        <c:dLbls>
          <c:showLegendKey val="0"/>
          <c:showVal val="0"/>
          <c:showCatName val="0"/>
          <c:showSerName val="0"/>
          <c:showPercent val="0"/>
          <c:showBubbleSize val="0"/>
        </c:dLbls>
        <c:marker val="1"/>
        <c:smooth val="0"/>
        <c:axId val="2067619231"/>
        <c:axId val="2067614431"/>
      </c:lineChart>
      <c:catAx>
        <c:axId val="20676192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614431"/>
        <c:crosses val="autoZero"/>
        <c:auto val="1"/>
        <c:lblAlgn val="ctr"/>
        <c:lblOffset val="100"/>
        <c:noMultiLvlLbl val="0"/>
      </c:catAx>
      <c:valAx>
        <c:axId val="20676144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Cumulative</a:t>
                </a:r>
                <a:r>
                  <a:rPr lang="en-ID" baseline="0"/>
                  <a:t> Volume</a:t>
                </a:r>
                <a:endParaRPr lang="en-ID"/>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619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9.png"/><Relationship Id="rId7" Type="http://schemas.openxmlformats.org/officeDocument/2006/relationships/image" Target="../media/image53.png"/><Relationship Id="rId12" Type="http://schemas.openxmlformats.org/officeDocument/2006/relationships/image" Target="../media/image58.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11" Type="http://schemas.openxmlformats.org/officeDocument/2006/relationships/image" Target="../media/image57.png"/><Relationship Id="rId5" Type="http://schemas.openxmlformats.org/officeDocument/2006/relationships/image" Target="../media/image51.png"/><Relationship Id="rId10" Type="http://schemas.openxmlformats.org/officeDocument/2006/relationships/image" Target="../media/image56.png"/><Relationship Id="rId4" Type="http://schemas.openxmlformats.org/officeDocument/2006/relationships/image" Target="../media/image50.png"/><Relationship Id="rId9" Type="http://schemas.openxmlformats.org/officeDocument/2006/relationships/image" Target="../media/image5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34" Type="http://schemas.openxmlformats.org/officeDocument/2006/relationships/image" Target="../media/image45.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33" Type="http://schemas.openxmlformats.org/officeDocument/2006/relationships/image" Target="../media/image44.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29" Type="http://schemas.openxmlformats.org/officeDocument/2006/relationships/image" Target="../media/image40.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32" Type="http://schemas.openxmlformats.org/officeDocument/2006/relationships/image" Target="../media/image43.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28" Type="http://schemas.openxmlformats.org/officeDocument/2006/relationships/image" Target="../media/image39.png"/><Relationship Id="rId10" Type="http://schemas.openxmlformats.org/officeDocument/2006/relationships/image" Target="../media/image21.png"/><Relationship Id="rId19" Type="http://schemas.openxmlformats.org/officeDocument/2006/relationships/image" Target="../media/image30.png"/><Relationship Id="rId31" Type="http://schemas.openxmlformats.org/officeDocument/2006/relationships/image" Target="../media/image42.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 Id="rId30" Type="http://schemas.openxmlformats.org/officeDocument/2006/relationships/image" Target="../media/image41.png"/><Relationship Id="rId35" Type="http://schemas.openxmlformats.org/officeDocument/2006/relationships/image" Target="../media/image46.png"/><Relationship Id="rId8"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13027</xdr:rowOff>
    </xdr:from>
    <xdr:to>
      <xdr:col>0</xdr:col>
      <xdr:colOff>576963</xdr:colOff>
      <xdr:row>3</xdr:row>
      <xdr:rowOff>39078</xdr:rowOff>
    </xdr:to>
    <xdr:pic>
      <xdr:nvPicPr>
        <xdr:cNvPr id="2" name="Picture 1" descr="Logo - Universitas Islam Indonesia">
          <a:extLst>
            <a:ext uri="{FF2B5EF4-FFF2-40B4-BE49-F238E27FC236}">
              <a16:creationId xmlns:a16="http://schemas.microsoft.com/office/drawing/2014/main" id="{90FAAC60-2EC0-4629-44C3-36028C3FF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027"/>
          <a:ext cx="576963" cy="573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194551</xdr:colOff>
      <xdr:row>36</xdr:row>
      <xdr:rowOff>48638</xdr:rowOff>
    </xdr:from>
    <xdr:to>
      <xdr:col>8</xdr:col>
      <xdr:colOff>340258</xdr:colOff>
      <xdr:row>42</xdr:row>
      <xdr:rowOff>48638</xdr:rowOff>
    </xdr:to>
    <xdr:pic>
      <xdr:nvPicPr>
        <xdr:cNvPr id="4" name="Picture 3">
          <a:extLst>
            <a:ext uri="{FF2B5EF4-FFF2-40B4-BE49-F238E27FC236}">
              <a16:creationId xmlns:a16="http://schemas.microsoft.com/office/drawing/2014/main" id="{20BB0AE1-B622-59BD-DDAF-AF764D0E4A8F}"/>
            </a:ext>
          </a:extLst>
        </xdr:cNvPr>
        <xdr:cNvPicPr>
          <a:picLocks noChangeAspect="1"/>
        </xdr:cNvPicPr>
      </xdr:nvPicPr>
      <xdr:blipFill rotWithShape="1">
        <a:blip xmlns:r="http://schemas.openxmlformats.org/officeDocument/2006/relationships" r:embed="rId2"/>
        <a:srcRect l="25479" t="8914" b="9078"/>
        <a:stretch/>
      </xdr:blipFill>
      <xdr:spPr>
        <a:xfrm>
          <a:off x="1410508" y="6760723"/>
          <a:ext cx="3793580" cy="1118681"/>
        </a:xfrm>
        <a:prstGeom prst="rect">
          <a:avLst/>
        </a:prstGeom>
      </xdr:spPr>
    </xdr:pic>
    <xdr:clientData/>
  </xdr:twoCellAnchor>
  <xdr:twoCellAnchor editAs="oneCell">
    <xdr:from>
      <xdr:col>2</xdr:col>
      <xdr:colOff>178336</xdr:colOff>
      <xdr:row>42</xdr:row>
      <xdr:rowOff>16219</xdr:rowOff>
    </xdr:from>
    <xdr:to>
      <xdr:col>8</xdr:col>
      <xdr:colOff>348414</xdr:colOff>
      <xdr:row>45</xdr:row>
      <xdr:rowOff>36049</xdr:rowOff>
    </xdr:to>
    <xdr:pic>
      <xdr:nvPicPr>
        <xdr:cNvPr id="5" name="Picture 4">
          <a:extLst>
            <a:ext uri="{FF2B5EF4-FFF2-40B4-BE49-F238E27FC236}">
              <a16:creationId xmlns:a16="http://schemas.microsoft.com/office/drawing/2014/main" id="{3B98C4B1-76A1-3F5D-E261-5DAA2DEECFF7}"/>
            </a:ext>
          </a:extLst>
        </xdr:cNvPr>
        <xdr:cNvPicPr>
          <a:picLocks noChangeAspect="1"/>
        </xdr:cNvPicPr>
      </xdr:nvPicPr>
      <xdr:blipFill>
        <a:blip xmlns:r="http://schemas.openxmlformats.org/officeDocument/2006/relationships" r:embed="rId3"/>
        <a:stretch>
          <a:fillRect/>
        </a:stretch>
      </xdr:blipFill>
      <xdr:spPr>
        <a:xfrm>
          <a:off x="1394293" y="7846985"/>
          <a:ext cx="3817951" cy="579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220980</xdr:colOff>
      <xdr:row>10</xdr:row>
      <xdr:rowOff>38100</xdr:rowOff>
    </xdr:from>
    <xdr:to>
      <xdr:col>3</xdr:col>
      <xdr:colOff>472440</xdr:colOff>
      <xdr:row>12</xdr:row>
      <xdr:rowOff>91440</xdr:rowOff>
    </xdr:to>
    <xdr:sp macro="" textlink="">
      <xdr:nvSpPr>
        <xdr:cNvPr id="4" name="Rectangle 3">
          <a:extLst>
            <a:ext uri="{FF2B5EF4-FFF2-40B4-BE49-F238E27FC236}">
              <a16:creationId xmlns:a16="http://schemas.microsoft.com/office/drawing/2014/main" id="{665D1528-9D70-CDDA-EF36-04B53F3776B9}"/>
            </a:ext>
          </a:extLst>
        </xdr:cNvPr>
        <xdr:cNvSpPr/>
      </xdr:nvSpPr>
      <xdr:spPr>
        <a:xfrm>
          <a:off x="1440180" y="1882140"/>
          <a:ext cx="861060" cy="41910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xdr:from>
      <xdr:col>5</xdr:col>
      <xdr:colOff>243840</xdr:colOff>
      <xdr:row>9</xdr:row>
      <xdr:rowOff>160020</xdr:rowOff>
    </xdr:from>
    <xdr:to>
      <xdr:col>6</xdr:col>
      <xdr:colOff>289560</xdr:colOff>
      <xdr:row>12</xdr:row>
      <xdr:rowOff>160020</xdr:rowOff>
    </xdr:to>
    <xdr:sp macro="" textlink="">
      <xdr:nvSpPr>
        <xdr:cNvPr id="7" name="Rectangle 6">
          <a:extLst>
            <a:ext uri="{FF2B5EF4-FFF2-40B4-BE49-F238E27FC236}">
              <a16:creationId xmlns:a16="http://schemas.microsoft.com/office/drawing/2014/main" id="{CB0A4460-6288-4184-B451-7C5039A898C3}"/>
            </a:ext>
          </a:extLst>
        </xdr:cNvPr>
        <xdr:cNvSpPr/>
      </xdr:nvSpPr>
      <xdr:spPr>
        <a:xfrm>
          <a:off x="3291840" y="1821180"/>
          <a:ext cx="65532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ID" sz="1100" b="1"/>
            <a:t>Coarse screen</a:t>
          </a:r>
        </a:p>
      </xdr:txBody>
    </xdr:sp>
    <xdr:clientData/>
  </xdr:twoCellAnchor>
  <xdr:twoCellAnchor>
    <xdr:from>
      <xdr:col>8</xdr:col>
      <xdr:colOff>251460</xdr:colOff>
      <xdr:row>9</xdr:row>
      <xdr:rowOff>152400</xdr:rowOff>
    </xdr:from>
    <xdr:to>
      <xdr:col>9</xdr:col>
      <xdr:colOff>297180</xdr:colOff>
      <xdr:row>12</xdr:row>
      <xdr:rowOff>152400</xdr:rowOff>
    </xdr:to>
    <xdr:sp macro="" textlink="">
      <xdr:nvSpPr>
        <xdr:cNvPr id="10" name="Rectangle 9">
          <a:extLst>
            <a:ext uri="{FF2B5EF4-FFF2-40B4-BE49-F238E27FC236}">
              <a16:creationId xmlns:a16="http://schemas.microsoft.com/office/drawing/2014/main" id="{F81D66BE-2C52-4E61-A79B-4B8203665DFC}"/>
            </a:ext>
          </a:extLst>
        </xdr:cNvPr>
        <xdr:cNvSpPr/>
      </xdr:nvSpPr>
      <xdr:spPr>
        <a:xfrm>
          <a:off x="5128260" y="1813560"/>
          <a:ext cx="65532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ID" sz="1100" b="1"/>
            <a:t>Fine screen</a:t>
          </a:r>
        </a:p>
      </xdr:txBody>
    </xdr:sp>
    <xdr:clientData/>
  </xdr:twoCellAnchor>
  <xdr:twoCellAnchor>
    <xdr:from>
      <xdr:col>11</xdr:col>
      <xdr:colOff>160020</xdr:colOff>
      <xdr:row>9</xdr:row>
      <xdr:rowOff>152400</xdr:rowOff>
    </xdr:from>
    <xdr:to>
      <xdr:col>12</xdr:col>
      <xdr:colOff>441960</xdr:colOff>
      <xdr:row>12</xdr:row>
      <xdr:rowOff>152400</xdr:rowOff>
    </xdr:to>
    <xdr:sp macro="" textlink="">
      <xdr:nvSpPr>
        <xdr:cNvPr id="13" name="Rectangle 12">
          <a:extLst>
            <a:ext uri="{FF2B5EF4-FFF2-40B4-BE49-F238E27FC236}">
              <a16:creationId xmlns:a16="http://schemas.microsoft.com/office/drawing/2014/main" id="{8770C275-203B-426E-BDB3-22FE8753DD50}"/>
            </a:ext>
          </a:extLst>
        </xdr:cNvPr>
        <xdr:cNvSpPr/>
      </xdr:nvSpPr>
      <xdr:spPr>
        <a:xfrm>
          <a:off x="6865620" y="181356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2</xdr:col>
      <xdr:colOff>419101</xdr:colOff>
      <xdr:row>10</xdr:row>
      <xdr:rowOff>76200</xdr:rowOff>
    </xdr:from>
    <xdr:to>
      <xdr:col>3</xdr:col>
      <xdr:colOff>228600</xdr:colOff>
      <xdr:row>12</xdr:row>
      <xdr:rowOff>6275</xdr:rowOff>
    </xdr:to>
    <xdr:pic>
      <xdr:nvPicPr>
        <xdr:cNvPr id="26" name="Picture 25">
          <a:extLst>
            <a:ext uri="{FF2B5EF4-FFF2-40B4-BE49-F238E27FC236}">
              <a16:creationId xmlns:a16="http://schemas.microsoft.com/office/drawing/2014/main" id="{A2123D75-3C60-6F37-69E8-E36B8DE2E52A}"/>
            </a:ext>
          </a:extLst>
        </xdr:cNvPr>
        <xdr:cNvPicPr>
          <a:picLocks noChangeAspect="1"/>
        </xdr:cNvPicPr>
      </xdr:nvPicPr>
      <xdr:blipFill>
        <a:blip xmlns:r="http://schemas.openxmlformats.org/officeDocument/2006/relationships" r:embed="rId1"/>
        <a:stretch>
          <a:fillRect/>
        </a:stretch>
      </xdr:blipFill>
      <xdr:spPr>
        <a:xfrm>
          <a:off x="1638301" y="1920240"/>
          <a:ext cx="419099" cy="295835"/>
        </a:xfrm>
        <a:prstGeom prst="rect">
          <a:avLst/>
        </a:prstGeom>
      </xdr:spPr>
    </xdr:pic>
    <xdr:clientData/>
  </xdr:twoCellAnchor>
  <xdr:twoCellAnchor editAs="oneCell">
    <xdr:from>
      <xdr:col>11</xdr:col>
      <xdr:colOff>297181</xdr:colOff>
      <xdr:row>10</xdr:row>
      <xdr:rowOff>15241</xdr:rowOff>
    </xdr:from>
    <xdr:to>
      <xdr:col>12</xdr:col>
      <xdr:colOff>274321</xdr:colOff>
      <xdr:row>12</xdr:row>
      <xdr:rowOff>71933</xdr:rowOff>
    </xdr:to>
    <xdr:pic>
      <xdr:nvPicPr>
        <xdr:cNvPr id="28" name="Picture 27">
          <a:extLst>
            <a:ext uri="{FF2B5EF4-FFF2-40B4-BE49-F238E27FC236}">
              <a16:creationId xmlns:a16="http://schemas.microsoft.com/office/drawing/2014/main" id="{E9479776-20E2-F436-5A80-15975F7E8E98}"/>
            </a:ext>
          </a:extLst>
        </xdr:cNvPr>
        <xdr:cNvPicPr>
          <a:picLocks noChangeAspect="1"/>
        </xdr:cNvPicPr>
      </xdr:nvPicPr>
      <xdr:blipFill>
        <a:blip xmlns:r="http://schemas.openxmlformats.org/officeDocument/2006/relationships" r:embed="rId2"/>
        <a:stretch>
          <a:fillRect/>
        </a:stretch>
      </xdr:blipFill>
      <xdr:spPr>
        <a:xfrm>
          <a:off x="7002781" y="1859281"/>
          <a:ext cx="586740" cy="422452"/>
        </a:xfrm>
        <a:prstGeom prst="rect">
          <a:avLst/>
        </a:prstGeom>
      </xdr:spPr>
    </xdr:pic>
    <xdr:clientData/>
  </xdr:twoCellAnchor>
  <xdr:twoCellAnchor>
    <xdr:from>
      <xdr:col>14</xdr:col>
      <xdr:colOff>175260</xdr:colOff>
      <xdr:row>9</xdr:row>
      <xdr:rowOff>167640</xdr:rowOff>
    </xdr:from>
    <xdr:to>
      <xdr:col>15</xdr:col>
      <xdr:colOff>457200</xdr:colOff>
      <xdr:row>12</xdr:row>
      <xdr:rowOff>167640</xdr:rowOff>
    </xdr:to>
    <xdr:sp macro="" textlink="">
      <xdr:nvSpPr>
        <xdr:cNvPr id="29" name="Rectangle 28">
          <a:extLst>
            <a:ext uri="{FF2B5EF4-FFF2-40B4-BE49-F238E27FC236}">
              <a16:creationId xmlns:a16="http://schemas.microsoft.com/office/drawing/2014/main" id="{91B65724-263B-40A7-A65C-45F2440860E5}"/>
            </a:ext>
          </a:extLst>
        </xdr:cNvPr>
        <xdr:cNvSpPr/>
      </xdr:nvSpPr>
      <xdr:spPr>
        <a:xfrm>
          <a:off x="8709660" y="182880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14</xdr:col>
      <xdr:colOff>297181</xdr:colOff>
      <xdr:row>10</xdr:row>
      <xdr:rowOff>22860</xdr:rowOff>
    </xdr:from>
    <xdr:to>
      <xdr:col>15</xdr:col>
      <xdr:colOff>304801</xdr:colOff>
      <xdr:row>12</xdr:row>
      <xdr:rowOff>110663</xdr:rowOff>
    </xdr:to>
    <xdr:pic>
      <xdr:nvPicPr>
        <xdr:cNvPr id="30" name="Picture 29">
          <a:extLst>
            <a:ext uri="{FF2B5EF4-FFF2-40B4-BE49-F238E27FC236}">
              <a16:creationId xmlns:a16="http://schemas.microsoft.com/office/drawing/2014/main" id="{3EFD4933-C1A3-A768-FE27-72A2C141EE69}"/>
            </a:ext>
          </a:extLst>
        </xdr:cNvPr>
        <xdr:cNvPicPr>
          <a:picLocks noChangeAspect="1"/>
        </xdr:cNvPicPr>
      </xdr:nvPicPr>
      <xdr:blipFill>
        <a:blip xmlns:r="http://schemas.openxmlformats.org/officeDocument/2006/relationships" r:embed="rId3"/>
        <a:stretch>
          <a:fillRect/>
        </a:stretch>
      </xdr:blipFill>
      <xdr:spPr>
        <a:xfrm>
          <a:off x="8831581" y="1866900"/>
          <a:ext cx="617220" cy="453563"/>
        </a:xfrm>
        <a:prstGeom prst="rect">
          <a:avLst/>
        </a:prstGeom>
      </xdr:spPr>
    </xdr:pic>
    <xdr:clientData/>
  </xdr:twoCellAnchor>
  <xdr:twoCellAnchor>
    <xdr:from>
      <xdr:col>17</xdr:col>
      <xdr:colOff>175260</xdr:colOff>
      <xdr:row>9</xdr:row>
      <xdr:rowOff>175260</xdr:rowOff>
    </xdr:from>
    <xdr:to>
      <xdr:col>18</xdr:col>
      <xdr:colOff>457200</xdr:colOff>
      <xdr:row>12</xdr:row>
      <xdr:rowOff>175260</xdr:rowOff>
    </xdr:to>
    <xdr:sp macro="" textlink="">
      <xdr:nvSpPr>
        <xdr:cNvPr id="31" name="Rectangle 30">
          <a:extLst>
            <a:ext uri="{FF2B5EF4-FFF2-40B4-BE49-F238E27FC236}">
              <a16:creationId xmlns:a16="http://schemas.microsoft.com/office/drawing/2014/main" id="{E5D19D8F-05B1-480C-A133-610A141F4FDC}"/>
            </a:ext>
          </a:extLst>
        </xdr:cNvPr>
        <xdr:cNvSpPr/>
      </xdr:nvSpPr>
      <xdr:spPr>
        <a:xfrm>
          <a:off x="10538460" y="183642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17</xdr:col>
      <xdr:colOff>320040</xdr:colOff>
      <xdr:row>10</xdr:row>
      <xdr:rowOff>22861</xdr:rowOff>
    </xdr:from>
    <xdr:to>
      <xdr:col>18</xdr:col>
      <xdr:colOff>304063</xdr:colOff>
      <xdr:row>12</xdr:row>
      <xdr:rowOff>137161</xdr:rowOff>
    </xdr:to>
    <xdr:pic>
      <xdr:nvPicPr>
        <xdr:cNvPr id="32" name="Picture 31">
          <a:extLst>
            <a:ext uri="{FF2B5EF4-FFF2-40B4-BE49-F238E27FC236}">
              <a16:creationId xmlns:a16="http://schemas.microsoft.com/office/drawing/2014/main" id="{F8C55A1C-9769-BFB0-5F31-77BA7D27E3F2}"/>
            </a:ext>
          </a:extLst>
        </xdr:cNvPr>
        <xdr:cNvPicPr>
          <a:picLocks noChangeAspect="1"/>
        </xdr:cNvPicPr>
      </xdr:nvPicPr>
      <xdr:blipFill>
        <a:blip xmlns:r="http://schemas.openxmlformats.org/officeDocument/2006/relationships" r:embed="rId4"/>
        <a:stretch>
          <a:fillRect/>
        </a:stretch>
      </xdr:blipFill>
      <xdr:spPr>
        <a:xfrm>
          <a:off x="10683240" y="1866901"/>
          <a:ext cx="593623" cy="480060"/>
        </a:xfrm>
        <a:prstGeom prst="rect">
          <a:avLst/>
        </a:prstGeom>
      </xdr:spPr>
    </xdr:pic>
    <xdr:clientData/>
  </xdr:twoCellAnchor>
  <xdr:twoCellAnchor>
    <xdr:from>
      <xdr:col>20</xdr:col>
      <xdr:colOff>304800</xdr:colOff>
      <xdr:row>9</xdr:row>
      <xdr:rowOff>167640</xdr:rowOff>
    </xdr:from>
    <xdr:to>
      <xdr:col>21</xdr:col>
      <xdr:colOff>586740</xdr:colOff>
      <xdr:row>12</xdr:row>
      <xdr:rowOff>167640</xdr:rowOff>
    </xdr:to>
    <xdr:sp macro="" textlink="">
      <xdr:nvSpPr>
        <xdr:cNvPr id="34" name="Rectangle 33">
          <a:extLst>
            <a:ext uri="{FF2B5EF4-FFF2-40B4-BE49-F238E27FC236}">
              <a16:creationId xmlns:a16="http://schemas.microsoft.com/office/drawing/2014/main" id="{54BFE26D-3252-46A9-91F3-48AB03D1BA00}"/>
            </a:ext>
          </a:extLst>
        </xdr:cNvPr>
        <xdr:cNvSpPr/>
      </xdr:nvSpPr>
      <xdr:spPr>
        <a:xfrm>
          <a:off x="12496800" y="182880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20</xdr:col>
      <xdr:colOff>457200</xdr:colOff>
      <xdr:row>10</xdr:row>
      <xdr:rowOff>30480</xdr:rowOff>
    </xdr:from>
    <xdr:to>
      <xdr:col>21</xdr:col>
      <xdr:colOff>403860</xdr:colOff>
      <xdr:row>12</xdr:row>
      <xdr:rowOff>124439</xdr:rowOff>
    </xdr:to>
    <xdr:pic>
      <xdr:nvPicPr>
        <xdr:cNvPr id="35" name="Picture 34">
          <a:extLst>
            <a:ext uri="{FF2B5EF4-FFF2-40B4-BE49-F238E27FC236}">
              <a16:creationId xmlns:a16="http://schemas.microsoft.com/office/drawing/2014/main" id="{2C783CF4-EE8A-021D-D1BB-1D5A8E264CB2}"/>
            </a:ext>
          </a:extLst>
        </xdr:cNvPr>
        <xdr:cNvPicPr>
          <a:picLocks noChangeAspect="1"/>
        </xdr:cNvPicPr>
      </xdr:nvPicPr>
      <xdr:blipFill>
        <a:blip xmlns:r="http://schemas.openxmlformats.org/officeDocument/2006/relationships" r:embed="rId5"/>
        <a:stretch>
          <a:fillRect/>
        </a:stretch>
      </xdr:blipFill>
      <xdr:spPr>
        <a:xfrm>
          <a:off x="12649200" y="1874520"/>
          <a:ext cx="556260" cy="459719"/>
        </a:xfrm>
        <a:prstGeom prst="rect">
          <a:avLst/>
        </a:prstGeom>
      </xdr:spPr>
    </xdr:pic>
    <xdr:clientData/>
  </xdr:twoCellAnchor>
  <xdr:twoCellAnchor>
    <xdr:from>
      <xdr:col>20</xdr:col>
      <xdr:colOff>228600</xdr:colOff>
      <xdr:row>26</xdr:row>
      <xdr:rowOff>68580</xdr:rowOff>
    </xdr:from>
    <xdr:to>
      <xdr:col>21</xdr:col>
      <xdr:colOff>510540</xdr:colOff>
      <xdr:row>29</xdr:row>
      <xdr:rowOff>68580</xdr:rowOff>
    </xdr:to>
    <xdr:sp macro="" textlink="">
      <xdr:nvSpPr>
        <xdr:cNvPr id="37" name="Rectangle 36">
          <a:extLst>
            <a:ext uri="{FF2B5EF4-FFF2-40B4-BE49-F238E27FC236}">
              <a16:creationId xmlns:a16="http://schemas.microsoft.com/office/drawing/2014/main" id="{328C7279-F8DF-4BF6-B9CB-096C793C0E10}"/>
            </a:ext>
          </a:extLst>
        </xdr:cNvPr>
        <xdr:cNvSpPr/>
      </xdr:nvSpPr>
      <xdr:spPr>
        <a:xfrm>
          <a:off x="12420600" y="485394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20</xdr:col>
      <xdr:colOff>342900</xdr:colOff>
      <xdr:row>26</xdr:row>
      <xdr:rowOff>129540</xdr:rowOff>
    </xdr:from>
    <xdr:to>
      <xdr:col>21</xdr:col>
      <xdr:colOff>373380</xdr:colOff>
      <xdr:row>29</xdr:row>
      <xdr:rowOff>9525</xdr:rowOff>
    </xdr:to>
    <xdr:pic>
      <xdr:nvPicPr>
        <xdr:cNvPr id="38" name="Picture 37">
          <a:extLst>
            <a:ext uri="{FF2B5EF4-FFF2-40B4-BE49-F238E27FC236}">
              <a16:creationId xmlns:a16="http://schemas.microsoft.com/office/drawing/2014/main" id="{878E0F98-3D9E-9361-7E26-2CE2336FF89C}"/>
            </a:ext>
          </a:extLst>
        </xdr:cNvPr>
        <xdr:cNvPicPr>
          <a:picLocks noChangeAspect="1"/>
        </xdr:cNvPicPr>
      </xdr:nvPicPr>
      <xdr:blipFill>
        <a:blip xmlns:r="http://schemas.openxmlformats.org/officeDocument/2006/relationships" r:embed="rId6"/>
        <a:stretch>
          <a:fillRect/>
        </a:stretch>
      </xdr:blipFill>
      <xdr:spPr>
        <a:xfrm>
          <a:off x="12534900" y="4914900"/>
          <a:ext cx="640080" cy="428625"/>
        </a:xfrm>
        <a:prstGeom prst="rect">
          <a:avLst/>
        </a:prstGeom>
      </xdr:spPr>
    </xdr:pic>
    <xdr:clientData/>
  </xdr:twoCellAnchor>
  <xdr:twoCellAnchor>
    <xdr:from>
      <xdr:col>17</xdr:col>
      <xdr:colOff>167640</xdr:colOff>
      <xdr:row>26</xdr:row>
      <xdr:rowOff>68580</xdr:rowOff>
    </xdr:from>
    <xdr:to>
      <xdr:col>18</xdr:col>
      <xdr:colOff>449580</xdr:colOff>
      <xdr:row>29</xdr:row>
      <xdr:rowOff>68580</xdr:rowOff>
    </xdr:to>
    <xdr:sp macro="" textlink="">
      <xdr:nvSpPr>
        <xdr:cNvPr id="39" name="Rectangle 38">
          <a:extLst>
            <a:ext uri="{FF2B5EF4-FFF2-40B4-BE49-F238E27FC236}">
              <a16:creationId xmlns:a16="http://schemas.microsoft.com/office/drawing/2014/main" id="{FC9E49D2-749A-4E62-A892-803198601893}"/>
            </a:ext>
          </a:extLst>
        </xdr:cNvPr>
        <xdr:cNvSpPr/>
      </xdr:nvSpPr>
      <xdr:spPr>
        <a:xfrm>
          <a:off x="10530840" y="485394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17</xdr:col>
      <xdr:colOff>350520</xdr:colOff>
      <xdr:row>26</xdr:row>
      <xdr:rowOff>114301</xdr:rowOff>
    </xdr:from>
    <xdr:to>
      <xdr:col>18</xdr:col>
      <xdr:colOff>267694</xdr:colOff>
      <xdr:row>29</xdr:row>
      <xdr:rowOff>22861</xdr:rowOff>
    </xdr:to>
    <xdr:pic>
      <xdr:nvPicPr>
        <xdr:cNvPr id="40" name="Picture 39">
          <a:extLst>
            <a:ext uri="{FF2B5EF4-FFF2-40B4-BE49-F238E27FC236}">
              <a16:creationId xmlns:a16="http://schemas.microsoft.com/office/drawing/2014/main" id="{EBBD599C-435E-2D95-F8F2-18F180C0900D}"/>
            </a:ext>
          </a:extLst>
        </xdr:cNvPr>
        <xdr:cNvPicPr>
          <a:picLocks noChangeAspect="1"/>
        </xdr:cNvPicPr>
      </xdr:nvPicPr>
      <xdr:blipFill>
        <a:blip xmlns:r="http://schemas.openxmlformats.org/officeDocument/2006/relationships" r:embed="rId7"/>
        <a:stretch>
          <a:fillRect/>
        </a:stretch>
      </xdr:blipFill>
      <xdr:spPr>
        <a:xfrm>
          <a:off x="10713720" y="4899661"/>
          <a:ext cx="526774" cy="457200"/>
        </a:xfrm>
        <a:prstGeom prst="rect">
          <a:avLst/>
        </a:prstGeom>
      </xdr:spPr>
    </xdr:pic>
    <xdr:clientData/>
  </xdr:twoCellAnchor>
  <xdr:twoCellAnchor>
    <xdr:from>
      <xdr:col>14</xdr:col>
      <xdr:colOff>160020</xdr:colOff>
      <xdr:row>26</xdr:row>
      <xdr:rowOff>68580</xdr:rowOff>
    </xdr:from>
    <xdr:to>
      <xdr:col>15</xdr:col>
      <xdr:colOff>441960</xdr:colOff>
      <xdr:row>29</xdr:row>
      <xdr:rowOff>68580</xdr:rowOff>
    </xdr:to>
    <xdr:sp macro="" textlink="">
      <xdr:nvSpPr>
        <xdr:cNvPr id="41" name="Rectangle 40">
          <a:extLst>
            <a:ext uri="{FF2B5EF4-FFF2-40B4-BE49-F238E27FC236}">
              <a16:creationId xmlns:a16="http://schemas.microsoft.com/office/drawing/2014/main" id="{C5FC655B-398C-49AE-974F-7C81E46E322B}"/>
            </a:ext>
          </a:extLst>
        </xdr:cNvPr>
        <xdr:cNvSpPr/>
      </xdr:nvSpPr>
      <xdr:spPr>
        <a:xfrm>
          <a:off x="8694420" y="485394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14</xdr:col>
      <xdr:colOff>243841</xdr:colOff>
      <xdr:row>26</xdr:row>
      <xdr:rowOff>121920</xdr:rowOff>
    </xdr:from>
    <xdr:to>
      <xdr:col>15</xdr:col>
      <xdr:colOff>358637</xdr:colOff>
      <xdr:row>29</xdr:row>
      <xdr:rowOff>30480</xdr:rowOff>
    </xdr:to>
    <xdr:pic>
      <xdr:nvPicPr>
        <xdr:cNvPr id="42" name="Picture 41">
          <a:extLst>
            <a:ext uri="{FF2B5EF4-FFF2-40B4-BE49-F238E27FC236}">
              <a16:creationId xmlns:a16="http://schemas.microsoft.com/office/drawing/2014/main" id="{230148F3-D337-CF50-776E-F7B456DB1375}"/>
            </a:ext>
          </a:extLst>
        </xdr:cNvPr>
        <xdr:cNvPicPr>
          <a:picLocks noChangeAspect="1"/>
        </xdr:cNvPicPr>
      </xdr:nvPicPr>
      <xdr:blipFill>
        <a:blip xmlns:r="http://schemas.openxmlformats.org/officeDocument/2006/relationships" r:embed="rId8"/>
        <a:stretch>
          <a:fillRect/>
        </a:stretch>
      </xdr:blipFill>
      <xdr:spPr>
        <a:xfrm>
          <a:off x="8778241" y="4907280"/>
          <a:ext cx="724396" cy="457200"/>
        </a:xfrm>
        <a:prstGeom prst="rect">
          <a:avLst/>
        </a:prstGeom>
      </xdr:spPr>
    </xdr:pic>
    <xdr:clientData/>
  </xdr:twoCellAnchor>
  <xdr:twoCellAnchor>
    <xdr:from>
      <xdr:col>2</xdr:col>
      <xdr:colOff>114300</xdr:colOff>
      <xdr:row>34</xdr:row>
      <xdr:rowOff>76200</xdr:rowOff>
    </xdr:from>
    <xdr:to>
      <xdr:col>3</xdr:col>
      <xdr:colOff>396240</xdr:colOff>
      <xdr:row>37</xdr:row>
      <xdr:rowOff>76200</xdr:rowOff>
    </xdr:to>
    <xdr:sp macro="" textlink="">
      <xdr:nvSpPr>
        <xdr:cNvPr id="43" name="Rectangle 42">
          <a:extLst>
            <a:ext uri="{FF2B5EF4-FFF2-40B4-BE49-F238E27FC236}">
              <a16:creationId xmlns:a16="http://schemas.microsoft.com/office/drawing/2014/main" id="{BB589598-99C6-4BA4-A067-3C6160D9FD80}"/>
            </a:ext>
          </a:extLst>
        </xdr:cNvPr>
        <xdr:cNvSpPr/>
      </xdr:nvSpPr>
      <xdr:spPr>
        <a:xfrm>
          <a:off x="1333500" y="632460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2</xdr:col>
      <xdr:colOff>274320</xdr:colOff>
      <xdr:row>34</xdr:row>
      <xdr:rowOff>137161</xdr:rowOff>
    </xdr:from>
    <xdr:to>
      <xdr:col>3</xdr:col>
      <xdr:colOff>176007</xdr:colOff>
      <xdr:row>37</xdr:row>
      <xdr:rowOff>38100</xdr:rowOff>
    </xdr:to>
    <xdr:pic>
      <xdr:nvPicPr>
        <xdr:cNvPr id="44" name="Picture 43">
          <a:extLst>
            <a:ext uri="{FF2B5EF4-FFF2-40B4-BE49-F238E27FC236}">
              <a16:creationId xmlns:a16="http://schemas.microsoft.com/office/drawing/2014/main" id="{E5B7643E-A8AD-8115-1F33-9F4DBF4CA3B9}"/>
            </a:ext>
          </a:extLst>
        </xdr:cNvPr>
        <xdr:cNvPicPr>
          <a:picLocks noChangeAspect="1"/>
        </xdr:cNvPicPr>
      </xdr:nvPicPr>
      <xdr:blipFill>
        <a:blip xmlns:r="http://schemas.openxmlformats.org/officeDocument/2006/relationships" r:embed="rId9"/>
        <a:stretch>
          <a:fillRect/>
        </a:stretch>
      </xdr:blipFill>
      <xdr:spPr>
        <a:xfrm>
          <a:off x="1493520" y="6385561"/>
          <a:ext cx="511287" cy="449579"/>
        </a:xfrm>
        <a:prstGeom prst="rect">
          <a:avLst/>
        </a:prstGeom>
      </xdr:spPr>
    </xdr:pic>
    <xdr:clientData/>
  </xdr:twoCellAnchor>
  <xdr:twoCellAnchor>
    <xdr:from>
      <xdr:col>5</xdr:col>
      <xdr:colOff>76200</xdr:colOff>
      <xdr:row>34</xdr:row>
      <xdr:rowOff>76200</xdr:rowOff>
    </xdr:from>
    <xdr:to>
      <xdr:col>6</xdr:col>
      <xdr:colOff>358140</xdr:colOff>
      <xdr:row>37</xdr:row>
      <xdr:rowOff>76200</xdr:rowOff>
    </xdr:to>
    <xdr:sp macro="" textlink="">
      <xdr:nvSpPr>
        <xdr:cNvPr id="45" name="Rectangle 44">
          <a:extLst>
            <a:ext uri="{FF2B5EF4-FFF2-40B4-BE49-F238E27FC236}">
              <a16:creationId xmlns:a16="http://schemas.microsoft.com/office/drawing/2014/main" id="{3D4368F2-C188-4A87-A8C5-8AF126A50323}"/>
            </a:ext>
          </a:extLst>
        </xdr:cNvPr>
        <xdr:cNvSpPr/>
      </xdr:nvSpPr>
      <xdr:spPr>
        <a:xfrm>
          <a:off x="3124200" y="633984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5</xdr:col>
      <xdr:colOff>243840</xdr:colOff>
      <xdr:row>34</xdr:row>
      <xdr:rowOff>114300</xdr:rowOff>
    </xdr:from>
    <xdr:to>
      <xdr:col>6</xdr:col>
      <xdr:colOff>218099</xdr:colOff>
      <xdr:row>37</xdr:row>
      <xdr:rowOff>30480</xdr:rowOff>
    </xdr:to>
    <xdr:pic>
      <xdr:nvPicPr>
        <xdr:cNvPr id="46" name="Picture 45">
          <a:extLst>
            <a:ext uri="{FF2B5EF4-FFF2-40B4-BE49-F238E27FC236}">
              <a16:creationId xmlns:a16="http://schemas.microsoft.com/office/drawing/2014/main" id="{21B55E19-913B-F54E-47D8-3EDB3AB77E8A}"/>
            </a:ext>
          </a:extLst>
        </xdr:cNvPr>
        <xdr:cNvPicPr>
          <a:picLocks noChangeAspect="1"/>
        </xdr:cNvPicPr>
      </xdr:nvPicPr>
      <xdr:blipFill>
        <a:blip xmlns:r="http://schemas.openxmlformats.org/officeDocument/2006/relationships" r:embed="rId10"/>
        <a:stretch>
          <a:fillRect/>
        </a:stretch>
      </xdr:blipFill>
      <xdr:spPr>
        <a:xfrm>
          <a:off x="3291840" y="6377940"/>
          <a:ext cx="583859" cy="464820"/>
        </a:xfrm>
        <a:prstGeom prst="rect">
          <a:avLst/>
        </a:prstGeom>
      </xdr:spPr>
    </xdr:pic>
    <xdr:clientData/>
  </xdr:twoCellAnchor>
  <xdr:twoCellAnchor>
    <xdr:from>
      <xdr:col>8</xdr:col>
      <xdr:colOff>152400</xdr:colOff>
      <xdr:row>34</xdr:row>
      <xdr:rowOff>68580</xdr:rowOff>
    </xdr:from>
    <xdr:to>
      <xdr:col>9</xdr:col>
      <xdr:colOff>434340</xdr:colOff>
      <xdr:row>37</xdr:row>
      <xdr:rowOff>68580</xdr:rowOff>
    </xdr:to>
    <xdr:sp macro="" textlink="">
      <xdr:nvSpPr>
        <xdr:cNvPr id="48" name="Rectangle 47">
          <a:extLst>
            <a:ext uri="{FF2B5EF4-FFF2-40B4-BE49-F238E27FC236}">
              <a16:creationId xmlns:a16="http://schemas.microsoft.com/office/drawing/2014/main" id="{F0ABAC38-2E05-4C6D-ADAC-10E02AFF6CC9}"/>
            </a:ext>
          </a:extLst>
        </xdr:cNvPr>
        <xdr:cNvSpPr/>
      </xdr:nvSpPr>
      <xdr:spPr>
        <a:xfrm>
          <a:off x="5029200" y="6332220"/>
          <a:ext cx="891540" cy="54864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8</xdr:col>
      <xdr:colOff>327661</xdr:colOff>
      <xdr:row>34</xdr:row>
      <xdr:rowOff>106680</xdr:rowOff>
    </xdr:from>
    <xdr:to>
      <xdr:col>9</xdr:col>
      <xdr:colOff>236535</xdr:colOff>
      <xdr:row>37</xdr:row>
      <xdr:rowOff>15240</xdr:rowOff>
    </xdr:to>
    <xdr:pic>
      <xdr:nvPicPr>
        <xdr:cNvPr id="49" name="Picture 48">
          <a:extLst>
            <a:ext uri="{FF2B5EF4-FFF2-40B4-BE49-F238E27FC236}">
              <a16:creationId xmlns:a16="http://schemas.microsoft.com/office/drawing/2014/main" id="{2D0AA597-6B19-835C-B7A5-F3AC781ACB5E}"/>
            </a:ext>
          </a:extLst>
        </xdr:cNvPr>
        <xdr:cNvPicPr>
          <a:picLocks noChangeAspect="1"/>
        </xdr:cNvPicPr>
      </xdr:nvPicPr>
      <xdr:blipFill>
        <a:blip xmlns:r="http://schemas.openxmlformats.org/officeDocument/2006/relationships" r:embed="rId11"/>
        <a:stretch>
          <a:fillRect/>
        </a:stretch>
      </xdr:blipFill>
      <xdr:spPr>
        <a:xfrm>
          <a:off x="5204461" y="6370320"/>
          <a:ext cx="518474" cy="457200"/>
        </a:xfrm>
        <a:prstGeom prst="rect">
          <a:avLst/>
        </a:prstGeom>
      </xdr:spPr>
    </xdr:pic>
    <xdr:clientData/>
  </xdr:twoCellAnchor>
  <xdr:twoCellAnchor>
    <xdr:from>
      <xdr:col>3</xdr:col>
      <xdr:colOff>472440</xdr:colOff>
      <xdr:row>11</xdr:row>
      <xdr:rowOff>64770</xdr:rowOff>
    </xdr:from>
    <xdr:to>
      <xdr:col>5</xdr:col>
      <xdr:colOff>182880</xdr:colOff>
      <xdr:row>11</xdr:row>
      <xdr:rowOff>68580</xdr:rowOff>
    </xdr:to>
    <xdr:cxnSp macro="">
      <xdr:nvCxnSpPr>
        <xdr:cNvPr id="56" name="Straight Arrow Connector 55">
          <a:extLst>
            <a:ext uri="{FF2B5EF4-FFF2-40B4-BE49-F238E27FC236}">
              <a16:creationId xmlns:a16="http://schemas.microsoft.com/office/drawing/2014/main" id="{34014B0A-9121-8A1C-99D0-18D33C37954B}"/>
            </a:ext>
          </a:extLst>
        </xdr:cNvPr>
        <xdr:cNvCxnSpPr>
          <a:stCxn id="4" idx="3"/>
        </xdr:cNvCxnSpPr>
      </xdr:nvCxnSpPr>
      <xdr:spPr>
        <a:xfrm>
          <a:off x="2301240" y="2091690"/>
          <a:ext cx="929640" cy="381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289560</xdr:colOff>
      <xdr:row>11</xdr:row>
      <xdr:rowOff>60960</xdr:rowOff>
    </xdr:from>
    <xdr:to>
      <xdr:col>8</xdr:col>
      <xdr:colOff>182880</xdr:colOff>
      <xdr:row>11</xdr:row>
      <xdr:rowOff>68580</xdr:rowOff>
    </xdr:to>
    <xdr:cxnSp macro="">
      <xdr:nvCxnSpPr>
        <xdr:cNvPr id="58" name="Straight Arrow Connector 57">
          <a:extLst>
            <a:ext uri="{FF2B5EF4-FFF2-40B4-BE49-F238E27FC236}">
              <a16:creationId xmlns:a16="http://schemas.microsoft.com/office/drawing/2014/main" id="{F0309688-7B57-4AEA-C140-601F2D1C2B22}"/>
            </a:ext>
          </a:extLst>
        </xdr:cNvPr>
        <xdr:cNvCxnSpPr>
          <a:stCxn id="7" idx="3"/>
        </xdr:cNvCxnSpPr>
      </xdr:nvCxnSpPr>
      <xdr:spPr>
        <a:xfrm flipV="1">
          <a:off x="3947160" y="2087880"/>
          <a:ext cx="111252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297180</xdr:colOff>
      <xdr:row>11</xdr:row>
      <xdr:rowOff>60960</xdr:rowOff>
    </xdr:from>
    <xdr:to>
      <xdr:col>11</xdr:col>
      <xdr:colOff>68580</xdr:colOff>
      <xdr:row>11</xdr:row>
      <xdr:rowOff>60960</xdr:rowOff>
    </xdr:to>
    <xdr:cxnSp macro="">
      <xdr:nvCxnSpPr>
        <xdr:cNvPr id="60" name="Straight Arrow Connector 59">
          <a:extLst>
            <a:ext uri="{FF2B5EF4-FFF2-40B4-BE49-F238E27FC236}">
              <a16:creationId xmlns:a16="http://schemas.microsoft.com/office/drawing/2014/main" id="{BEDACE7D-1AF0-EFB7-D6E5-D35EDB15E067}"/>
            </a:ext>
          </a:extLst>
        </xdr:cNvPr>
        <xdr:cNvCxnSpPr>
          <a:stCxn id="10" idx="3"/>
        </xdr:cNvCxnSpPr>
      </xdr:nvCxnSpPr>
      <xdr:spPr>
        <a:xfrm>
          <a:off x="5783580" y="2087880"/>
          <a:ext cx="9906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441960</xdr:colOff>
      <xdr:row>11</xdr:row>
      <xdr:rowOff>53340</xdr:rowOff>
    </xdr:from>
    <xdr:to>
      <xdr:col>14</xdr:col>
      <xdr:colOff>99060</xdr:colOff>
      <xdr:row>11</xdr:row>
      <xdr:rowOff>60960</xdr:rowOff>
    </xdr:to>
    <xdr:cxnSp macro="">
      <xdr:nvCxnSpPr>
        <xdr:cNvPr id="62" name="Straight Arrow Connector 61">
          <a:extLst>
            <a:ext uri="{FF2B5EF4-FFF2-40B4-BE49-F238E27FC236}">
              <a16:creationId xmlns:a16="http://schemas.microsoft.com/office/drawing/2014/main" id="{5B3F7E70-E073-C155-7A94-5CE6A2D7D1BE}"/>
            </a:ext>
          </a:extLst>
        </xdr:cNvPr>
        <xdr:cNvCxnSpPr>
          <a:stCxn id="13" idx="3"/>
        </xdr:cNvCxnSpPr>
      </xdr:nvCxnSpPr>
      <xdr:spPr>
        <a:xfrm flipV="1">
          <a:off x="7757160" y="2080260"/>
          <a:ext cx="87630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457200</xdr:colOff>
      <xdr:row>11</xdr:row>
      <xdr:rowOff>76200</xdr:rowOff>
    </xdr:from>
    <xdr:to>
      <xdr:col>17</xdr:col>
      <xdr:colOff>114300</xdr:colOff>
      <xdr:row>11</xdr:row>
      <xdr:rowOff>76200</xdr:rowOff>
    </xdr:to>
    <xdr:cxnSp macro="">
      <xdr:nvCxnSpPr>
        <xdr:cNvPr id="65" name="Straight Arrow Connector 64">
          <a:extLst>
            <a:ext uri="{FF2B5EF4-FFF2-40B4-BE49-F238E27FC236}">
              <a16:creationId xmlns:a16="http://schemas.microsoft.com/office/drawing/2014/main" id="{B6F57072-BE8E-BB60-08BD-F333548A43D0}"/>
            </a:ext>
          </a:extLst>
        </xdr:cNvPr>
        <xdr:cNvCxnSpPr>
          <a:stCxn id="29" idx="3"/>
        </xdr:cNvCxnSpPr>
      </xdr:nvCxnSpPr>
      <xdr:spPr>
        <a:xfrm>
          <a:off x="9601200" y="2103120"/>
          <a:ext cx="8763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457200</xdr:colOff>
      <xdr:row>11</xdr:row>
      <xdr:rowOff>83820</xdr:rowOff>
    </xdr:from>
    <xdr:to>
      <xdr:col>20</xdr:col>
      <xdr:colOff>228600</xdr:colOff>
      <xdr:row>11</xdr:row>
      <xdr:rowOff>83820</xdr:rowOff>
    </xdr:to>
    <xdr:cxnSp macro="">
      <xdr:nvCxnSpPr>
        <xdr:cNvPr id="68" name="Straight Arrow Connector 67">
          <a:extLst>
            <a:ext uri="{FF2B5EF4-FFF2-40B4-BE49-F238E27FC236}">
              <a16:creationId xmlns:a16="http://schemas.microsoft.com/office/drawing/2014/main" id="{C7ED77A2-A183-FC81-351E-9C71248A1342}"/>
            </a:ext>
          </a:extLst>
        </xdr:cNvPr>
        <xdr:cNvCxnSpPr>
          <a:stCxn id="31" idx="3"/>
        </xdr:cNvCxnSpPr>
      </xdr:nvCxnSpPr>
      <xdr:spPr>
        <a:xfrm>
          <a:off x="11430000" y="2110740"/>
          <a:ext cx="9906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586740</xdr:colOff>
      <xdr:row>11</xdr:row>
      <xdr:rowOff>76200</xdr:rowOff>
    </xdr:from>
    <xdr:to>
      <xdr:col>22</xdr:col>
      <xdr:colOff>381000</xdr:colOff>
      <xdr:row>28</xdr:row>
      <xdr:rowOff>15240</xdr:rowOff>
    </xdr:to>
    <xdr:cxnSp macro="">
      <xdr:nvCxnSpPr>
        <xdr:cNvPr id="73" name="Connector: Elbow 72">
          <a:extLst>
            <a:ext uri="{FF2B5EF4-FFF2-40B4-BE49-F238E27FC236}">
              <a16:creationId xmlns:a16="http://schemas.microsoft.com/office/drawing/2014/main" id="{7516E9A5-5865-34BC-CD51-2318546C2D8E}"/>
            </a:ext>
          </a:extLst>
        </xdr:cNvPr>
        <xdr:cNvCxnSpPr>
          <a:stCxn id="34" idx="3"/>
        </xdr:cNvCxnSpPr>
      </xdr:nvCxnSpPr>
      <xdr:spPr>
        <a:xfrm>
          <a:off x="13388340" y="2103120"/>
          <a:ext cx="632460" cy="3070860"/>
        </a:xfrm>
        <a:prstGeom prst="bentConnector2">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594360</xdr:colOff>
      <xdr:row>28</xdr:row>
      <xdr:rowOff>7620</xdr:rowOff>
    </xdr:from>
    <xdr:to>
      <xdr:col>22</xdr:col>
      <xdr:colOff>388620</xdr:colOff>
      <xdr:row>28</xdr:row>
      <xdr:rowOff>15240</xdr:rowOff>
    </xdr:to>
    <xdr:cxnSp macro="">
      <xdr:nvCxnSpPr>
        <xdr:cNvPr id="75" name="Straight Arrow Connector 74">
          <a:extLst>
            <a:ext uri="{FF2B5EF4-FFF2-40B4-BE49-F238E27FC236}">
              <a16:creationId xmlns:a16="http://schemas.microsoft.com/office/drawing/2014/main" id="{CF336419-A8B6-7911-6E05-8E75515795F4}"/>
            </a:ext>
          </a:extLst>
        </xdr:cNvPr>
        <xdr:cNvCxnSpPr/>
      </xdr:nvCxnSpPr>
      <xdr:spPr>
        <a:xfrm flipH="1" flipV="1">
          <a:off x="13395960" y="5166360"/>
          <a:ext cx="63246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525780</xdr:colOff>
      <xdr:row>27</xdr:row>
      <xdr:rowOff>156210</xdr:rowOff>
    </xdr:from>
    <xdr:to>
      <xdr:col>20</xdr:col>
      <xdr:colOff>228600</xdr:colOff>
      <xdr:row>27</xdr:row>
      <xdr:rowOff>160020</xdr:rowOff>
    </xdr:to>
    <xdr:cxnSp macro="">
      <xdr:nvCxnSpPr>
        <xdr:cNvPr id="79" name="Straight Arrow Connector 78">
          <a:extLst>
            <a:ext uri="{FF2B5EF4-FFF2-40B4-BE49-F238E27FC236}">
              <a16:creationId xmlns:a16="http://schemas.microsoft.com/office/drawing/2014/main" id="{0AE55F38-1F42-422D-C8AA-A98A36EC4780}"/>
            </a:ext>
          </a:extLst>
        </xdr:cNvPr>
        <xdr:cNvCxnSpPr>
          <a:stCxn id="37" idx="1"/>
        </xdr:cNvCxnSpPr>
      </xdr:nvCxnSpPr>
      <xdr:spPr>
        <a:xfrm flipH="1">
          <a:off x="11498580" y="5132070"/>
          <a:ext cx="922020" cy="381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441960</xdr:colOff>
      <xdr:row>27</xdr:row>
      <xdr:rowOff>156210</xdr:rowOff>
    </xdr:from>
    <xdr:to>
      <xdr:col>17</xdr:col>
      <xdr:colOff>167640</xdr:colOff>
      <xdr:row>27</xdr:row>
      <xdr:rowOff>156210</xdr:rowOff>
    </xdr:to>
    <xdr:cxnSp macro="">
      <xdr:nvCxnSpPr>
        <xdr:cNvPr id="82" name="Straight Arrow Connector 81">
          <a:extLst>
            <a:ext uri="{FF2B5EF4-FFF2-40B4-BE49-F238E27FC236}">
              <a16:creationId xmlns:a16="http://schemas.microsoft.com/office/drawing/2014/main" id="{93091AF8-1E44-17B4-078B-BF85EFED6AB5}"/>
            </a:ext>
          </a:extLst>
        </xdr:cNvPr>
        <xdr:cNvCxnSpPr>
          <a:stCxn id="39" idx="1"/>
          <a:endCxn id="41" idx="3"/>
        </xdr:cNvCxnSpPr>
      </xdr:nvCxnSpPr>
      <xdr:spPr>
        <a:xfrm flipH="1">
          <a:off x="9585960" y="5132070"/>
          <a:ext cx="9448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152400</xdr:colOff>
      <xdr:row>41</xdr:row>
      <xdr:rowOff>60960</xdr:rowOff>
    </xdr:from>
    <xdr:to>
      <xdr:col>15</xdr:col>
      <xdr:colOff>434340</xdr:colOff>
      <xdr:row>44</xdr:row>
      <xdr:rowOff>68580</xdr:rowOff>
    </xdr:to>
    <xdr:sp macro="" textlink="">
      <xdr:nvSpPr>
        <xdr:cNvPr id="84" name="Rectangle 83">
          <a:extLst>
            <a:ext uri="{FF2B5EF4-FFF2-40B4-BE49-F238E27FC236}">
              <a16:creationId xmlns:a16="http://schemas.microsoft.com/office/drawing/2014/main" id="{FF074535-354F-4125-8AE6-8610E711D030}"/>
            </a:ext>
          </a:extLst>
        </xdr:cNvPr>
        <xdr:cNvSpPr/>
      </xdr:nvSpPr>
      <xdr:spPr>
        <a:xfrm>
          <a:off x="8686800" y="7620000"/>
          <a:ext cx="891540" cy="556260"/>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en-ID" sz="1100"/>
        </a:p>
      </xdr:txBody>
    </xdr:sp>
    <xdr:clientData/>
  </xdr:twoCellAnchor>
  <xdr:twoCellAnchor editAs="oneCell">
    <xdr:from>
      <xdr:col>14</xdr:col>
      <xdr:colOff>312421</xdr:colOff>
      <xdr:row>41</xdr:row>
      <xdr:rowOff>108616</xdr:rowOff>
    </xdr:from>
    <xdr:to>
      <xdr:col>15</xdr:col>
      <xdr:colOff>327660</xdr:colOff>
      <xdr:row>44</xdr:row>
      <xdr:rowOff>56774</xdr:rowOff>
    </xdr:to>
    <xdr:pic>
      <xdr:nvPicPr>
        <xdr:cNvPr id="85" name="Picture 84">
          <a:extLst>
            <a:ext uri="{FF2B5EF4-FFF2-40B4-BE49-F238E27FC236}">
              <a16:creationId xmlns:a16="http://schemas.microsoft.com/office/drawing/2014/main" id="{56B8E991-1A49-1120-6E85-1D457BED0C34}"/>
            </a:ext>
          </a:extLst>
        </xdr:cNvPr>
        <xdr:cNvPicPr>
          <a:picLocks noChangeAspect="1"/>
        </xdr:cNvPicPr>
      </xdr:nvPicPr>
      <xdr:blipFill>
        <a:blip xmlns:r="http://schemas.openxmlformats.org/officeDocument/2006/relationships" r:embed="rId12"/>
        <a:stretch>
          <a:fillRect/>
        </a:stretch>
      </xdr:blipFill>
      <xdr:spPr>
        <a:xfrm>
          <a:off x="8846821" y="7667656"/>
          <a:ext cx="624839" cy="496798"/>
        </a:xfrm>
        <a:prstGeom prst="rect">
          <a:avLst/>
        </a:prstGeom>
      </xdr:spPr>
    </xdr:pic>
    <xdr:clientData/>
  </xdr:twoCellAnchor>
  <xdr:twoCellAnchor>
    <xdr:from>
      <xdr:col>13</xdr:col>
      <xdr:colOff>358140</xdr:colOff>
      <xdr:row>27</xdr:row>
      <xdr:rowOff>156210</xdr:rowOff>
    </xdr:from>
    <xdr:to>
      <xdr:col>14</xdr:col>
      <xdr:colOff>160020</xdr:colOff>
      <xdr:row>43</xdr:row>
      <xdr:rowOff>22860</xdr:rowOff>
    </xdr:to>
    <xdr:cxnSp macro="">
      <xdr:nvCxnSpPr>
        <xdr:cNvPr id="89" name="Connector: Elbow 88">
          <a:extLst>
            <a:ext uri="{FF2B5EF4-FFF2-40B4-BE49-F238E27FC236}">
              <a16:creationId xmlns:a16="http://schemas.microsoft.com/office/drawing/2014/main" id="{30DD162C-F261-211C-FAB8-A54FA0465C85}"/>
            </a:ext>
          </a:extLst>
        </xdr:cNvPr>
        <xdr:cNvCxnSpPr>
          <a:stCxn id="41" idx="1"/>
        </xdr:cNvCxnSpPr>
      </xdr:nvCxnSpPr>
      <xdr:spPr>
        <a:xfrm rot="10800000" flipV="1">
          <a:off x="8282940" y="5132070"/>
          <a:ext cx="411480" cy="2815590"/>
        </a:xfrm>
        <a:prstGeom prst="bentConnector2">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373380</xdr:colOff>
      <xdr:row>43</xdr:row>
      <xdr:rowOff>15240</xdr:rowOff>
    </xdr:from>
    <xdr:to>
      <xdr:col>14</xdr:col>
      <xdr:colOff>129540</xdr:colOff>
      <xdr:row>43</xdr:row>
      <xdr:rowOff>15240</xdr:rowOff>
    </xdr:to>
    <xdr:cxnSp macro="">
      <xdr:nvCxnSpPr>
        <xdr:cNvPr id="91" name="Straight Arrow Connector 90">
          <a:extLst>
            <a:ext uri="{FF2B5EF4-FFF2-40B4-BE49-F238E27FC236}">
              <a16:creationId xmlns:a16="http://schemas.microsoft.com/office/drawing/2014/main" id="{E3AD87EF-A401-1AC7-5C22-B86CD4522429}"/>
            </a:ext>
          </a:extLst>
        </xdr:cNvPr>
        <xdr:cNvCxnSpPr/>
      </xdr:nvCxnSpPr>
      <xdr:spPr>
        <a:xfrm>
          <a:off x="8298180" y="7940040"/>
          <a:ext cx="3657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419100</xdr:colOff>
      <xdr:row>35</xdr:row>
      <xdr:rowOff>156210</xdr:rowOff>
    </xdr:from>
    <xdr:to>
      <xdr:col>4</xdr:col>
      <xdr:colOff>556260</xdr:colOff>
      <xdr:row>35</xdr:row>
      <xdr:rowOff>160020</xdr:rowOff>
    </xdr:to>
    <xdr:cxnSp macro="">
      <xdr:nvCxnSpPr>
        <xdr:cNvPr id="95" name="Straight Arrow Connector 94">
          <a:extLst>
            <a:ext uri="{FF2B5EF4-FFF2-40B4-BE49-F238E27FC236}">
              <a16:creationId xmlns:a16="http://schemas.microsoft.com/office/drawing/2014/main" id="{4DA2A1D3-5EB6-4E14-A5F8-5DA7C5E4F791}"/>
            </a:ext>
          </a:extLst>
        </xdr:cNvPr>
        <xdr:cNvCxnSpPr/>
      </xdr:nvCxnSpPr>
      <xdr:spPr>
        <a:xfrm>
          <a:off x="2247900" y="6610350"/>
          <a:ext cx="746760" cy="381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411480</xdr:colOff>
      <xdr:row>35</xdr:row>
      <xdr:rowOff>163830</xdr:rowOff>
    </xdr:from>
    <xdr:to>
      <xdr:col>8</xdr:col>
      <xdr:colOff>60960</xdr:colOff>
      <xdr:row>35</xdr:row>
      <xdr:rowOff>163830</xdr:rowOff>
    </xdr:to>
    <xdr:cxnSp macro="">
      <xdr:nvCxnSpPr>
        <xdr:cNvPr id="97" name="Straight Arrow Connector 96">
          <a:extLst>
            <a:ext uri="{FF2B5EF4-FFF2-40B4-BE49-F238E27FC236}">
              <a16:creationId xmlns:a16="http://schemas.microsoft.com/office/drawing/2014/main" id="{70BDEB70-D332-4182-8587-F5CD18DCE53B}"/>
            </a:ext>
          </a:extLst>
        </xdr:cNvPr>
        <xdr:cNvCxnSpPr/>
      </xdr:nvCxnSpPr>
      <xdr:spPr>
        <a:xfrm>
          <a:off x="4069080" y="6602730"/>
          <a:ext cx="86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144780</xdr:colOff>
      <xdr:row>13</xdr:row>
      <xdr:rowOff>160020</xdr:rowOff>
    </xdr:from>
    <xdr:to>
      <xdr:col>21</xdr:col>
      <xdr:colOff>144780</xdr:colOff>
      <xdr:row>16</xdr:row>
      <xdr:rowOff>175260</xdr:rowOff>
    </xdr:to>
    <xdr:cxnSp macro="">
      <xdr:nvCxnSpPr>
        <xdr:cNvPr id="107" name="Straight Connector 106">
          <a:extLst>
            <a:ext uri="{FF2B5EF4-FFF2-40B4-BE49-F238E27FC236}">
              <a16:creationId xmlns:a16="http://schemas.microsoft.com/office/drawing/2014/main" id="{3C13265B-94BC-110C-46F9-7032A802BBB3}"/>
            </a:ext>
          </a:extLst>
        </xdr:cNvPr>
        <xdr:cNvCxnSpPr/>
      </xdr:nvCxnSpPr>
      <xdr:spPr>
        <a:xfrm>
          <a:off x="12946380" y="2552700"/>
          <a:ext cx="0" cy="56388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30480</xdr:colOff>
      <xdr:row>17</xdr:row>
      <xdr:rowOff>7620</xdr:rowOff>
    </xdr:from>
    <xdr:to>
      <xdr:col>21</xdr:col>
      <xdr:colOff>152400</xdr:colOff>
      <xdr:row>17</xdr:row>
      <xdr:rowOff>7620</xdr:rowOff>
    </xdr:to>
    <xdr:cxnSp macro="">
      <xdr:nvCxnSpPr>
        <xdr:cNvPr id="109" name="Straight Connector 108">
          <a:extLst>
            <a:ext uri="{FF2B5EF4-FFF2-40B4-BE49-F238E27FC236}">
              <a16:creationId xmlns:a16="http://schemas.microsoft.com/office/drawing/2014/main" id="{EBF5455B-9477-96C2-1C91-04FC8C7E934F}"/>
            </a:ext>
          </a:extLst>
        </xdr:cNvPr>
        <xdr:cNvCxnSpPr/>
      </xdr:nvCxnSpPr>
      <xdr:spPr>
        <a:xfrm flipH="1">
          <a:off x="640080" y="3131820"/>
          <a:ext cx="12313920"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30480</xdr:colOff>
      <xdr:row>16</xdr:row>
      <xdr:rowOff>160020</xdr:rowOff>
    </xdr:from>
    <xdr:to>
      <xdr:col>1</xdr:col>
      <xdr:colOff>30480</xdr:colOff>
      <xdr:row>36</xdr:row>
      <xdr:rowOff>15240</xdr:rowOff>
    </xdr:to>
    <xdr:cxnSp macro="">
      <xdr:nvCxnSpPr>
        <xdr:cNvPr id="110" name="Straight Connector 109">
          <a:extLst>
            <a:ext uri="{FF2B5EF4-FFF2-40B4-BE49-F238E27FC236}">
              <a16:creationId xmlns:a16="http://schemas.microsoft.com/office/drawing/2014/main" id="{15066202-80B8-4FC4-B2B6-0904EA16333A}"/>
            </a:ext>
          </a:extLst>
        </xdr:cNvPr>
        <xdr:cNvCxnSpPr/>
      </xdr:nvCxnSpPr>
      <xdr:spPr>
        <a:xfrm>
          <a:off x="640080" y="3101340"/>
          <a:ext cx="0" cy="355092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30480</xdr:colOff>
      <xdr:row>36</xdr:row>
      <xdr:rowOff>38100</xdr:rowOff>
    </xdr:from>
    <xdr:to>
      <xdr:col>2</xdr:col>
      <xdr:colOff>22860</xdr:colOff>
      <xdr:row>36</xdr:row>
      <xdr:rowOff>38100</xdr:rowOff>
    </xdr:to>
    <xdr:cxnSp macro="">
      <xdr:nvCxnSpPr>
        <xdr:cNvPr id="113" name="Straight Arrow Connector 112">
          <a:extLst>
            <a:ext uri="{FF2B5EF4-FFF2-40B4-BE49-F238E27FC236}">
              <a16:creationId xmlns:a16="http://schemas.microsoft.com/office/drawing/2014/main" id="{71906080-0C26-1BC7-D90F-0C7D55BBA0BA}"/>
            </a:ext>
          </a:extLst>
        </xdr:cNvPr>
        <xdr:cNvCxnSpPr/>
      </xdr:nvCxnSpPr>
      <xdr:spPr>
        <a:xfrm>
          <a:off x="640080" y="6675120"/>
          <a:ext cx="601980" cy="0"/>
        </a:xfrm>
        <a:prstGeom prst="straightConnector1">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22860</xdr:colOff>
      <xdr:row>30</xdr:row>
      <xdr:rowOff>167640</xdr:rowOff>
    </xdr:from>
    <xdr:to>
      <xdr:col>18</xdr:col>
      <xdr:colOff>22860</xdr:colOff>
      <xdr:row>33</xdr:row>
      <xdr:rowOff>15240</xdr:rowOff>
    </xdr:to>
    <xdr:cxnSp macro="">
      <xdr:nvCxnSpPr>
        <xdr:cNvPr id="115" name="Straight Connector 114">
          <a:extLst>
            <a:ext uri="{FF2B5EF4-FFF2-40B4-BE49-F238E27FC236}">
              <a16:creationId xmlns:a16="http://schemas.microsoft.com/office/drawing/2014/main" id="{82D0EEBC-FF55-6AEF-CBD0-75666ECAD8F8}"/>
            </a:ext>
          </a:extLst>
        </xdr:cNvPr>
        <xdr:cNvCxnSpPr/>
      </xdr:nvCxnSpPr>
      <xdr:spPr>
        <a:xfrm>
          <a:off x="10995660" y="5684520"/>
          <a:ext cx="0" cy="39624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441960</xdr:colOff>
      <xdr:row>33</xdr:row>
      <xdr:rowOff>7620</xdr:rowOff>
    </xdr:from>
    <xdr:to>
      <xdr:col>18</xdr:col>
      <xdr:colOff>38100</xdr:colOff>
      <xdr:row>33</xdr:row>
      <xdr:rowOff>7620</xdr:rowOff>
    </xdr:to>
    <xdr:cxnSp macro="">
      <xdr:nvCxnSpPr>
        <xdr:cNvPr id="116" name="Straight Connector 115">
          <a:extLst>
            <a:ext uri="{FF2B5EF4-FFF2-40B4-BE49-F238E27FC236}">
              <a16:creationId xmlns:a16="http://schemas.microsoft.com/office/drawing/2014/main" id="{7DD76BA2-0F8C-4C88-8C56-43CD68805C6A}"/>
            </a:ext>
          </a:extLst>
        </xdr:cNvPr>
        <xdr:cNvCxnSpPr/>
      </xdr:nvCxnSpPr>
      <xdr:spPr>
        <a:xfrm flipH="1">
          <a:off x="6537960" y="6088380"/>
          <a:ext cx="4472940"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426720</xdr:colOff>
      <xdr:row>24</xdr:row>
      <xdr:rowOff>30480</xdr:rowOff>
    </xdr:from>
    <xdr:to>
      <xdr:col>10</xdr:col>
      <xdr:colOff>426720</xdr:colOff>
      <xdr:row>33</xdr:row>
      <xdr:rowOff>7620</xdr:rowOff>
    </xdr:to>
    <xdr:cxnSp macro="">
      <xdr:nvCxnSpPr>
        <xdr:cNvPr id="119" name="Straight Connector 118">
          <a:extLst>
            <a:ext uri="{FF2B5EF4-FFF2-40B4-BE49-F238E27FC236}">
              <a16:creationId xmlns:a16="http://schemas.microsoft.com/office/drawing/2014/main" id="{9B8CA383-C231-4EB9-9655-8F4880A24055}"/>
            </a:ext>
          </a:extLst>
        </xdr:cNvPr>
        <xdr:cNvCxnSpPr/>
      </xdr:nvCxnSpPr>
      <xdr:spPr>
        <a:xfrm>
          <a:off x="6522720" y="4442460"/>
          <a:ext cx="0" cy="164592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60960</xdr:colOff>
      <xdr:row>24</xdr:row>
      <xdr:rowOff>30480</xdr:rowOff>
    </xdr:from>
    <xdr:to>
      <xdr:col>10</xdr:col>
      <xdr:colOff>449580</xdr:colOff>
      <xdr:row>24</xdr:row>
      <xdr:rowOff>30480</xdr:rowOff>
    </xdr:to>
    <xdr:cxnSp macro="">
      <xdr:nvCxnSpPr>
        <xdr:cNvPr id="121" name="Straight Connector 120">
          <a:extLst>
            <a:ext uri="{FF2B5EF4-FFF2-40B4-BE49-F238E27FC236}">
              <a16:creationId xmlns:a16="http://schemas.microsoft.com/office/drawing/2014/main" id="{B314C7AE-8BFD-4C5B-82B4-C78B8A68CEB7}"/>
            </a:ext>
          </a:extLst>
        </xdr:cNvPr>
        <xdr:cNvCxnSpPr/>
      </xdr:nvCxnSpPr>
      <xdr:spPr>
        <a:xfrm flipH="1">
          <a:off x="670560" y="4442460"/>
          <a:ext cx="5875020"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14</xdr:col>
      <xdr:colOff>601980</xdr:colOff>
      <xdr:row>31</xdr:row>
      <xdr:rowOff>0</xdr:rowOff>
    </xdr:from>
    <xdr:to>
      <xdr:col>14</xdr:col>
      <xdr:colOff>601980</xdr:colOff>
      <xdr:row>33</xdr:row>
      <xdr:rowOff>0</xdr:rowOff>
    </xdr:to>
    <xdr:cxnSp macro="">
      <xdr:nvCxnSpPr>
        <xdr:cNvPr id="124" name="Straight Connector 123">
          <a:extLst>
            <a:ext uri="{FF2B5EF4-FFF2-40B4-BE49-F238E27FC236}">
              <a16:creationId xmlns:a16="http://schemas.microsoft.com/office/drawing/2014/main" id="{0FCB8D85-194C-44EB-B9EA-C70CA0D2B741}"/>
            </a:ext>
          </a:extLst>
        </xdr:cNvPr>
        <xdr:cNvCxnSpPr/>
      </xdr:nvCxnSpPr>
      <xdr:spPr>
        <a:xfrm>
          <a:off x="9136380" y="5699760"/>
          <a:ext cx="0" cy="36576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167640</xdr:colOff>
      <xdr:row>0</xdr:row>
      <xdr:rowOff>121920</xdr:rowOff>
    </xdr:from>
    <xdr:to>
      <xdr:col>19</xdr:col>
      <xdr:colOff>144728</xdr:colOff>
      <xdr:row>43</xdr:row>
      <xdr:rowOff>0</xdr:rowOff>
    </xdr:to>
    <xdr:pic>
      <xdr:nvPicPr>
        <xdr:cNvPr id="3" name="Picture 2">
          <a:extLst>
            <a:ext uri="{FF2B5EF4-FFF2-40B4-BE49-F238E27FC236}">
              <a16:creationId xmlns:a16="http://schemas.microsoft.com/office/drawing/2014/main" id="{A2D0BCE7-4DAA-5C7B-71D1-575042F11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7240" y="121920"/>
          <a:ext cx="10949888" cy="7741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7620</xdr:colOff>
      <xdr:row>15</xdr:row>
      <xdr:rowOff>68580</xdr:rowOff>
    </xdr:from>
    <xdr:to>
      <xdr:col>6</xdr:col>
      <xdr:colOff>7620</xdr:colOff>
      <xdr:row>16</xdr:row>
      <xdr:rowOff>106680</xdr:rowOff>
    </xdr:to>
    <xdr:cxnSp macro="">
      <xdr:nvCxnSpPr>
        <xdr:cNvPr id="2" name="Straight Arrow Connector 1">
          <a:extLst>
            <a:ext uri="{FF2B5EF4-FFF2-40B4-BE49-F238E27FC236}">
              <a16:creationId xmlns:a16="http://schemas.microsoft.com/office/drawing/2014/main" id="{5B2ECBB3-5F09-4D41-B2DD-3DCCEE01557D}"/>
            </a:ext>
          </a:extLst>
        </xdr:cNvPr>
        <xdr:cNvCxnSpPr/>
      </xdr:nvCxnSpPr>
      <xdr:spPr>
        <a:xfrm>
          <a:off x="2446020" y="3543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19</xdr:row>
      <xdr:rowOff>38100</xdr:rowOff>
    </xdr:from>
    <xdr:to>
      <xdr:col>6</xdr:col>
      <xdr:colOff>0</xdr:colOff>
      <xdr:row>20</xdr:row>
      <xdr:rowOff>76200</xdr:rowOff>
    </xdr:to>
    <xdr:cxnSp macro="">
      <xdr:nvCxnSpPr>
        <xdr:cNvPr id="3" name="Straight Arrow Connector 2">
          <a:extLst>
            <a:ext uri="{FF2B5EF4-FFF2-40B4-BE49-F238E27FC236}">
              <a16:creationId xmlns:a16="http://schemas.microsoft.com/office/drawing/2014/main" id="{8B2F7B49-F4F4-4C15-B067-85AEC921630E}"/>
            </a:ext>
          </a:extLst>
        </xdr:cNvPr>
        <xdr:cNvCxnSpPr/>
      </xdr:nvCxnSpPr>
      <xdr:spPr>
        <a:xfrm>
          <a:off x="24384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23</xdr:row>
      <xdr:rowOff>30480</xdr:rowOff>
    </xdr:from>
    <xdr:to>
      <xdr:col>6</xdr:col>
      <xdr:colOff>0</xdr:colOff>
      <xdr:row>24</xdr:row>
      <xdr:rowOff>68580</xdr:rowOff>
    </xdr:to>
    <xdr:cxnSp macro="">
      <xdr:nvCxnSpPr>
        <xdr:cNvPr id="4" name="Straight Arrow Connector 3">
          <a:extLst>
            <a:ext uri="{FF2B5EF4-FFF2-40B4-BE49-F238E27FC236}">
              <a16:creationId xmlns:a16="http://schemas.microsoft.com/office/drawing/2014/main" id="{58375075-238E-4F35-B34F-4E6203109741}"/>
            </a:ext>
          </a:extLst>
        </xdr:cNvPr>
        <xdr:cNvCxnSpPr/>
      </xdr:nvCxnSpPr>
      <xdr:spPr>
        <a:xfrm>
          <a:off x="2438400" y="49682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27</xdr:row>
      <xdr:rowOff>38100</xdr:rowOff>
    </xdr:from>
    <xdr:to>
      <xdr:col>6</xdr:col>
      <xdr:colOff>0</xdr:colOff>
      <xdr:row>28</xdr:row>
      <xdr:rowOff>76200</xdr:rowOff>
    </xdr:to>
    <xdr:cxnSp macro="">
      <xdr:nvCxnSpPr>
        <xdr:cNvPr id="5" name="Straight Arrow Connector 4">
          <a:extLst>
            <a:ext uri="{FF2B5EF4-FFF2-40B4-BE49-F238E27FC236}">
              <a16:creationId xmlns:a16="http://schemas.microsoft.com/office/drawing/2014/main" id="{51F4FFD7-0CD1-4F36-A045-8DFB4ACD4F78}"/>
            </a:ext>
          </a:extLst>
        </xdr:cNvPr>
        <xdr:cNvCxnSpPr/>
      </xdr:nvCxnSpPr>
      <xdr:spPr>
        <a:xfrm>
          <a:off x="24384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31</xdr:row>
      <xdr:rowOff>53340</xdr:rowOff>
    </xdr:from>
    <xdr:to>
      <xdr:col>6</xdr:col>
      <xdr:colOff>0</xdr:colOff>
      <xdr:row>32</xdr:row>
      <xdr:rowOff>91440</xdr:rowOff>
    </xdr:to>
    <xdr:cxnSp macro="">
      <xdr:nvCxnSpPr>
        <xdr:cNvPr id="6" name="Straight Arrow Connector 5">
          <a:extLst>
            <a:ext uri="{FF2B5EF4-FFF2-40B4-BE49-F238E27FC236}">
              <a16:creationId xmlns:a16="http://schemas.microsoft.com/office/drawing/2014/main" id="{C424DB09-7623-415E-A802-3174CDE8C17F}"/>
            </a:ext>
          </a:extLst>
        </xdr:cNvPr>
        <xdr:cNvCxnSpPr/>
      </xdr:nvCxnSpPr>
      <xdr:spPr>
        <a:xfrm>
          <a:off x="2438400" y="64541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35</xdr:row>
      <xdr:rowOff>53340</xdr:rowOff>
    </xdr:from>
    <xdr:to>
      <xdr:col>6</xdr:col>
      <xdr:colOff>0</xdr:colOff>
      <xdr:row>36</xdr:row>
      <xdr:rowOff>91440</xdr:rowOff>
    </xdr:to>
    <xdr:cxnSp macro="">
      <xdr:nvCxnSpPr>
        <xdr:cNvPr id="7" name="Straight Arrow Connector 6">
          <a:extLst>
            <a:ext uri="{FF2B5EF4-FFF2-40B4-BE49-F238E27FC236}">
              <a16:creationId xmlns:a16="http://schemas.microsoft.com/office/drawing/2014/main" id="{C58EC362-2F0C-4664-849B-72E9749CE10B}"/>
            </a:ext>
          </a:extLst>
        </xdr:cNvPr>
        <xdr:cNvCxnSpPr/>
      </xdr:nvCxnSpPr>
      <xdr:spPr>
        <a:xfrm>
          <a:off x="2438400" y="71856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39</xdr:row>
      <xdr:rowOff>53340</xdr:rowOff>
    </xdr:from>
    <xdr:to>
      <xdr:col>6</xdr:col>
      <xdr:colOff>0</xdr:colOff>
      <xdr:row>40</xdr:row>
      <xdr:rowOff>91440</xdr:rowOff>
    </xdr:to>
    <xdr:cxnSp macro="">
      <xdr:nvCxnSpPr>
        <xdr:cNvPr id="8" name="Straight Arrow Connector 7">
          <a:extLst>
            <a:ext uri="{FF2B5EF4-FFF2-40B4-BE49-F238E27FC236}">
              <a16:creationId xmlns:a16="http://schemas.microsoft.com/office/drawing/2014/main" id="{1440304A-F761-4BBA-BFAF-79852ECCAE94}"/>
            </a:ext>
          </a:extLst>
        </xdr:cNvPr>
        <xdr:cNvCxnSpPr/>
      </xdr:nvCxnSpPr>
      <xdr:spPr>
        <a:xfrm>
          <a:off x="2438400" y="79171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43</xdr:row>
      <xdr:rowOff>45720</xdr:rowOff>
    </xdr:from>
    <xdr:to>
      <xdr:col>6</xdr:col>
      <xdr:colOff>0</xdr:colOff>
      <xdr:row>44</xdr:row>
      <xdr:rowOff>83820</xdr:rowOff>
    </xdr:to>
    <xdr:cxnSp macro="">
      <xdr:nvCxnSpPr>
        <xdr:cNvPr id="9" name="Straight Arrow Connector 8">
          <a:extLst>
            <a:ext uri="{FF2B5EF4-FFF2-40B4-BE49-F238E27FC236}">
              <a16:creationId xmlns:a16="http://schemas.microsoft.com/office/drawing/2014/main" id="{99F722DB-DE92-42CA-A067-798FE1ED330F}"/>
            </a:ext>
          </a:extLst>
        </xdr:cNvPr>
        <xdr:cNvCxnSpPr/>
      </xdr:nvCxnSpPr>
      <xdr:spPr>
        <a:xfrm>
          <a:off x="2438400" y="86410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47</xdr:row>
      <xdr:rowOff>45720</xdr:rowOff>
    </xdr:from>
    <xdr:to>
      <xdr:col>6</xdr:col>
      <xdr:colOff>0</xdr:colOff>
      <xdr:row>48</xdr:row>
      <xdr:rowOff>83820</xdr:rowOff>
    </xdr:to>
    <xdr:cxnSp macro="">
      <xdr:nvCxnSpPr>
        <xdr:cNvPr id="10" name="Straight Arrow Connector 9">
          <a:extLst>
            <a:ext uri="{FF2B5EF4-FFF2-40B4-BE49-F238E27FC236}">
              <a16:creationId xmlns:a16="http://schemas.microsoft.com/office/drawing/2014/main" id="{44D8D7A0-660C-443A-B2E5-822027D8965F}"/>
            </a:ext>
          </a:extLst>
        </xdr:cNvPr>
        <xdr:cNvCxnSpPr/>
      </xdr:nvCxnSpPr>
      <xdr:spPr>
        <a:xfrm>
          <a:off x="2438400" y="93726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51</xdr:row>
      <xdr:rowOff>53340</xdr:rowOff>
    </xdr:from>
    <xdr:to>
      <xdr:col>6</xdr:col>
      <xdr:colOff>0</xdr:colOff>
      <xdr:row>52</xdr:row>
      <xdr:rowOff>91440</xdr:rowOff>
    </xdr:to>
    <xdr:cxnSp macro="">
      <xdr:nvCxnSpPr>
        <xdr:cNvPr id="11" name="Straight Arrow Connector 10">
          <a:extLst>
            <a:ext uri="{FF2B5EF4-FFF2-40B4-BE49-F238E27FC236}">
              <a16:creationId xmlns:a16="http://schemas.microsoft.com/office/drawing/2014/main" id="{AB03A264-0D90-46BD-AB04-D5AED6F56158}"/>
            </a:ext>
          </a:extLst>
        </xdr:cNvPr>
        <xdr:cNvCxnSpPr/>
      </xdr:nvCxnSpPr>
      <xdr:spPr>
        <a:xfrm>
          <a:off x="2438400" y="101117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7620</xdr:colOff>
      <xdr:row>11</xdr:row>
      <xdr:rowOff>45720</xdr:rowOff>
    </xdr:from>
    <xdr:to>
      <xdr:col>6</xdr:col>
      <xdr:colOff>7620</xdr:colOff>
      <xdr:row>12</xdr:row>
      <xdr:rowOff>83820</xdr:rowOff>
    </xdr:to>
    <xdr:cxnSp macro="">
      <xdr:nvCxnSpPr>
        <xdr:cNvPr id="12" name="Straight Arrow Connector 11">
          <a:extLst>
            <a:ext uri="{FF2B5EF4-FFF2-40B4-BE49-F238E27FC236}">
              <a16:creationId xmlns:a16="http://schemas.microsoft.com/office/drawing/2014/main" id="{E96A391B-FC7F-48A5-A1B4-2BB5A4E0C73F}"/>
            </a:ext>
          </a:extLst>
        </xdr:cNvPr>
        <xdr:cNvCxnSpPr/>
      </xdr:nvCxnSpPr>
      <xdr:spPr>
        <a:xfrm>
          <a:off x="2446020" y="27889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7</xdr:row>
      <xdr:rowOff>38100</xdr:rowOff>
    </xdr:from>
    <xdr:to>
      <xdr:col>6</xdr:col>
      <xdr:colOff>0</xdr:colOff>
      <xdr:row>8</xdr:row>
      <xdr:rowOff>76200</xdr:rowOff>
    </xdr:to>
    <xdr:cxnSp macro="">
      <xdr:nvCxnSpPr>
        <xdr:cNvPr id="13" name="Straight Arrow Connector 12">
          <a:extLst>
            <a:ext uri="{FF2B5EF4-FFF2-40B4-BE49-F238E27FC236}">
              <a16:creationId xmlns:a16="http://schemas.microsoft.com/office/drawing/2014/main" id="{989CDCFE-D5F8-466F-B1AE-A79CCEFB47DF}"/>
            </a:ext>
          </a:extLst>
        </xdr:cNvPr>
        <xdr:cNvCxnSpPr/>
      </xdr:nvCxnSpPr>
      <xdr:spPr>
        <a:xfrm>
          <a:off x="243840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55</xdr:row>
      <xdr:rowOff>53340</xdr:rowOff>
    </xdr:from>
    <xdr:to>
      <xdr:col>6</xdr:col>
      <xdr:colOff>0</xdr:colOff>
      <xdr:row>56</xdr:row>
      <xdr:rowOff>91440</xdr:rowOff>
    </xdr:to>
    <xdr:cxnSp macro="">
      <xdr:nvCxnSpPr>
        <xdr:cNvPr id="14" name="Straight Arrow Connector 13">
          <a:extLst>
            <a:ext uri="{FF2B5EF4-FFF2-40B4-BE49-F238E27FC236}">
              <a16:creationId xmlns:a16="http://schemas.microsoft.com/office/drawing/2014/main" id="{469BAAF5-D9BC-4108-8568-5B952A024844}"/>
            </a:ext>
          </a:extLst>
        </xdr:cNvPr>
        <xdr:cNvCxnSpPr/>
      </xdr:nvCxnSpPr>
      <xdr:spPr>
        <a:xfrm>
          <a:off x="2438400" y="108432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52191</xdr:colOff>
      <xdr:row>129</xdr:row>
      <xdr:rowOff>100207</xdr:rowOff>
    </xdr:from>
    <xdr:to>
      <xdr:col>6</xdr:col>
      <xdr:colOff>1739449</xdr:colOff>
      <xdr:row>148</xdr:row>
      <xdr:rowOff>146137</xdr:rowOff>
    </xdr:to>
    <xdr:graphicFrame macro="">
      <xdr:nvGraphicFramePr>
        <xdr:cNvPr id="2" name="Chart 1">
          <a:extLst>
            <a:ext uri="{FF2B5EF4-FFF2-40B4-BE49-F238E27FC236}">
              <a16:creationId xmlns:a16="http://schemas.microsoft.com/office/drawing/2014/main" id="{16150DC1-45C1-69DE-C201-F8DF2CB720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595924</xdr:colOff>
      <xdr:row>33</xdr:row>
      <xdr:rowOff>78152</xdr:rowOff>
    </xdr:from>
    <xdr:to>
      <xdr:col>14</xdr:col>
      <xdr:colOff>14383</xdr:colOff>
      <xdr:row>50</xdr:row>
      <xdr:rowOff>117228</xdr:rowOff>
    </xdr:to>
    <xdr:pic>
      <xdr:nvPicPr>
        <xdr:cNvPr id="2" name="Picture 1">
          <a:extLst>
            <a:ext uri="{FF2B5EF4-FFF2-40B4-BE49-F238E27FC236}">
              <a16:creationId xmlns:a16="http://schemas.microsoft.com/office/drawing/2014/main" id="{8388706C-29DE-E4B0-F078-2936114AF007}"/>
            </a:ext>
          </a:extLst>
        </xdr:cNvPr>
        <xdr:cNvPicPr>
          <a:picLocks noChangeAspect="1"/>
        </xdr:cNvPicPr>
      </xdr:nvPicPr>
      <xdr:blipFill>
        <a:blip xmlns:r="http://schemas.openxmlformats.org/officeDocument/2006/relationships" r:embed="rId1"/>
        <a:stretch>
          <a:fillRect/>
        </a:stretch>
      </xdr:blipFill>
      <xdr:spPr>
        <a:xfrm>
          <a:off x="11664462" y="6203460"/>
          <a:ext cx="4263998" cy="30284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6</xdr:col>
      <xdr:colOff>198473</xdr:colOff>
      <xdr:row>64</xdr:row>
      <xdr:rowOff>129794</xdr:rowOff>
    </xdr:to>
    <xdr:pic>
      <xdr:nvPicPr>
        <xdr:cNvPr id="2" name="Picture 1">
          <a:extLst>
            <a:ext uri="{FF2B5EF4-FFF2-40B4-BE49-F238E27FC236}">
              <a16:creationId xmlns:a16="http://schemas.microsoft.com/office/drawing/2014/main" id="{5EA19AFB-0103-6989-925D-1B18D72700B7}"/>
            </a:ext>
          </a:extLst>
        </xdr:cNvPr>
        <xdr:cNvPicPr>
          <a:picLocks noChangeAspect="1"/>
        </xdr:cNvPicPr>
      </xdr:nvPicPr>
      <xdr:blipFill>
        <a:blip xmlns:r="http://schemas.openxmlformats.org/officeDocument/2006/relationships" r:embed="rId1"/>
        <a:stretch>
          <a:fillRect/>
        </a:stretch>
      </xdr:blipFill>
      <xdr:spPr>
        <a:xfrm>
          <a:off x="609600" y="8778240"/>
          <a:ext cx="4077053" cy="29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28550</xdr:colOff>
      <xdr:row>1</xdr:row>
      <xdr:rowOff>129540</xdr:rowOff>
    </xdr:from>
    <xdr:to>
      <xdr:col>24</xdr:col>
      <xdr:colOff>145335</xdr:colOff>
      <xdr:row>17</xdr:row>
      <xdr:rowOff>138538</xdr:rowOff>
    </xdr:to>
    <xdr:pic>
      <xdr:nvPicPr>
        <xdr:cNvPr id="2" name="Picture 1">
          <a:extLst>
            <a:ext uri="{FF2B5EF4-FFF2-40B4-BE49-F238E27FC236}">
              <a16:creationId xmlns:a16="http://schemas.microsoft.com/office/drawing/2014/main" id="{AD28D8E0-C171-F861-79FE-1DA4D5C99069}"/>
            </a:ext>
          </a:extLst>
        </xdr:cNvPr>
        <xdr:cNvPicPr>
          <a:picLocks noChangeAspect="1"/>
        </xdr:cNvPicPr>
      </xdr:nvPicPr>
      <xdr:blipFill>
        <a:blip xmlns:r="http://schemas.openxmlformats.org/officeDocument/2006/relationships" r:embed="rId1"/>
        <a:stretch>
          <a:fillRect/>
        </a:stretch>
      </xdr:blipFill>
      <xdr:spPr>
        <a:xfrm>
          <a:off x="11610950" y="312420"/>
          <a:ext cx="3164785" cy="2788920"/>
        </a:xfrm>
        <a:prstGeom prst="rect">
          <a:avLst/>
        </a:prstGeom>
      </xdr:spPr>
    </xdr:pic>
    <xdr:clientData/>
  </xdr:twoCellAnchor>
  <xdr:twoCellAnchor editAs="oneCell">
    <xdr:from>
      <xdr:col>19</xdr:col>
      <xdr:colOff>15240</xdr:colOff>
      <xdr:row>18</xdr:row>
      <xdr:rowOff>45721</xdr:rowOff>
    </xdr:from>
    <xdr:to>
      <xdr:col>28</xdr:col>
      <xdr:colOff>426720</xdr:colOff>
      <xdr:row>36</xdr:row>
      <xdr:rowOff>115326</xdr:rowOff>
    </xdr:to>
    <xdr:pic>
      <xdr:nvPicPr>
        <xdr:cNvPr id="3" name="Picture 2">
          <a:extLst>
            <a:ext uri="{FF2B5EF4-FFF2-40B4-BE49-F238E27FC236}">
              <a16:creationId xmlns:a16="http://schemas.microsoft.com/office/drawing/2014/main" id="{4144CD35-A735-0402-2F7E-EF076DD8AB3F}"/>
            </a:ext>
          </a:extLst>
        </xdr:cNvPr>
        <xdr:cNvPicPr>
          <a:picLocks noChangeAspect="1"/>
        </xdr:cNvPicPr>
      </xdr:nvPicPr>
      <xdr:blipFill>
        <a:blip xmlns:r="http://schemas.openxmlformats.org/officeDocument/2006/relationships" r:embed="rId2"/>
        <a:stretch>
          <a:fillRect/>
        </a:stretch>
      </xdr:blipFill>
      <xdr:spPr>
        <a:xfrm>
          <a:off x="11597640" y="3337561"/>
          <a:ext cx="5897880" cy="31969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76200</xdr:colOff>
      <xdr:row>15</xdr:row>
      <xdr:rowOff>152401</xdr:rowOff>
    </xdr:from>
    <xdr:to>
      <xdr:col>6</xdr:col>
      <xdr:colOff>373978</xdr:colOff>
      <xdr:row>30</xdr:row>
      <xdr:rowOff>174244</xdr:rowOff>
    </xdr:to>
    <xdr:pic>
      <xdr:nvPicPr>
        <xdr:cNvPr id="2" name="Picture 1">
          <a:extLst>
            <a:ext uri="{FF2B5EF4-FFF2-40B4-BE49-F238E27FC236}">
              <a16:creationId xmlns:a16="http://schemas.microsoft.com/office/drawing/2014/main" id="{A286487A-5F28-E0DE-51A1-7C6A7C1A0743}"/>
            </a:ext>
          </a:extLst>
        </xdr:cNvPr>
        <xdr:cNvPicPr>
          <a:picLocks noChangeAspect="1"/>
        </xdr:cNvPicPr>
      </xdr:nvPicPr>
      <xdr:blipFill>
        <a:blip xmlns:r="http://schemas.openxmlformats.org/officeDocument/2006/relationships" r:embed="rId1"/>
        <a:stretch>
          <a:fillRect/>
        </a:stretch>
      </xdr:blipFill>
      <xdr:spPr>
        <a:xfrm>
          <a:off x="685800" y="2895601"/>
          <a:ext cx="3345778" cy="2650743"/>
        </a:xfrm>
        <a:prstGeom prst="rect">
          <a:avLst/>
        </a:prstGeom>
      </xdr:spPr>
    </xdr:pic>
    <xdr:clientData/>
  </xdr:twoCellAnchor>
  <xdr:twoCellAnchor editAs="oneCell">
    <xdr:from>
      <xdr:col>7</xdr:col>
      <xdr:colOff>56222</xdr:colOff>
      <xdr:row>15</xdr:row>
      <xdr:rowOff>152401</xdr:rowOff>
    </xdr:from>
    <xdr:to>
      <xdr:col>13</xdr:col>
      <xdr:colOff>442446</xdr:colOff>
      <xdr:row>42</xdr:row>
      <xdr:rowOff>68581</xdr:rowOff>
    </xdr:to>
    <xdr:pic>
      <xdr:nvPicPr>
        <xdr:cNvPr id="4" name="Picture 3">
          <a:extLst>
            <a:ext uri="{FF2B5EF4-FFF2-40B4-BE49-F238E27FC236}">
              <a16:creationId xmlns:a16="http://schemas.microsoft.com/office/drawing/2014/main" id="{7BBC5194-730A-2307-EE7A-42FBA4E30977}"/>
            </a:ext>
          </a:extLst>
        </xdr:cNvPr>
        <xdr:cNvPicPr>
          <a:picLocks noChangeAspect="1"/>
        </xdr:cNvPicPr>
      </xdr:nvPicPr>
      <xdr:blipFill>
        <a:blip xmlns:r="http://schemas.openxmlformats.org/officeDocument/2006/relationships" r:embed="rId2"/>
        <a:stretch>
          <a:fillRect/>
        </a:stretch>
      </xdr:blipFill>
      <xdr:spPr>
        <a:xfrm>
          <a:off x="4323422" y="2895601"/>
          <a:ext cx="4043824" cy="4648200"/>
        </a:xfrm>
        <a:prstGeom prst="rect">
          <a:avLst/>
        </a:prstGeom>
      </xdr:spPr>
    </xdr:pic>
    <xdr:clientData/>
  </xdr:twoCellAnchor>
  <xdr:twoCellAnchor editAs="oneCell">
    <xdr:from>
      <xdr:col>1</xdr:col>
      <xdr:colOff>0</xdr:colOff>
      <xdr:row>44</xdr:row>
      <xdr:rowOff>0</xdr:rowOff>
    </xdr:from>
    <xdr:to>
      <xdr:col>10</xdr:col>
      <xdr:colOff>206233</xdr:colOff>
      <xdr:row>71</xdr:row>
      <xdr:rowOff>76617</xdr:rowOff>
    </xdr:to>
    <xdr:pic>
      <xdr:nvPicPr>
        <xdr:cNvPr id="5" name="Picture 4">
          <a:extLst>
            <a:ext uri="{FF2B5EF4-FFF2-40B4-BE49-F238E27FC236}">
              <a16:creationId xmlns:a16="http://schemas.microsoft.com/office/drawing/2014/main" id="{F3235C45-4BCC-A39C-B329-B0F92E84D1F1}"/>
            </a:ext>
          </a:extLst>
        </xdr:cNvPr>
        <xdr:cNvPicPr>
          <a:picLocks noChangeAspect="1"/>
        </xdr:cNvPicPr>
      </xdr:nvPicPr>
      <xdr:blipFill>
        <a:blip xmlns:r="http://schemas.openxmlformats.org/officeDocument/2006/relationships" r:embed="rId3"/>
        <a:stretch>
          <a:fillRect/>
        </a:stretch>
      </xdr:blipFill>
      <xdr:spPr>
        <a:xfrm>
          <a:off x="609600" y="8046720"/>
          <a:ext cx="5692633" cy="4808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8</xdr:row>
      <xdr:rowOff>180974</xdr:rowOff>
    </xdr:from>
    <xdr:to>
      <xdr:col>18</xdr:col>
      <xdr:colOff>314325</xdr:colOff>
      <xdr:row>12</xdr:row>
      <xdr:rowOff>171450</xdr:rowOff>
    </xdr:to>
    <xdr:sp macro="" textlink="">
      <xdr:nvSpPr>
        <xdr:cNvPr id="2" name="TextBox 1">
          <a:extLst>
            <a:ext uri="{FF2B5EF4-FFF2-40B4-BE49-F238E27FC236}">
              <a16:creationId xmlns:a16="http://schemas.microsoft.com/office/drawing/2014/main" id="{6622FAFD-03D6-4C16-8F25-B2580D4FB41B}"/>
            </a:ext>
          </a:extLst>
        </xdr:cNvPr>
        <xdr:cNvSpPr txBox="1"/>
      </xdr:nvSpPr>
      <xdr:spPr>
        <a:xfrm>
          <a:off x="3865245" y="1804034"/>
          <a:ext cx="1478280" cy="72199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Times New Roman" panose="02020603050405020304" pitchFamily="18" charset="0"/>
              <a:cs typeface="Times New Roman" panose="02020603050405020304" pitchFamily="18" charset="0"/>
            </a:rPr>
            <a:t>Kuadran</a:t>
          </a:r>
          <a:r>
            <a:rPr lang="en-US" sz="1100" baseline="0">
              <a:latin typeface="Times New Roman" panose="02020603050405020304" pitchFamily="18" charset="0"/>
              <a:cs typeface="Times New Roman" panose="02020603050405020304" pitchFamily="18" charset="0"/>
            </a:rPr>
            <a:t> III : Strategi SO. Gunakan kekuatan, manfaatkan peluang</a:t>
          </a:r>
        </a:p>
        <a:p>
          <a:endParaRPr lang="en-US" sz="1100">
            <a:latin typeface="+mn-lt"/>
          </a:endParaRPr>
        </a:p>
      </xdr:txBody>
    </xdr:sp>
    <xdr:clientData/>
  </xdr:twoCellAnchor>
  <xdr:twoCellAnchor>
    <xdr:from>
      <xdr:col>11</xdr:col>
      <xdr:colOff>142875</xdr:colOff>
      <xdr:row>7</xdr:row>
      <xdr:rowOff>28575</xdr:rowOff>
    </xdr:from>
    <xdr:to>
      <xdr:col>13</xdr:col>
      <xdr:colOff>594360</xdr:colOff>
      <xdr:row>10</xdr:row>
      <xdr:rowOff>87630</xdr:rowOff>
    </xdr:to>
    <xdr:sp macro="" textlink="">
      <xdr:nvSpPr>
        <xdr:cNvPr id="3" name="TextBox 2">
          <a:extLst>
            <a:ext uri="{FF2B5EF4-FFF2-40B4-BE49-F238E27FC236}">
              <a16:creationId xmlns:a16="http://schemas.microsoft.com/office/drawing/2014/main" id="{5A854548-0781-4738-B7DD-0E2C14B1B6CE}"/>
            </a:ext>
          </a:extLst>
        </xdr:cNvPr>
        <xdr:cNvSpPr txBox="1"/>
      </xdr:nvSpPr>
      <xdr:spPr>
        <a:xfrm>
          <a:off x="10742295" y="1834515"/>
          <a:ext cx="1670685" cy="60769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Times New Roman" panose="02020603050405020304" pitchFamily="18" charset="0"/>
              <a:cs typeface="Times New Roman" panose="02020603050405020304" pitchFamily="18" charset="0"/>
            </a:rPr>
            <a:t>Kuadran</a:t>
          </a:r>
          <a:r>
            <a:rPr lang="en-US" sz="1100" baseline="0">
              <a:latin typeface="Times New Roman" panose="02020603050405020304" pitchFamily="18" charset="0"/>
              <a:cs typeface="Times New Roman" panose="02020603050405020304" pitchFamily="18" charset="0"/>
            </a:rPr>
            <a:t> II : Strategi WO. Minimasi kelemahan, manfaatkan peluang.</a:t>
          </a:r>
        </a:p>
      </xdr:txBody>
    </xdr:sp>
    <xdr:clientData/>
  </xdr:twoCellAnchor>
  <xdr:twoCellAnchor>
    <xdr:from>
      <xdr:col>16</xdr:col>
      <xdr:colOff>9525</xdr:colOff>
      <xdr:row>18</xdr:row>
      <xdr:rowOff>180975</xdr:rowOff>
    </xdr:from>
    <xdr:to>
      <xdr:col>18</xdr:col>
      <xdr:colOff>352425</xdr:colOff>
      <xdr:row>22</xdr:row>
      <xdr:rowOff>180975</xdr:rowOff>
    </xdr:to>
    <xdr:sp macro="" textlink="">
      <xdr:nvSpPr>
        <xdr:cNvPr id="4" name="TextBox 3">
          <a:extLst>
            <a:ext uri="{FF2B5EF4-FFF2-40B4-BE49-F238E27FC236}">
              <a16:creationId xmlns:a16="http://schemas.microsoft.com/office/drawing/2014/main" id="{637574C3-6356-4719-BE21-94BF9ACC763F}"/>
            </a:ext>
          </a:extLst>
        </xdr:cNvPr>
        <xdr:cNvSpPr txBox="1"/>
      </xdr:nvSpPr>
      <xdr:spPr>
        <a:xfrm>
          <a:off x="3865245" y="3640455"/>
          <a:ext cx="1516380" cy="73152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Times New Roman" panose="02020603050405020304" pitchFamily="18" charset="0"/>
              <a:cs typeface="Times New Roman" panose="02020603050405020304" pitchFamily="18" charset="0"/>
            </a:rPr>
            <a:t>Kuadran</a:t>
          </a:r>
          <a:r>
            <a:rPr lang="en-US" sz="1100" baseline="0">
              <a:latin typeface="Times New Roman" panose="02020603050405020304" pitchFamily="18" charset="0"/>
              <a:cs typeface="Times New Roman" panose="02020603050405020304" pitchFamily="18" charset="0"/>
            </a:rPr>
            <a:t> IV : Strategi ST. Gunakan kekuatan, antisipasi ancaman</a:t>
          </a:r>
        </a:p>
        <a:p>
          <a:endParaRPr lang="en-US" sz="1100" baseline="0">
            <a:latin typeface="+mn-lt"/>
          </a:endParaRPr>
        </a:p>
      </xdr:txBody>
    </xdr:sp>
    <xdr:clientData/>
  </xdr:twoCellAnchor>
  <xdr:twoCellAnchor>
    <xdr:from>
      <xdr:col>11</xdr:col>
      <xdr:colOff>276226</xdr:colOff>
      <xdr:row>19</xdr:row>
      <xdr:rowOff>0</xdr:rowOff>
    </xdr:from>
    <xdr:to>
      <xdr:col>13</xdr:col>
      <xdr:colOff>561976</xdr:colOff>
      <xdr:row>22</xdr:row>
      <xdr:rowOff>85725</xdr:rowOff>
    </xdr:to>
    <xdr:sp macro="" textlink="">
      <xdr:nvSpPr>
        <xdr:cNvPr id="5" name="TextBox 4">
          <a:extLst>
            <a:ext uri="{FF2B5EF4-FFF2-40B4-BE49-F238E27FC236}">
              <a16:creationId xmlns:a16="http://schemas.microsoft.com/office/drawing/2014/main" id="{766F8776-B5F2-4537-B898-29163F20B740}"/>
            </a:ext>
          </a:extLst>
        </xdr:cNvPr>
        <xdr:cNvSpPr txBox="1"/>
      </xdr:nvSpPr>
      <xdr:spPr>
        <a:xfrm>
          <a:off x="1198246" y="3642360"/>
          <a:ext cx="1459230" cy="6343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Times New Roman" panose="02020603050405020304" pitchFamily="18" charset="0"/>
              <a:cs typeface="Times New Roman" panose="02020603050405020304" pitchFamily="18" charset="0"/>
            </a:rPr>
            <a:t>Kuadran</a:t>
          </a:r>
          <a:r>
            <a:rPr lang="en-US" sz="1100" baseline="0">
              <a:latin typeface="Times New Roman" panose="02020603050405020304" pitchFamily="18" charset="0"/>
              <a:cs typeface="Times New Roman" panose="02020603050405020304" pitchFamily="18" charset="0"/>
            </a:rPr>
            <a:t> I: Strategi WT. Minimasi kelemahan, hindari ancaman</a:t>
          </a:r>
        </a:p>
        <a:p>
          <a:endParaRPr lang="en-US" sz="1100">
            <a:latin typeface="+mn-lt"/>
          </a:endParaRPr>
        </a:p>
      </xdr:txBody>
    </xdr:sp>
    <xdr:clientData/>
  </xdr:twoCellAnchor>
  <xdr:twoCellAnchor>
    <xdr:from>
      <xdr:col>14</xdr:col>
      <xdr:colOff>161925</xdr:colOff>
      <xdr:row>12</xdr:row>
      <xdr:rowOff>5715</xdr:rowOff>
    </xdr:from>
    <xdr:to>
      <xdr:col>14</xdr:col>
      <xdr:colOff>304800</xdr:colOff>
      <xdr:row>12</xdr:row>
      <xdr:rowOff>131445</xdr:rowOff>
    </xdr:to>
    <xdr:sp macro="" textlink="">
      <xdr:nvSpPr>
        <xdr:cNvPr id="6" name="Oval 5">
          <a:extLst>
            <a:ext uri="{FF2B5EF4-FFF2-40B4-BE49-F238E27FC236}">
              <a16:creationId xmlns:a16="http://schemas.microsoft.com/office/drawing/2014/main" id="{8FB343E3-C18A-4C3F-8130-F3471929EA1C}"/>
            </a:ext>
          </a:extLst>
        </xdr:cNvPr>
        <xdr:cNvSpPr/>
      </xdr:nvSpPr>
      <xdr:spPr>
        <a:xfrm>
          <a:off x="12590145" y="2726055"/>
          <a:ext cx="142875" cy="12573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14</xdr:col>
      <xdr:colOff>236220</xdr:colOff>
      <xdr:row>12</xdr:row>
      <xdr:rowOff>60960</xdr:rowOff>
    </xdr:from>
    <xdr:to>
      <xdr:col>14</xdr:col>
      <xdr:colOff>236220</xdr:colOff>
      <xdr:row>15</xdr:row>
      <xdr:rowOff>182880</xdr:rowOff>
    </xdr:to>
    <xdr:cxnSp macro="">
      <xdr:nvCxnSpPr>
        <xdr:cNvPr id="14" name="Straight Connector 13">
          <a:extLst>
            <a:ext uri="{FF2B5EF4-FFF2-40B4-BE49-F238E27FC236}">
              <a16:creationId xmlns:a16="http://schemas.microsoft.com/office/drawing/2014/main" id="{58803AE7-9D7B-0827-3DBA-B15E20996E4A}"/>
            </a:ext>
          </a:extLst>
        </xdr:cNvPr>
        <xdr:cNvCxnSpPr/>
      </xdr:nvCxnSpPr>
      <xdr:spPr>
        <a:xfrm flipV="1">
          <a:off x="12664440" y="2781300"/>
          <a:ext cx="0" cy="670560"/>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12</xdr:row>
      <xdr:rowOff>60960</xdr:rowOff>
    </xdr:from>
    <xdr:to>
      <xdr:col>15</xdr:col>
      <xdr:colOff>0</xdr:colOff>
      <xdr:row>12</xdr:row>
      <xdr:rowOff>60960</xdr:rowOff>
    </xdr:to>
    <xdr:cxnSp macro="">
      <xdr:nvCxnSpPr>
        <xdr:cNvPr id="16" name="Straight Connector 15">
          <a:extLst>
            <a:ext uri="{FF2B5EF4-FFF2-40B4-BE49-F238E27FC236}">
              <a16:creationId xmlns:a16="http://schemas.microsoft.com/office/drawing/2014/main" id="{28E9605D-3FE2-0125-5155-F361731F0147}"/>
            </a:ext>
          </a:extLst>
        </xdr:cNvPr>
        <xdr:cNvCxnSpPr/>
      </xdr:nvCxnSpPr>
      <xdr:spPr>
        <a:xfrm>
          <a:off x="12656820" y="2781300"/>
          <a:ext cx="381000" cy="0"/>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29880</xdr:colOff>
      <xdr:row>3</xdr:row>
      <xdr:rowOff>22413</xdr:rowOff>
    </xdr:from>
    <xdr:to>
      <xdr:col>23</xdr:col>
      <xdr:colOff>145143</xdr:colOff>
      <xdr:row>13</xdr:row>
      <xdr:rowOff>82177</xdr:rowOff>
    </xdr:to>
    <xdr:pic>
      <xdr:nvPicPr>
        <xdr:cNvPr id="2" name="Picture 1">
          <a:extLst>
            <a:ext uri="{FF2B5EF4-FFF2-40B4-BE49-F238E27FC236}">
              <a16:creationId xmlns:a16="http://schemas.microsoft.com/office/drawing/2014/main" id="{D9DC9A72-61C8-1836-678E-CF6C74D1466C}"/>
            </a:ext>
          </a:extLst>
        </xdr:cNvPr>
        <xdr:cNvPicPr>
          <a:picLocks noChangeAspect="1"/>
        </xdr:cNvPicPr>
      </xdr:nvPicPr>
      <xdr:blipFill>
        <a:blip xmlns:r="http://schemas.openxmlformats.org/officeDocument/2006/relationships" r:embed="rId1"/>
        <a:stretch>
          <a:fillRect/>
        </a:stretch>
      </xdr:blipFill>
      <xdr:spPr>
        <a:xfrm>
          <a:off x="18220762" y="560295"/>
          <a:ext cx="3790793" cy="1919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388619</xdr:colOff>
      <xdr:row>4</xdr:row>
      <xdr:rowOff>76200</xdr:rowOff>
    </xdr:from>
    <xdr:to>
      <xdr:col>25</xdr:col>
      <xdr:colOff>447016</xdr:colOff>
      <xdr:row>23</xdr:row>
      <xdr:rowOff>83820</xdr:rowOff>
    </xdr:to>
    <xdr:pic>
      <xdr:nvPicPr>
        <xdr:cNvPr id="7" name="Picture 6">
          <a:extLst>
            <a:ext uri="{FF2B5EF4-FFF2-40B4-BE49-F238E27FC236}">
              <a16:creationId xmlns:a16="http://schemas.microsoft.com/office/drawing/2014/main" id="{C00CB148-A0A5-BE20-473E-6C02BE0F6D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87199" y="822960"/>
          <a:ext cx="4935197" cy="3489960"/>
        </a:xfrm>
        <a:prstGeom prst="rect">
          <a:avLst/>
        </a:prstGeom>
      </xdr:spPr>
    </xdr:pic>
    <xdr:clientData/>
  </xdr:twoCellAnchor>
  <xdr:twoCellAnchor editAs="oneCell">
    <xdr:from>
      <xdr:col>9</xdr:col>
      <xdr:colOff>7620</xdr:colOff>
      <xdr:row>4</xdr:row>
      <xdr:rowOff>7620</xdr:rowOff>
    </xdr:from>
    <xdr:to>
      <xdr:col>17</xdr:col>
      <xdr:colOff>141446</xdr:colOff>
      <xdr:row>23</xdr:row>
      <xdr:rowOff>68580</xdr:rowOff>
    </xdr:to>
    <xdr:pic>
      <xdr:nvPicPr>
        <xdr:cNvPr id="9" name="Picture 8">
          <a:extLst>
            <a:ext uri="{FF2B5EF4-FFF2-40B4-BE49-F238E27FC236}">
              <a16:creationId xmlns:a16="http://schemas.microsoft.com/office/drawing/2014/main" id="{C20228DE-B8E4-12E9-065E-832B1FEC3F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29400" y="754380"/>
          <a:ext cx="5010626" cy="3543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40005</xdr:colOff>
      <xdr:row>14</xdr:row>
      <xdr:rowOff>5715</xdr:rowOff>
    </xdr:from>
    <xdr:ext cx="1428750" cy="314325"/>
    <xdr:pic>
      <xdr:nvPicPr>
        <xdr:cNvPr id="2" name="image4.png">
          <a:extLst>
            <a:ext uri="{FF2B5EF4-FFF2-40B4-BE49-F238E27FC236}">
              <a16:creationId xmlns:a16="http://schemas.microsoft.com/office/drawing/2014/main" id="{BEC7B3D3-588D-4F79-950D-7C075A0EAE7C}"/>
            </a:ext>
          </a:extLst>
        </xdr:cNvPr>
        <xdr:cNvPicPr preferRelativeResize="0"/>
      </xdr:nvPicPr>
      <xdr:blipFill>
        <a:blip xmlns:r="http://schemas.openxmlformats.org/officeDocument/2006/relationships" r:embed="rId1" cstate="print"/>
        <a:stretch>
          <a:fillRect/>
        </a:stretch>
      </xdr:blipFill>
      <xdr:spPr>
        <a:xfrm>
          <a:off x="7088505" y="2505075"/>
          <a:ext cx="1428750" cy="314325"/>
        </a:xfrm>
        <a:prstGeom prst="rect">
          <a:avLst/>
        </a:prstGeom>
        <a:noFill/>
      </xdr:spPr>
    </xdr:pic>
    <xdr:clientData fLocksWithSheet="0"/>
  </xdr:oneCellAnchor>
  <xdr:oneCellAnchor>
    <xdr:from>
      <xdr:col>9</xdr:col>
      <xdr:colOff>24765</xdr:colOff>
      <xdr:row>9</xdr:row>
      <xdr:rowOff>45720</xdr:rowOff>
    </xdr:from>
    <xdr:ext cx="2619375" cy="695325"/>
    <xdr:pic>
      <xdr:nvPicPr>
        <xdr:cNvPr id="3" name="image3.png">
          <a:extLst>
            <a:ext uri="{FF2B5EF4-FFF2-40B4-BE49-F238E27FC236}">
              <a16:creationId xmlns:a16="http://schemas.microsoft.com/office/drawing/2014/main" id="{9073F042-4341-4B08-8EA3-6FCB4EA8E288}"/>
            </a:ext>
          </a:extLst>
        </xdr:cNvPr>
        <xdr:cNvPicPr preferRelativeResize="0"/>
      </xdr:nvPicPr>
      <xdr:blipFill>
        <a:blip xmlns:r="http://schemas.openxmlformats.org/officeDocument/2006/relationships" r:embed="rId2" cstate="print"/>
        <a:stretch>
          <a:fillRect/>
        </a:stretch>
      </xdr:blipFill>
      <xdr:spPr>
        <a:xfrm>
          <a:off x="7073265" y="1668780"/>
          <a:ext cx="2619375" cy="6953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20</xdr:col>
      <xdr:colOff>38100</xdr:colOff>
      <xdr:row>3</xdr:row>
      <xdr:rowOff>38100</xdr:rowOff>
    </xdr:from>
    <xdr:ext cx="3731216" cy="2446020"/>
    <xdr:pic>
      <xdr:nvPicPr>
        <xdr:cNvPr id="2" name="Picture 1">
          <a:extLst>
            <a:ext uri="{FF2B5EF4-FFF2-40B4-BE49-F238E27FC236}">
              <a16:creationId xmlns:a16="http://schemas.microsoft.com/office/drawing/2014/main" id="{016A2C38-B62B-40FF-AFED-D32C486D7D04}"/>
            </a:ext>
          </a:extLst>
        </xdr:cNvPr>
        <xdr:cNvPicPr>
          <a:picLocks noChangeAspect="1"/>
        </xdr:cNvPicPr>
      </xdr:nvPicPr>
      <xdr:blipFill>
        <a:blip xmlns:r="http://schemas.openxmlformats.org/officeDocument/2006/relationships" r:embed="rId1"/>
        <a:stretch>
          <a:fillRect/>
        </a:stretch>
      </xdr:blipFill>
      <xdr:spPr>
        <a:xfrm>
          <a:off x="19644360" y="586740"/>
          <a:ext cx="3731216" cy="2446020"/>
        </a:xfrm>
        <a:prstGeom prst="rect">
          <a:avLst/>
        </a:prstGeom>
      </xdr:spPr>
    </xdr:pic>
    <xdr:clientData/>
  </xdr:oneCellAnchor>
  <xdr:oneCellAnchor>
    <xdr:from>
      <xdr:col>11</xdr:col>
      <xdr:colOff>54726</xdr:colOff>
      <xdr:row>3</xdr:row>
      <xdr:rowOff>83820</xdr:rowOff>
    </xdr:from>
    <xdr:ext cx="4662494" cy="2537460"/>
    <xdr:pic>
      <xdr:nvPicPr>
        <xdr:cNvPr id="3" name="Picture 2">
          <a:extLst>
            <a:ext uri="{FF2B5EF4-FFF2-40B4-BE49-F238E27FC236}">
              <a16:creationId xmlns:a16="http://schemas.microsoft.com/office/drawing/2014/main" id="{D97FAF20-5A2C-4A7D-A50B-58C3E1D2E82A}"/>
            </a:ext>
          </a:extLst>
        </xdr:cNvPr>
        <xdr:cNvPicPr>
          <a:picLocks noChangeAspect="1"/>
        </xdr:cNvPicPr>
      </xdr:nvPicPr>
      <xdr:blipFill>
        <a:blip xmlns:r="http://schemas.openxmlformats.org/officeDocument/2006/relationships" r:embed="rId2"/>
        <a:stretch>
          <a:fillRect/>
        </a:stretch>
      </xdr:blipFill>
      <xdr:spPr>
        <a:xfrm>
          <a:off x="11492346" y="632460"/>
          <a:ext cx="4662494" cy="2537460"/>
        </a:xfrm>
        <a:prstGeom prst="rect">
          <a:avLst/>
        </a:prstGeom>
      </xdr:spPr>
    </xdr:pic>
    <xdr:clientData/>
  </xdr:oneCellAnchor>
  <xdr:twoCellAnchor editAs="oneCell">
    <xdr:from>
      <xdr:col>10</xdr:col>
      <xdr:colOff>335280</xdr:colOff>
      <xdr:row>20</xdr:row>
      <xdr:rowOff>60960</xdr:rowOff>
    </xdr:from>
    <xdr:to>
      <xdr:col>15</xdr:col>
      <xdr:colOff>244141</xdr:colOff>
      <xdr:row>30</xdr:row>
      <xdr:rowOff>114463</xdr:rowOff>
    </xdr:to>
    <xdr:pic>
      <xdr:nvPicPr>
        <xdr:cNvPr id="4" name="Picture 3">
          <a:extLst>
            <a:ext uri="{FF2B5EF4-FFF2-40B4-BE49-F238E27FC236}">
              <a16:creationId xmlns:a16="http://schemas.microsoft.com/office/drawing/2014/main" id="{D233398F-E98C-4EEC-BF9C-1E4C4DF8C8D7}"/>
            </a:ext>
          </a:extLst>
        </xdr:cNvPr>
        <xdr:cNvPicPr>
          <a:picLocks noChangeAspect="1"/>
        </xdr:cNvPicPr>
      </xdr:nvPicPr>
      <xdr:blipFill>
        <a:blip xmlns:r="http://schemas.openxmlformats.org/officeDocument/2006/relationships" r:embed="rId3"/>
        <a:stretch>
          <a:fillRect/>
        </a:stretch>
      </xdr:blipFill>
      <xdr:spPr>
        <a:xfrm>
          <a:off x="11163300" y="3718560"/>
          <a:ext cx="3475021" cy="1882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601980</xdr:colOff>
      <xdr:row>13</xdr:row>
      <xdr:rowOff>175260</xdr:rowOff>
    </xdr:from>
    <xdr:to>
      <xdr:col>16</xdr:col>
      <xdr:colOff>30480</xdr:colOff>
      <xdr:row>13</xdr:row>
      <xdr:rowOff>175260</xdr:rowOff>
    </xdr:to>
    <xdr:cxnSp macro="">
      <xdr:nvCxnSpPr>
        <xdr:cNvPr id="7" name="Straight Connector 6">
          <a:extLst>
            <a:ext uri="{FF2B5EF4-FFF2-40B4-BE49-F238E27FC236}">
              <a16:creationId xmlns:a16="http://schemas.microsoft.com/office/drawing/2014/main" id="{44C696B7-D467-5474-0F0B-83BE5B3D3C0C}"/>
            </a:ext>
          </a:extLst>
        </xdr:cNvPr>
        <xdr:cNvCxnSpPr/>
      </xdr:nvCxnSpPr>
      <xdr:spPr>
        <a:xfrm>
          <a:off x="1821180" y="2552700"/>
          <a:ext cx="79629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266700</xdr:colOff>
      <xdr:row>13</xdr:row>
      <xdr:rowOff>152400</xdr:rowOff>
    </xdr:from>
    <xdr:to>
      <xdr:col>3</xdr:col>
      <xdr:colOff>312419</xdr:colOff>
      <xdr:row>14</xdr:row>
      <xdr:rowOff>15240</xdr:rowOff>
    </xdr:to>
    <xdr:sp macro="" textlink="">
      <xdr:nvSpPr>
        <xdr:cNvPr id="8" name="Oval 7">
          <a:extLst>
            <a:ext uri="{FF2B5EF4-FFF2-40B4-BE49-F238E27FC236}">
              <a16:creationId xmlns:a16="http://schemas.microsoft.com/office/drawing/2014/main" id="{83559B06-670C-C08D-62C7-B299D8115608}"/>
            </a:ext>
          </a:extLst>
        </xdr:cNvPr>
        <xdr:cNvSpPr/>
      </xdr:nvSpPr>
      <xdr:spPr>
        <a:xfrm>
          <a:off x="2095500" y="2529840"/>
          <a:ext cx="45719" cy="4572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266700</xdr:colOff>
      <xdr:row>13</xdr:row>
      <xdr:rowOff>152400</xdr:rowOff>
    </xdr:from>
    <xdr:to>
      <xdr:col>9</xdr:col>
      <xdr:colOff>312419</xdr:colOff>
      <xdr:row>14</xdr:row>
      <xdr:rowOff>15240</xdr:rowOff>
    </xdr:to>
    <xdr:sp macro="" textlink="">
      <xdr:nvSpPr>
        <xdr:cNvPr id="9" name="Oval 8">
          <a:extLst>
            <a:ext uri="{FF2B5EF4-FFF2-40B4-BE49-F238E27FC236}">
              <a16:creationId xmlns:a16="http://schemas.microsoft.com/office/drawing/2014/main" id="{1BA9456A-A763-496F-AE44-7894637B8548}"/>
            </a:ext>
          </a:extLst>
        </xdr:cNvPr>
        <xdr:cNvSpPr/>
      </xdr:nvSpPr>
      <xdr:spPr>
        <a:xfrm>
          <a:off x="5753100" y="2529840"/>
          <a:ext cx="45719" cy="4572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ID" sz="1100"/>
        </a:p>
      </xdr:txBody>
    </xdr:sp>
    <xdr:clientData/>
  </xdr:twoCellAnchor>
  <xdr:twoCellAnchor>
    <xdr:from>
      <xdr:col>15</xdr:col>
      <xdr:colOff>274320</xdr:colOff>
      <xdr:row>13</xdr:row>
      <xdr:rowOff>152400</xdr:rowOff>
    </xdr:from>
    <xdr:to>
      <xdr:col>15</xdr:col>
      <xdr:colOff>320039</xdr:colOff>
      <xdr:row>14</xdr:row>
      <xdr:rowOff>15240</xdr:rowOff>
    </xdr:to>
    <xdr:sp macro="" textlink="">
      <xdr:nvSpPr>
        <xdr:cNvPr id="10" name="Oval 9">
          <a:extLst>
            <a:ext uri="{FF2B5EF4-FFF2-40B4-BE49-F238E27FC236}">
              <a16:creationId xmlns:a16="http://schemas.microsoft.com/office/drawing/2014/main" id="{CC42EAEE-F9E7-4819-A243-BEB0F29C1837}"/>
            </a:ext>
          </a:extLst>
        </xdr:cNvPr>
        <xdr:cNvSpPr/>
      </xdr:nvSpPr>
      <xdr:spPr>
        <a:xfrm>
          <a:off x="9418320" y="2529840"/>
          <a:ext cx="45719" cy="4572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ID"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xdr:colOff>
      <xdr:row>19</xdr:row>
      <xdr:rowOff>68580</xdr:rowOff>
    </xdr:from>
    <xdr:to>
      <xdr:col>4</xdr:col>
      <xdr:colOff>7620</xdr:colOff>
      <xdr:row>20</xdr:row>
      <xdr:rowOff>106680</xdr:rowOff>
    </xdr:to>
    <xdr:cxnSp macro="">
      <xdr:nvCxnSpPr>
        <xdr:cNvPr id="3" name="Straight Arrow Connector 2">
          <a:extLst>
            <a:ext uri="{FF2B5EF4-FFF2-40B4-BE49-F238E27FC236}">
              <a16:creationId xmlns:a16="http://schemas.microsoft.com/office/drawing/2014/main" id="{37630747-7490-2607-149C-340F4806ABF5}"/>
            </a:ext>
          </a:extLst>
        </xdr:cNvPr>
        <xdr:cNvCxnSpPr/>
      </xdr:nvCxnSpPr>
      <xdr:spPr>
        <a:xfrm>
          <a:off x="2446020" y="20802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23</xdr:row>
      <xdr:rowOff>38100</xdr:rowOff>
    </xdr:from>
    <xdr:to>
      <xdr:col>4</xdr:col>
      <xdr:colOff>0</xdr:colOff>
      <xdr:row>24</xdr:row>
      <xdr:rowOff>76200</xdr:rowOff>
    </xdr:to>
    <xdr:cxnSp macro="">
      <xdr:nvCxnSpPr>
        <xdr:cNvPr id="4" name="Straight Arrow Connector 3">
          <a:extLst>
            <a:ext uri="{FF2B5EF4-FFF2-40B4-BE49-F238E27FC236}">
              <a16:creationId xmlns:a16="http://schemas.microsoft.com/office/drawing/2014/main" id="{7886A1D3-87C3-4BF5-8478-928D30ED5419}"/>
            </a:ext>
          </a:extLst>
        </xdr:cNvPr>
        <xdr:cNvCxnSpPr/>
      </xdr:nvCxnSpPr>
      <xdr:spPr>
        <a:xfrm>
          <a:off x="2438400" y="2781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27</xdr:row>
      <xdr:rowOff>30480</xdr:rowOff>
    </xdr:from>
    <xdr:to>
      <xdr:col>4</xdr:col>
      <xdr:colOff>0</xdr:colOff>
      <xdr:row>28</xdr:row>
      <xdr:rowOff>68580</xdr:rowOff>
    </xdr:to>
    <xdr:cxnSp macro="">
      <xdr:nvCxnSpPr>
        <xdr:cNvPr id="5" name="Straight Arrow Connector 4">
          <a:extLst>
            <a:ext uri="{FF2B5EF4-FFF2-40B4-BE49-F238E27FC236}">
              <a16:creationId xmlns:a16="http://schemas.microsoft.com/office/drawing/2014/main" id="{ACD4C3C3-99AB-4125-A6D5-663FBCF3A0D7}"/>
            </a:ext>
          </a:extLst>
        </xdr:cNvPr>
        <xdr:cNvCxnSpPr/>
      </xdr:nvCxnSpPr>
      <xdr:spPr>
        <a:xfrm>
          <a:off x="2438400" y="35052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31</xdr:row>
      <xdr:rowOff>38100</xdr:rowOff>
    </xdr:from>
    <xdr:to>
      <xdr:col>4</xdr:col>
      <xdr:colOff>0</xdr:colOff>
      <xdr:row>32</xdr:row>
      <xdr:rowOff>76200</xdr:rowOff>
    </xdr:to>
    <xdr:cxnSp macro="">
      <xdr:nvCxnSpPr>
        <xdr:cNvPr id="6" name="Straight Arrow Connector 5">
          <a:extLst>
            <a:ext uri="{FF2B5EF4-FFF2-40B4-BE49-F238E27FC236}">
              <a16:creationId xmlns:a16="http://schemas.microsoft.com/office/drawing/2014/main" id="{23204D2C-30B5-439C-A193-4883C64A2625}"/>
            </a:ext>
          </a:extLst>
        </xdr:cNvPr>
        <xdr:cNvCxnSpPr/>
      </xdr:nvCxnSpPr>
      <xdr:spPr>
        <a:xfrm>
          <a:off x="24384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35</xdr:row>
      <xdr:rowOff>53340</xdr:rowOff>
    </xdr:from>
    <xdr:to>
      <xdr:col>4</xdr:col>
      <xdr:colOff>0</xdr:colOff>
      <xdr:row>36</xdr:row>
      <xdr:rowOff>91440</xdr:rowOff>
    </xdr:to>
    <xdr:cxnSp macro="">
      <xdr:nvCxnSpPr>
        <xdr:cNvPr id="7" name="Straight Arrow Connector 6">
          <a:extLst>
            <a:ext uri="{FF2B5EF4-FFF2-40B4-BE49-F238E27FC236}">
              <a16:creationId xmlns:a16="http://schemas.microsoft.com/office/drawing/2014/main" id="{2F339735-2E89-4146-A550-6FDCE85E0D1F}"/>
            </a:ext>
          </a:extLst>
        </xdr:cNvPr>
        <xdr:cNvCxnSpPr/>
      </xdr:nvCxnSpPr>
      <xdr:spPr>
        <a:xfrm>
          <a:off x="2438400" y="49911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39</xdr:row>
      <xdr:rowOff>53340</xdr:rowOff>
    </xdr:from>
    <xdr:to>
      <xdr:col>4</xdr:col>
      <xdr:colOff>0</xdr:colOff>
      <xdr:row>40</xdr:row>
      <xdr:rowOff>91440</xdr:rowOff>
    </xdr:to>
    <xdr:cxnSp macro="">
      <xdr:nvCxnSpPr>
        <xdr:cNvPr id="8" name="Straight Arrow Connector 7">
          <a:extLst>
            <a:ext uri="{FF2B5EF4-FFF2-40B4-BE49-F238E27FC236}">
              <a16:creationId xmlns:a16="http://schemas.microsoft.com/office/drawing/2014/main" id="{D4B168EE-E427-4B86-A6B3-B54DC642017B}"/>
            </a:ext>
          </a:extLst>
        </xdr:cNvPr>
        <xdr:cNvCxnSpPr/>
      </xdr:nvCxnSpPr>
      <xdr:spPr>
        <a:xfrm>
          <a:off x="2438400" y="57226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43</xdr:row>
      <xdr:rowOff>53340</xdr:rowOff>
    </xdr:from>
    <xdr:to>
      <xdr:col>4</xdr:col>
      <xdr:colOff>0</xdr:colOff>
      <xdr:row>44</xdr:row>
      <xdr:rowOff>91440</xdr:rowOff>
    </xdr:to>
    <xdr:cxnSp macro="">
      <xdr:nvCxnSpPr>
        <xdr:cNvPr id="9" name="Straight Arrow Connector 8">
          <a:extLst>
            <a:ext uri="{FF2B5EF4-FFF2-40B4-BE49-F238E27FC236}">
              <a16:creationId xmlns:a16="http://schemas.microsoft.com/office/drawing/2014/main" id="{63D12B57-9656-427D-BE0D-BEB82D14E968}"/>
            </a:ext>
          </a:extLst>
        </xdr:cNvPr>
        <xdr:cNvCxnSpPr/>
      </xdr:nvCxnSpPr>
      <xdr:spPr>
        <a:xfrm>
          <a:off x="2438400" y="64541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47</xdr:row>
      <xdr:rowOff>45720</xdr:rowOff>
    </xdr:from>
    <xdr:to>
      <xdr:col>4</xdr:col>
      <xdr:colOff>0</xdr:colOff>
      <xdr:row>48</xdr:row>
      <xdr:rowOff>83820</xdr:rowOff>
    </xdr:to>
    <xdr:cxnSp macro="">
      <xdr:nvCxnSpPr>
        <xdr:cNvPr id="10" name="Straight Arrow Connector 9">
          <a:extLst>
            <a:ext uri="{FF2B5EF4-FFF2-40B4-BE49-F238E27FC236}">
              <a16:creationId xmlns:a16="http://schemas.microsoft.com/office/drawing/2014/main" id="{07B96DEF-A62C-4ABE-AADE-9AF2D4EA6EDE}"/>
            </a:ext>
          </a:extLst>
        </xdr:cNvPr>
        <xdr:cNvCxnSpPr/>
      </xdr:nvCxnSpPr>
      <xdr:spPr>
        <a:xfrm>
          <a:off x="2438400" y="71780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51</xdr:row>
      <xdr:rowOff>45720</xdr:rowOff>
    </xdr:from>
    <xdr:to>
      <xdr:col>4</xdr:col>
      <xdr:colOff>0</xdr:colOff>
      <xdr:row>52</xdr:row>
      <xdr:rowOff>83820</xdr:rowOff>
    </xdr:to>
    <xdr:cxnSp macro="">
      <xdr:nvCxnSpPr>
        <xdr:cNvPr id="11" name="Straight Arrow Connector 10">
          <a:extLst>
            <a:ext uri="{FF2B5EF4-FFF2-40B4-BE49-F238E27FC236}">
              <a16:creationId xmlns:a16="http://schemas.microsoft.com/office/drawing/2014/main" id="{8AC428D6-B0A9-491A-BDEB-AF5F5D2DAAF2}"/>
            </a:ext>
          </a:extLst>
        </xdr:cNvPr>
        <xdr:cNvCxnSpPr/>
      </xdr:nvCxnSpPr>
      <xdr:spPr>
        <a:xfrm>
          <a:off x="2438400" y="79095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55</xdr:row>
      <xdr:rowOff>53340</xdr:rowOff>
    </xdr:from>
    <xdr:to>
      <xdr:col>4</xdr:col>
      <xdr:colOff>0</xdr:colOff>
      <xdr:row>56</xdr:row>
      <xdr:rowOff>91440</xdr:rowOff>
    </xdr:to>
    <xdr:cxnSp macro="">
      <xdr:nvCxnSpPr>
        <xdr:cNvPr id="12" name="Straight Arrow Connector 11">
          <a:extLst>
            <a:ext uri="{FF2B5EF4-FFF2-40B4-BE49-F238E27FC236}">
              <a16:creationId xmlns:a16="http://schemas.microsoft.com/office/drawing/2014/main" id="{71E2280B-6A41-4908-93E5-6E91A53C85BC}"/>
            </a:ext>
          </a:extLst>
        </xdr:cNvPr>
        <xdr:cNvCxnSpPr/>
      </xdr:nvCxnSpPr>
      <xdr:spPr>
        <a:xfrm>
          <a:off x="2438400" y="86487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19</xdr:row>
      <xdr:rowOff>38100</xdr:rowOff>
    </xdr:from>
    <xdr:to>
      <xdr:col>10</xdr:col>
      <xdr:colOff>0</xdr:colOff>
      <xdr:row>20</xdr:row>
      <xdr:rowOff>76200</xdr:rowOff>
    </xdr:to>
    <xdr:cxnSp macro="">
      <xdr:nvCxnSpPr>
        <xdr:cNvPr id="13" name="Straight Arrow Connector 12">
          <a:extLst>
            <a:ext uri="{FF2B5EF4-FFF2-40B4-BE49-F238E27FC236}">
              <a16:creationId xmlns:a16="http://schemas.microsoft.com/office/drawing/2014/main" id="{3657FA8D-AC31-4060-8F16-AF21C8C735D1}"/>
            </a:ext>
          </a:extLst>
        </xdr:cNvPr>
        <xdr:cNvCxnSpPr/>
      </xdr:nvCxnSpPr>
      <xdr:spPr>
        <a:xfrm>
          <a:off x="609600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23</xdr:row>
      <xdr:rowOff>38100</xdr:rowOff>
    </xdr:from>
    <xdr:to>
      <xdr:col>10</xdr:col>
      <xdr:colOff>0</xdr:colOff>
      <xdr:row>24</xdr:row>
      <xdr:rowOff>76200</xdr:rowOff>
    </xdr:to>
    <xdr:cxnSp macro="">
      <xdr:nvCxnSpPr>
        <xdr:cNvPr id="14" name="Straight Arrow Connector 13">
          <a:extLst>
            <a:ext uri="{FF2B5EF4-FFF2-40B4-BE49-F238E27FC236}">
              <a16:creationId xmlns:a16="http://schemas.microsoft.com/office/drawing/2014/main" id="{F9F1CA27-5421-4387-A4E7-36804F54CC91}"/>
            </a:ext>
          </a:extLst>
        </xdr:cNvPr>
        <xdr:cNvCxnSpPr/>
      </xdr:nvCxnSpPr>
      <xdr:spPr>
        <a:xfrm>
          <a:off x="6096000" y="2781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27</xdr:row>
      <xdr:rowOff>53340</xdr:rowOff>
    </xdr:from>
    <xdr:to>
      <xdr:col>10</xdr:col>
      <xdr:colOff>0</xdr:colOff>
      <xdr:row>28</xdr:row>
      <xdr:rowOff>91440</xdr:rowOff>
    </xdr:to>
    <xdr:cxnSp macro="">
      <xdr:nvCxnSpPr>
        <xdr:cNvPr id="15" name="Straight Arrow Connector 14">
          <a:extLst>
            <a:ext uri="{FF2B5EF4-FFF2-40B4-BE49-F238E27FC236}">
              <a16:creationId xmlns:a16="http://schemas.microsoft.com/office/drawing/2014/main" id="{97D63EF5-236C-4B3C-A975-47DA5355FDBE}"/>
            </a:ext>
          </a:extLst>
        </xdr:cNvPr>
        <xdr:cNvCxnSpPr/>
      </xdr:nvCxnSpPr>
      <xdr:spPr>
        <a:xfrm>
          <a:off x="6096000" y="35280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31</xdr:row>
      <xdr:rowOff>38100</xdr:rowOff>
    </xdr:from>
    <xdr:to>
      <xdr:col>10</xdr:col>
      <xdr:colOff>0</xdr:colOff>
      <xdr:row>32</xdr:row>
      <xdr:rowOff>76200</xdr:rowOff>
    </xdr:to>
    <xdr:cxnSp macro="">
      <xdr:nvCxnSpPr>
        <xdr:cNvPr id="16" name="Straight Arrow Connector 15">
          <a:extLst>
            <a:ext uri="{FF2B5EF4-FFF2-40B4-BE49-F238E27FC236}">
              <a16:creationId xmlns:a16="http://schemas.microsoft.com/office/drawing/2014/main" id="{B18A8043-1C6B-4667-AD6E-34129BFB4B68}"/>
            </a:ext>
          </a:extLst>
        </xdr:cNvPr>
        <xdr:cNvCxnSpPr/>
      </xdr:nvCxnSpPr>
      <xdr:spPr>
        <a:xfrm>
          <a:off x="60960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35</xdr:row>
      <xdr:rowOff>53340</xdr:rowOff>
    </xdr:from>
    <xdr:to>
      <xdr:col>10</xdr:col>
      <xdr:colOff>0</xdr:colOff>
      <xdr:row>36</xdr:row>
      <xdr:rowOff>91440</xdr:rowOff>
    </xdr:to>
    <xdr:cxnSp macro="">
      <xdr:nvCxnSpPr>
        <xdr:cNvPr id="17" name="Straight Arrow Connector 16">
          <a:extLst>
            <a:ext uri="{FF2B5EF4-FFF2-40B4-BE49-F238E27FC236}">
              <a16:creationId xmlns:a16="http://schemas.microsoft.com/office/drawing/2014/main" id="{C1532FD8-D63A-476E-8208-2291117CE86A}"/>
            </a:ext>
          </a:extLst>
        </xdr:cNvPr>
        <xdr:cNvCxnSpPr/>
      </xdr:nvCxnSpPr>
      <xdr:spPr>
        <a:xfrm>
          <a:off x="6096000" y="49911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39</xdr:row>
      <xdr:rowOff>45720</xdr:rowOff>
    </xdr:from>
    <xdr:to>
      <xdr:col>10</xdr:col>
      <xdr:colOff>0</xdr:colOff>
      <xdr:row>40</xdr:row>
      <xdr:rowOff>83820</xdr:rowOff>
    </xdr:to>
    <xdr:cxnSp macro="">
      <xdr:nvCxnSpPr>
        <xdr:cNvPr id="18" name="Straight Arrow Connector 17">
          <a:extLst>
            <a:ext uri="{FF2B5EF4-FFF2-40B4-BE49-F238E27FC236}">
              <a16:creationId xmlns:a16="http://schemas.microsoft.com/office/drawing/2014/main" id="{81D842AB-AF7B-47D0-A300-B3CEBDA91468}"/>
            </a:ext>
          </a:extLst>
        </xdr:cNvPr>
        <xdr:cNvCxnSpPr/>
      </xdr:nvCxnSpPr>
      <xdr:spPr>
        <a:xfrm>
          <a:off x="6096000" y="57150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43</xdr:row>
      <xdr:rowOff>38100</xdr:rowOff>
    </xdr:from>
    <xdr:to>
      <xdr:col>10</xdr:col>
      <xdr:colOff>0</xdr:colOff>
      <xdr:row>44</xdr:row>
      <xdr:rowOff>76200</xdr:rowOff>
    </xdr:to>
    <xdr:cxnSp macro="">
      <xdr:nvCxnSpPr>
        <xdr:cNvPr id="19" name="Straight Arrow Connector 18">
          <a:extLst>
            <a:ext uri="{FF2B5EF4-FFF2-40B4-BE49-F238E27FC236}">
              <a16:creationId xmlns:a16="http://schemas.microsoft.com/office/drawing/2014/main" id="{703344FC-169B-4D9C-B3E9-D3A6E7D10691}"/>
            </a:ext>
          </a:extLst>
        </xdr:cNvPr>
        <xdr:cNvCxnSpPr/>
      </xdr:nvCxnSpPr>
      <xdr:spPr>
        <a:xfrm>
          <a:off x="6096000" y="64389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47</xdr:row>
      <xdr:rowOff>45720</xdr:rowOff>
    </xdr:from>
    <xdr:to>
      <xdr:col>10</xdr:col>
      <xdr:colOff>0</xdr:colOff>
      <xdr:row>48</xdr:row>
      <xdr:rowOff>83820</xdr:rowOff>
    </xdr:to>
    <xdr:cxnSp macro="">
      <xdr:nvCxnSpPr>
        <xdr:cNvPr id="20" name="Straight Arrow Connector 19">
          <a:extLst>
            <a:ext uri="{FF2B5EF4-FFF2-40B4-BE49-F238E27FC236}">
              <a16:creationId xmlns:a16="http://schemas.microsoft.com/office/drawing/2014/main" id="{38DE691B-01B2-4ABE-ABBA-E0FC0A078253}"/>
            </a:ext>
          </a:extLst>
        </xdr:cNvPr>
        <xdr:cNvCxnSpPr/>
      </xdr:nvCxnSpPr>
      <xdr:spPr>
        <a:xfrm>
          <a:off x="6096000" y="71780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51</xdr:row>
      <xdr:rowOff>45720</xdr:rowOff>
    </xdr:from>
    <xdr:to>
      <xdr:col>10</xdr:col>
      <xdr:colOff>0</xdr:colOff>
      <xdr:row>52</xdr:row>
      <xdr:rowOff>83820</xdr:rowOff>
    </xdr:to>
    <xdr:cxnSp macro="">
      <xdr:nvCxnSpPr>
        <xdr:cNvPr id="21" name="Straight Arrow Connector 20">
          <a:extLst>
            <a:ext uri="{FF2B5EF4-FFF2-40B4-BE49-F238E27FC236}">
              <a16:creationId xmlns:a16="http://schemas.microsoft.com/office/drawing/2014/main" id="{E3F8A262-57E5-461E-A905-963408322D5A}"/>
            </a:ext>
          </a:extLst>
        </xdr:cNvPr>
        <xdr:cNvCxnSpPr/>
      </xdr:nvCxnSpPr>
      <xdr:spPr>
        <a:xfrm>
          <a:off x="6096000" y="79095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55</xdr:row>
      <xdr:rowOff>45720</xdr:rowOff>
    </xdr:from>
    <xdr:to>
      <xdr:col>10</xdr:col>
      <xdr:colOff>0</xdr:colOff>
      <xdr:row>56</xdr:row>
      <xdr:rowOff>83820</xdr:rowOff>
    </xdr:to>
    <xdr:cxnSp macro="">
      <xdr:nvCxnSpPr>
        <xdr:cNvPr id="22" name="Straight Arrow Connector 21">
          <a:extLst>
            <a:ext uri="{FF2B5EF4-FFF2-40B4-BE49-F238E27FC236}">
              <a16:creationId xmlns:a16="http://schemas.microsoft.com/office/drawing/2014/main" id="{3E0369D7-EDD5-4D0A-B5C2-7BFB428609AC}"/>
            </a:ext>
          </a:extLst>
        </xdr:cNvPr>
        <xdr:cNvCxnSpPr/>
      </xdr:nvCxnSpPr>
      <xdr:spPr>
        <a:xfrm>
          <a:off x="6096000" y="86410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19</xdr:row>
      <xdr:rowOff>45720</xdr:rowOff>
    </xdr:from>
    <xdr:to>
      <xdr:col>16</xdr:col>
      <xdr:colOff>0</xdr:colOff>
      <xdr:row>20</xdr:row>
      <xdr:rowOff>83820</xdr:rowOff>
    </xdr:to>
    <xdr:cxnSp macro="">
      <xdr:nvCxnSpPr>
        <xdr:cNvPr id="23" name="Straight Arrow Connector 22">
          <a:extLst>
            <a:ext uri="{FF2B5EF4-FFF2-40B4-BE49-F238E27FC236}">
              <a16:creationId xmlns:a16="http://schemas.microsoft.com/office/drawing/2014/main" id="{BC79290F-CBB3-402A-8BEB-48415001112E}"/>
            </a:ext>
          </a:extLst>
        </xdr:cNvPr>
        <xdr:cNvCxnSpPr/>
      </xdr:nvCxnSpPr>
      <xdr:spPr>
        <a:xfrm>
          <a:off x="9753600" y="20574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23</xdr:row>
      <xdr:rowOff>38100</xdr:rowOff>
    </xdr:from>
    <xdr:to>
      <xdr:col>16</xdr:col>
      <xdr:colOff>0</xdr:colOff>
      <xdr:row>24</xdr:row>
      <xdr:rowOff>76200</xdr:rowOff>
    </xdr:to>
    <xdr:cxnSp macro="">
      <xdr:nvCxnSpPr>
        <xdr:cNvPr id="24" name="Straight Arrow Connector 23">
          <a:extLst>
            <a:ext uri="{FF2B5EF4-FFF2-40B4-BE49-F238E27FC236}">
              <a16:creationId xmlns:a16="http://schemas.microsoft.com/office/drawing/2014/main" id="{3B4D1167-72E7-4B37-A449-FD25A843183B}"/>
            </a:ext>
          </a:extLst>
        </xdr:cNvPr>
        <xdr:cNvCxnSpPr/>
      </xdr:nvCxnSpPr>
      <xdr:spPr>
        <a:xfrm>
          <a:off x="9753600" y="2781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27</xdr:row>
      <xdr:rowOff>38100</xdr:rowOff>
    </xdr:from>
    <xdr:to>
      <xdr:col>16</xdr:col>
      <xdr:colOff>0</xdr:colOff>
      <xdr:row>28</xdr:row>
      <xdr:rowOff>76200</xdr:rowOff>
    </xdr:to>
    <xdr:cxnSp macro="">
      <xdr:nvCxnSpPr>
        <xdr:cNvPr id="25" name="Straight Arrow Connector 24">
          <a:extLst>
            <a:ext uri="{FF2B5EF4-FFF2-40B4-BE49-F238E27FC236}">
              <a16:creationId xmlns:a16="http://schemas.microsoft.com/office/drawing/2014/main" id="{8CAA013B-E1C9-4614-8026-C6DC4FE7AEDB}"/>
            </a:ext>
          </a:extLst>
        </xdr:cNvPr>
        <xdr:cNvCxnSpPr/>
      </xdr:nvCxnSpPr>
      <xdr:spPr>
        <a:xfrm>
          <a:off x="9753600" y="35128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31</xdr:row>
      <xdr:rowOff>38100</xdr:rowOff>
    </xdr:from>
    <xdr:to>
      <xdr:col>16</xdr:col>
      <xdr:colOff>0</xdr:colOff>
      <xdr:row>32</xdr:row>
      <xdr:rowOff>76200</xdr:rowOff>
    </xdr:to>
    <xdr:cxnSp macro="">
      <xdr:nvCxnSpPr>
        <xdr:cNvPr id="26" name="Straight Arrow Connector 25">
          <a:extLst>
            <a:ext uri="{FF2B5EF4-FFF2-40B4-BE49-F238E27FC236}">
              <a16:creationId xmlns:a16="http://schemas.microsoft.com/office/drawing/2014/main" id="{7034D794-DE97-42A0-9911-1689A376519B}"/>
            </a:ext>
          </a:extLst>
        </xdr:cNvPr>
        <xdr:cNvCxnSpPr/>
      </xdr:nvCxnSpPr>
      <xdr:spPr>
        <a:xfrm>
          <a:off x="97536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35</xdr:row>
      <xdr:rowOff>45720</xdr:rowOff>
    </xdr:from>
    <xdr:to>
      <xdr:col>16</xdr:col>
      <xdr:colOff>0</xdr:colOff>
      <xdr:row>36</xdr:row>
      <xdr:rowOff>83820</xdr:rowOff>
    </xdr:to>
    <xdr:cxnSp macro="">
      <xdr:nvCxnSpPr>
        <xdr:cNvPr id="27" name="Straight Arrow Connector 26">
          <a:extLst>
            <a:ext uri="{FF2B5EF4-FFF2-40B4-BE49-F238E27FC236}">
              <a16:creationId xmlns:a16="http://schemas.microsoft.com/office/drawing/2014/main" id="{33F7442A-3F19-4072-8872-37D4FB540E6C}"/>
            </a:ext>
          </a:extLst>
        </xdr:cNvPr>
        <xdr:cNvCxnSpPr/>
      </xdr:nvCxnSpPr>
      <xdr:spPr>
        <a:xfrm>
          <a:off x="9753600" y="49834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39</xdr:row>
      <xdr:rowOff>38100</xdr:rowOff>
    </xdr:from>
    <xdr:to>
      <xdr:col>16</xdr:col>
      <xdr:colOff>0</xdr:colOff>
      <xdr:row>40</xdr:row>
      <xdr:rowOff>76200</xdr:rowOff>
    </xdr:to>
    <xdr:cxnSp macro="">
      <xdr:nvCxnSpPr>
        <xdr:cNvPr id="28" name="Straight Arrow Connector 27">
          <a:extLst>
            <a:ext uri="{FF2B5EF4-FFF2-40B4-BE49-F238E27FC236}">
              <a16:creationId xmlns:a16="http://schemas.microsoft.com/office/drawing/2014/main" id="{2749E248-4BE7-422A-9653-0BCA3419CF69}"/>
            </a:ext>
          </a:extLst>
        </xdr:cNvPr>
        <xdr:cNvCxnSpPr/>
      </xdr:nvCxnSpPr>
      <xdr:spPr>
        <a:xfrm>
          <a:off x="97536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43</xdr:row>
      <xdr:rowOff>45720</xdr:rowOff>
    </xdr:from>
    <xdr:to>
      <xdr:col>16</xdr:col>
      <xdr:colOff>0</xdr:colOff>
      <xdr:row>44</xdr:row>
      <xdr:rowOff>83820</xdr:rowOff>
    </xdr:to>
    <xdr:cxnSp macro="">
      <xdr:nvCxnSpPr>
        <xdr:cNvPr id="29" name="Straight Arrow Connector 28">
          <a:extLst>
            <a:ext uri="{FF2B5EF4-FFF2-40B4-BE49-F238E27FC236}">
              <a16:creationId xmlns:a16="http://schemas.microsoft.com/office/drawing/2014/main" id="{05D7B6E7-717F-4863-BDF9-A21ECCA329E8}"/>
            </a:ext>
          </a:extLst>
        </xdr:cNvPr>
        <xdr:cNvCxnSpPr/>
      </xdr:nvCxnSpPr>
      <xdr:spPr>
        <a:xfrm>
          <a:off x="9753600" y="64465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47</xdr:row>
      <xdr:rowOff>38100</xdr:rowOff>
    </xdr:from>
    <xdr:to>
      <xdr:col>16</xdr:col>
      <xdr:colOff>0</xdr:colOff>
      <xdr:row>48</xdr:row>
      <xdr:rowOff>76200</xdr:rowOff>
    </xdr:to>
    <xdr:cxnSp macro="">
      <xdr:nvCxnSpPr>
        <xdr:cNvPr id="30" name="Straight Arrow Connector 29">
          <a:extLst>
            <a:ext uri="{FF2B5EF4-FFF2-40B4-BE49-F238E27FC236}">
              <a16:creationId xmlns:a16="http://schemas.microsoft.com/office/drawing/2014/main" id="{9D87F03A-F2E9-47BF-8CA2-078E4CC18B54}"/>
            </a:ext>
          </a:extLst>
        </xdr:cNvPr>
        <xdr:cNvCxnSpPr/>
      </xdr:nvCxnSpPr>
      <xdr:spPr>
        <a:xfrm>
          <a:off x="9753600" y="71704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51</xdr:row>
      <xdr:rowOff>45720</xdr:rowOff>
    </xdr:from>
    <xdr:to>
      <xdr:col>16</xdr:col>
      <xdr:colOff>0</xdr:colOff>
      <xdr:row>52</xdr:row>
      <xdr:rowOff>83820</xdr:rowOff>
    </xdr:to>
    <xdr:cxnSp macro="">
      <xdr:nvCxnSpPr>
        <xdr:cNvPr id="31" name="Straight Arrow Connector 30">
          <a:extLst>
            <a:ext uri="{FF2B5EF4-FFF2-40B4-BE49-F238E27FC236}">
              <a16:creationId xmlns:a16="http://schemas.microsoft.com/office/drawing/2014/main" id="{4B200F40-28CB-4551-990C-26AD3F5B6486}"/>
            </a:ext>
          </a:extLst>
        </xdr:cNvPr>
        <xdr:cNvCxnSpPr/>
      </xdr:nvCxnSpPr>
      <xdr:spPr>
        <a:xfrm>
          <a:off x="9753600" y="79095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55</xdr:row>
      <xdr:rowOff>53340</xdr:rowOff>
    </xdr:from>
    <xdr:to>
      <xdr:col>16</xdr:col>
      <xdr:colOff>0</xdr:colOff>
      <xdr:row>56</xdr:row>
      <xdr:rowOff>91440</xdr:rowOff>
    </xdr:to>
    <xdr:cxnSp macro="">
      <xdr:nvCxnSpPr>
        <xdr:cNvPr id="32" name="Straight Arrow Connector 31">
          <a:extLst>
            <a:ext uri="{FF2B5EF4-FFF2-40B4-BE49-F238E27FC236}">
              <a16:creationId xmlns:a16="http://schemas.microsoft.com/office/drawing/2014/main" id="{953DC2FC-5031-4AE6-A8DE-91BF589760C9}"/>
            </a:ext>
          </a:extLst>
        </xdr:cNvPr>
        <xdr:cNvCxnSpPr/>
      </xdr:nvCxnSpPr>
      <xdr:spPr>
        <a:xfrm>
          <a:off x="9753600" y="86487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7620</xdr:colOff>
      <xdr:row>15</xdr:row>
      <xdr:rowOff>45720</xdr:rowOff>
    </xdr:from>
    <xdr:to>
      <xdr:col>4</xdr:col>
      <xdr:colOff>7620</xdr:colOff>
      <xdr:row>16</xdr:row>
      <xdr:rowOff>83820</xdr:rowOff>
    </xdr:to>
    <xdr:cxnSp macro="">
      <xdr:nvCxnSpPr>
        <xdr:cNvPr id="2" name="Straight Arrow Connector 1">
          <a:extLst>
            <a:ext uri="{FF2B5EF4-FFF2-40B4-BE49-F238E27FC236}">
              <a16:creationId xmlns:a16="http://schemas.microsoft.com/office/drawing/2014/main" id="{1360ED60-F19D-4E94-AEC9-2DCD61F9ECE1}"/>
            </a:ext>
          </a:extLst>
        </xdr:cNvPr>
        <xdr:cNvCxnSpPr/>
      </xdr:nvCxnSpPr>
      <xdr:spPr>
        <a:xfrm>
          <a:off x="2446020" y="20574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601980</xdr:colOff>
      <xdr:row>15</xdr:row>
      <xdr:rowOff>38100</xdr:rowOff>
    </xdr:from>
    <xdr:to>
      <xdr:col>9</xdr:col>
      <xdr:colOff>601980</xdr:colOff>
      <xdr:row>16</xdr:row>
      <xdr:rowOff>76200</xdr:rowOff>
    </xdr:to>
    <xdr:cxnSp macro="">
      <xdr:nvCxnSpPr>
        <xdr:cNvPr id="33" name="Straight Arrow Connector 32">
          <a:extLst>
            <a:ext uri="{FF2B5EF4-FFF2-40B4-BE49-F238E27FC236}">
              <a16:creationId xmlns:a16="http://schemas.microsoft.com/office/drawing/2014/main" id="{48A3A441-FB1B-4BD9-BBFE-71A1DA61F34A}"/>
            </a:ext>
          </a:extLst>
        </xdr:cNvPr>
        <xdr:cNvCxnSpPr/>
      </xdr:nvCxnSpPr>
      <xdr:spPr>
        <a:xfrm>
          <a:off x="608838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601980</xdr:colOff>
      <xdr:row>15</xdr:row>
      <xdr:rowOff>30480</xdr:rowOff>
    </xdr:from>
    <xdr:to>
      <xdr:col>15</xdr:col>
      <xdr:colOff>601980</xdr:colOff>
      <xdr:row>16</xdr:row>
      <xdr:rowOff>68580</xdr:rowOff>
    </xdr:to>
    <xdr:cxnSp macro="">
      <xdr:nvCxnSpPr>
        <xdr:cNvPr id="34" name="Straight Arrow Connector 33">
          <a:extLst>
            <a:ext uri="{FF2B5EF4-FFF2-40B4-BE49-F238E27FC236}">
              <a16:creationId xmlns:a16="http://schemas.microsoft.com/office/drawing/2014/main" id="{4B1F756E-6F76-4D83-BBA0-356B329A8179}"/>
            </a:ext>
          </a:extLst>
        </xdr:cNvPr>
        <xdr:cNvCxnSpPr/>
      </xdr:nvCxnSpPr>
      <xdr:spPr>
        <a:xfrm>
          <a:off x="9745980" y="20421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11</xdr:row>
      <xdr:rowOff>38100</xdr:rowOff>
    </xdr:from>
    <xdr:to>
      <xdr:col>4</xdr:col>
      <xdr:colOff>0</xdr:colOff>
      <xdr:row>12</xdr:row>
      <xdr:rowOff>76200</xdr:rowOff>
    </xdr:to>
    <xdr:cxnSp macro="">
      <xdr:nvCxnSpPr>
        <xdr:cNvPr id="35" name="Straight Arrow Connector 34">
          <a:extLst>
            <a:ext uri="{FF2B5EF4-FFF2-40B4-BE49-F238E27FC236}">
              <a16:creationId xmlns:a16="http://schemas.microsoft.com/office/drawing/2014/main" id="{65B4620F-D25B-4DAB-B2E7-64C6C3527294}"/>
            </a:ext>
          </a:extLst>
        </xdr:cNvPr>
        <xdr:cNvCxnSpPr/>
      </xdr:nvCxnSpPr>
      <xdr:spPr>
        <a:xfrm>
          <a:off x="243840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601980</xdr:colOff>
      <xdr:row>11</xdr:row>
      <xdr:rowOff>38100</xdr:rowOff>
    </xdr:from>
    <xdr:to>
      <xdr:col>9</xdr:col>
      <xdr:colOff>601980</xdr:colOff>
      <xdr:row>12</xdr:row>
      <xdr:rowOff>76200</xdr:rowOff>
    </xdr:to>
    <xdr:cxnSp macro="">
      <xdr:nvCxnSpPr>
        <xdr:cNvPr id="36" name="Straight Arrow Connector 35">
          <a:extLst>
            <a:ext uri="{FF2B5EF4-FFF2-40B4-BE49-F238E27FC236}">
              <a16:creationId xmlns:a16="http://schemas.microsoft.com/office/drawing/2014/main" id="{16E6A68C-A489-447D-84C0-9B6882AC846B}"/>
            </a:ext>
          </a:extLst>
        </xdr:cNvPr>
        <xdr:cNvCxnSpPr/>
      </xdr:nvCxnSpPr>
      <xdr:spPr>
        <a:xfrm>
          <a:off x="608838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601980</xdr:colOff>
      <xdr:row>11</xdr:row>
      <xdr:rowOff>30480</xdr:rowOff>
    </xdr:from>
    <xdr:to>
      <xdr:col>15</xdr:col>
      <xdr:colOff>601980</xdr:colOff>
      <xdr:row>12</xdr:row>
      <xdr:rowOff>68580</xdr:rowOff>
    </xdr:to>
    <xdr:cxnSp macro="">
      <xdr:nvCxnSpPr>
        <xdr:cNvPr id="37" name="Straight Arrow Connector 36">
          <a:extLst>
            <a:ext uri="{FF2B5EF4-FFF2-40B4-BE49-F238E27FC236}">
              <a16:creationId xmlns:a16="http://schemas.microsoft.com/office/drawing/2014/main" id="{5ECAB41E-3774-457C-87FE-AC47C67D2F75}"/>
            </a:ext>
          </a:extLst>
        </xdr:cNvPr>
        <xdr:cNvCxnSpPr/>
      </xdr:nvCxnSpPr>
      <xdr:spPr>
        <a:xfrm>
          <a:off x="9745980" y="20421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59</xdr:row>
      <xdr:rowOff>53340</xdr:rowOff>
    </xdr:from>
    <xdr:to>
      <xdr:col>4</xdr:col>
      <xdr:colOff>0</xdr:colOff>
      <xdr:row>60</xdr:row>
      <xdr:rowOff>91440</xdr:rowOff>
    </xdr:to>
    <xdr:cxnSp macro="">
      <xdr:nvCxnSpPr>
        <xdr:cNvPr id="38" name="Straight Arrow Connector 37">
          <a:extLst>
            <a:ext uri="{FF2B5EF4-FFF2-40B4-BE49-F238E27FC236}">
              <a16:creationId xmlns:a16="http://schemas.microsoft.com/office/drawing/2014/main" id="{5AFF5269-7464-474B-8C0D-D26B1B9569F1}"/>
            </a:ext>
          </a:extLst>
        </xdr:cNvPr>
        <xdr:cNvCxnSpPr/>
      </xdr:nvCxnSpPr>
      <xdr:spPr>
        <a:xfrm>
          <a:off x="2438400" y="108432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59</xdr:row>
      <xdr:rowOff>53340</xdr:rowOff>
    </xdr:from>
    <xdr:to>
      <xdr:col>10</xdr:col>
      <xdr:colOff>0</xdr:colOff>
      <xdr:row>60</xdr:row>
      <xdr:rowOff>91440</xdr:rowOff>
    </xdr:to>
    <xdr:cxnSp macro="">
      <xdr:nvCxnSpPr>
        <xdr:cNvPr id="39" name="Straight Arrow Connector 38">
          <a:extLst>
            <a:ext uri="{FF2B5EF4-FFF2-40B4-BE49-F238E27FC236}">
              <a16:creationId xmlns:a16="http://schemas.microsoft.com/office/drawing/2014/main" id="{D7EC68FD-FED6-4C97-A6C4-29F157A027C4}"/>
            </a:ext>
          </a:extLst>
        </xdr:cNvPr>
        <xdr:cNvCxnSpPr/>
      </xdr:nvCxnSpPr>
      <xdr:spPr>
        <a:xfrm>
          <a:off x="6096000" y="108432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59</xdr:row>
      <xdr:rowOff>53340</xdr:rowOff>
    </xdr:from>
    <xdr:to>
      <xdr:col>16</xdr:col>
      <xdr:colOff>0</xdr:colOff>
      <xdr:row>60</xdr:row>
      <xdr:rowOff>91440</xdr:rowOff>
    </xdr:to>
    <xdr:cxnSp macro="">
      <xdr:nvCxnSpPr>
        <xdr:cNvPr id="40" name="Straight Arrow Connector 39">
          <a:extLst>
            <a:ext uri="{FF2B5EF4-FFF2-40B4-BE49-F238E27FC236}">
              <a16:creationId xmlns:a16="http://schemas.microsoft.com/office/drawing/2014/main" id="{D885C5C9-F013-44EF-AD1A-7E7FE1DE9EA9}"/>
            </a:ext>
          </a:extLst>
        </xdr:cNvPr>
        <xdr:cNvCxnSpPr/>
      </xdr:nvCxnSpPr>
      <xdr:spPr>
        <a:xfrm>
          <a:off x="9753600" y="108432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697031</xdr:colOff>
      <xdr:row>13</xdr:row>
      <xdr:rowOff>95851</xdr:rowOff>
    </xdr:from>
    <xdr:to>
      <xdr:col>31</xdr:col>
      <xdr:colOff>510097</xdr:colOff>
      <xdr:row>37</xdr:row>
      <xdr:rowOff>95851</xdr:rowOff>
    </xdr:to>
    <xdr:pic>
      <xdr:nvPicPr>
        <xdr:cNvPr id="2" name="Picture 1">
          <a:extLst>
            <a:ext uri="{FF2B5EF4-FFF2-40B4-BE49-F238E27FC236}">
              <a16:creationId xmlns:a16="http://schemas.microsoft.com/office/drawing/2014/main" id="{F4249FD4-A6D4-9287-F0BC-319D43272889}"/>
            </a:ext>
          </a:extLst>
        </xdr:cNvPr>
        <xdr:cNvPicPr>
          <a:picLocks noChangeAspect="1"/>
        </xdr:cNvPicPr>
      </xdr:nvPicPr>
      <xdr:blipFill rotWithShape="1">
        <a:blip xmlns:r="http://schemas.openxmlformats.org/officeDocument/2006/relationships" r:embed="rId1"/>
        <a:srcRect t="9241" b="16114"/>
        <a:stretch/>
      </xdr:blipFill>
      <xdr:spPr>
        <a:xfrm>
          <a:off x="41251473" y="2502167"/>
          <a:ext cx="3526813" cy="4427621"/>
        </a:xfrm>
        <a:prstGeom prst="rect">
          <a:avLst/>
        </a:prstGeom>
      </xdr:spPr>
    </xdr:pic>
    <xdr:clientData/>
  </xdr:twoCellAnchor>
  <xdr:twoCellAnchor editAs="oneCell">
    <xdr:from>
      <xdr:col>5</xdr:col>
      <xdr:colOff>441960</xdr:colOff>
      <xdr:row>13</xdr:row>
      <xdr:rowOff>53341</xdr:rowOff>
    </xdr:from>
    <xdr:to>
      <xdr:col>7</xdr:col>
      <xdr:colOff>613249</xdr:colOff>
      <xdr:row>23</xdr:row>
      <xdr:rowOff>152401</xdr:rowOff>
    </xdr:to>
    <xdr:pic>
      <xdr:nvPicPr>
        <xdr:cNvPr id="3" name="Picture 2">
          <a:extLst>
            <a:ext uri="{FF2B5EF4-FFF2-40B4-BE49-F238E27FC236}">
              <a16:creationId xmlns:a16="http://schemas.microsoft.com/office/drawing/2014/main" id="{ADD5CAD5-DB78-D633-8887-953ADB7765ED}"/>
            </a:ext>
          </a:extLst>
        </xdr:cNvPr>
        <xdr:cNvPicPr>
          <a:picLocks noChangeAspect="1"/>
        </xdr:cNvPicPr>
      </xdr:nvPicPr>
      <xdr:blipFill>
        <a:blip xmlns:r="http://schemas.openxmlformats.org/officeDocument/2006/relationships" r:embed="rId2"/>
        <a:stretch>
          <a:fillRect/>
        </a:stretch>
      </xdr:blipFill>
      <xdr:spPr>
        <a:xfrm>
          <a:off x="8488680" y="2438401"/>
          <a:ext cx="3409789" cy="1927860"/>
        </a:xfrm>
        <a:prstGeom prst="rect">
          <a:avLst/>
        </a:prstGeom>
      </xdr:spPr>
    </xdr:pic>
    <xdr:clientData/>
  </xdr:twoCellAnchor>
  <xdr:twoCellAnchor editAs="oneCell">
    <xdr:from>
      <xdr:col>2</xdr:col>
      <xdr:colOff>480060</xdr:colOff>
      <xdr:row>12</xdr:row>
      <xdr:rowOff>160021</xdr:rowOff>
    </xdr:from>
    <xdr:to>
      <xdr:col>5</xdr:col>
      <xdr:colOff>442851</xdr:colOff>
      <xdr:row>19</xdr:row>
      <xdr:rowOff>99060</xdr:rowOff>
    </xdr:to>
    <xdr:pic>
      <xdr:nvPicPr>
        <xdr:cNvPr id="4" name="Picture 3">
          <a:extLst>
            <a:ext uri="{FF2B5EF4-FFF2-40B4-BE49-F238E27FC236}">
              <a16:creationId xmlns:a16="http://schemas.microsoft.com/office/drawing/2014/main" id="{5FD95510-FAEC-9F60-95BB-A9CE95E97A60}"/>
            </a:ext>
          </a:extLst>
        </xdr:cNvPr>
        <xdr:cNvPicPr>
          <a:picLocks noChangeAspect="1"/>
        </xdr:cNvPicPr>
      </xdr:nvPicPr>
      <xdr:blipFill>
        <a:blip xmlns:r="http://schemas.openxmlformats.org/officeDocument/2006/relationships" r:embed="rId3"/>
        <a:stretch>
          <a:fillRect/>
        </a:stretch>
      </xdr:blipFill>
      <xdr:spPr>
        <a:xfrm>
          <a:off x="4114800" y="2362201"/>
          <a:ext cx="4374771" cy="1219199"/>
        </a:xfrm>
        <a:prstGeom prst="rect">
          <a:avLst/>
        </a:prstGeom>
      </xdr:spPr>
    </xdr:pic>
    <xdr:clientData/>
  </xdr:twoCellAnchor>
  <xdr:twoCellAnchor editAs="oneCell">
    <xdr:from>
      <xdr:col>2</xdr:col>
      <xdr:colOff>480060</xdr:colOff>
      <xdr:row>19</xdr:row>
      <xdr:rowOff>175261</xdr:rowOff>
    </xdr:from>
    <xdr:to>
      <xdr:col>4</xdr:col>
      <xdr:colOff>1466158</xdr:colOff>
      <xdr:row>29</xdr:row>
      <xdr:rowOff>38100</xdr:rowOff>
    </xdr:to>
    <xdr:pic>
      <xdr:nvPicPr>
        <xdr:cNvPr id="5" name="Picture 4">
          <a:extLst>
            <a:ext uri="{FF2B5EF4-FFF2-40B4-BE49-F238E27FC236}">
              <a16:creationId xmlns:a16="http://schemas.microsoft.com/office/drawing/2014/main" id="{36A4AAB4-E4D0-2F19-AE39-A8B0F7B1032F}"/>
            </a:ext>
          </a:extLst>
        </xdr:cNvPr>
        <xdr:cNvPicPr>
          <a:picLocks noChangeAspect="1"/>
        </xdr:cNvPicPr>
      </xdr:nvPicPr>
      <xdr:blipFill>
        <a:blip xmlns:r="http://schemas.openxmlformats.org/officeDocument/2006/relationships" r:embed="rId4"/>
        <a:stretch>
          <a:fillRect/>
        </a:stretch>
      </xdr:blipFill>
      <xdr:spPr>
        <a:xfrm>
          <a:off x="4114800" y="3657601"/>
          <a:ext cx="3912178" cy="1691639"/>
        </a:xfrm>
        <a:prstGeom prst="rect">
          <a:avLst/>
        </a:prstGeom>
      </xdr:spPr>
    </xdr:pic>
    <xdr:clientData/>
  </xdr:twoCellAnchor>
  <xdr:twoCellAnchor editAs="oneCell">
    <xdr:from>
      <xdr:col>7</xdr:col>
      <xdr:colOff>734968</xdr:colOff>
      <xdr:row>13</xdr:row>
      <xdr:rowOff>137160</xdr:rowOff>
    </xdr:from>
    <xdr:to>
      <xdr:col>9</xdr:col>
      <xdr:colOff>1115639</xdr:colOff>
      <xdr:row>39</xdr:row>
      <xdr:rowOff>30480</xdr:rowOff>
    </xdr:to>
    <xdr:pic>
      <xdr:nvPicPr>
        <xdr:cNvPr id="6" name="Picture 5">
          <a:extLst>
            <a:ext uri="{FF2B5EF4-FFF2-40B4-BE49-F238E27FC236}">
              <a16:creationId xmlns:a16="http://schemas.microsoft.com/office/drawing/2014/main" id="{ABC2F90D-2883-53E2-D272-3B3B75233C09}"/>
            </a:ext>
          </a:extLst>
        </xdr:cNvPr>
        <xdr:cNvPicPr>
          <a:picLocks noChangeAspect="1"/>
        </xdr:cNvPicPr>
      </xdr:nvPicPr>
      <xdr:blipFill>
        <a:blip xmlns:r="http://schemas.openxmlformats.org/officeDocument/2006/relationships" r:embed="rId5"/>
        <a:stretch>
          <a:fillRect/>
        </a:stretch>
      </xdr:blipFill>
      <xdr:spPr>
        <a:xfrm>
          <a:off x="12020188" y="2522220"/>
          <a:ext cx="3649651" cy="4648200"/>
        </a:xfrm>
        <a:prstGeom prst="rect">
          <a:avLst/>
        </a:prstGeom>
      </xdr:spPr>
    </xdr:pic>
    <xdr:clientData/>
  </xdr:twoCellAnchor>
  <xdr:twoCellAnchor editAs="oneCell">
    <xdr:from>
      <xdr:col>5</xdr:col>
      <xdr:colOff>541020</xdr:colOff>
      <xdr:row>24</xdr:row>
      <xdr:rowOff>99060</xdr:rowOff>
    </xdr:from>
    <xdr:to>
      <xdr:col>7</xdr:col>
      <xdr:colOff>602866</xdr:colOff>
      <xdr:row>40</xdr:row>
      <xdr:rowOff>129540</xdr:rowOff>
    </xdr:to>
    <xdr:pic>
      <xdr:nvPicPr>
        <xdr:cNvPr id="7" name="Picture 6">
          <a:extLst>
            <a:ext uri="{FF2B5EF4-FFF2-40B4-BE49-F238E27FC236}">
              <a16:creationId xmlns:a16="http://schemas.microsoft.com/office/drawing/2014/main" id="{33C4D41C-AE50-4751-391C-E4269EC2B023}"/>
            </a:ext>
          </a:extLst>
        </xdr:cNvPr>
        <xdr:cNvPicPr>
          <a:picLocks noChangeAspect="1"/>
        </xdr:cNvPicPr>
      </xdr:nvPicPr>
      <xdr:blipFill>
        <a:blip xmlns:r="http://schemas.openxmlformats.org/officeDocument/2006/relationships" r:embed="rId6"/>
        <a:stretch>
          <a:fillRect/>
        </a:stretch>
      </xdr:blipFill>
      <xdr:spPr>
        <a:xfrm>
          <a:off x="8587740" y="4495800"/>
          <a:ext cx="3300346" cy="2956560"/>
        </a:xfrm>
        <a:prstGeom prst="rect">
          <a:avLst/>
        </a:prstGeom>
      </xdr:spPr>
    </xdr:pic>
    <xdr:clientData/>
  </xdr:twoCellAnchor>
  <xdr:twoCellAnchor editAs="oneCell">
    <xdr:from>
      <xdr:col>10</xdr:col>
      <xdr:colOff>22860</xdr:colOff>
      <xdr:row>13</xdr:row>
      <xdr:rowOff>68581</xdr:rowOff>
    </xdr:from>
    <xdr:to>
      <xdr:col>11</xdr:col>
      <xdr:colOff>1198881</xdr:colOff>
      <xdr:row>17</xdr:row>
      <xdr:rowOff>7621</xdr:rowOff>
    </xdr:to>
    <xdr:pic>
      <xdr:nvPicPr>
        <xdr:cNvPr id="8" name="Picture 7">
          <a:extLst>
            <a:ext uri="{FF2B5EF4-FFF2-40B4-BE49-F238E27FC236}">
              <a16:creationId xmlns:a16="http://schemas.microsoft.com/office/drawing/2014/main" id="{DC64D6A7-3C1A-0EEB-E1B9-743A9E00574A}"/>
            </a:ext>
          </a:extLst>
        </xdr:cNvPr>
        <xdr:cNvPicPr>
          <a:picLocks noChangeAspect="1"/>
        </xdr:cNvPicPr>
      </xdr:nvPicPr>
      <xdr:blipFill>
        <a:blip xmlns:r="http://schemas.openxmlformats.org/officeDocument/2006/relationships" r:embed="rId7"/>
        <a:stretch>
          <a:fillRect/>
        </a:stretch>
      </xdr:blipFill>
      <xdr:spPr>
        <a:xfrm>
          <a:off x="15872460" y="2453641"/>
          <a:ext cx="2936241" cy="670560"/>
        </a:xfrm>
        <a:prstGeom prst="rect">
          <a:avLst/>
        </a:prstGeom>
      </xdr:spPr>
    </xdr:pic>
    <xdr:clientData/>
  </xdr:twoCellAnchor>
  <xdr:twoCellAnchor>
    <xdr:from>
      <xdr:col>29</xdr:col>
      <xdr:colOff>401846</xdr:colOff>
      <xdr:row>16</xdr:row>
      <xdr:rowOff>141294</xdr:rowOff>
    </xdr:from>
    <xdr:to>
      <xdr:col>30</xdr:col>
      <xdr:colOff>336532</xdr:colOff>
      <xdr:row>32</xdr:row>
      <xdr:rowOff>49183</xdr:rowOff>
    </xdr:to>
    <xdr:sp macro="" textlink="">
      <xdr:nvSpPr>
        <xdr:cNvPr id="9" name="Rectangle 8">
          <a:extLst>
            <a:ext uri="{FF2B5EF4-FFF2-40B4-BE49-F238E27FC236}">
              <a16:creationId xmlns:a16="http://schemas.microsoft.com/office/drawing/2014/main" id="{AEF47F40-3BB0-A2BF-5D0B-C7C1CEE5A851}"/>
            </a:ext>
          </a:extLst>
        </xdr:cNvPr>
        <xdr:cNvSpPr/>
      </xdr:nvSpPr>
      <xdr:spPr>
        <a:xfrm>
          <a:off x="43450835" y="3101062"/>
          <a:ext cx="544286" cy="2859637"/>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xdr:from>
      <xdr:col>3</xdr:col>
      <xdr:colOff>242835</xdr:colOff>
      <xdr:row>14</xdr:row>
      <xdr:rowOff>0</xdr:rowOff>
    </xdr:from>
    <xdr:to>
      <xdr:col>5</xdr:col>
      <xdr:colOff>209341</xdr:colOff>
      <xdr:row>14</xdr:row>
      <xdr:rowOff>25120</xdr:rowOff>
    </xdr:to>
    <xdr:cxnSp macro="">
      <xdr:nvCxnSpPr>
        <xdr:cNvPr id="11" name="Straight Connector 10">
          <a:extLst>
            <a:ext uri="{FF2B5EF4-FFF2-40B4-BE49-F238E27FC236}">
              <a16:creationId xmlns:a16="http://schemas.microsoft.com/office/drawing/2014/main" id="{7595D27F-541C-CD3B-94B5-5276DC0B9FC3}"/>
            </a:ext>
          </a:extLst>
        </xdr:cNvPr>
        <xdr:cNvCxnSpPr/>
      </xdr:nvCxnSpPr>
      <xdr:spPr>
        <a:xfrm flipV="1">
          <a:off x="5509846" y="2587451"/>
          <a:ext cx="2746550" cy="2512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661516</xdr:colOff>
      <xdr:row>14</xdr:row>
      <xdr:rowOff>150725</xdr:rowOff>
    </xdr:from>
    <xdr:to>
      <xdr:col>3</xdr:col>
      <xdr:colOff>343319</xdr:colOff>
      <xdr:row>14</xdr:row>
      <xdr:rowOff>159098</xdr:rowOff>
    </xdr:to>
    <xdr:cxnSp macro="">
      <xdr:nvCxnSpPr>
        <xdr:cNvPr id="13" name="Straight Connector 12">
          <a:extLst>
            <a:ext uri="{FF2B5EF4-FFF2-40B4-BE49-F238E27FC236}">
              <a16:creationId xmlns:a16="http://schemas.microsoft.com/office/drawing/2014/main" id="{6212DCA9-9D45-7043-8FDD-C44A86883A95}"/>
            </a:ext>
          </a:extLst>
        </xdr:cNvPr>
        <xdr:cNvCxnSpPr/>
      </xdr:nvCxnSpPr>
      <xdr:spPr>
        <a:xfrm flipV="1">
          <a:off x="4295670" y="2738176"/>
          <a:ext cx="1314660" cy="83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1029956</xdr:colOff>
      <xdr:row>24</xdr:row>
      <xdr:rowOff>108857</xdr:rowOff>
    </xdr:from>
    <xdr:to>
      <xdr:col>4</xdr:col>
      <xdr:colOff>1339780</xdr:colOff>
      <xdr:row>24</xdr:row>
      <xdr:rowOff>159099</xdr:rowOff>
    </xdr:to>
    <xdr:cxnSp macro="">
      <xdr:nvCxnSpPr>
        <xdr:cNvPr id="17" name="Straight Connector 16">
          <a:extLst>
            <a:ext uri="{FF2B5EF4-FFF2-40B4-BE49-F238E27FC236}">
              <a16:creationId xmlns:a16="http://schemas.microsoft.com/office/drawing/2014/main" id="{05078EC3-1B5C-E662-E232-FC4DCAFA9822}"/>
            </a:ext>
          </a:extLst>
        </xdr:cNvPr>
        <xdr:cNvCxnSpPr/>
      </xdr:nvCxnSpPr>
      <xdr:spPr>
        <a:xfrm>
          <a:off x="4664110" y="4538505"/>
          <a:ext cx="3240593" cy="502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1046703</xdr:colOff>
      <xdr:row>25</xdr:row>
      <xdr:rowOff>16747</xdr:rowOff>
    </xdr:from>
    <xdr:to>
      <xdr:col>3</xdr:col>
      <xdr:colOff>929473</xdr:colOff>
      <xdr:row>25</xdr:row>
      <xdr:rowOff>50242</xdr:rowOff>
    </xdr:to>
    <xdr:cxnSp macro="">
      <xdr:nvCxnSpPr>
        <xdr:cNvPr id="19" name="Straight Connector 18">
          <a:extLst>
            <a:ext uri="{FF2B5EF4-FFF2-40B4-BE49-F238E27FC236}">
              <a16:creationId xmlns:a16="http://schemas.microsoft.com/office/drawing/2014/main" id="{A25A864D-DD86-0382-02E5-88A718934949}"/>
            </a:ext>
          </a:extLst>
        </xdr:cNvPr>
        <xdr:cNvCxnSpPr/>
      </xdr:nvCxnSpPr>
      <xdr:spPr>
        <a:xfrm>
          <a:off x="4680857" y="4630615"/>
          <a:ext cx="1515627" cy="334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586154</xdr:colOff>
      <xdr:row>16</xdr:row>
      <xdr:rowOff>50242</xdr:rowOff>
    </xdr:from>
    <xdr:to>
      <xdr:col>7</xdr:col>
      <xdr:colOff>510792</xdr:colOff>
      <xdr:row>17</xdr:row>
      <xdr:rowOff>142352</xdr:rowOff>
    </xdr:to>
    <xdr:sp macro="" textlink="">
      <xdr:nvSpPr>
        <xdr:cNvPr id="20" name="Rectangle 19">
          <a:extLst>
            <a:ext uri="{FF2B5EF4-FFF2-40B4-BE49-F238E27FC236}">
              <a16:creationId xmlns:a16="http://schemas.microsoft.com/office/drawing/2014/main" id="{6CB836D9-E495-8E2E-8B33-5BF2DBEF1EF2}"/>
            </a:ext>
          </a:extLst>
        </xdr:cNvPr>
        <xdr:cNvSpPr/>
      </xdr:nvSpPr>
      <xdr:spPr>
        <a:xfrm>
          <a:off x="8633209" y="3006132"/>
          <a:ext cx="3165231" cy="276330"/>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xdr:from>
      <xdr:col>8</xdr:col>
      <xdr:colOff>468924</xdr:colOff>
      <xdr:row>23</xdr:row>
      <xdr:rowOff>167472</xdr:rowOff>
    </xdr:from>
    <xdr:to>
      <xdr:col>9</xdr:col>
      <xdr:colOff>787121</xdr:colOff>
      <xdr:row>24</xdr:row>
      <xdr:rowOff>83737</xdr:rowOff>
    </xdr:to>
    <xdr:sp macro="" textlink="">
      <xdr:nvSpPr>
        <xdr:cNvPr id="21" name="Rectangle 20">
          <a:extLst>
            <a:ext uri="{FF2B5EF4-FFF2-40B4-BE49-F238E27FC236}">
              <a16:creationId xmlns:a16="http://schemas.microsoft.com/office/drawing/2014/main" id="{3846A72C-99CA-B168-8870-D5C066AA8D80}"/>
            </a:ext>
          </a:extLst>
        </xdr:cNvPr>
        <xdr:cNvSpPr/>
      </xdr:nvSpPr>
      <xdr:spPr>
        <a:xfrm>
          <a:off x="13054484" y="4412901"/>
          <a:ext cx="2294373" cy="100484"/>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10</xdr:col>
      <xdr:colOff>1</xdr:colOff>
      <xdr:row>20</xdr:row>
      <xdr:rowOff>0</xdr:rowOff>
    </xdr:from>
    <xdr:to>
      <xdr:col>11</xdr:col>
      <xdr:colOff>1071825</xdr:colOff>
      <xdr:row>31</xdr:row>
      <xdr:rowOff>118200</xdr:rowOff>
    </xdr:to>
    <xdr:pic>
      <xdr:nvPicPr>
        <xdr:cNvPr id="22" name="Picture 21">
          <a:extLst>
            <a:ext uri="{FF2B5EF4-FFF2-40B4-BE49-F238E27FC236}">
              <a16:creationId xmlns:a16="http://schemas.microsoft.com/office/drawing/2014/main" id="{97D15CB3-D47C-05AB-3ED2-C5504D93BCA0}"/>
            </a:ext>
          </a:extLst>
        </xdr:cNvPr>
        <xdr:cNvPicPr>
          <a:picLocks noChangeAspect="1"/>
        </xdr:cNvPicPr>
      </xdr:nvPicPr>
      <xdr:blipFill>
        <a:blip xmlns:r="http://schemas.openxmlformats.org/officeDocument/2006/relationships" r:embed="rId8"/>
        <a:stretch>
          <a:fillRect/>
        </a:stretch>
      </xdr:blipFill>
      <xdr:spPr>
        <a:xfrm>
          <a:off x="15859649" y="3692769"/>
          <a:ext cx="2830286" cy="2144618"/>
        </a:xfrm>
        <a:prstGeom prst="rect">
          <a:avLst/>
        </a:prstGeom>
      </xdr:spPr>
    </xdr:pic>
    <xdr:clientData/>
  </xdr:twoCellAnchor>
  <xdr:twoCellAnchor>
    <xdr:from>
      <xdr:col>10</xdr:col>
      <xdr:colOff>58616</xdr:colOff>
      <xdr:row>21</xdr:row>
      <xdr:rowOff>175846</xdr:rowOff>
    </xdr:from>
    <xdr:to>
      <xdr:col>11</xdr:col>
      <xdr:colOff>653143</xdr:colOff>
      <xdr:row>23</xdr:row>
      <xdr:rowOff>50241</xdr:rowOff>
    </xdr:to>
    <xdr:sp macro="" textlink="">
      <xdr:nvSpPr>
        <xdr:cNvPr id="23" name="Rectangle 22">
          <a:extLst>
            <a:ext uri="{FF2B5EF4-FFF2-40B4-BE49-F238E27FC236}">
              <a16:creationId xmlns:a16="http://schemas.microsoft.com/office/drawing/2014/main" id="{D1694CC6-DE0F-E050-78AA-0ED2F41F99A9}"/>
            </a:ext>
          </a:extLst>
        </xdr:cNvPr>
        <xdr:cNvSpPr/>
      </xdr:nvSpPr>
      <xdr:spPr>
        <a:xfrm>
          <a:off x="15918264" y="4052835"/>
          <a:ext cx="2352989" cy="242835"/>
        </a:xfrm>
        <a:prstGeom prst="rect">
          <a:avLst/>
        </a:prstGeom>
        <a:noFill/>
        <a:ln w="127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10</xdr:col>
      <xdr:colOff>75364</xdr:colOff>
      <xdr:row>31</xdr:row>
      <xdr:rowOff>167474</xdr:rowOff>
    </xdr:from>
    <xdr:to>
      <xdr:col>11</xdr:col>
      <xdr:colOff>1163934</xdr:colOff>
      <xdr:row>36</xdr:row>
      <xdr:rowOff>67049</xdr:rowOff>
    </xdr:to>
    <xdr:pic>
      <xdr:nvPicPr>
        <xdr:cNvPr id="24" name="Picture 23">
          <a:extLst>
            <a:ext uri="{FF2B5EF4-FFF2-40B4-BE49-F238E27FC236}">
              <a16:creationId xmlns:a16="http://schemas.microsoft.com/office/drawing/2014/main" id="{A41CA7B2-005F-3C8E-8805-2501B90AC2A6}"/>
            </a:ext>
          </a:extLst>
        </xdr:cNvPr>
        <xdr:cNvPicPr>
          <a:picLocks noChangeAspect="1"/>
        </xdr:cNvPicPr>
      </xdr:nvPicPr>
      <xdr:blipFill>
        <a:blip xmlns:r="http://schemas.openxmlformats.org/officeDocument/2006/relationships" r:embed="rId9"/>
        <a:stretch>
          <a:fillRect/>
        </a:stretch>
      </xdr:blipFill>
      <xdr:spPr>
        <a:xfrm>
          <a:off x="15935012" y="5886661"/>
          <a:ext cx="2847032" cy="820674"/>
        </a:xfrm>
        <a:prstGeom prst="rect">
          <a:avLst/>
        </a:prstGeom>
      </xdr:spPr>
    </xdr:pic>
    <xdr:clientData/>
  </xdr:twoCellAnchor>
  <xdr:twoCellAnchor editAs="oneCell">
    <xdr:from>
      <xdr:col>10</xdr:col>
      <xdr:colOff>33496</xdr:colOff>
      <xdr:row>37</xdr:row>
      <xdr:rowOff>58615</xdr:rowOff>
    </xdr:from>
    <xdr:to>
      <xdr:col>11</xdr:col>
      <xdr:colOff>1264418</xdr:colOff>
      <xdr:row>41</xdr:row>
      <xdr:rowOff>41750</xdr:rowOff>
    </xdr:to>
    <xdr:pic>
      <xdr:nvPicPr>
        <xdr:cNvPr id="25" name="Picture 24">
          <a:extLst>
            <a:ext uri="{FF2B5EF4-FFF2-40B4-BE49-F238E27FC236}">
              <a16:creationId xmlns:a16="http://schemas.microsoft.com/office/drawing/2014/main" id="{D719C365-0ACE-FEA3-42D5-93DFB2C6D933}"/>
            </a:ext>
          </a:extLst>
        </xdr:cNvPr>
        <xdr:cNvPicPr>
          <a:picLocks noChangeAspect="1"/>
        </xdr:cNvPicPr>
      </xdr:nvPicPr>
      <xdr:blipFill>
        <a:blip xmlns:r="http://schemas.openxmlformats.org/officeDocument/2006/relationships" r:embed="rId10"/>
        <a:stretch>
          <a:fillRect/>
        </a:stretch>
      </xdr:blipFill>
      <xdr:spPr>
        <a:xfrm>
          <a:off x="15893144" y="6883120"/>
          <a:ext cx="2989384" cy="720015"/>
        </a:xfrm>
        <a:prstGeom prst="rect">
          <a:avLst/>
        </a:prstGeom>
      </xdr:spPr>
    </xdr:pic>
    <xdr:clientData/>
  </xdr:twoCellAnchor>
  <xdr:twoCellAnchor editAs="oneCell">
    <xdr:from>
      <xdr:col>12</xdr:col>
      <xdr:colOff>0</xdr:colOff>
      <xdr:row>13</xdr:row>
      <xdr:rowOff>133978</xdr:rowOff>
    </xdr:from>
    <xdr:to>
      <xdr:col>14</xdr:col>
      <xdr:colOff>484888</xdr:colOff>
      <xdr:row>20</xdr:row>
      <xdr:rowOff>75363</xdr:rowOff>
    </xdr:to>
    <xdr:pic>
      <xdr:nvPicPr>
        <xdr:cNvPr id="26" name="Picture 25">
          <a:extLst>
            <a:ext uri="{FF2B5EF4-FFF2-40B4-BE49-F238E27FC236}">
              <a16:creationId xmlns:a16="http://schemas.microsoft.com/office/drawing/2014/main" id="{5AB79D54-E5E7-5FE2-798A-5E7A49484D5B}"/>
            </a:ext>
          </a:extLst>
        </xdr:cNvPr>
        <xdr:cNvPicPr>
          <a:picLocks noChangeAspect="1"/>
        </xdr:cNvPicPr>
      </xdr:nvPicPr>
      <xdr:blipFill>
        <a:blip xmlns:r="http://schemas.openxmlformats.org/officeDocument/2006/relationships" r:embed="rId11"/>
        <a:stretch>
          <a:fillRect/>
        </a:stretch>
      </xdr:blipFill>
      <xdr:spPr>
        <a:xfrm>
          <a:off x="18916022" y="3826747"/>
          <a:ext cx="3867833" cy="1230923"/>
        </a:xfrm>
        <a:prstGeom prst="rect">
          <a:avLst/>
        </a:prstGeom>
      </xdr:spPr>
    </xdr:pic>
    <xdr:clientData/>
  </xdr:twoCellAnchor>
  <xdr:twoCellAnchor>
    <xdr:from>
      <xdr:col>13</xdr:col>
      <xdr:colOff>16747</xdr:colOff>
      <xdr:row>15</xdr:row>
      <xdr:rowOff>133978</xdr:rowOff>
    </xdr:from>
    <xdr:to>
      <xdr:col>14</xdr:col>
      <xdr:colOff>351692</xdr:colOff>
      <xdr:row>15</xdr:row>
      <xdr:rowOff>150725</xdr:rowOff>
    </xdr:to>
    <xdr:cxnSp macro="">
      <xdr:nvCxnSpPr>
        <xdr:cNvPr id="28" name="Straight Connector 27">
          <a:extLst>
            <a:ext uri="{FF2B5EF4-FFF2-40B4-BE49-F238E27FC236}">
              <a16:creationId xmlns:a16="http://schemas.microsoft.com/office/drawing/2014/main" id="{A6167E81-65B3-14B5-B3D2-15ECA6EAF696}"/>
            </a:ext>
          </a:extLst>
        </xdr:cNvPr>
        <xdr:cNvCxnSpPr/>
      </xdr:nvCxnSpPr>
      <xdr:spPr>
        <a:xfrm flipV="1">
          <a:off x="21017802" y="4195187"/>
          <a:ext cx="1632857" cy="1674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110532</xdr:colOff>
      <xdr:row>16</xdr:row>
      <xdr:rowOff>108857</xdr:rowOff>
    </xdr:from>
    <xdr:to>
      <xdr:col>13</xdr:col>
      <xdr:colOff>1197429</xdr:colOff>
      <xdr:row>16</xdr:row>
      <xdr:rowOff>127278</xdr:rowOff>
    </xdr:to>
    <xdr:cxnSp macro="">
      <xdr:nvCxnSpPr>
        <xdr:cNvPr id="30" name="Straight Connector 29">
          <a:extLst>
            <a:ext uri="{FF2B5EF4-FFF2-40B4-BE49-F238E27FC236}">
              <a16:creationId xmlns:a16="http://schemas.microsoft.com/office/drawing/2014/main" id="{C66A0442-9D0D-4B5D-B0AB-E3819F2704CA}"/>
            </a:ext>
          </a:extLst>
        </xdr:cNvPr>
        <xdr:cNvCxnSpPr/>
      </xdr:nvCxnSpPr>
      <xdr:spPr>
        <a:xfrm flipV="1">
          <a:off x="19026554" y="4354286"/>
          <a:ext cx="3171930" cy="1842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319873</xdr:colOff>
      <xdr:row>14</xdr:row>
      <xdr:rowOff>58615</xdr:rowOff>
    </xdr:from>
    <xdr:to>
      <xdr:col>13</xdr:col>
      <xdr:colOff>795494</xdr:colOff>
      <xdr:row>14</xdr:row>
      <xdr:rowOff>85411</xdr:rowOff>
    </xdr:to>
    <xdr:cxnSp macro="">
      <xdr:nvCxnSpPr>
        <xdr:cNvPr id="32" name="Straight Connector 31">
          <a:extLst>
            <a:ext uri="{FF2B5EF4-FFF2-40B4-BE49-F238E27FC236}">
              <a16:creationId xmlns:a16="http://schemas.microsoft.com/office/drawing/2014/main" id="{FF8B443C-01C2-4F2B-B7CE-9AC1B95F1ADA}"/>
            </a:ext>
          </a:extLst>
        </xdr:cNvPr>
        <xdr:cNvCxnSpPr/>
      </xdr:nvCxnSpPr>
      <xdr:spPr>
        <a:xfrm flipV="1">
          <a:off x="19235895" y="3935604"/>
          <a:ext cx="2560654" cy="26796"/>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3350</xdr:colOff>
      <xdr:row>39</xdr:row>
      <xdr:rowOff>33495</xdr:rowOff>
    </xdr:from>
    <xdr:to>
      <xdr:col>11</xdr:col>
      <xdr:colOff>1122066</xdr:colOff>
      <xdr:row>39</xdr:row>
      <xdr:rowOff>70338</xdr:rowOff>
    </xdr:to>
    <xdr:cxnSp macro="">
      <xdr:nvCxnSpPr>
        <xdr:cNvPr id="34" name="Straight Connector 33">
          <a:extLst>
            <a:ext uri="{FF2B5EF4-FFF2-40B4-BE49-F238E27FC236}">
              <a16:creationId xmlns:a16="http://schemas.microsoft.com/office/drawing/2014/main" id="{A46F1959-DF2C-44EB-8BDF-4DFFB0E4C7B9}"/>
            </a:ext>
          </a:extLst>
        </xdr:cNvPr>
        <xdr:cNvCxnSpPr/>
      </xdr:nvCxnSpPr>
      <xdr:spPr>
        <a:xfrm flipV="1">
          <a:off x="17621460" y="7226440"/>
          <a:ext cx="1118716" cy="3684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41869</xdr:colOff>
      <xdr:row>20</xdr:row>
      <xdr:rowOff>142352</xdr:rowOff>
    </xdr:from>
    <xdr:to>
      <xdr:col>13</xdr:col>
      <xdr:colOff>200968</xdr:colOff>
      <xdr:row>33</xdr:row>
      <xdr:rowOff>137219</xdr:rowOff>
    </xdr:to>
    <xdr:pic>
      <xdr:nvPicPr>
        <xdr:cNvPr id="37" name="Picture 36">
          <a:extLst>
            <a:ext uri="{FF2B5EF4-FFF2-40B4-BE49-F238E27FC236}">
              <a16:creationId xmlns:a16="http://schemas.microsoft.com/office/drawing/2014/main" id="{2BF21746-9051-9CBF-58E0-EFFB696B8549}"/>
            </a:ext>
          </a:extLst>
        </xdr:cNvPr>
        <xdr:cNvPicPr>
          <a:picLocks noChangeAspect="1"/>
        </xdr:cNvPicPr>
      </xdr:nvPicPr>
      <xdr:blipFill>
        <a:blip xmlns:r="http://schemas.openxmlformats.org/officeDocument/2006/relationships" r:embed="rId12"/>
        <a:stretch>
          <a:fillRect/>
        </a:stretch>
      </xdr:blipFill>
      <xdr:spPr>
        <a:xfrm>
          <a:off x="18957891" y="3835121"/>
          <a:ext cx="2244132" cy="2389724"/>
        </a:xfrm>
        <a:prstGeom prst="rect">
          <a:avLst/>
        </a:prstGeom>
      </xdr:spPr>
    </xdr:pic>
    <xdr:clientData/>
  </xdr:twoCellAnchor>
  <xdr:twoCellAnchor>
    <xdr:from>
      <xdr:col>12</xdr:col>
      <xdr:colOff>175846</xdr:colOff>
      <xdr:row>26</xdr:row>
      <xdr:rowOff>50242</xdr:rowOff>
    </xdr:from>
    <xdr:to>
      <xdr:col>13</xdr:col>
      <xdr:colOff>58615</xdr:colOff>
      <xdr:row>26</xdr:row>
      <xdr:rowOff>50242</xdr:rowOff>
    </xdr:to>
    <xdr:cxnSp macro="">
      <xdr:nvCxnSpPr>
        <xdr:cNvPr id="38" name="Straight Connector 37">
          <a:extLst>
            <a:ext uri="{FF2B5EF4-FFF2-40B4-BE49-F238E27FC236}">
              <a16:creationId xmlns:a16="http://schemas.microsoft.com/office/drawing/2014/main" id="{9DF9374F-C0C6-459F-82E7-56BC0606DC0E}"/>
            </a:ext>
          </a:extLst>
        </xdr:cNvPr>
        <xdr:cNvCxnSpPr/>
      </xdr:nvCxnSpPr>
      <xdr:spPr>
        <a:xfrm>
          <a:off x="19091868" y="4848330"/>
          <a:ext cx="1967802"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185895</xdr:colOff>
      <xdr:row>26</xdr:row>
      <xdr:rowOff>160774</xdr:rowOff>
    </xdr:from>
    <xdr:to>
      <xdr:col>13</xdr:col>
      <xdr:colOff>68664</xdr:colOff>
      <xdr:row>26</xdr:row>
      <xdr:rowOff>160774</xdr:rowOff>
    </xdr:to>
    <xdr:cxnSp macro="">
      <xdr:nvCxnSpPr>
        <xdr:cNvPr id="40" name="Straight Connector 39">
          <a:extLst>
            <a:ext uri="{FF2B5EF4-FFF2-40B4-BE49-F238E27FC236}">
              <a16:creationId xmlns:a16="http://schemas.microsoft.com/office/drawing/2014/main" id="{C6FFFC36-7875-4A69-BB5D-3EA74526AA05}"/>
            </a:ext>
          </a:extLst>
        </xdr:cNvPr>
        <xdr:cNvCxnSpPr/>
      </xdr:nvCxnSpPr>
      <xdr:spPr>
        <a:xfrm>
          <a:off x="19101917" y="4958862"/>
          <a:ext cx="1967802"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170823</xdr:colOff>
      <xdr:row>27</xdr:row>
      <xdr:rowOff>66989</xdr:rowOff>
    </xdr:from>
    <xdr:to>
      <xdr:col>12</xdr:col>
      <xdr:colOff>1565868</xdr:colOff>
      <xdr:row>27</xdr:row>
      <xdr:rowOff>70339</xdr:rowOff>
    </xdr:to>
    <xdr:cxnSp macro="">
      <xdr:nvCxnSpPr>
        <xdr:cNvPr id="41" name="Straight Connector 40">
          <a:extLst>
            <a:ext uri="{FF2B5EF4-FFF2-40B4-BE49-F238E27FC236}">
              <a16:creationId xmlns:a16="http://schemas.microsoft.com/office/drawing/2014/main" id="{988C4940-3310-42C8-842B-4EF77EE99B9E}"/>
            </a:ext>
          </a:extLst>
        </xdr:cNvPr>
        <xdr:cNvCxnSpPr/>
      </xdr:nvCxnSpPr>
      <xdr:spPr>
        <a:xfrm flipV="1">
          <a:off x="19086845" y="5049297"/>
          <a:ext cx="1395045" cy="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167472</xdr:colOff>
      <xdr:row>34</xdr:row>
      <xdr:rowOff>92110</xdr:rowOff>
    </xdr:from>
    <xdr:to>
      <xdr:col>13</xdr:col>
      <xdr:colOff>1071824</xdr:colOff>
      <xdr:row>40</xdr:row>
      <xdr:rowOff>117538</xdr:rowOff>
    </xdr:to>
    <xdr:pic>
      <xdr:nvPicPr>
        <xdr:cNvPr id="43" name="Picture 42">
          <a:extLst>
            <a:ext uri="{FF2B5EF4-FFF2-40B4-BE49-F238E27FC236}">
              <a16:creationId xmlns:a16="http://schemas.microsoft.com/office/drawing/2014/main" id="{8643BA49-A68F-0D2B-B3E0-632BFC78F178}"/>
            </a:ext>
          </a:extLst>
        </xdr:cNvPr>
        <xdr:cNvPicPr>
          <a:picLocks noChangeAspect="1"/>
        </xdr:cNvPicPr>
      </xdr:nvPicPr>
      <xdr:blipFill>
        <a:blip xmlns:r="http://schemas.openxmlformats.org/officeDocument/2006/relationships" r:embed="rId13"/>
        <a:stretch>
          <a:fillRect/>
        </a:stretch>
      </xdr:blipFill>
      <xdr:spPr>
        <a:xfrm>
          <a:off x="19083494" y="6363956"/>
          <a:ext cx="2989385" cy="1130747"/>
        </a:xfrm>
        <a:prstGeom prst="rect">
          <a:avLst/>
        </a:prstGeom>
      </xdr:spPr>
    </xdr:pic>
    <xdr:clientData/>
  </xdr:twoCellAnchor>
  <xdr:twoCellAnchor>
    <xdr:from>
      <xdr:col>12</xdr:col>
      <xdr:colOff>825640</xdr:colOff>
      <xdr:row>35</xdr:row>
      <xdr:rowOff>16747</xdr:rowOff>
    </xdr:from>
    <xdr:to>
      <xdr:col>13</xdr:col>
      <xdr:colOff>962967</xdr:colOff>
      <xdr:row>35</xdr:row>
      <xdr:rowOff>55267</xdr:rowOff>
    </xdr:to>
    <xdr:cxnSp macro="">
      <xdr:nvCxnSpPr>
        <xdr:cNvPr id="44" name="Straight Connector 43">
          <a:extLst>
            <a:ext uri="{FF2B5EF4-FFF2-40B4-BE49-F238E27FC236}">
              <a16:creationId xmlns:a16="http://schemas.microsoft.com/office/drawing/2014/main" id="{89A55BA1-AA3A-45AC-B9FA-52F6CCD2D105}"/>
            </a:ext>
          </a:extLst>
        </xdr:cNvPr>
        <xdr:cNvCxnSpPr/>
      </xdr:nvCxnSpPr>
      <xdr:spPr>
        <a:xfrm flipV="1">
          <a:off x="19741662" y="6472813"/>
          <a:ext cx="2222360" cy="3852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274656</xdr:colOff>
      <xdr:row>35</xdr:row>
      <xdr:rowOff>125604</xdr:rowOff>
    </xdr:from>
    <xdr:to>
      <xdr:col>12</xdr:col>
      <xdr:colOff>2034791</xdr:colOff>
      <xdr:row>35</xdr:row>
      <xdr:rowOff>157425</xdr:rowOff>
    </xdr:to>
    <xdr:cxnSp macro="">
      <xdr:nvCxnSpPr>
        <xdr:cNvPr id="46" name="Straight Connector 45">
          <a:extLst>
            <a:ext uri="{FF2B5EF4-FFF2-40B4-BE49-F238E27FC236}">
              <a16:creationId xmlns:a16="http://schemas.microsoft.com/office/drawing/2014/main" id="{6DBE2E29-9EB6-4663-8819-92D5519EB563}"/>
            </a:ext>
          </a:extLst>
        </xdr:cNvPr>
        <xdr:cNvCxnSpPr/>
      </xdr:nvCxnSpPr>
      <xdr:spPr>
        <a:xfrm flipV="1">
          <a:off x="19190678" y="6581670"/>
          <a:ext cx="1760135" cy="3182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619650</xdr:colOff>
      <xdr:row>12</xdr:row>
      <xdr:rowOff>159100</xdr:rowOff>
    </xdr:from>
    <xdr:to>
      <xdr:col>16</xdr:col>
      <xdr:colOff>1640894</xdr:colOff>
      <xdr:row>24</xdr:row>
      <xdr:rowOff>1</xdr:rowOff>
    </xdr:to>
    <xdr:pic>
      <xdr:nvPicPr>
        <xdr:cNvPr id="48" name="Picture 47">
          <a:extLst>
            <a:ext uri="{FF2B5EF4-FFF2-40B4-BE49-F238E27FC236}">
              <a16:creationId xmlns:a16="http://schemas.microsoft.com/office/drawing/2014/main" id="{F48F2041-F76D-8007-E662-6DC08A070844}"/>
            </a:ext>
          </a:extLst>
        </xdr:cNvPr>
        <xdr:cNvPicPr>
          <a:picLocks noChangeAspect="1"/>
        </xdr:cNvPicPr>
      </xdr:nvPicPr>
      <xdr:blipFill>
        <a:blip xmlns:r="http://schemas.openxmlformats.org/officeDocument/2006/relationships" r:embed="rId14"/>
        <a:stretch>
          <a:fillRect/>
        </a:stretch>
      </xdr:blipFill>
      <xdr:spPr>
        <a:xfrm>
          <a:off x="22918617" y="2378111"/>
          <a:ext cx="3717552" cy="2051538"/>
        </a:xfrm>
        <a:prstGeom prst="rect">
          <a:avLst/>
        </a:prstGeom>
      </xdr:spPr>
    </xdr:pic>
    <xdr:clientData/>
  </xdr:twoCellAnchor>
  <xdr:twoCellAnchor editAs="oneCell">
    <xdr:from>
      <xdr:col>2</xdr:col>
      <xdr:colOff>895979</xdr:colOff>
      <xdr:row>30</xdr:row>
      <xdr:rowOff>83737</xdr:rowOff>
    </xdr:from>
    <xdr:to>
      <xdr:col>4</xdr:col>
      <xdr:colOff>145736</xdr:colOff>
      <xdr:row>34</xdr:row>
      <xdr:rowOff>75363</xdr:rowOff>
    </xdr:to>
    <xdr:pic>
      <xdr:nvPicPr>
        <xdr:cNvPr id="49" name="Picture 48">
          <a:extLst>
            <a:ext uri="{FF2B5EF4-FFF2-40B4-BE49-F238E27FC236}">
              <a16:creationId xmlns:a16="http://schemas.microsoft.com/office/drawing/2014/main" id="{C4790789-AC6C-1037-64AF-99F77C3DC45C}"/>
            </a:ext>
          </a:extLst>
        </xdr:cNvPr>
        <xdr:cNvPicPr>
          <a:picLocks noChangeAspect="1"/>
        </xdr:cNvPicPr>
      </xdr:nvPicPr>
      <xdr:blipFill>
        <a:blip xmlns:r="http://schemas.openxmlformats.org/officeDocument/2006/relationships" r:embed="rId15"/>
        <a:stretch>
          <a:fillRect/>
        </a:stretch>
      </xdr:blipFill>
      <xdr:spPr>
        <a:xfrm>
          <a:off x="4530133" y="5618704"/>
          <a:ext cx="2180526" cy="728505"/>
        </a:xfrm>
        <a:prstGeom prst="rect">
          <a:avLst/>
        </a:prstGeom>
      </xdr:spPr>
    </xdr:pic>
    <xdr:clientData/>
  </xdr:twoCellAnchor>
  <xdr:twoCellAnchor editAs="oneCell">
    <xdr:from>
      <xdr:col>14</xdr:col>
      <xdr:colOff>519165</xdr:colOff>
      <xdr:row>24</xdr:row>
      <xdr:rowOff>25121</xdr:rowOff>
    </xdr:from>
    <xdr:to>
      <xdr:col>16</xdr:col>
      <xdr:colOff>706464</xdr:colOff>
      <xdr:row>36</xdr:row>
      <xdr:rowOff>159098</xdr:rowOff>
    </xdr:to>
    <xdr:pic>
      <xdr:nvPicPr>
        <xdr:cNvPr id="50" name="Picture 49">
          <a:extLst>
            <a:ext uri="{FF2B5EF4-FFF2-40B4-BE49-F238E27FC236}">
              <a16:creationId xmlns:a16="http://schemas.microsoft.com/office/drawing/2014/main" id="{58A2CD84-B3C9-C902-9618-7BE45819BD04}"/>
            </a:ext>
          </a:extLst>
        </xdr:cNvPr>
        <xdr:cNvPicPr>
          <a:picLocks noChangeAspect="1"/>
        </xdr:cNvPicPr>
      </xdr:nvPicPr>
      <xdr:blipFill>
        <a:blip xmlns:r="http://schemas.openxmlformats.org/officeDocument/2006/relationships" r:embed="rId16"/>
        <a:stretch>
          <a:fillRect/>
        </a:stretch>
      </xdr:blipFill>
      <xdr:spPr>
        <a:xfrm>
          <a:off x="22818132" y="4454769"/>
          <a:ext cx="2883607" cy="2344615"/>
        </a:xfrm>
        <a:prstGeom prst="rect">
          <a:avLst/>
        </a:prstGeom>
      </xdr:spPr>
    </xdr:pic>
    <xdr:clientData/>
  </xdr:twoCellAnchor>
  <xdr:twoCellAnchor editAs="oneCell">
    <xdr:from>
      <xdr:col>14</xdr:col>
      <xdr:colOff>468923</xdr:colOff>
      <xdr:row>37</xdr:row>
      <xdr:rowOff>66990</xdr:rowOff>
    </xdr:from>
    <xdr:to>
      <xdr:col>16</xdr:col>
      <xdr:colOff>1396088</xdr:colOff>
      <xdr:row>47</xdr:row>
      <xdr:rowOff>167474</xdr:rowOff>
    </xdr:to>
    <xdr:pic>
      <xdr:nvPicPr>
        <xdr:cNvPr id="51" name="Picture 50">
          <a:extLst>
            <a:ext uri="{FF2B5EF4-FFF2-40B4-BE49-F238E27FC236}">
              <a16:creationId xmlns:a16="http://schemas.microsoft.com/office/drawing/2014/main" id="{4D54F63A-579A-AD03-4A16-6CAE2C3C3B70}"/>
            </a:ext>
          </a:extLst>
        </xdr:cNvPr>
        <xdr:cNvPicPr>
          <a:picLocks noChangeAspect="1"/>
        </xdr:cNvPicPr>
      </xdr:nvPicPr>
      <xdr:blipFill>
        <a:blip xmlns:r="http://schemas.openxmlformats.org/officeDocument/2006/relationships" r:embed="rId17"/>
        <a:stretch>
          <a:fillRect/>
        </a:stretch>
      </xdr:blipFill>
      <xdr:spPr>
        <a:xfrm>
          <a:off x="22767890" y="6891495"/>
          <a:ext cx="3623473" cy="1942682"/>
        </a:xfrm>
        <a:prstGeom prst="rect">
          <a:avLst/>
        </a:prstGeom>
      </xdr:spPr>
    </xdr:pic>
    <xdr:clientData/>
  </xdr:twoCellAnchor>
  <xdr:twoCellAnchor>
    <xdr:from>
      <xdr:col>14</xdr:col>
      <xdr:colOff>619649</xdr:colOff>
      <xdr:row>45</xdr:row>
      <xdr:rowOff>117232</xdr:rowOff>
    </xdr:from>
    <xdr:to>
      <xdr:col>14</xdr:col>
      <xdr:colOff>1297913</xdr:colOff>
      <xdr:row>46</xdr:row>
      <xdr:rowOff>108858</xdr:rowOff>
    </xdr:to>
    <xdr:sp macro="" textlink="">
      <xdr:nvSpPr>
        <xdr:cNvPr id="52" name="Rectangle 51">
          <a:extLst>
            <a:ext uri="{FF2B5EF4-FFF2-40B4-BE49-F238E27FC236}">
              <a16:creationId xmlns:a16="http://schemas.microsoft.com/office/drawing/2014/main" id="{445F1A7F-CC9F-047C-E9C1-B53C2C9EBC66}"/>
            </a:ext>
          </a:extLst>
        </xdr:cNvPr>
        <xdr:cNvSpPr/>
      </xdr:nvSpPr>
      <xdr:spPr>
        <a:xfrm>
          <a:off x="22918616" y="8415496"/>
          <a:ext cx="678264" cy="175846"/>
        </a:xfrm>
        <a:prstGeom prst="rect">
          <a:avLst/>
        </a:prstGeom>
        <a:noFill/>
        <a:ln w="127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xdr:from>
      <xdr:col>5</xdr:col>
      <xdr:colOff>527538</xdr:colOff>
      <xdr:row>30</xdr:row>
      <xdr:rowOff>167473</xdr:rowOff>
    </xdr:from>
    <xdr:to>
      <xdr:col>7</xdr:col>
      <xdr:colOff>577781</xdr:colOff>
      <xdr:row>31</xdr:row>
      <xdr:rowOff>142351</xdr:rowOff>
    </xdr:to>
    <xdr:sp macro="" textlink="">
      <xdr:nvSpPr>
        <xdr:cNvPr id="53" name="Rectangle 52">
          <a:extLst>
            <a:ext uri="{FF2B5EF4-FFF2-40B4-BE49-F238E27FC236}">
              <a16:creationId xmlns:a16="http://schemas.microsoft.com/office/drawing/2014/main" id="{8E2F021B-8111-2099-21FA-F76F176802DE}"/>
            </a:ext>
          </a:extLst>
        </xdr:cNvPr>
        <xdr:cNvSpPr/>
      </xdr:nvSpPr>
      <xdr:spPr>
        <a:xfrm>
          <a:off x="8574593" y="5702440"/>
          <a:ext cx="3290836" cy="159098"/>
        </a:xfrm>
        <a:prstGeom prst="rect">
          <a:avLst/>
        </a:prstGeom>
        <a:noFill/>
        <a:ln w="127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12</xdr:col>
      <xdr:colOff>427055</xdr:colOff>
      <xdr:row>41</xdr:row>
      <xdr:rowOff>75362</xdr:rowOff>
    </xdr:from>
    <xdr:to>
      <xdr:col>13</xdr:col>
      <xdr:colOff>903651</xdr:colOff>
      <xdr:row>57</xdr:row>
      <xdr:rowOff>108857</xdr:rowOff>
    </xdr:to>
    <xdr:pic>
      <xdr:nvPicPr>
        <xdr:cNvPr id="54" name="Picture 53">
          <a:extLst>
            <a:ext uri="{FF2B5EF4-FFF2-40B4-BE49-F238E27FC236}">
              <a16:creationId xmlns:a16="http://schemas.microsoft.com/office/drawing/2014/main" id="{BD48ED39-8B56-4A28-8044-86FDF08DCE12}"/>
            </a:ext>
          </a:extLst>
        </xdr:cNvPr>
        <xdr:cNvPicPr>
          <a:picLocks noChangeAspect="1"/>
        </xdr:cNvPicPr>
      </xdr:nvPicPr>
      <xdr:blipFill>
        <a:blip xmlns:r="http://schemas.openxmlformats.org/officeDocument/2006/relationships" r:embed="rId18"/>
        <a:stretch>
          <a:fillRect/>
        </a:stretch>
      </xdr:blipFill>
      <xdr:spPr>
        <a:xfrm>
          <a:off x="19343077" y="7636747"/>
          <a:ext cx="2561629" cy="2981011"/>
        </a:xfrm>
        <a:prstGeom prst="rect">
          <a:avLst/>
        </a:prstGeom>
      </xdr:spPr>
    </xdr:pic>
    <xdr:clientData/>
  </xdr:twoCellAnchor>
  <xdr:twoCellAnchor editAs="oneCell">
    <xdr:from>
      <xdr:col>8</xdr:col>
      <xdr:colOff>1331407</xdr:colOff>
      <xdr:row>42</xdr:row>
      <xdr:rowOff>8375</xdr:rowOff>
    </xdr:from>
    <xdr:to>
      <xdr:col>12</xdr:col>
      <xdr:colOff>192218</xdr:colOff>
      <xdr:row>62</xdr:row>
      <xdr:rowOff>142353</xdr:rowOff>
    </xdr:to>
    <xdr:pic>
      <xdr:nvPicPr>
        <xdr:cNvPr id="55" name="Picture 54">
          <a:extLst>
            <a:ext uri="{FF2B5EF4-FFF2-40B4-BE49-F238E27FC236}">
              <a16:creationId xmlns:a16="http://schemas.microsoft.com/office/drawing/2014/main" id="{624A7BB9-F624-5716-EB07-4E2459FD2EA3}"/>
            </a:ext>
          </a:extLst>
        </xdr:cNvPr>
        <xdr:cNvPicPr>
          <a:picLocks noChangeAspect="1"/>
        </xdr:cNvPicPr>
      </xdr:nvPicPr>
      <xdr:blipFill>
        <a:blip xmlns:r="http://schemas.openxmlformats.org/officeDocument/2006/relationships" r:embed="rId19"/>
        <a:stretch>
          <a:fillRect/>
        </a:stretch>
      </xdr:blipFill>
      <xdr:spPr>
        <a:xfrm>
          <a:off x="13916967" y="7753979"/>
          <a:ext cx="5191273" cy="3818374"/>
        </a:xfrm>
        <a:prstGeom prst="rect">
          <a:avLst/>
        </a:prstGeom>
      </xdr:spPr>
    </xdr:pic>
    <xdr:clientData/>
  </xdr:twoCellAnchor>
  <xdr:twoCellAnchor>
    <xdr:from>
      <xdr:col>8</xdr:col>
      <xdr:colOff>1415143</xdr:colOff>
      <xdr:row>52</xdr:row>
      <xdr:rowOff>117231</xdr:rowOff>
    </xdr:from>
    <xdr:to>
      <xdr:col>12</xdr:col>
      <xdr:colOff>66989</xdr:colOff>
      <xdr:row>55</xdr:row>
      <xdr:rowOff>58615</xdr:rowOff>
    </xdr:to>
    <xdr:sp macro="" textlink="">
      <xdr:nvSpPr>
        <xdr:cNvPr id="56" name="Rectangle 55">
          <a:extLst>
            <a:ext uri="{FF2B5EF4-FFF2-40B4-BE49-F238E27FC236}">
              <a16:creationId xmlns:a16="http://schemas.microsoft.com/office/drawing/2014/main" id="{E7E227CC-7484-67A0-093B-EE3096AADA77}"/>
            </a:ext>
          </a:extLst>
        </xdr:cNvPr>
        <xdr:cNvSpPr/>
      </xdr:nvSpPr>
      <xdr:spPr>
        <a:xfrm>
          <a:off x="14000703" y="9705033"/>
          <a:ext cx="4982308" cy="494044"/>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14</xdr:col>
      <xdr:colOff>343320</xdr:colOff>
      <xdr:row>51</xdr:row>
      <xdr:rowOff>41869</xdr:rowOff>
    </xdr:from>
    <xdr:to>
      <xdr:col>16</xdr:col>
      <xdr:colOff>795496</xdr:colOff>
      <xdr:row>57</xdr:row>
      <xdr:rowOff>128548</xdr:rowOff>
    </xdr:to>
    <xdr:pic>
      <xdr:nvPicPr>
        <xdr:cNvPr id="57" name="Picture 56">
          <a:extLst>
            <a:ext uri="{FF2B5EF4-FFF2-40B4-BE49-F238E27FC236}">
              <a16:creationId xmlns:a16="http://schemas.microsoft.com/office/drawing/2014/main" id="{15A59516-E4E2-A42F-2052-4FD7DFFEFECD}"/>
            </a:ext>
          </a:extLst>
        </xdr:cNvPr>
        <xdr:cNvPicPr>
          <a:picLocks noChangeAspect="1"/>
        </xdr:cNvPicPr>
      </xdr:nvPicPr>
      <xdr:blipFill>
        <a:blip xmlns:r="http://schemas.openxmlformats.org/officeDocument/2006/relationships" r:embed="rId20"/>
        <a:stretch>
          <a:fillRect/>
        </a:stretch>
      </xdr:blipFill>
      <xdr:spPr>
        <a:xfrm>
          <a:off x="22642287" y="9445451"/>
          <a:ext cx="3148484" cy="1191998"/>
        </a:xfrm>
        <a:prstGeom prst="rect">
          <a:avLst/>
        </a:prstGeom>
      </xdr:spPr>
    </xdr:pic>
    <xdr:clientData/>
  </xdr:twoCellAnchor>
  <xdr:twoCellAnchor editAs="oneCell">
    <xdr:from>
      <xdr:col>5</xdr:col>
      <xdr:colOff>862483</xdr:colOff>
      <xdr:row>42</xdr:row>
      <xdr:rowOff>66990</xdr:rowOff>
    </xdr:from>
    <xdr:to>
      <xdr:col>8</xdr:col>
      <xdr:colOff>837362</xdr:colOff>
      <xdr:row>60</xdr:row>
      <xdr:rowOff>111627</xdr:rowOff>
    </xdr:to>
    <xdr:pic>
      <xdr:nvPicPr>
        <xdr:cNvPr id="58" name="Picture 57">
          <a:extLst>
            <a:ext uri="{FF2B5EF4-FFF2-40B4-BE49-F238E27FC236}">
              <a16:creationId xmlns:a16="http://schemas.microsoft.com/office/drawing/2014/main" id="{30233243-2871-82F2-CA44-D3F9737ADC49}"/>
            </a:ext>
          </a:extLst>
        </xdr:cNvPr>
        <xdr:cNvPicPr>
          <a:picLocks noChangeAspect="1"/>
        </xdr:cNvPicPr>
      </xdr:nvPicPr>
      <xdr:blipFill>
        <a:blip xmlns:r="http://schemas.openxmlformats.org/officeDocument/2006/relationships" r:embed="rId21"/>
        <a:stretch>
          <a:fillRect/>
        </a:stretch>
      </xdr:blipFill>
      <xdr:spPr>
        <a:xfrm>
          <a:off x="8909538" y="7812594"/>
          <a:ext cx="4513384" cy="3360593"/>
        </a:xfrm>
        <a:prstGeom prst="rect">
          <a:avLst/>
        </a:prstGeom>
      </xdr:spPr>
    </xdr:pic>
    <xdr:clientData/>
  </xdr:twoCellAnchor>
  <xdr:twoCellAnchor>
    <xdr:from>
      <xdr:col>6</xdr:col>
      <xdr:colOff>854109</xdr:colOff>
      <xdr:row>44</xdr:row>
      <xdr:rowOff>159099</xdr:rowOff>
    </xdr:from>
    <xdr:to>
      <xdr:col>6</xdr:col>
      <xdr:colOff>1574242</xdr:colOff>
      <xdr:row>44</xdr:row>
      <xdr:rowOff>160773</xdr:rowOff>
    </xdr:to>
    <xdr:cxnSp macro="">
      <xdr:nvCxnSpPr>
        <xdr:cNvPr id="59" name="Straight Connector 58">
          <a:extLst>
            <a:ext uri="{FF2B5EF4-FFF2-40B4-BE49-F238E27FC236}">
              <a16:creationId xmlns:a16="http://schemas.microsoft.com/office/drawing/2014/main" id="{54C1BEB1-C3DE-4043-9DA5-2C10B556326B}"/>
            </a:ext>
          </a:extLst>
        </xdr:cNvPr>
        <xdr:cNvCxnSpPr/>
      </xdr:nvCxnSpPr>
      <xdr:spPr>
        <a:xfrm flipV="1">
          <a:off x="10199076" y="8273143"/>
          <a:ext cx="720133" cy="167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855784</xdr:colOff>
      <xdr:row>47</xdr:row>
      <xdr:rowOff>60291</xdr:rowOff>
    </xdr:from>
    <xdr:to>
      <xdr:col>6</xdr:col>
      <xdr:colOff>1575917</xdr:colOff>
      <xdr:row>47</xdr:row>
      <xdr:rowOff>61965</xdr:rowOff>
    </xdr:to>
    <xdr:cxnSp macro="">
      <xdr:nvCxnSpPr>
        <xdr:cNvPr id="62" name="Straight Connector 61">
          <a:extLst>
            <a:ext uri="{FF2B5EF4-FFF2-40B4-BE49-F238E27FC236}">
              <a16:creationId xmlns:a16="http://schemas.microsoft.com/office/drawing/2014/main" id="{557FC57E-CE7A-401C-A7A5-CF5DA8CC9C1F}"/>
            </a:ext>
          </a:extLst>
        </xdr:cNvPr>
        <xdr:cNvCxnSpPr/>
      </xdr:nvCxnSpPr>
      <xdr:spPr>
        <a:xfrm flipV="1">
          <a:off x="10200751" y="8726994"/>
          <a:ext cx="720133" cy="167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865832</xdr:colOff>
      <xdr:row>48</xdr:row>
      <xdr:rowOff>103833</xdr:rowOff>
    </xdr:from>
    <xdr:to>
      <xdr:col>6</xdr:col>
      <xdr:colOff>1585965</xdr:colOff>
      <xdr:row>48</xdr:row>
      <xdr:rowOff>105507</xdr:rowOff>
    </xdr:to>
    <xdr:cxnSp macro="">
      <xdr:nvCxnSpPr>
        <xdr:cNvPr id="63" name="Straight Connector 62">
          <a:extLst>
            <a:ext uri="{FF2B5EF4-FFF2-40B4-BE49-F238E27FC236}">
              <a16:creationId xmlns:a16="http://schemas.microsoft.com/office/drawing/2014/main" id="{F3F0E7EA-BB13-44B5-892C-5A8D75AA446D}"/>
            </a:ext>
          </a:extLst>
        </xdr:cNvPr>
        <xdr:cNvCxnSpPr/>
      </xdr:nvCxnSpPr>
      <xdr:spPr>
        <a:xfrm flipV="1">
          <a:off x="10210799" y="8954756"/>
          <a:ext cx="720133" cy="167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867506</xdr:colOff>
      <xdr:row>51</xdr:row>
      <xdr:rowOff>122255</xdr:rowOff>
    </xdr:from>
    <xdr:to>
      <xdr:col>6</xdr:col>
      <xdr:colOff>1587639</xdr:colOff>
      <xdr:row>51</xdr:row>
      <xdr:rowOff>123929</xdr:rowOff>
    </xdr:to>
    <xdr:cxnSp macro="">
      <xdr:nvCxnSpPr>
        <xdr:cNvPr id="64" name="Straight Connector 63">
          <a:extLst>
            <a:ext uri="{FF2B5EF4-FFF2-40B4-BE49-F238E27FC236}">
              <a16:creationId xmlns:a16="http://schemas.microsoft.com/office/drawing/2014/main" id="{6010E71B-43FD-4E76-8FAE-08EBCFC18264}"/>
            </a:ext>
          </a:extLst>
        </xdr:cNvPr>
        <xdr:cNvCxnSpPr/>
      </xdr:nvCxnSpPr>
      <xdr:spPr>
        <a:xfrm flipV="1">
          <a:off x="10212473" y="9525837"/>
          <a:ext cx="720133" cy="167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1741716</xdr:colOff>
      <xdr:row>12</xdr:row>
      <xdr:rowOff>133979</xdr:rowOff>
    </xdr:from>
    <xdr:to>
      <xdr:col>18</xdr:col>
      <xdr:colOff>1493924</xdr:colOff>
      <xdr:row>24</xdr:row>
      <xdr:rowOff>117232</xdr:rowOff>
    </xdr:to>
    <xdr:pic>
      <xdr:nvPicPr>
        <xdr:cNvPr id="66" name="Picture 65">
          <a:extLst>
            <a:ext uri="{FF2B5EF4-FFF2-40B4-BE49-F238E27FC236}">
              <a16:creationId xmlns:a16="http://schemas.microsoft.com/office/drawing/2014/main" id="{7A5B0CE8-C7F4-D191-00E8-6D51038018E9}"/>
            </a:ext>
          </a:extLst>
        </xdr:cNvPr>
        <xdr:cNvPicPr>
          <a:picLocks noChangeAspect="1"/>
        </xdr:cNvPicPr>
      </xdr:nvPicPr>
      <xdr:blipFill>
        <a:blip xmlns:r="http://schemas.openxmlformats.org/officeDocument/2006/relationships" r:embed="rId22"/>
        <a:stretch>
          <a:fillRect/>
        </a:stretch>
      </xdr:blipFill>
      <xdr:spPr>
        <a:xfrm>
          <a:off x="26736991" y="2352990"/>
          <a:ext cx="3537087" cy="2193890"/>
        </a:xfrm>
        <a:prstGeom prst="rect">
          <a:avLst/>
        </a:prstGeom>
      </xdr:spPr>
    </xdr:pic>
    <xdr:clientData/>
  </xdr:twoCellAnchor>
  <xdr:twoCellAnchor editAs="oneCell">
    <xdr:from>
      <xdr:col>16</xdr:col>
      <xdr:colOff>1641231</xdr:colOff>
      <xdr:row>25</xdr:row>
      <xdr:rowOff>58615</xdr:rowOff>
    </xdr:from>
    <xdr:to>
      <xdr:col>18</xdr:col>
      <xdr:colOff>475942</xdr:colOff>
      <xdr:row>41</xdr:row>
      <xdr:rowOff>25121</xdr:rowOff>
    </xdr:to>
    <xdr:pic>
      <xdr:nvPicPr>
        <xdr:cNvPr id="67" name="Picture 66">
          <a:extLst>
            <a:ext uri="{FF2B5EF4-FFF2-40B4-BE49-F238E27FC236}">
              <a16:creationId xmlns:a16="http://schemas.microsoft.com/office/drawing/2014/main" id="{8A10F743-8D31-8092-4C10-4E2BCE16995E}"/>
            </a:ext>
          </a:extLst>
        </xdr:cNvPr>
        <xdr:cNvPicPr>
          <a:picLocks noChangeAspect="1"/>
        </xdr:cNvPicPr>
      </xdr:nvPicPr>
      <xdr:blipFill>
        <a:blip xmlns:r="http://schemas.openxmlformats.org/officeDocument/2006/relationships" r:embed="rId23"/>
        <a:stretch>
          <a:fillRect/>
        </a:stretch>
      </xdr:blipFill>
      <xdr:spPr>
        <a:xfrm>
          <a:off x="26636506" y="4672483"/>
          <a:ext cx="2619590" cy="2914023"/>
        </a:xfrm>
        <a:prstGeom prst="rect">
          <a:avLst/>
        </a:prstGeom>
      </xdr:spPr>
    </xdr:pic>
    <xdr:clientData/>
  </xdr:twoCellAnchor>
  <xdr:twoCellAnchor>
    <xdr:from>
      <xdr:col>17</xdr:col>
      <xdr:colOff>994788</xdr:colOff>
      <xdr:row>30</xdr:row>
      <xdr:rowOff>90436</xdr:rowOff>
    </xdr:from>
    <xdr:to>
      <xdr:col>18</xdr:col>
      <xdr:colOff>410308</xdr:colOff>
      <xdr:row>30</xdr:row>
      <xdr:rowOff>92110</xdr:rowOff>
    </xdr:to>
    <xdr:cxnSp macro="">
      <xdr:nvCxnSpPr>
        <xdr:cNvPr id="68" name="Straight Connector 67">
          <a:extLst>
            <a:ext uri="{FF2B5EF4-FFF2-40B4-BE49-F238E27FC236}">
              <a16:creationId xmlns:a16="http://schemas.microsoft.com/office/drawing/2014/main" id="{1CC92C86-A05C-4EA6-96BE-2F8CEDC44F1A}"/>
            </a:ext>
          </a:extLst>
        </xdr:cNvPr>
        <xdr:cNvCxnSpPr/>
      </xdr:nvCxnSpPr>
      <xdr:spPr>
        <a:xfrm>
          <a:off x="28477030" y="5625403"/>
          <a:ext cx="713432" cy="167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1657979</xdr:colOff>
      <xdr:row>31</xdr:row>
      <xdr:rowOff>16747</xdr:rowOff>
    </xdr:from>
    <xdr:to>
      <xdr:col>18</xdr:col>
      <xdr:colOff>427055</xdr:colOff>
      <xdr:row>31</xdr:row>
      <xdr:rowOff>33495</xdr:rowOff>
    </xdr:to>
    <xdr:cxnSp macro="">
      <xdr:nvCxnSpPr>
        <xdr:cNvPr id="70" name="Straight Connector 69">
          <a:extLst>
            <a:ext uri="{FF2B5EF4-FFF2-40B4-BE49-F238E27FC236}">
              <a16:creationId xmlns:a16="http://schemas.microsoft.com/office/drawing/2014/main" id="{045AE803-9E57-4442-B9B7-DCE7B413EF5F}"/>
            </a:ext>
          </a:extLst>
        </xdr:cNvPr>
        <xdr:cNvCxnSpPr/>
      </xdr:nvCxnSpPr>
      <xdr:spPr>
        <a:xfrm flipV="1">
          <a:off x="26653254" y="5735934"/>
          <a:ext cx="2553955"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1693148</xdr:colOff>
      <xdr:row>31</xdr:row>
      <xdr:rowOff>144026</xdr:rowOff>
    </xdr:from>
    <xdr:to>
      <xdr:col>18</xdr:col>
      <xdr:colOff>462224</xdr:colOff>
      <xdr:row>31</xdr:row>
      <xdr:rowOff>160774</xdr:rowOff>
    </xdr:to>
    <xdr:cxnSp macro="">
      <xdr:nvCxnSpPr>
        <xdr:cNvPr id="72" name="Straight Connector 71">
          <a:extLst>
            <a:ext uri="{FF2B5EF4-FFF2-40B4-BE49-F238E27FC236}">
              <a16:creationId xmlns:a16="http://schemas.microsoft.com/office/drawing/2014/main" id="{BD3AD605-0BF4-43AB-8C6B-1C3BA56EBF35}"/>
            </a:ext>
          </a:extLst>
        </xdr:cNvPr>
        <xdr:cNvCxnSpPr/>
      </xdr:nvCxnSpPr>
      <xdr:spPr>
        <a:xfrm flipV="1">
          <a:off x="26688423" y="5863213"/>
          <a:ext cx="2553955"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1686449</xdr:colOff>
      <xdr:row>32</xdr:row>
      <xdr:rowOff>95459</xdr:rowOff>
    </xdr:from>
    <xdr:to>
      <xdr:col>18</xdr:col>
      <xdr:colOff>455525</xdr:colOff>
      <xdr:row>32</xdr:row>
      <xdr:rowOff>112207</xdr:rowOff>
    </xdr:to>
    <xdr:cxnSp macro="">
      <xdr:nvCxnSpPr>
        <xdr:cNvPr id="73" name="Straight Connector 72">
          <a:extLst>
            <a:ext uri="{FF2B5EF4-FFF2-40B4-BE49-F238E27FC236}">
              <a16:creationId xmlns:a16="http://schemas.microsoft.com/office/drawing/2014/main" id="{8BCB450E-8222-4A9A-B9BC-08C908C1BFEF}"/>
            </a:ext>
          </a:extLst>
        </xdr:cNvPr>
        <xdr:cNvCxnSpPr/>
      </xdr:nvCxnSpPr>
      <xdr:spPr>
        <a:xfrm flipV="1">
          <a:off x="26681724" y="5998866"/>
          <a:ext cx="2553955"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1646256</xdr:colOff>
      <xdr:row>33</xdr:row>
      <xdr:rowOff>50242</xdr:rowOff>
    </xdr:from>
    <xdr:to>
      <xdr:col>17</xdr:col>
      <xdr:colOff>1163934</xdr:colOff>
      <xdr:row>33</xdr:row>
      <xdr:rowOff>72014</xdr:rowOff>
    </xdr:to>
    <xdr:cxnSp macro="">
      <xdr:nvCxnSpPr>
        <xdr:cNvPr id="74" name="Straight Connector 73">
          <a:extLst>
            <a:ext uri="{FF2B5EF4-FFF2-40B4-BE49-F238E27FC236}">
              <a16:creationId xmlns:a16="http://schemas.microsoft.com/office/drawing/2014/main" id="{D377C70A-5EFE-4E60-B960-63A9665AAB23}"/>
            </a:ext>
          </a:extLst>
        </xdr:cNvPr>
        <xdr:cNvCxnSpPr/>
      </xdr:nvCxnSpPr>
      <xdr:spPr>
        <a:xfrm flipV="1">
          <a:off x="26641531" y="6137868"/>
          <a:ext cx="2004645" cy="2177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1647930</xdr:colOff>
      <xdr:row>36</xdr:row>
      <xdr:rowOff>142351</xdr:rowOff>
    </xdr:from>
    <xdr:to>
      <xdr:col>18</xdr:col>
      <xdr:colOff>385187</xdr:colOff>
      <xdr:row>36</xdr:row>
      <xdr:rowOff>165798</xdr:rowOff>
    </xdr:to>
    <xdr:cxnSp macro="">
      <xdr:nvCxnSpPr>
        <xdr:cNvPr id="76" name="Straight Connector 75">
          <a:extLst>
            <a:ext uri="{FF2B5EF4-FFF2-40B4-BE49-F238E27FC236}">
              <a16:creationId xmlns:a16="http://schemas.microsoft.com/office/drawing/2014/main" id="{1E679A4B-AE34-4483-897F-AAEC98F3D2F6}"/>
            </a:ext>
          </a:extLst>
        </xdr:cNvPr>
        <xdr:cNvCxnSpPr/>
      </xdr:nvCxnSpPr>
      <xdr:spPr>
        <a:xfrm flipV="1">
          <a:off x="26643205" y="6782637"/>
          <a:ext cx="2522136" cy="2344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1699847</xdr:colOff>
      <xdr:row>38</xdr:row>
      <xdr:rowOff>152400</xdr:rowOff>
    </xdr:from>
    <xdr:to>
      <xdr:col>18</xdr:col>
      <xdr:colOff>437104</xdr:colOff>
      <xdr:row>38</xdr:row>
      <xdr:rowOff>175847</xdr:rowOff>
    </xdr:to>
    <xdr:cxnSp macro="">
      <xdr:nvCxnSpPr>
        <xdr:cNvPr id="78" name="Straight Connector 77">
          <a:extLst>
            <a:ext uri="{FF2B5EF4-FFF2-40B4-BE49-F238E27FC236}">
              <a16:creationId xmlns:a16="http://schemas.microsoft.com/office/drawing/2014/main" id="{19E5CEB2-A41E-4F36-9E55-BB498F3555B3}"/>
            </a:ext>
          </a:extLst>
        </xdr:cNvPr>
        <xdr:cNvCxnSpPr/>
      </xdr:nvCxnSpPr>
      <xdr:spPr>
        <a:xfrm flipV="1">
          <a:off x="26695122" y="7161125"/>
          <a:ext cx="2522136" cy="2344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1599363</xdr:colOff>
      <xdr:row>41</xdr:row>
      <xdr:rowOff>108857</xdr:rowOff>
    </xdr:from>
    <xdr:to>
      <xdr:col>18</xdr:col>
      <xdr:colOff>1570212</xdr:colOff>
      <xdr:row>50</xdr:row>
      <xdr:rowOff>16747</xdr:rowOff>
    </xdr:to>
    <xdr:pic>
      <xdr:nvPicPr>
        <xdr:cNvPr id="79" name="Picture 78">
          <a:extLst>
            <a:ext uri="{FF2B5EF4-FFF2-40B4-BE49-F238E27FC236}">
              <a16:creationId xmlns:a16="http://schemas.microsoft.com/office/drawing/2014/main" id="{E5EC509D-C5C4-A4EC-6BD3-94B9806C5ACF}"/>
            </a:ext>
          </a:extLst>
        </xdr:cNvPr>
        <xdr:cNvPicPr>
          <a:picLocks noChangeAspect="1"/>
        </xdr:cNvPicPr>
      </xdr:nvPicPr>
      <xdr:blipFill>
        <a:blip xmlns:r="http://schemas.openxmlformats.org/officeDocument/2006/relationships" r:embed="rId24"/>
        <a:stretch>
          <a:fillRect/>
        </a:stretch>
      </xdr:blipFill>
      <xdr:spPr>
        <a:xfrm>
          <a:off x="26594638" y="7670242"/>
          <a:ext cx="3755728" cy="1565868"/>
        </a:xfrm>
        <a:prstGeom prst="rect">
          <a:avLst/>
        </a:prstGeom>
      </xdr:spPr>
    </xdr:pic>
    <xdr:clientData/>
  </xdr:twoCellAnchor>
  <xdr:twoCellAnchor>
    <xdr:from>
      <xdr:col>17</xdr:col>
      <xdr:colOff>226089</xdr:colOff>
      <xdr:row>46</xdr:row>
      <xdr:rowOff>144025</xdr:rowOff>
    </xdr:from>
    <xdr:to>
      <xdr:col>18</xdr:col>
      <xdr:colOff>1450313</xdr:colOff>
      <xdr:row>46</xdr:row>
      <xdr:rowOff>167472</xdr:rowOff>
    </xdr:to>
    <xdr:cxnSp macro="">
      <xdr:nvCxnSpPr>
        <xdr:cNvPr id="80" name="Straight Connector 79">
          <a:extLst>
            <a:ext uri="{FF2B5EF4-FFF2-40B4-BE49-F238E27FC236}">
              <a16:creationId xmlns:a16="http://schemas.microsoft.com/office/drawing/2014/main" id="{CDF90A0B-6045-403D-BD21-1D614A67B804}"/>
            </a:ext>
          </a:extLst>
        </xdr:cNvPr>
        <xdr:cNvCxnSpPr/>
      </xdr:nvCxnSpPr>
      <xdr:spPr>
        <a:xfrm flipV="1">
          <a:off x="27708331" y="8626509"/>
          <a:ext cx="2522136" cy="2344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1634533</xdr:colOff>
      <xdr:row>47</xdr:row>
      <xdr:rowOff>100484</xdr:rowOff>
    </xdr:from>
    <xdr:to>
      <xdr:col>18</xdr:col>
      <xdr:colOff>125604</xdr:colOff>
      <xdr:row>47</xdr:row>
      <xdr:rowOff>118906</xdr:rowOff>
    </xdr:to>
    <xdr:cxnSp macro="">
      <xdr:nvCxnSpPr>
        <xdr:cNvPr id="81" name="Straight Connector 80">
          <a:extLst>
            <a:ext uri="{FF2B5EF4-FFF2-40B4-BE49-F238E27FC236}">
              <a16:creationId xmlns:a16="http://schemas.microsoft.com/office/drawing/2014/main" id="{8615E99D-7998-47A5-90D5-E4D8F976829D}"/>
            </a:ext>
          </a:extLst>
        </xdr:cNvPr>
        <xdr:cNvCxnSpPr/>
      </xdr:nvCxnSpPr>
      <xdr:spPr>
        <a:xfrm flipV="1">
          <a:off x="26629808" y="8767187"/>
          <a:ext cx="2275950" cy="1842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1180681</xdr:colOff>
      <xdr:row>50</xdr:row>
      <xdr:rowOff>117230</xdr:rowOff>
    </xdr:from>
    <xdr:to>
      <xdr:col>19</xdr:col>
      <xdr:colOff>29429</xdr:colOff>
      <xdr:row>63</xdr:row>
      <xdr:rowOff>41868</xdr:rowOff>
    </xdr:to>
    <xdr:pic>
      <xdr:nvPicPr>
        <xdr:cNvPr id="84" name="Picture 83">
          <a:extLst>
            <a:ext uri="{FF2B5EF4-FFF2-40B4-BE49-F238E27FC236}">
              <a16:creationId xmlns:a16="http://schemas.microsoft.com/office/drawing/2014/main" id="{92F4DB44-E899-0EE0-20DC-E7EA82E79812}"/>
            </a:ext>
          </a:extLst>
        </xdr:cNvPr>
        <xdr:cNvPicPr>
          <a:picLocks noChangeAspect="1"/>
        </xdr:cNvPicPr>
      </xdr:nvPicPr>
      <xdr:blipFill>
        <a:blip xmlns:r="http://schemas.openxmlformats.org/officeDocument/2006/relationships" r:embed="rId25"/>
        <a:stretch>
          <a:fillRect/>
        </a:stretch>
      </xdr:blipFill>
      <xdr:spPr>
        <a:xfrm>
          <a:off x="26175956" y="9336593"/>
          <a:ext cx="4241363" cy="2319495"/>
        </a:xfrm>
        <a:prstGeom prst="rect">
          <a:avLst/>
        </a:prstGeom>
      </xdr:spPr>
    </xdr:pic>
    <xdr:clientData/>
  </xdr:twoCellAnchor>
  <xdr:twoCellAnchor>
    <xdr:from>
      <xdr:col>16</xdr:col>
      <xdr:colOff>1343131</xdr:colOff>
      <xdr:row>56</xdr:row>
      <xdr:rowOff>41868</xdr:rowOff>
    </xdr:from>
    <xdr:to>
      <xdr:col>17</xdr:col>
      <xdr:colOff>703384</xdr:colOff>
      <xdr:row>56</xdr:row>
      <xdr:rowOff>53591</xdr:rowOff>
    </xdr:to>
    <xdr:cxnSp macro="">
      <xdr:nvCxnSpPr>
        <xdr:cNvPr id="85" name="Straight Connector 84">
          <a:extLst>
            <a:ext uri="{FF2B5EF4-FFF2-40B4-BE49-F238E27FC236}">
              <a16:creationId xmlns:a16="http://schemas.microsoft.com/office/drawing/2014/main" id="{B1B75D9C-8F98-4A29-AD1C-1CCC35E46683}"/>
            </a:ext>
          </a:extLst>
        </xdr:cNvPr>
        <xdr:cNvCxnSpPr/>
      </xdr:nvCxnSpPr>
      <xdr:spPr>
        <a:xfrm flipV="1">
          <a:off x="26338406" y="10366549"/>
          <a:ext cx="1847220" cy="117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1336432</xdr:colOff>
      <xdr:row>58</xdr:row>
      <xdr:rowOff>51916</xdr:rowOff>
    </xdr:from>
    <xdr:to>
      <xdr:col>17</xdr:col>
      <xdr:colOff>696685</xdr:colOff>
      <xdr:row>58</xdr:row>
      <xdr:rowOff>63639</xdr:rowOff>
    </xdr:to>
    <xdr:cxnSp macro="">
      <xdr:nvCxnSpPr>
        <xdr:cNvPr id="87" name="Straight Connector 86">
          <a:extLst>
            <a:ext uri="{FF2B5EF4-FFF2-40B4-BE49-F238E27FC236}">
              <a16:creationId xmlns:a16="http://schemas.microsoft.com/office/drawing/2014/main" id="{5171B5E0-3579-49CC-B593-ADEDC6D402FE}"/>
            </a:ext>
          </a:extLst>
        </xdr:cNvPr>
        <xdr:cNvCxnSpPr/>
      </xdr:nvCxnSpPr>
      <xdr:spPr>
        <a:xfrm flipV="1">
          <a:off x="26331707" y="10745037"/>
          <a:ext cx="1847220" cy="117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1321359</xdr:colOff>
      <xdr:row>58</xdr:row>
      <xdr:rowOff>167471</xdr:rowOff>
    </xdr:from>
    <xdr:to>
      <xdr:col>16</xdr:col>
      <xdr:colOff>2461846</xdr:colOff>
      <xdr:row>58</xdr:row>
      <xdr:rowOff>174170</xdr:rowOff>
    </xdr:to>
    <xdr:cxnSp macro="">
      <xdr:nvCxnSpPr>
        <xdr:cNvPr id="88" name="Straight Connector 87">
          <a:extLst>
            <a:ext uri="{FF2B5EF4-FFF2-40B4-BE49-F238E27FC236}">
              <a16:creationId xmlns:a16="http://schemas.microsoft.com/office/drawing/2014/main" id="{9FC6E8F4-A3B1-49AE-8328-671CED1CC748}"/>
            </a:ext>
          </a:extLst>
        </xdr:cNvPr>
        <xdr:cNvCxnSpPr/>
      </xdr:nvCxnSpPr>
      <xdr:spPr>
        <a:xfrm flipV="1">
          <a:off x="26316634" y="10860592"/>
          <a:ext cx="1140487" cy="669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0</xdr:colOff>
      <xdr:row>12</xdr:row>
      <xdr:rowOff>0</xdr:rowOff>
    </xdr:from>
    <xdr:to>
      <xdr:col>20</xdr:col>
      <xdr:colOff>1047821</xdr:colOff>
      <xdr:row>29</xdr:row>
      <xdr:rowOff>75363</xdr:rowOff>
    </xdr:to>
    <xdr:pic>
      <xdr:nvPicPr>
        <xdr:cNvPr id="90" name="Picture 89">
          <a:extLst>
            <a:ext uri="{FF2B5EF4-FFF2-40B4-BE49-F238E27FC236}">
              <a16:creationId xmlns:a16="http://schemas.microsoft.com/office/drawing/2014/main" id="{066A82CA-D61E-14B3-0F8C-3A9C2F5D7018}"/>
            </a:ext>
          </a:extLst>
        </xdr:cNvPr>
        <xdr:cNvPicPr>
          <a:picLocks noChangeAspect="1"/>
        </xdr:cNvPicPr>
      </xdr:nvPicPr>
      <xdr:blipFill>
        <a:blip xmlns:r="http://schemas.openxmlformats.org/officeDocument/2006/relationships" r:embed="rId26"/>
        <a:stretch>
          <a:fillRect/>
        </a:stretch>
      </xdr:blipFill>
      <xdr:spPr>
        <a:xfrm>
          <a:off x="30387890" y="2219011"/>
          <a:ext cx="2345733" cy="3207099"/>
        </a:xfrm>
        <a:prstGeom prst="rect">
          <a:avLst/>
        </a:prstGeom>
      </xdr:spPr>
    </xdr:pic>
    <xdr:clientData/>
  </xdr:twoCellAnchor>
  <xdr:twoCellAnchor editAs="oneCell">
    <xdr:from>
      <xdr:col>18</xdr:col>
      <xdr:colOff>812242</xdr:colOff>
      <xdr:row>30</xdr:row>
      <xdr:rowOff>0</xdr:rowOff>
    </xdr:from>
    <xdr:to>
      <xdr:col>20</xdr:col>
      <xdr:colOff>1674726</xdr:colOff>
      <xdr:row>38</xdr:row>
      <xdr:rowOff>118184</xdr:rowOff>
    </xdr:to>
    <xdr:pic>
      <xdr:nvPicPr>
        <xdr:cNvPr id="91" name="Picture 90">
          <a:extLst>
            <a:ext uri="{FF2B5EF4-FFF2-40B4-BE49-F238E27FC236}">
              <a16:creationId xmlns:a16="http://schemas.microsoft.com/office/drawing/2014/main" id="{0C2C0822-3063-5DC2-8321-02BE6AFA9C58}"/>
            </a:ext>
          </a:extLst>
        </xdr:cNvPr>
        <xdr:cNvPicPr>
          <a:picLocks noChangeAspect="1"/>
        </xdr:cNvPicPr>
      </xdr:nvPicPr>
      <xdr:blipFill>
        <a:blip xmlns:r="http://schemas.openxmlformats.org/officeDocument/2006/relationships" r:embed="rId27"/>
        <a:stretch>
          <a:fillRect/>
        </a:stretch>
      </xdr:blipFill>
      <xdr:spPr>
        <a:xfrm>
          <a:off x="29592396" y="5534967"/>
          <a:ext cx="3768132" cy="1591942"/>
        </a:xfrm>
        <a:prstGeom prst="rect">
          <a:avLst/>
        </a:prstGeom>
      </xdr:spPr>
    </xdr:pic>
    <xdr:clientData/>
  </xdr:twoCellAnchor>
  <xdr:twoCellAnchor editAs="oneCell">
    <xdr:from>
      <xdr:col>18</xdr:col>
      <xdr:colOff>1582615</xdr:colOff>
      <xdr:row>39</xdr:row>
      <xdr:rowOff>100484</xdr:rowOff>
    </xdr:from>
    <xdr:to>
      <xdr:col>21</xdr:col>
      <xdr:colOff>561033</xdr:colOff>
      <xdr:row>47</xdr:row>
      <xdr:rowOff>154836</xdr:rowOff>
    </xdr:to>
    <xdr:pic>
      <xdr:nvPicPr>
        <xdr:cNvPr id="92" name="Picture 91">
          <a:extLst>
            <a:ext uri="{FF2B5EF4-FFF2-40B4-BE49-F238E27FC236}">
              <a16:creationId xmlns:a16="http://schemas.microsoft.com/office/drawing/2014/main" id="{2953A76A-B7D2-8CC4-94C6-FF7B601493D2}"/>
            </a:ext>
          </a:extLst>
        </xdr:cNvPr>
        <xdr:cNvPicPr>
          <a:picLocks noChangeAspect="1"/>
        </xdr:cNvPicPr>
      </xdr:nvPicPr>
      <xdr:blipFill>
        <a:blip xmlns:r="http://schemas.openxmlformats.org/officeDocument/2006/relationships" r:embed="rId28"/>
        <a:stretch>
          <a:fillRect/>
        </a:stretch>
      </xdr:blipFill>
      <xdr:spPr>
        <a:xfrm>
          <a:off x="30362769" y="7293429"/>
          <a:ext cx="3743011" cy="1528110"/>
        </a:xfrm>
        <a:prstGeom prst="rect">
          <a:avLst/>
        </a:prstGeom>
      </xdr:spPr>
    </xdr:pic>
    <xdr:clientData/>
  </xdr:twoCellAnchor>
  <xdr:twoCellAnchor>
    <xdr:from>
      <xdr:col>5</xdr:col>
      <xdr:colOff>562707</xdr:colOff>
      <xdr:row>32</xdr:row>
      <xdr:rowOff>25120</xdr:rowOff>
    </xdr:from>
    <xdr:to>
      <xdr:col>7</xdr:col>
      <xdr:colOff>612950</xdr:colOff>
      <xdr:row>33</xdr:row>
      <xdr:rowOff>77037</xdr:rowOff>
    </xdr:to>
    <xdr:sp macro="" textlink="">
      <xdr:nvSpPr>
        <xdr:cNvPr id="93" name="Rectangle 92">
          <a:extLst>
            <a:ext uri="{FF2B5EF4-FFF2-40B4-BE49-F238E27FC236}">
              <a16:creationId xmlns:a16="http://schemas.microsoft.com/office/drawing/2014/main" id="{5D8097B0-08FA-4658-8599-2795A47E631C}"/>
            </a:ext>
          </a:extLst>
        </xdr:cNvPr>
        <xdr:cNvSpPr/>
      </xdr:nvSpPr>
      <xdr:spPr>
        <a:xfrm>
          <a:off x="8609762" y="5928527"/>
          <a:ext cx="3290836" cy="236136"/>
        </a:xfrm>
        <a:prstGeom prst="rect">
          <a:avLst/>
        </a:prstGeom>
        <a:noFill/>
        <a:ln w="127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24</xdr:col>
      <xdr:colOff>929473</xdr:colOff>
      <xdr:row>12</xdr:row>
      <xdr:rowOff>92109</xdr:rowOff>
    </xdr:from>
    <xdr:to>
      <xdr:col>26</xdr:col>
      <xdr:colOff>429876</xdr:colOff>
      <xdr:row>40</xdr:row>
      <xdr:rowOff>175845</xdr:rowOff>
    </xdr:to>
    <xdr:pic>
      <xdr:nvPicPr>
        <xdr:cNvPr id="94" name="Picture 93">
          <a:extLst>
            <a:ext uri="{FF2B5EF4-FFF2-40B4-BE49-F238E27FC236}">
              <a16:creationId xmlns:a16="http://schemas.microsoft.com/office/drawing/2014/main" id="{09A41217-5C68-D259-E70A-FD2D43CF7468}"/>
            </a:ext>
          </a:extLst>
        </xdr:cNvPr>
        <xdr:cNvPicPr>
          <a:picLocks noChangeAspect="1"/>
        </xdr:cNvPicPr>
      </xdr:nvPicPr>
      <xdr:blipFill>
        <a:blip xmlns:r="http://schemas.openxmlformats.org/officeDocument/2006/relationships" r:embed="rId29"/>
        <a:stretch>
          <a:fillRect/>
        </a:stretch>
      </xdr:blipFill>
      <xdr:spPr>
        <a:xfrm>
          <a:off x="38887121" y="2311120"/>
          <a:ext cx="2707502" cy="5241890"/>
        </a:xfrm>
        <a:prstGeom prst="rect">
          <a:avLst/>
        </a:prstGeom>
      </xdr:spPr>
    </xdr:pic>
    <xdr:clientData/>
  </xdr:twoCellAnchor>
  <xdr:twoCellAnchor editAs="oneCell">
    <xdr:from>
      <xdr:col>21</xdr:col>
      <xdr:colOff>569408</xdr:colOff>
      <xdr:row>26</xdr:row>
      <xdr:rowOff>75364</xdr:rowOff>
    </xdr:from>
    <xdr:to>
      <xdr:col>24</xdr:col>
      <xdr:colOff>385188</xdr:colOff>
      <xdr:row>41</xdr:row>
      <xdr:rowOff>27734</xdr:rowOff>
    </xdr:to>
    <xdr:pic>
      <xdr:nvPicPr>
        <xdr:cNvPr id="95" name="Picture 94">
          <a:extLst>
            <a:ext uri="{FF2B5EF4-FFF2-40B4-BE49-F238E27FC236}">
              <a16:creationId xmlns:a16="http://schemas.microsoft.com/office/drawing/2014/main" id="{AAA467D6-19FB-0818-8FE1-2EA6C56D08E6}"/>
            </a:ext>
          </a:extLst>
        </xdr:cNvPr>
        <xdr:cNvPicPr>
          <a:picLocks noChangeAspect="1"/>
        </xdr:cNvPicPr>
      </xdr:nvPicPr>
      <xdr:blipFill>
        <a:blip xmlns:r="http://schemas.openxmlformats.org/officeDocument/2006/relationships" r:embed="rId30"/>
        <a:stretch>
          <a:fillRect/>
        </a:stretch>
      </xdr:blipFill>
      <xdr:spPr>
        <a:xfrm>
          <a:off x="34114155" y="4873452"/>
          <a:ext cx="4228681" cy="2715667"/>
        </a:xfrm>
        <a:prstGeom prst="rect">
          <a:avLst/>
        </a:prstGeom>
      </xdr:spPr>
    </xdr:pic>
    <xdr:clientData/>
  </xdr:twoCellAnchor>
  <xdr:twoCellAnchor editAs="oneCell">
    <xdr:from>
      <xdr:col>21</xdr:col>
      <xdr:colOff>16749</xdr:colOff>
      <xdr:row>12</xdr:row>
      <xdr:rowOff>58617</xdr:rowOff>
    </xdr:from>
    <xdr:to>
      <xdr:col>24</xdr:col>
      <xdr:colOff>318200</xdr:colOff>
      <xdr:row>25</xdr:row>
      <xdr:rowOff>141566</xdr:rowOff>
    </xdr:to>
    <xdr:pic>
      <xdr:nvPicPr>
        <xdr:cNvPr id="96" name="Picture 95">
          <a:extLst>
            <a:ext uri="{FF2B5EF4-FFF2-40B4-BE49-F238E27FC236}">
              <a16:creationId xmlns:a16="http://schemas.microsoft.com/office/drawing/2014/main" id="{79E6EF72-BFB3-46CD-F7B2-95563822F1FF}"/>
            </a:ext>
          </a:extLst>
        </xdr:cNvPr>
        <xdr:cNvPicPr>
          <a:picLocks noChangeAspect="1"/>
        </xdr:cNvPicPr>
      </xdr:nvPicPr>
      <xdr:blipFill>
        <a:blip xmlns:r="http://schemas.openxmlformats.org/officeDocument/2006/relationships" r:embed="rId31"/>
        <a:stretch>
          <a:fillRect/>
        </a:stretch>
      </xdr:blipFill>
      <xdr:spPr>
        <a:xfrm>
          <a:off x="33561496" y="2277628"/>
          <a:ext cx="4714352" cy="2477806"/>
        </a:xfrm>
        <a:prstGeom prst="rect">
          <a:avLst/>
        </a:prstGeom>
      </xdr:spPr>
    </xdr:pic>
    <xdr:clientData/>
  </xdr:twoCellAnchor>
  <xdr:twoCellAnchor>
    <xdr:from>
      <xdr:col>21</xdr:col>
      <xdr:colOff>678265</xdr:colOff>
      <xdr:row>15</xdr:row>
      <xdr:rowOff>108857</xdr:rowOff>
    </xdr:from>
    <xdr:to>
      <xdr:col>24</xdr:col>
      <xdr:colOff>150726</xdr:colOff>
      <xdr:row>15</xdr:row>
      <xdr:rowOff>125605</xdr:rowOff>
    </xdr:to>
    <xdr:cxnSp macro="">
      <xdr:nvCxnSpPr>
        <xdr:cNvPr id="97" name="Straight Connector 96">
          <a:extLst>
            <a:ext uri="{FF2B5EF4-FFF2-40B4-BE49-F238E27FC236}">
              <a16:creationId xmlns:a16="http://schemas.microsoft.com/office/drawing/2014/main" id="{69A0A576-75CF-4CBE-99BB-0FB73CE8C1CE}"/>
            </a:ext>
          </a:extLst>
        </xdr:cNvPr>
        <xdr:cNvCxnSpPr/>
      </xdr:nvCxnSpPr>
      <xdr:spPr>
        <a:xfrm flipV="1">
          <a:off x="34223012" y="2880527"/>
          <a:ext cx="3885362"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671566</xdr:colOff>
      <xdr:row>16</xdr:row>
      <xdr:rowOff>60290</xdr:rowOff>
    </xdr:from>
    <xdr:to>
      <xdr:col>24</xdr:col>
      <xdr:colOff>144027</xdr:colOff>
      <xdr:row>16</xdr:row>
      <xdr:rowOff>77038</xdr:rowOff>
    </xdr:to>
    <xdr:cxnSp macro="">
      <xdr:nvCxnSpPr>
        <xdr:cNvPr id="99" name="Straight Connector 98">
          <a:extLst>
            <a:ext uri="{FF2B5EF4-FFF2-40B4-BE49-F238E27FC236}">
              <a16:creationId xmlns:a16="http://schemas.microsoft.com/office/drawing/2014/main" id="{1462477E-EF11-4211-9FE3-8B92F24BAB23}"/>
            </a:ext>
          </a:extLst>
        </xdr:cNvPr>
        <xdr:cNvCxnSpPr/>
      </xdr:nvCxnSpPr>
      <xdr:spPr>
        <a:xfrm flipV="1">
          <a:off x="34216313" y="3016180"/>
          <a:ext cx="3885362"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706735</xdr:colOff>
      <xdr:row>24</xdr:row>
      <xdr:rowOff>11724</xdr:rowOff>
    </xdr:from>
    <xdr:to>
      <xdr:col>24</xdr:col>
      <xdr:colOff>179196</xdr:colOff>
      <xdr:row>24</xdr:row>
      <xdr:rowOff>28472</xdr:rowOff>
    </xdr:to>
    <xdr:cxnSp macro="">
      <xdr:nvCxnSpPr>
        <xdr:cNvPr id="100" name="Straight Connector 99">
          <a:extLst>
            <a:ext uri="{FF2B5EF4-FFF2-40B4-BE49-F238E27FC236}">
              <a16:creationId xmlns:a16="http://schemas.microsoft.com/office/drawing/2014/main" id="{F0BCA0D6-4960-4B23-8DF4-A21A4FF6AE24}"/>
            </a:ext>
          </a:extLst>
        </xdr:cNvPr>
        <xdr:cNvCxnSpPr/>
      </xdr:nvCxnSpPr>
      <xdr:spPr>
        <a:xfrm flipV="1">
          <a:off x="34251482" y="4441372"/>
          <a:ext cx="3885362"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666541</xdr:colOff>
      <xdr:row>24</xdr:row>
      <xdr:rowOff>139003</xdr:rowOff>
    </xdr:from>
    <xdr:to>
      <xdr:col>24</xdr:col>
      <xdr:colOff>139002</xdr:colOff>
      <xdr:row>24</xdr:row>
      <xdr:rowOff>155751</xdr:rowOff>
    </xdr:to>
    <xdr:cxnSp macro="">
      <xdr:nvCxnSpPr>
        <xdr:cNvPr id="101" name="Straight Connector 100">
          <a:extLst>
            <a:ext uri="{FF2B5EF4-FFF2-40B4-BE49-F238E27FC236}">
              <a16:creationId xmlns:a16="http://schemas.microsoft.com/office/drawing/2014/main" id="{079D6EDC-ECAE-4661-A753-AADD0743F5E3}"/>
            </a:ext>
          </a:extLst>
        </xdr:cNvPr>
        <xdr:cNvCxnSpPr/>
      </xdr:nvCxnSpPr>
      <xdr:spPr>
        <a:xfrm flipV="1">
          <a:off x="34211288" y="4568651"/>
          <a:ext cx="3885362" cy="1674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770374</xdr:colOff>
      <xdr:row>42</xdr:row>
      <xdr:rowOff>50241</xdr:rowOff>
    </xdr:from>
    <xdr:to>
      <xdr:col>24</xdr:col>
      <xdr:colOff>1248377</xdr:colOff>
      <xdr:row>62</xdr:row>
      <xdr:rowOff>117230</xdr:rowOff>
    </xdr:to>
    <xdr:pic>
      <xdr:nvPicPr>
        <xdr:cNvPr id="102" name="Picture 101">
          <a:extLst>
            <a:ext uri="{FF2B5EF4-FFF2-40B4-BE49-F238E27FC236}">
              <a16:creationId xmlns:a16="http://schemas.microsoft.com/office/drawing/2014/main" id="{F08D660C-7A32-7CF3-555A-2F31D621E991}"/>
            </a:ext>
          </a:extLst>
        </xdr:cNvPr>
        <xdr:cNvPicPr>
          <a:picLocks noChangeAspect="1"/>
        </xdr:cNvPicPr>
      </xdr:nvPicPr>
      <xdr:blipFill>
        <a:blip xmlns:r="http://schemas.openxmlformats.org/officeDocument/2006/relationships" r:embed="rId32"/>
        <a:stretch>
          <a:fillRect/>
        </a:stretch>
      </xdr:blipFill>
      <xdr:spPr>
        <a:xfrm>
          <a:off x="34315121" y="7795845"/>
          <a:ext cx="4890904" cy="3751385"/>
        </a:xfrm>
        <a:prstGeom prst="rect">
          <a:avLst/>
        </a:prstGeom>
      </xdr:spPr>
    </xdr:pic>
    <xdr:clientData/>
  </xdr:twoCellAnchor>
  <xdr:twoCellAnchor editAs="oneCell">
    <xdr:from>
      <xdr:col>24</xdr:col>
      <xdr:colOff>1214176</xdr:colOff>
      <xdr:row>41</xdr:row>
      <xdr:rowOff>100483</xdr:rowOff>
    </xdr:from>
    <xdr:to>
      <xdr:col>27</xdr:col>
      <xdr:colOff>448928</xdr:colOff>
      <xdr:row>57</xdr:row>
      <xdr:rowOff>75362</xdr:rowOff>
    </xdr:to>
    <xdr:pic>
      <xdr:nvPicPr>
        <xdr:cNvPr id="103" name="Picture 102">
          <a:extLst>
            <a:ext uri="{FF2B5EF4-FFF2-40B4-BE49-F238E27FC236}">
              <a16:creationId xmlns:a16="http://schemas.microsoft.com/office/drawing/2014/main" id="{003512C3-F802-C306-6A5E-E1081C25F8A1}"/>
            </a:ext>
          </a:extLst>
        </xdr:cNvPr>
        <xdr:cNvPicPr>
          <a:picLocks noChangeAspect="1"/>
        </xdr:cNvPicPr>
      </xdr:nvPicPr>
      <xdr:blipFill>
        <a:blip xmlns:r="http://schemas.openxmlformats.org/officeDocument/2006/relationships" r:embed="rId33"/>
        <a:stretch>
          <a:fillRect/>
        </a:stretch>
      </xdr:blipFill>
      <xdr:spPr>
        <a:xfrm>
          <a:off x="39171824" y="7661868"/>
          <a:ext cx="3714642" cy="2922395"/>
        </a:xfrm>
        <a:prstGeom prst="rect">
          <a:avLst/>
        </a:prstGeom>
      </xdr:spPr>
    </xdr:pic>
    <xdr:clientData/>
  </xdr:twoCellAnchor>
  <xdr:twoCellAnchor>
    <xdr:from>
      <xdr:col>24</xdr:col>
      <xdr:colOff>1540748</xdr:colOff>
      <xdr:row>43</xdr:row>
      <xdr:rowOff>105507</xdr:rowOff>
    </xdr:from>
    <xdr:to>
      <xdr:col>27</xdr:col>
      <xdr:colOff>390212</xdr:colOff>
      <xdr:row>43</xdr:row>
      <xdr:rowOff>133977</xdr:rowOff>
    </xdr:to>
    <xdr:cxnSp macro="">
      <xdr:nvCxnSpPr>
        <xdr:cNvPr id="104" name="Straight Connector 103">
          <a:extLst>
            <a:ext uri="{FF2B5EF4-FFF2-40B4-BE49-F238E27FC236}">
              <a16:creationId xmlns:a16="http://schemas.microsoft.com/office/drawing/2014/main" id="{5794C2DF-A6C7-441B-A7BE-1E47BB216750}"/>
            </a:ext>
          </a:extLst>
        </xdr:cNvPr>
        <xdr:cNvCxnSpPr/>
      </xdr:nvCxnSpPr>
      <xdr:spPr>
        <a:xfrm flipV="1">
          <a:off x="39498396" y="8035331"/>
          <a:ext cx="3329354" cy="2847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1550797</xdr:colOff>
      <xdr:row>44</xdr:row>
      <xdr:rowOff>31819</xdr:rowOff>
    </xdr:from>
    <xdr:to>
      <xdr:col>27</xdr:col>
      <xdr:colOff>400261</xdr:colOff>
      <xdr:row>44</xdr:row>
      <xdr:rowOff>60289</xdr:rowOff>
    </xdr:to>
    <xdr:cxnSp macro="">
      <xdr:nvCxnSpPr>
        <xdr:cNvPr id="106" name="Straight Connector 105">
          <a:extLst>
            <a:ext uri="{FF2B5EF4-FFF2-40B4-BE49-F238E27FC236}">
              <a16:creationId xmlns:a16="http://schemas.microsoft.com/office/drawing/2014/main" id="{A050B5D0-2BC2-494F-B26F-BF206B27CE91}"/>
            </a:ext>
          </a:extLst>
        </xdr:cNvPr>
        <xdr:cNvCxnSpPr/>
      </xdr:nvCxnSpPr>
      <xdr:spPr>
        <a:xfrm flipV="1">
          <a:off x="39508445" y="8145863"/>
          <a:ext cx="3329354" cy="2847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577781</xdr:colOff>
      <xdr:row>35</xdr:row>
      <xdr:rowOff>100484</xdr:rowOff>
    </xdr:from>
    <xdr:to>
      <xdr:col>5</xdr:col>
      <xdr:colOff>334946</xdr:colOff>
      <xdr:row>41</xdr:row>
      <xdr:rowOff>171738</xdr:rowOff>
    </xdr:to>
    <xdr:pic>
      <xdr:nvPicPr>
        <xdr:cNvPr id="107" name="Picture 106">
          <a:extLst>
            <a:ext uri="{FF2B5EF4-FFF2-40B4-BE49-F238E27FC236}">
              <a16:creationId xmlns:a16="http://schemas.microsoft.com/office/drawing/2014/main" id="{C485B042-F020-980E-3DA8-A60ABA70A2A4}"/>
            </a:ext>
          </a:extLst>
        </xdr:cNvPr>
        <xdr:cNvPicPr>
          <a:picLocks noChangeAspect="1"/>
        </xdr:cNvPicPr>
      </xdr:nvPicPr>
      <xdr:blipFill>
        <a:blip xmlns:r="http://schemas.openxmlformats.org/officeDocument/2006/relationships" r:embed="rId34"/>
        <a:stretch>
          <a:fillRect/>
        </a:stretch>
      </xdr:blipFill>
      <xdr:spPr>
        <a:xfrm>
          <a:off x="4211935" y="6556550"/>
          <a:ext cx="4170066" cy="1176573"/>
        </a:xfrm>
        <a:prstGeom prst="rect">
          <a:avLst/>
        </a:prstGeom>
      </xdr:spPr>
    </xdr:pic>
    <xdr:clientData/>
  </xdr:twoCellAnchor>
  <xdr:twoCellAnchor>
    <xdr:from>
      <xdr:col>2</xdr:col>
      <xdr:colOff>688311</xdr:colOff>
      <xdr:row>39</xdr:row>
      <xdr:rowOff>92110</xdr:rowOff>
    </xdr:from>
    <xdr:to>
      <xdr:col>3</xdr:col>
      <xdr:colOff>1071824</xdr:colOff>
      <xdr:row>39</xdr:row>
      <xdr:rowOff>95459</xdr:rowOff>
    </xdr:to>
    <xdr:cxnSp macro="">
      <xdr:nvCxnSpPr>
        <xdr:cNvPr id="108" name="Straight Connector 107">
          <a:extLst>
            <a:ext uri="{FF2B5EF4-FFF2-40B4-BE49-F238E27FC236}">
              <a16:creationId xmlns:a16="http://schemas.microsoft.com/office/drawing/2014/main" id="{5D173C22-27B5-46DC-B67D-C95023D0C9E7}"/>
            </a:ext>
          </a:extLst>
        </xdr:cNvPr>
        <xdr:cNvCxnSpPr/>
      </xdr:nvCxnSpPr>
      <xdr:spPr>
        <a:xfrm flipV="1">
          <a:off x="4322465" y="7285055"/>
          <a:ext cx="2016370" cy="334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427055</xdr:colOff>
      <xdr:row>38</xdr:row>
      <xdr:rowOff>175846</xdr:rowOff>
    </xdr:from>
    <xdr:to>
      <xdr:col>5</xdr:col>
      <xdr:colOff>227763</xdr:colOff>
      <xdr:row>38</xdr:row>
      <xdr:rowOff>177521</xdr:rowOff>
    </xdr:to>
    <xdr:cxnSp macro="">
      <xdr:nvCxnSpPr>
        <xdr:cNvPr id="110" name="Straight Connector 109">
          <a:extLst>
            <a:ext uri="{FF2B5EF4-FFF2-40B4-BE49-F238E27FC236}">
              <a16:creationId xmlns:a16="http://schemas.microsoft.com/office/drawing/2014/main" id="{34088F5F-0D36-45DB-A472-D29620844773}"/>
            </a:ext>
          </a:extLst>
        </xdr:cNvPr>
        <xdr:cNvCxnSpPr/>
      </xdr:nvCxnSpPr>
      <xdr:spPr>
        <a:xfrm>
          <a:off x="6991978" y="7184571"/>
          <a:ext cx="1282840" cy="167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887606</xdr:colOff>
      <xdr:row>42</xdr:row>
      <xdr:rowOff>8373</xdr:rowOff>
    </xdr:from>
    <xdr:to>
      <xdr:col>4</xdr:col>
      <xdr:colOff>944576</xdr:colOff>
      <xdr:row>61</xdr:row>
      <xdr:rowOff>175846</xdr:rowOff>
    </xdr:to>
    <xdr:pic>
      <xdr:nvPicPr>
        <xdr:cNvPr id="112" name="Picture 111">
          <a:extLst>
            <a:ext uri="{FF2B5EF4-FFF2-40B4-BE49-F238E27FC236}">
              <a16:creationId xmlns:a16="http://schemas.microsoft.com/office/drawing/2014/main" id="{F236286C-01E9-528C-2CB1-3D762F3D6381}"/>
            </a:ext>
          </a:extLst>
        </xdr:cNvPr>
        <xdr:cNvPicPr>
          <a:picLocks noChangeAspect="1"/>
        </xdr:cNvPicPr>
      </xdr:nvPicPr>
      <xdr:blipFill>
        <a:blip xmlns:r="http://schemas.openxmlformats.org/officeDocument/2006/relationships" r:embed="rId35"/>
        <a:stretch>
          <a:fillRect/>
        </a:stretch>
      </xdr:blipFill>
      <xdr:spPr>
        <a:xfrm>
          <a:off x="3500177" y="7753977"/>
          <a:ext cx="4009322" cy="3667649"/>
        </a:xfrm>
        <a:prstGeom prst="rect">
          <a:avLst/>
        </a:prstGeom>
      </xdr:spPr>
    </xdr:pic>
    <xdr:clientData/>
  </xdr:twoCellAnchor>
  <xdr:twoCellAnchor>
    <xdr:from>
      <xdr:col>2</xdr:col>
      <xdr:colOff>269630</xdr:colOff>
      <xdr:row>59</xdr:row>
      <xdr:rowOff>33494</xdr:rowOff>
    </xdr:from>
    <xdr:to>
      <xdr:col>4</xdr:col>
      <xdr:colOff>703385</xdr:colOff>
      <xdr:row>59</xdr:row>
      <xdr:rowOff>35169</xdr:rowOff>
    </xdr:to>
    <xdr:cxnSp macro="">
      <xdr:nvCxnSpPr>
        <xdr:cNvPr id="113" name="Straight Connector 112">
          <a:extLst>
            <a:ext uri="{FF2B5EF4-FFF2-40B4-BE49-F238E27FC236}">
              <a16:creationId xmlns:a16="http://schemas.microsoft.com/office/drawing/2014/main" id="{10A13820-4B8D-48E6-9899-1BACB8DD0095}"/>
            </a:ext>
          </a:extLst>
        </xdr:cNvPr>
        <xdr:cNvCxnSpPr/>
      </xdr:nvCxnSpPr>
      <xdr:spPr>
        <a:xfrm flipV="1">
          <a:off x="3903784" y="10910835"/>
          <a:ext cx="3364524" cy="167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329919</xdr:colOff>
      <xdr:row>42</xdr:row>
      <xdr:rowOff>83737</xdr:rowOff>
    </xdr:from>
    <xdr:to>
      <xdr:col>4</xdr:col>
      <xdr:colOff>477297</xdr:colOff>
      <xdr:row>52</xdr:row>
      <xdr:rowOff>3349</xdr:rowOff>
    </xdr:to>
    <xdr:sp macro="" textlink="">
      <xdr:nvSpPr>
        <xdr:cNvPr id="115" name="Rectangle 114">
          <a:extLst>
            <a:ext uri="{FF2B5EF4-FFF2-40B4-BE49-F238E27FC236}">
              <a16:creationId xmlns:a16="http://schemas.microsoft.com/office/drawing/2014/main" id="{13FEEAB6-CDA6-4F97-9EB7-AFB67CEB9B1C}"/>
            </a:ext>
          </a:extLst>
        </xdr:cNvPr>
        <xdr:cNvSpPr/>
      </xdr:nvSpPr>
      <xdr:spPr>
        <a:xfrm>
          <a:off x="3964073" y="7829341"/>
          <a:ext cx="3078147" cy="1761810"/>
        </a:xfrm>
        <a:prstGeom prst="rect">
          <a:avLst/>
        </a:prstGeom>
        <a:noFill/>
        <a:ln w="127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sus\Downloads\Excel%20Asis%20PIPAL%201.xlsx" TargetMode="External"/><Relationship Id="rId1" Type="http://schemas.openxmlformats.org/officeDocument/2006/relationships/externalLinkPath" Target="file:///C:\Users\Asus\Downloads\Excel%20Asis%20PIP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asi"/>
      <sheetName val="Resume Kondisi Sanitasi"/>
      <sheetName val="SWOT"/>
      <sheetName val="Pembobotan Analisis SWOT"/>
      <sheetName val="Data Kondisi Daerah Rencana"/>
      <sheetName val="Kriteria Zona Prioritas "/>
      <sheetName val="Proyeksi Penduduk"/>
      <sheetName val="Debit AL Domestik"/>
      <sheetName val="Proyeksi Fasum"/>
      <sheetName val="Debit AL Non Domestik"/>
      <sheetName val="Diagram Alir Alternatif "/>
    </sheetNames>
    <sheetDataSet>
      <sheetData sheetId="0"/>
      <sheetData sheetId="1"/>
      <sheetData sheetId="2"/>
      <sheetData sheetId="3"/>
      <sheetData sheetId="4"/>
      <sheetData sheetId="5"/>
      <sheetData sheetId="6"/>
      <sheetData sheetId="7">
        <row r="14">
          <cell r="B14">
            <v>2023</v>
          </cell>
        </row>
        <row r="15">
          <cell r="B15">
            <v>2024</v>
          </cell>
        </row>
        <row r="16">
          <cell r="B16">
            <v>2025</v>
          </cell>
        </row>
        <row r="17">
          <cell r="B17">
            <v>2026</v>
          </cell>
        </row>
        <row r="18">
          <cell r="B18">
            <v>2027</v>
          </cell>
        </row>
        <row r="19">
          <cell r="B19">
            <v>2028</v>
          </cell>
        </row>
        <row r="20">
          <cell r="B20">
            <v>2029</v>
          </cell>
        </row>
        <row r="21">
          <cell r="B21">
            <v>2030</v>
          </cell>
        </row>
        <row r="22">
          <cell r="B22">
            <v>2031</v>
          </cell>
        </row>
        <row r="23">
          <cell r="B23">
            <v>2032</v>
          </cell>
        </row>
        <row r="24">
          <cell r="B24">
            <v>2033</v>
          </cell>
        </row>
        <row r="25">
          <cell r="B25">
            <v>2034</v>
          </cell>
        </row>
        <row r="26">
          <cell r="B26">
            <v>2035</v>
          </cell>
        </row>
        <row r="27">
          <cell r="B27">
            <v>2036</v>
          </cell>
        </row>
        <row r="28">
          <cell r="B28">
            <v>2037</v>
          </cell>
        </row>
        <row r="29">
          <cell r="B29">
            <v>2038</v>
          </cell>
        </row>
        <row r="30">
          <cell r="B30">
            <v>2039</v>
          </cell>
        </row>
        <row r="31">
          <cell r="B31">
            <v>2040</v>
          </cell>
        </row>
        <row r="32">
          <cell r="B32">
            <v>2041</v>
          </cell>
        </row>
        <row r="33">
          <cell r="B33">
            <v>2042</v>
          </cell>
        </row>
        <row r="34">
          <cell r="B34">
            <v>2043</v>
          </cell>
        </row>
      </sheetData>
      <sheetData sheetId="8">
        <row r="40">
          <cell r="G40">
            <v>183.14483366051525</v>
          </cell>
          <cell r="H40">
            <v>186.83864083034604</v>
          </cell>
          <cell r="I40">
            <v>190.60694757046321</v>
          </cell>
          <cell r="J40">
            <v>194.4512564460301</v>
          </cell>
          <cell r="K40">
            <v>198.37310032711028</v>
          </cell>
          <cell r="L40">
            <v>202.37404299988091</v>
          </cell>
          <cell r="M40">
            <v>206.45567979017247</v>
          </cell>
          <cell r="N40">
            <v>210.61963819958538</v>
          </cell>
          <cell r="O40">
            <v>214.86757855443534</v>
          </cell>
          <cell r="P40">
            <v>219.20119466778817</v>
          </cell>
          <cell r="Q40">
            <v>223.62221451484658</v>
          </cell>
          <cell r="R40">
            <v>228.13240092195821</v>
          </cell>
          <cell r="S40">
            <v>228.13240092195821</v>
          </cell>
          <cell r="T40">
            <v>232.73355226952097</v>
          </cell>
          <cell r="U40">
            <v>237.42750320906455</v>
          </cell>
          <cell r="V40">
            <v>242.21612539479503</v>
          </cell>
          <cell r="W40">
            <v>247.10132822989311</v>
          </cell>
          <cell r="X40">
            <v>252.08505962786518</v>
          </cell>
          <cell r="Y40">
            <v>257.16930678924922</v>
          </cell>
          <cell r="Z40">
            <v>262.35609699398606</v>
          </cell>
          <cell r="AA40">
            <v>267.64749840977242</v>
          </cell>
        </row>
        <row r="41">
          <cell r="G41">
            <v>235.77265942503112</v>
          </cell>
          <cell r="H41">
            <v>240.5279054367673</v>
          </cell>
          <cell r="I41">
            <v>245.37905894128596</v>
          </cell>
          <cell r="J41">
            <v>250.32805427534907</v>
          </cell>
          <cell r="K41">
            <v>255.37686478892357</v>
          </cell>
          <cell r="L41">
            <v>260.52750363203063</v>
          </cell>
          <cell r="M41">
            <v>265.78202455746339</v>
          </cell>
          <cell r="N41">
            <v>271.14252273969612</v>
          </cell>
          <cell r="O41">
            <v>276.61113561030754</v>
          </cell>
          <cell r="P41">
            <v>282.19004371025602</v>
          </cell>
          <cell r="Q41">
            <v>287.88147155934274</v>
          </cell>
          <cell r="R41">
            <v>293.68768854321058</v>
          </cell>
          <cell r="S41">
            <v>293.68768854321058</v>
          </cell>
          <cell r="T41">
            <v>299.61100981823392</v>
          </cell>
          <cell r="U41">
            <v>305.65379723465782</v>
          </cell>
          <cell r="V41">
            <v>311.81846027835684</v>
          </cell>
          <cell r="W41">
            <v>318.10745703158653</v>
          </cell>
          <cell r="X41">
            <v>324.52329515311379</v>
          </cell>
          <cell r="Y41">
            <v>331.0685328781139</v>
          </cell>
          <cell r="Z41">
            <v>337.7457800382349</v>
          </cell>
          <cell r="AA41">
            <v>344.55769910223574</v>
          </cell>
        </row>
        <row r="42">
          <cell r="G42">
            <v>34.734365004580482</v>
          </cell>
          <cell r="H42">
            <v>35.434914640238041</v>
          </cell>
          <cell r="I42">
            <v>36.149593504743024</v>
          </cell>
          <cell r="J42">
            <v>36.878686567350535</v>
          </cell>
          <cell r="K42">
            <v>37.622484544796777</v>
          </cell>
          <cell r="L42">
            <v>38.381284017218796</v>
          </cell>
          <cell r="M42">
            <v>39.155387546412022</v>
          </cell>
          <cell r="N42">
            <v>39.945103796473092</v>
          </cell>
          <cell r="O42">
            <v>40.750747656875667</v>
          </cell>
          <cell r="P42">
            <v>41.572640368028793</v>
          </cell>
          <cell r="Q42">
            <v>42.411109649367454</v>
          </cell>
          <cell r="R42">
            <v>43.266489830026558</v>
          </cell>
          <cell r="S42">
            <v>43.266489830026558</v>
          </cell>
          <cell r="T42">
            <v>44.139121982150535</v>
          </cell>
          <cell r="U42">
            <v>45.029354056891549</v>
          </cell>
          <cell r="V42">
            <v>45.937541023150779</v>
          </cell>
          <cell r="W42">
            <v>46.86404500911766</v>
          </cell>
          <cell r="X42">
            <v>47.80923544666409</v>
          </cell>
          <cell r="Y42">
            <v>48.77348921865071</v>
          </cell>
          <cell r="Z42">
            <v>49.757190809204253</v>
          </cell>
          <cell r="AA42">
            <v>50.760732457025803</v>
          </cell>
        </row>
        <row r="43">
          <cell r="G43">
            <v>89.467303799676998</v>
          </cell>
          <cell r="H43">
            <v>91.271749830916164</v>
          </cell>
          <cell r="I43">
            <v>93.112589330398691</v>
          </cell>
          <cell r="J43">
            <v>94.99055630984229</v>
          </cell>
          <cell r="K43">
            <v>96.90639958508261</v>
          </cell>
          <cell r="L43">
            <v>98.860883074654467</v>
          </cell>
          <cell r="M43">
            <v>100.85478610439459</v>
          </cell>
          <cell r="N43">
            <v>102.88890371818826</v>
          </cell>
          <cell r="O43">
            <v>104.96404699498278</v>
          </cell>
          <cell r="P43">
            <v>107.08104337219537</v>
          </cell>
          <cell r="Q43">
            <v>109.24073697564344</v>
          </cell>
          <cell r="R43">
            <v>111.443988956129</v>
          </cell>
          <cell r="S43">
            <v>111.443988956129</v>
          </cell>
          <cell r="T43">
            <v>113.69167783281198</v>
          </cell>
          <cell r="U43">
            <v>115.98469984350854</v>
          </cell>
          <cell r="V43">
            <v>118.32396930205505</v>
          </cell>
          <cell r="W43">
            <v>120.71041896287882</v>
          </cell>
          <cell r="X43">
            <v>123.14500039292265</v>
          </cell>
          <cell r="Y43">
            <v>125.62868435107001</v>
          </cell>
          <cell r="Z43">
            <v>128.16246117522309</v>
          </cell>
          <cell r="AA43">
            <v>130.74734117718768</v>
          </cell>
        </row>
        <row r="44">
          <cell r="G44">
            <v>51.575269249225563</v>
          </cell>
          <cell r="H44">
            <v>52.615479314292848</v>
          </cell>
          <cell r="I44">
            <v>53.676669143406308</v>
          </cell>
          <cell r="J44">
            <v>54.759261872732608</v>
          </cell>
          <cell r="K44">
            <v>55.863689172577033</v>
          </cell>
          <cell r="L44">
            <v>56.990391419506693</v>
          </cell>
          <cell r="M44">
            <v>58.13981787194512</v>
          </cell>
          <cell r="N44">
            <v>59.31242684930853</v>
          </cell>
          <cell r="O44">
            <v>60.508685914754778</v>
          </cell>
          <cell r="P44">
            <v>61.72907206161851</v>
          </cell>
          <cell r="Q44">
            <v>62.974071903606223</v>
          </cell>
          <cell r="R44">
            <v>64.244181868827312</v>
          </cell>
          <cell r="S44">
            <v>64.244181868827312</v>
          </cell>
          <cell r="T44">
            <v>65.539908397738671</v>
          </cell>
          <cell r="U44">
            <v>66.861768145081399</v>
          </cell>
          <cell r="V44">
            <v>68.210288185890548</v>
          </cell>
          <cell r="W44">
            <v>69.58600622565956</v>
          </cell>
          <cell r="X44">
            <v>70.98947081474364</v>
          </cell>
          <cell r="Y44">
            <v>72.421241567087421</v>
          </cell>
          <cell r="Z44">
            <v>73.881889383363884</v>
          </cell>
          <cell r="AA44">
            <v>75.371996678614067</v>
          </cell>
        </row>
        <row r="45">
          <cell r="G45">
            <v>34.734365004580482</v>
          </cell>
          <cell r="H45">
            <v>35.434914640238041</v>
          </cell>
          <cell r="I45">
            <v>36.149593504743024</v>
          </cell>
          <cell r="J45">
            <v>36.878686567350535</v>
          </cell>
          <cell r="K45">
            <v>37.622484544796777</v>
          </cell>
          <cell r="L45">
            <v>38.381284017218796</v>
          </cell>
          <cell r="M45">
            <v>39.155387546412022</v>
          </cell>
          <cell r="N45">
            <v>39.945103796473092</v>
          </cell>
          <cell r="O45">
            <v>40.750747656875667</v>
          </cell>
          <cell r="P45">
            <v>41.572640368028793</v>
          </cell>
          <cell r="Q45">
            <v>42.411109649367454</v>
          </cell>
          <cell r="R45">
            <v>43.266489830026558</v>
          </cell>
          <cell r="S45">
            <v>43.266489830026558</v>
          </cell>
          <cell r="T45">
            <v>44.139121982150535</v>
          </cell>
          <cell r="U45">
            <v>45.029354056891549</v>
          </cell>
          <cell r="V45">
            <v>45.937541023150779</v>
          </cell>
          <cell r="W45">
            <v>46.86404500911766</v>
          </cell>
          <cell r="X45">
            <v>47.80923544666409</v>
          </cell>
          <cell r="Y45">
            <v>48.77348921865071</v>
          </cell>
          <cell r="Z45">
            <v>49.757190809204253</v>
          </cell>
          <cell r="AA45">
            <v>50.760732457025803</v>
          </cell>
        </row>
        <row r="46">
          <cell r="G46">
            <v>64.205947432709365</v>
          </cell>
          <cell r="H46">
            <v>65.500902819833954</v>
          </cell>
          <cell r="I46">
            <v>66.821975872403769</v>
          </cell>
          <cell r="J46">
            <v>68.169693351769169</v>
          </cell>
          <cell r="K46">
            <v>69.54459264341223</v>
          </cell>
          <cell r="L46">
            <v>70.947221971222618</v>
          </cell>
          <cell r="M46">
            <v>72.378140616094953</v>
          </cell>
          <cell r="N46">
            <v>73.837919138935106</v>
          </cell>
          <cell r="O46">
            <v>75.327139608164117</v>
          </cell>
          <cell r="P46">
            <v>76.846395831810796</v>
          </cell>
          <cell r="Q46">
            <v>78.396293594285297</v>
          </cell>
          <cell r="R46">
            <v>79.977450897927881</v>
          </cell>
          <cell r="S46">
            <v>79.977450897927881</v>
          </cell>
          <cell r="T46">
            <v>81.590498209429768</v>
          </cell>
          <cell r="U46">
            <v>83.236078711223783</v>
          </cell>
          <cell r="V46">
            <v>84.914848557945376</v>
          </cell>
          <cell r="W46">
            <v>86.627477138065984</v>
          </cell>
          <cell r="X46">
            <v>88.374647340803307</v>
          </cell>
          <cell r="Y46">
            <v>90.157055828414954</v>
          </cell>
          <cell r="Z46">
            <v>91.975413313983623</v>
          </cell>
          <cell r="AA46">
            <v>93.830444844805271</v>
          </cell>
        </row>
        <row r="47">
          <cell r="G47">
            <v>16.840904244645081</v>
          </cell>
          <cell r="H47">
            <v>17.180564674054807</v>
          </cell>
          <cell r="I47">
            <v>17.527075638663284</v>
          </cell>
          <cell r="J47">
            <v>17.880575305382077</v>
          </cell>
          <cell r="K47">
            <v>18.241204627780256</v>
          </cell>
          <cell r="L47">
            <v>18.609107402287901</v>
          </cell>
          <cell r="M47">
            <v>18.984430325533101</v>
          </cell>
          <cell r="N47">
            <v>19.367323052835438</v>
          </cell>
          <cell r="O47">
            <v>19.757938257879111</v>
          </cell>
          <cell r="P47">
            <v>20.156431693589717</v>
          </cell>
          <cell r="Q47">
            <v>20.562962254238766</v>
          </cell>
          <cell r="R47">
            <v>20.977692038800754</v>
          </cell>
          <cell r="S47">
            <v>20.977692038800754</v>
          </cell>
          <cell r="T47">
            <v>21.400786415588136</v>
          </cell>
          <cell r="U47">
            <v>21.832414088189843</v>
          </cell>
          <cell r="V47">
            <v>22.272747162739773</v>
          </cell>
          <cell r="W47">
            <v>22.721961216541896</v>
          </cell>
          <cell r="X47">
            <v>23.180235368079558</v>
          </cell>
          <cell r="Y47">
            <v>23.647752348436708</v>
          </cell>
          <cell r="Z47">
            <v>24.124698574159638</v>
          </cell>
          <cell r="AA47">
            <v>24.611264221588268</v>
          </cell>
        </row>
        <row r="49">
          <cell r="AC49">
            <v>2023</v>
          </cell>
        </row>
        <row r="50">
          <cell r="G50">
            <v>11.578121668193493</v>
          </cell>
          <cell r="H50">
            <v>11.81163821341268</v>
          </cell>
          <cell r="I50">
            <v>12.049864501581007</v>
          </cell>
          <cell r="J50">
            <v>12.292895522450179</v>
          </cell>
          <cell r="K50">
            <v>12.540828181598926</v>
          </cell>
          <cell r="L50">
            <v>12.793761339072931</v>
          </cell>
          <cell r="M50">
            <v>13.051795848804007</v>
          </cell>
          <cell r="N50">
            <v>13.315034598824363</v>
          </cell>
          <cell r="O50">
            <v>13.583582552291888</v>
          </cell>
          <cell r="P50">
            <v>13.85754678934293</v>
          </cell>
          <cell r="Q50">
            <v>14.137036549789151</v>
          </cell>
          <cell r="R50">
            <v>14.422163276675519</v>
          </cell>
          <cell r="S50">
            <v>14.422163276675519</v>
          </cell>
          <cell r="T50">
            <v>14.713040660716844</v>
          </cell>
          <cell r="U50">
            <v>15.009784685630517</v>
          </cell>
          <cell r="V50">
            <v>15.312513674383593</v>
          </cell>
          <cell r="W50">
            <v>15.621348336372554</v>
          </cell>
          <cell r="X50">
            <v>15.936411815554695</v>
          </cell>
          <cell r="Y50">
            <v>16.257829739550235</v>
          </cell>
          <cell r="Z50">
            <v>16.58573026973475</v>
          </cell>
          <cell r="AA50">
            <v>16.920244152341933</v>
          </cell>
          <cell r="AC50">
            <v>2024</v>
          </cell>
        </row>
        <row r="51">
          <cell r="G51">
            <v>8527.8128868821532</v>
          </cell>
          <cell r="H51">
            <v>8699.8084368245036</v>
          </cell>
          <cell r="I51">
            <v>8875.2729265281196</v>
          </cell>
          <cell r="J51">
            <v>9054.2763202628503</v>
          </cell>
          <cell r="K51">
            <v>9236.8899933922276</v>
          </cell>
          <cell r="L51">
            <v>9423.186760833536</v>
          </cell>
          <cell r="M51">
            <v>9613.2409060918235</v>
          </cell>
          <cell r="N51">
            <v>9807.1282108795458</v>
          </cell>
          <cell r="O51">
            <v>10004.925985333535</v>
          </cell>
          <cell r="P51">
            <v>10206.713098841492</v>
          </cell>
          <cell r="Q51">
            <v>10412.570011490156</v>
          </cell>
          <cell r="R51">
            <v>10622.578806147732</v>
          </cell>
          <cell r="S51">
            <v>10622.578806147732</v>
          </cell>
          <cell r="T51">
            <v>10836.823221193443</v>
          </cell>
          <cell r="U51">
            <v>11055.388683907131</v>
          </cell>
          <cell r="V51">
            <v>11278.362344532352</v>
          </cell>
          <cell r="W51">
            <v>11505.833111026403</v>
          </cell>
          <cell r="X51">
            <v>11737.891684511285</v>
          </cell>
          <cell r="Y51">
            <v>11974.630595439638</v>
          </cell>
          <cell r="Z51">
            <v>12216.144240490086</v>
          </cell>
          <cell r="AA51">
            <v>12462.52892020676</v>
          </cell>
          <cell r="AC51">
            <v>2025</v>
          </cell>
        </row>
        <row r="52">
          <cell r="G52">
            <v>142.09512956419286</v>
          </cell>
          <cell r="H52">
            <v>144.96101443733744</v>
          </cell>
          <cell r="I52">
            <v>147.88470070122145</v>
          </cell>
          <cell r="J52">
            <v>150.86735413916128</v>
          </cell>
          <cell r="K52">
            <v>153.91016404689591</v>
          </cell>
          <cell r="L52">
            <v>157.01434370680417</v>
          </cell>
          <cell r="M52">
            <v>160.18113087168553</v>
          </cell>
          <cell r="N52">
            <v>163.411788258299</v>
          </cell>
          <cell r="O52">
            <v>166.707604050855</v>
          </cell>
          <cell r="P52">
            <v>170.06989241466323</v>
          </cell>
          <cell r="Q52">
            <v>173.49999402013958</v>
          </cell>
          <cell r="R52">
            <v>176.99927657738135</v>
          </cell>
          <cell r="S52">
            <v>176.99927657738135</v>
          </cell>
          <cell r="T52">
            <v>180.56913538152489</v>
          </cell>
          <cell r="U52">
            <v>184.2109938691018</v>
          </cell>
          <cell r="V52">
            <v>187.92630418561683</v>
          </cell>
          <cell r="W52">
            <v>191.71654776457225</v>
          </cell>
          <cell r="X52">
            <v>195.58323591817125</v>
          </cell>
          <cell r="Y52">
            <v>199.52791043993471</v>
          </cell>
          <cell r="Z52">
            <v>203.55214421947196</v>
          </cell>
          <cell r="AA52">
            <v>207.657541869651</v>
          </cell>
          <cell r="AC52">
            <v>2026</v>
          </cell>
        </row>
        <row r="53">
          <cell r="G53">
            <v>3321.8683622562421</v>
          </cell>
          <cell r="H53">
            <v>3388.8663819573108</v>
          </cell>
          <cell r="I53">
            <v>3457.2156697263326</v>
          </cell>
          <cell r="J53">
            <v>3526.9434789866145</v>
          </cell>
          <cell r="K53">
            <v>3598.0776128296557</v>
          </cell>
          <cell r="L53">
            <v>3670.6464351012883</v>
          </cell>
          <cell r="M53">
            <v>3744.6788817114043</v>
          </cell>
          <cell r="N53">
            <v>3820.2044721717903</v>
          </cell>
          <cell r="O53">
            <v>3897.2533213666547</v>
          </cell>
          <cell r="P53">
            <v>3975.8561515605716</v>
          </cell>
          <cell r="Q53">
            <v>4056.0443046485966</v>
          </cell>
          <cell r="R53">
            <v>4137.8497546534491</v>
          </cell>
          <cell r="S53">
            <v>4137.8497546534491</v>
          </cell>
          <cell r="T53">
            <v>4221.3051204747599</v>
          </cell>
          <cell r="U53">
            <v>4306.4436788954463</v>
          </cell>
          <cell r="V53">
            <v>4393.2993778504206</v>
          </cell>
          <cell r="W53">
            <v>4481.9068499628893</v>
          </cell>
          <cell r="X53">
            <v>4572.3014263536925</v>
          </cell>
          <cell r="Y53">
            <v>4664.5191507291402</v>
          </cell>
          <cell r="Z53">
            <v>4758.5967937529886</v>
          </cell>
          <cell r="AA53">
            <v>4854.5718677082859</v>
          </cell>
          <cell r="AC53">
            <v>2027</v>
          </cell>
        </row>
        <row r="54">
          <cell r="AC54">
            <v>2028</v>
          </cell>
        </row>
        <row r="55">
          <cell r="G55">
            <v>3.1576695458709527</v>
          </cell>
          <cell r="H55">
            <v>3.2213558763852763</v>
          </cell>
          <cell r="I55">
            <v>3.2863266822493657</v>
          </cell>
          <cell r="J55">
            <v>3.3526078697591393</v>
          </cell>
          <cell r="K55">
            <v>3.420225867708798</v>
          </cell>
          <cell r="L55">
            <v>3.4892076379289811</v>
          </cell>
          <cell r="M55">
            <v>3.5595806860374566</v>
          </cell>
          <cell r="N55">
            <v>3.6313730724066446</v>
          </cell>
          <cell r="O55">
            <v>3.7046134233523333</v>
          </cell>
          <cell r="P55">
            <v>3.7793309425480719</v>
          </cell>
          <cell r="Q55">
            <v>3.8555554226697684</v>
          </cell>
          <cell r="R55">
            <v>3.9333172572751414</v>
          </cell>
          <cell r="S55">
            <v>3.9333172572751414</v>
          </cell>
          <cell r="T55">
            <v>4.012647452922776</v>
          </cell>
          <cell r="U55">
            <v>4.093577641535596</v>
          </cell>
          <cell r="V55">
            <v>4.1761400930137071</v>
          </cell>
          <cell r="W55">
            <v>4.2603677281016052</v>
          </cell>
          <cell r="X55">
            <v>4.3462941315149166</v>
          </cell>
          <cell r="Y55">
            <v>4.4339535653318825</v>
          </cell>
          <cell r="Z55">
            <v>4.523380982654932</v>
          </cell>
          <cell r="AA55">
            <v>4.6146120415478</v>
          </cell>
          <cell r="AC55">
            <v>2029</v>
          </cell>
        </row>
        <row r="56">
          <cell r="AC56">
            <v>2030</v>
          </cell>
        </row>
        <row r="57">
          <cell r="G57">
            <v>787.3122734371575</v>
          </cell>
          <cell r="H57">
            <v>803.19139851206228</v>
          </cell>
          <cell r="I57">
            <v>819.39078610750857</v>
          </cell>
          <cell r="J57">
            <v>835.91689552661217</v>
          </cell>
          <cell r="K57">
            <v>852.77631634872694</v>
          </cell>
          <cell r="L57">
            <v>869.97577105695939</v>
          </cell>
          <cell r="M57">
            <v>887.52211771867246</v>
          </cell>
          <cell r="N57">
            <v>905.42235272005678</v>
          </cell>
          <cell r="O57">
            <v>923.68361355584841</v>
          </cell>
          <cell r="P57">
            <v>942.31318167531924</v>
          </cell>
          <cell r="Q57">
            <v>961.31848538566226</v>
          </cell>
          <cell r="R57">
            <v>980.70710281393519</v>
          </cell>
          <cell r="S57">
            <v>980.70710281393519</v>
          </cell>
          <cell r="T57">
            <v>1000.4867649287454</v>
          </cell>
          <cell r="U57">
            <v>1020.6653586228751</v>
          </cell>
          <cell r="V57">
            <v>1041.2509298580844</v>
          </cell>
          <cell r="W57">
            <v>1062.2516868733337</v>
          </cell>
          <cell r="X57">
            <v>1083.6760034577194</v>
          </cell>
          <cell r="Y57">
            <v>1105.532422289416</v>
          </cell>
          <cell r="Z57">
            <v>1127.8296583419631</v>
          </cell>
          <cell r="AA57">
            <v>1150.5766023592516</v>
          </cell>
          <cell r="AC57">
            <v>2031</v>
          </cell>
        </row>
        <row r="58">
          <cell r="G58">
            <v>2316.676890153989</v>
          </cell>
          <cell r="H58">
            <v>2363.4014279746643</v>
          </cell>
          <cell r="I58">
            <v>2411.0683425436182</v>
          </cell>
          <cell r="J58">
            <v>2459.696640446622</v>
          </cell>
          <cell r="K58">
            <v>2509.3057116090213</v>
          </cell>
          <cell r="L58">
            <v>2559.9153370272293</v>
          </cell>
          <cell r="M58">
            <v>2611.5456966561474</v>
          </cell>
          <cell r="N58">
            <v>2664.217377455675</v>
          </cell>
          <cell r="O58">
            <v>2717.9513815994951</v>
          </cell>
          <cell r="P58">
            <v>2772.7691348494354</v>
          </cell>
          <cell r="Q58">
            <v>2828.6924950987204</v>
          </cell>
          <cell r="R58">
            <v>2885.7437610875286</v>
          </cell>
          <cell r="S58">
            <v>2885.7437610875286</v>
          </cell>
          <cell r="T58">
            <v>2943.9456812943431</v>
          </cell>
          <cell r="U58">
            <v>3003.3214630066154</v>
          </cell>
          <cell r="V58">
            <v>3063.89478157439</v>
          </cell>
          <cell r="W58">
            <v>3125.6897898505445</v>
          </cell>
          <cell r="X58">
            <v>3188.7311278214443</v>
          </cell>
          <cell r="Y58">
            <v>3253.0439324318245</v>
          </cell>
          <cell r="Z58">
            <v>3318.6538476078354</v>
          </cell>
          <cell r="AA58">
            <v>3385.587034482236</v>
          </cell>
          <cell r="AC58">
            <v>2032</v>
          </cell>
        </row>
        <row r="59">
          <cell r="AA59">
            <v>30.764080276985336</v>
          </cell>
          <cell r="AC59">
            <v>2033</v>
          </cell>
        </row>
        <row r="60">
          <cell r="AA60">
            <v>3.0764080276985335</v>
          </cell>
          <cell r="AC60">
            <v>2034</v>
          </cell>
        </row>
        <row r="61">
          <cell r="AC61">
            <v>2035</v>
          </cell>
        </row>
        <row r="62">
          <cell r="AC62">
            <v>2036</v>
          </cell>
        </row>
        <row r="63">
          <cell r="AC63">
            <v>2037</v>
          </cell>
        </row>
        <row r="64">
          <cell r="AC64">
            <v>2038</v>
          </cell>
        </row>
        <row r="65">
          <cell r="AC65">
            <v>2039</v>
          </cell>
        </row>
        <row r="66">
          <cell r="AC66">
            <v>2040</v>
          </cell>
        </row>
        <row r="67">
          <cell r="AC67">
            <v>2041</v>
          </cell>
        </row>
        <row r="68">
          <cell r="AC68">
            <v>2042</v>
          </cell>
        </row>
        <row r="69">
          <cell r="AC69">
            <v>2043</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IKO SARASVATY PRABOWO" id="{01D4A26D-EE0C-414D-A667-4E250A5244F3}" userId="S::20513239@students.uii.ac.id::87fdcc95-2c16-4ed7-bd44-5de38e2f3d18"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17" dT="2023-04-04T14:20:59.74" personId="{01D4A26D-EE0C-414D-A667-4E250A5244F3}" id="{7BCB970B-51B3-4B5D-B235-6974884DDB9E}">
    <text>Tidak akan direncanakan secara detail</text>
  </threadedComment>
</ThreadedComments>
</file>

<file path=xl/threadedComments/threadedComment2.xml><?xml version="1.0" encoding="utf-8"?>
<ThreadedComments xmlns="http://schemas.microsoft.com/office/spreadsheetml/2018/threadedcomments" xmlns:x="http://schemas.openxmlformats.org/spreadsheetml/2006/main">
  <threadedComment ref="B36" dT="2023-04-25T14:41:40.20" personId="{01D4A26D-EE0C-414D-A667-4E250A5244F3}" id="{F92E6BEC-8ED6-4838-8361-82CD8E852447}">
    <text>To maintain aerobic conditions, air should be supplied at this rate</text>
  </threadedComment>
</ThreadedComments>
</file>

<file path=xl/threadedComments/threadedComment3.xml><?xml version="1.0" encoding="utf-8"?>
<ThreadedComments xmlns="http://schemas.microsoft.com/office/spreadsheetml/2018/threadedcomments" xmlns:x="http://schemas.openxmlformats.org/spreadsheetml/2006/main">
  <threadedComment ref="B32" dT="2023-04-26T06:35:05.45" personId="{01D4A26D-EE0C-414D-A667-4E250A5244F3}" id="{0984C86A-5D4B-46C2-9189-EB6E7AF44ED9}">
    <text xml:space="preserve">The channel depth is the depth at maximum flow plus the freeboard
</text>
  </threadedComment>
</ThreadedComments>
</file>

<file path=xl/threadedComments/threadedComment4.xml><?xml version="1.0" encoding="utf-8"?>
<ThreadedComments xmlns="http://schemas.microsoft.com/office/spreadsheetml/2018/threadedcomments" xmlns:x="http://schemas.openxmlformats.org/spreadsheetml/2006/main">
  <threadedComment ref="F50" dT="2023-06-14T06:04:55.48" personId="{01D4A26D-EE0C-414D-A667-4E250A5244F3}" id="{2650E6B5-941F-44CC-9FD7-CE4361CBEB16}">
    <text>Terlalu panjang?</text>
  </threadedComment>
</ThreadedComments>
</file>

<file path=xl/threadedComments/threadedComment5.xml><?xml version="1.0" encoding="utf-8"?>
<ThreadedComments xmlns="http://schemas.microsoft.com/office/spreadsheetml/2018/threadedcomments" xmlns:x="http://schemas.openxmlformats.org/spreadsheetml/2006/main">
  <threadedComment ref="F92" dT="2023-06-14T06:04:55.48" personId="{01D4A26D-EE0C-414D-A667-4E250A5244F3}" id="{82E29CAC-ACD2-4F96-AEB0-2188C00B0FF1}">
    <text>Terlalu panjang?</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 Id="rId4" Type="http://schemas.microsoft.com/office/2017/10/relationships/threadedComment" Target="../threadedComments/threadedComment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4.xml"/><Relationship Id="rId4" Type="http://schemas.microsoft.com/office/2017/10/relationships/threadedComment" Target="../threadedComments/threadedComment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2A96-56C1-4991-9BFD-6141765E35CA}">
  <dimension ref="A1"/>
  <sheetViews>
    <sheetView workbookViewId="0">
      <selection activeCell="D21" sqref="D21"/>
    </sheetView>
  </sheetViews>
  <sheetFormatPr defaultRowHeight="14.4" x14ac:dyDescent="0.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C0881-7128-4F96-B970-1F418E4E6283}">
  <dimension ref="B3:U284"/>
  <sheetViews>
    <sheetView tabSelected="1" topLeftCell="K1" workbookViewId="0">
      <selection activeCell="U18" sqref="U18"/>
    </sheetView>
  </sheetViews>
  <sheetFormatPr defaultRowHeight="14.4" x14ac:dyDescent="0.3"/>
  <cols>
    <col min="2" max="2" width="20.5546875" customWidth="1"/>
    <col min="3" max="3" width="9.21875" customWidth="1"/>
    <col min="4" max="4" width="18.21875" customWidth="1"/>
    <col min="5" max="5" width="14.6640625" customWidth="1"/>
    <col min="6" max="7" width="15.109375" customWidth="1"/>
    <col min="8" max="8" width="21.44140625" customWidth="1"/>
    <col min="9" max="9" width="15.5546875" customWidth="1"/>
    <col min="10" max="10" width="19.109375" style="48" customWidth="1"/>
    <col min="13" max="13" width="10.33203125" customWidth="1"/>
    <col min="14" max="14" width="13.5546875" customWidth="1"/>
    <col min="15" max="15" width="10.33203125" customWidth="1"/>
    <col min="16" max="16" width="11.21875" customWidth="1"/>
    <col min="17" max="17" width="13.109375" customWidth="1"/>
    <col min="18" max="18" width="16.5546875" customWidth="1"/>
    <col min="19" max="19" width="17.109375" customWidth="1"/>
    <col min="20" max="20" width="18" customWidth="1"/>
  </cols>
  <sheetData>
    <row r="3" spans="2:10" x14ac:dyDescent="0.3">
      <c r="B3" s="343" t="s">
        <v>185</v>
      </c>
      <c r="C3" s="342" t="s">
        <v>235</v>
      </c>
      <c r="D3" s="342" t="s">
        <v>236</v>
      </c>
      <c r="E3" s="342" t="s">
        <v>237</v>
      </c>
      <c r="F3" s="342" t="s">
        <v>241</v>
      </c>
      <c r="G3" s="345" t="s">
        <v>240</v>
      </c>
      <c r="H3" s="342" t="s">
        <v>238</v>
      </c>
      <c r="I3" s="342" t="s">
        <v>239</v>
      </c>
      <c r="J3" s="342" t="s">
        <v>250</v>
      </c>
    </row>
    <row r="4" spans="2:10" ht="14.4" customHeight="1" x14ac:dyDescent="0.3">
      <c r="B4" s="344"/>
      <c r="C4" s="342"/>
      <c r="D4" s="342"/>
      <c r="E4" s="342"/>
      <c r="F4" s="342"/>
      <c r="G4" s="346"/>
      <c r="H4" s="342"/>
      <c r="I4" s="342"/>
      <c r="J4" s="342"/>
    </row>
    <row r="5" spans="2:10" x14ac:dyDescent="0.3">
      <c r="B5" s="54" t="s">
        <v>187</v>
      </c>
      <c r="C5" s="2"/>
      <c r="D5" s="2"/>
      <c r="E5" s="2"/>
      <c r="F5" s="2"/>
      <c r="G5" s="2"/>
      <c r="H5" s="2"/>
      <c r="I5" s="2"/>
      <c r="J5" s="4"/>
    </row>
    <row r="6" spans="2:10" x14ac:dyDescent="0.3">
      <c r="B6" s="37" t="s">
        <v>188</v>
      </c>
      <c r="C6" s="60">
        <f>'[1]Proyeksi Fasum'!AA40</f>
        <v>267.64749840977242</v>
      </c>
      <c r="D6" s="2">
        <f>15*12</f>
        <v>180</v>
      </c>
      <c r="E6" s="60">
        <f>C6*D6</f>
        <v>48176.549713759036</v>
      </c>
      <c r="F6" s="2">
        <v>40</v>
      </c>
      <c r="G6" s="2" t="s">
        <v>242</v>
      </c>
      <c r="H6" s="5">
        <f>E6*F6</f>
        <v>1927061.9885503615</v>
      </c>
      <c r="I6" s="5">
        <f>H6*80%</f>
        <v>1541649.5908402894</v>
      </c>
      <c r="J6" s="6">
        <f>I6/1000</f>
        <v>1541.6495908402894</v>
      </c>
    </row>
    <row r="7" spans="2:10" x14ac:dyDescent="0.3">
      <c r="B7" s="37" t="s">
        <v>190</v>
      </c>
      <c r="C7" s="60">
        <f>'[1]Proyeksi Fasum'!AA41</f>
        <v>344.55769910223574</v>
      </c>
      <c r="D7" s="2">
        <f>25*12</f>
        <v>300</v>
      </c>
      <c r="E7" s="60">
        <f t="shared" ref="E7:E34" si="0">C7*D7</f>
        <v>103367.30973067072</v>
      </c>
      <c r="F7" s="2">
        <v>40</v>
      </c>
      <c r="G7" s="2" t="s">
        <v>242</v>
      </c>
      <c r="H7" s="5">
        <f t="shared" ref="H7:H13" si="1">E7*F7</f>
        <v>4134692.3892268287</v>
      </c>
      <c r="I7" s="5">
        <f t="shared" ref="I7:I13" si="2">H7*80%</f>
        <v>3307753.9113814631</v>
      </c>
      <c r="J7" s="6">
        <f t="shared" ref="J7:J13" si="3">I7/1000</f>
        <v>3307.7539113814632</v>
      </c>
    </row>
    <row r="8" spans="2:10" x14ac:dyDescent="0.3">
      <c r="B8" s="37" t="s">
        <v>204</v>
      </c>
      <c r="C8" s="60">
        <f>'[1]Proyeksi Fasum'!AA42</f>
        <v>50.760732457025803</v>
      </c>
      <c r="D8" s="2">
        <f>25*12</f>
        <v>300</v>
      </c>
      <c r="E8" s="60">
        <f t="shared" si="0"/>
        <v>15228.21973710774</v>
      </c>
      <c r="F8" s="2">
        <v>40</v>
      </c>
      <c r="G8" s="2" t="s">
        <v>242</v>
      </c>
      <c r="H8" s="5">
        <f t="shared" si="1"/>
        <v>609128.78948430961</v>
      </c>
      <c r="I8" s="5">
        <f t="shared" si="2"/>
        <v>487303.03158744774</v>
      </c>
      <c r="J8" s="6">
        <f t="shared" si="3"/>
        <v>487.30303158744772</v>
      </c>
    </row>
    <row r="9" spans="2:10" x14ac:dyDescent="0.3">
      <c r="B9" s="37" t="s">
        <v>205</v>
      </c>
      <c r="C9" s="60">
        <f>'[1]Proyeksi Fasum'!AA43</f>
        <v>130.74734117718768</v>
      </c>
      <c r="D9" s="2">
        <f>30*18</f>
        <v>540</v>
      </c>
      <c r="E9" s="60">
        <f t="shared" si="0"/>
        <v>70603.564235681348</v>
      </c>
      <c r="F9" s="2">
        <v>50</v>
      </c>
      <c r="G9" s="2" t="s">
        <v>242</v>
      </c>
      <c r="H9" s="5">
        <f t="shared" si="1"/>
        <v>3530178.2117840676</v>
      </c>
      <c r="I9" s="5">
        <f t="shared" si="2"/>
        <v>2824142.5694272541</v>
      </c>
      <c r="J9" s="6">
        <f t="shared" si="3"/>
        <v>2824.1425694272543</v>
      </c>
    </row>
    <row r="10" spans="2:10" x14ac:dyDescent="0.3">
      <c r="B10" s="37" t="s">
        <v>206</v>
      </c>
      <c r="C10" s="60">
        <f>'[1]Proyeksi Fasum'!AA44</f>
        <v>75.371996678614067</v>
      </c>
      <c r="D10" s="2">
        <f>30*18</f>
        <v>540</v>
      </c>
      <c r="E10" s="60">
        <f t="shared" si="0"/>
        <v>40700.878206451598</v>
      </c>
      <c r="F10" s="2">
        <v>50</v>
      </c>
      <c r="G10" s="2" t="s">
        <v>242</v>
      </c>
      <c r="H10" s="5">
        <f t="shared" si="1"/>
        <v>2035043.91032258</v>
      </c>
      <c r="I10" s="5">
        <f t="shared" si="2"/>
        <v>1628035.1282580642</v>
      </c>
      <c r="J10" s="6">
        <f t="shared" si="3"/>
        <v>1628.0351282580641</v>
      </c>
    </row>
    <row r="11" spans="2:10" x14ac:dyDescent="0.3">
      <c r="B11" s="37" t="s">
        <v>191</v>
      </c>
      <c r="C11" s="60">
        <f>'[1]Proyeksi Fasum'!AA45</f>
        <v>50.760732457025803</v>
      </c>
      <c r="D11" s="2">
        <f>30*24</f>
        <v>720</v>
      </c>
      <c r="E11" s="60">
        <f t="shared" si="0"/>
        <v>36547.727369058579</v>
      </c>
      <c r="F11" s="2">
        <v>80</v>
      </c>
      <c r="G11" s="2" t="s">
        <v>242</v>
      </c>
      <c r="H11" s="5">
        <f t="shared" si="1"/>
        <v>2923818.1895246864</v>
      </c>
      <c r="I11" s="5">
        <f t="shared" si="2"/>
        <v>2339054.5516197491</v>
      </c>
      <c r="J11" s="6">
        <f t="shared" si="3"/>
        <v>2339.054551619749</v>
      </c>
    </row>
    <row r="12" spans="2:10" x14ac:dyDescent="0.3">
      <c r="B12" s="37" t="s">
        <v>192</v>
      </c>
      <c r="C12" s="60">
        <f>'[1]Proyeksi Fasum'!AA46</f>
        <v>93.830444844805271</v>
      </c>
      <c r="D12" s="2">
        <f>30*24</f>
        <v>720</v>
      </c>
      <c r="E12" s="60">
        <f t="shared" si="0"/>
        <v>67557.920288259789</v>
      </c>
      <c r="F12" s="2">
        <v>80</v>
      </c>
      <c r="G12" s="2" t="s">
        <v>242</v>
      </c>
      <c r="H12" s="5">
        <f t="shared" si="1"/>
        <v>5404633.6230607834</v>
      </c>
      <c r="I12" s="5">
        <f t="shared" si="2"/>
        <v>4323706.8984486265</v>
      </c>
      <c r="J12" s="6">
        <f t="shared" si="3"/>
        <v>4323.7068984486268</v>
      </c>
    </row>
    <row r="13" spans="2:10" x14ac:dyDescent="0.3">
      <c r="B13" s="37" t="s">
        <v>207</v>
      </c>
      <c r="C13" s="60">
        <f>'[1]Proyeksi Fasum'!AA47</f>
        <v>24.611264221588268</v>
      </c>
      <c r="D13" s="2">
        <f>30*24</f>
        <v>720</v>
      </c>
      <c r="E13" s="60">
        <f t="shared" si="0"/>
        <v>17720.110239543552</v>
      </c>
      <c r="F13" s="2">
        <v>80</v>
      </c>
      <c r="G13" s="2" t="s">
        <v>242</v>
      </c>
      <c r="H13" s="5">
        <f t="shared" si="1"/>
        <v>1417608.819163484</v>
      </c>
      <c r="I13" s="5">
        <f t="shared" si="2"/>
        <v>1134087.0553307873</v>
      </c>
      <c r="J13" s="6">
        <f t="shared" si="3"/>
        <v>1134.0870553307873</v>
      </c>
    </row>
    <row r="14" spans="2:10" x14ac:dyDescent="0.3">
      <c r="B14" s="37" t="s">
        <v>193</v>
      </c>
      <c r="C14" s="60"/>
      <c r="D14" s="2"/>
      <c r="E14" s="60"/>
      <c r="F14" s="2"/>
      <c r="G14" s="2"/>
      <c r="H14" s="5"/>
      <c r="I14" s="5"/>
      <c r="J14" s="6"/>
    </row>
    <row r="15" spans="2:10" x14ac:dyDescent="0.3">
      <c r="B15" s="343" t="s">
        <v>185</v>
      </c>
      <c r="C15" s="342" t="s">
        <v>235</v>
      </c>
      <c r="D15" s="342" t="s">
        <v>246</v>
      </c>
      <c r="E15" s="342" t="s">
        <v>247</v>
      </c>
      <c r="F15" s="342" t="s">
        <v>241</v>
      </c>
      <c r="G15" s="345" t="s">
        <v>240</v>
      </c>
      <c r="H15" s="347" t="s">
        <v>238</v>
      </c>
      <c r="I15" s="347" t="s">
        <v>239</v>
      </c>
      <c r="J15" s="347" t="s">
        <v>250</v>
      </c>
    </row>
    <row r="16" spans="2:10" x14ac:dyDescent="0.3">
      <c r="B16" s="344"/>
      <c r="C16" s="342"/>
      <c r="D16" s="342"/>
      <c r="E16" s="342"/>
      <c r="F16" s="342"/>
      <c r="G16" s="346"/>
      <c r="H16" s="347"/>
      <c r="I16" s="347"/>
      <c r="J16" s="347"/>
    </row>
    <row r="17" spans="2:21" x14ac:dyDescent="0.3">
      <c r="B17" s="55" t="s">
        <v>194</v>
      </c>
      <c r="C17" s="60"/>
      <c r="D17" s="2"/>
      <c r="E17" s="60"/>
      <c r="F17" s="2"/>
      <c r="G17" s="2"/>
      <c r="H17" s="5"/>
      <c r="I17" s="5"/>
      <c r="J17" s="6"/>
    </row>
    <row r="18" spans="2:21" x14ac:dyDescent="0.3">
      <c r="B18" s="37" t="s">
        <v>195</v>
      </c>
      <c r="C18" s="60">
        <f>'[1]Proyeksi Fasum'!AA50</f>
        <v>16.920244152341933</v>
      </c>
      <c r="D18" s="2">
        <f>8.5*100</f>
        <v>850</v>
      </c>
      <c r="E18" s="60">
        <f t="shared" si="0"/>
        <v>14382.207529490643</v>
      </c>
      <c r="F18" s="2">
        <v>5</v>
      </c>
      <c r="G18" s="2" t="s">
        <v>243</v>
      </c>
      <c r="H18" s="5">
        <f>D18*E18*F18</f>
        <v>61124382.000335231</v>
      </c>
      <c r="I18" s="5">
        <f>H18*80%</f>
        <v>48899505.600268185</v>
      </c>
      <c r="J18" s="6">
        <f>I18/1000</f>
        <v>48899.505600268189</v>
      </c>
      <c r="U18" s="50" t="s">
        <v>218</v>
      </c>
    </row>
    <row r="19" spans="2:21" x14ac:dyDescent="0.3">
      <c r="B19" s="37" t="s">
        <v>208</v>
      </c>
      <c r="C19" s="60">
        <f>'[1]Proyeksi Fasum'!AA51</f>
        <v>12462.52892020676</v>
      </c>
      <c r="D19" s="2">
        <v>25</v>
      </c>
      <c r="E19" s="60">
        <f t="shared" si="0"/>
        <v>311563.22300516901</v>
      </c>
      <c r="F19" s="2">
        <v>5</v>
      </c>
      <c r="G19" s="2" t="s">
        <v>243</v>
      </c>
      <c r="H19" s="5">
        <f t="shared" ref="H19:H21" si="4">D19*E19*F19</f>
        <v>38945402.875646122</v>
      </c>
      <c r="I19" s="5">
        <f t="shared" ref="I19:I21" si="5">H19*80%</f>
        <v>31156322.3005169</v>
      </c>
      <c r="J19" s="6">
        <f t="shared" ref="J19:J21" si="6">I19/1000</f>
        <v>31156.322300516898</v>
      </c>
      <c r="L19" s="50" t="s">
        <v>251</v>
      </c>
    </row>
    <row r="20" spans="2:21" x14ac:dyDescent="0.3">
      <c r="B20" s="37" t="s">
        <v>210</v>
      </c>
      <c r="C20" s="60">
        <f>'[1]Proyeksi Fasum'!AA52</f>
        <v>207.657541869651</v>
      </c>
      <c r="D20" s="2">
        <v>150</v>
      </c>
      <c r="E20" s="60">
        <f t="shared" si="0"/>
        <v>31148.631280447651</v>
      </c>
      <c r="F20" s="2">
        <v>5</v>
      </c>
      <c r="G20" s="2" t="s">
        <v>243</v>
      </c>
      <c r="H20" s="5">
        <f t="shared" si="4"/>
        <v>23361473.460335735</v>
      </c>
      <c r="I20" s="5">
        <f t="shared" si="5"/>
        <v>18689178.768268589</v>
      </c>
      <c r="J20" s="6">
        <f t="shared" si="6"/>
        <v>18689.17876826859</v>
      </c>
    </row>
    <row r="21" spans="2:21" x14ac:dyDescent="0.3">
      <c r="B21" s="37" t="s">
        <v>209</v>
      </c>
      <c r="C21" s="60">
        <f>'[1]Proyeksi Fasum'!AA53</f>
        <v>4854.5718677082859</v>
      </c>
      <c r="D21" s="2">
        <v>25</v>
      </c>
      <c r="E21" s="60">
        <f t="shared" si="0"/>
        <v>121364.29669270715</v>
      </c>
      <c r="F21" s="2">
        <v>5</v>
      </c>
      <c r="G21" s="2" t="s">
        <v>243</v>
      </c>
      <c r="H21" s="5">
        <f t="shared" si="4"/>
        <v>15170537.086588394</v>
      </c>
      <c r="I21" s="5">
        <f t="shared" si="5"/>
        <v>12136429.669270717</v>
      </c>
      <c r="J21" s="6">
        <f t="shared" si="6"/>
        <v>12136.429669270716</v>
      </c>
    </row>
    <row r="22" spans="2:21" x14ac:dyDescent="0.3">
      <c r="B22" s="343" t="s">
        <v>185</v>
      </c>
      <c r="C22" s="342" t="s">
        <v>235</v>
      </c>
      <c r="D22" s="342" t="s">
        <v>236</v>
      </c>
      <c r="E22" s="342" t="s">
        <v>237</v>
      </c>
      <c r="F22" s="342" t="s">
        <v>241</v>
      </c>
      <c r="G22" s="345" t="s">
        <v>240</v>
      </c>
      <c r="H22" s="347" t="s">
        <v>238</v>
      </c>
      <c r="I22" s="347" t="s">
        <v>239</v>
      </c>
      <c r="J22" s="347" t="s">
        <v>250</v>
      </c>
    </row>
    <row r="23" spans="2:21" x14ac:dyDescent="0.3">
      <c r="B23" s="344"/>
      <c r="C23" s="342"/>
      <c r="D23" s="342"/>
      <c r="E23" s="342"/>
      <c r="F23" s="342"/>
      <c r="G23" s="346"/>
      <c r="H23" s="347"/>
      <c r="I23" s="347"/>
      <c r="J23" s="347"/>
    </row>
    <row r="24" spans="2:21" x14ac:dyDescent="0.3">
      <c r="B24" s="55" t="s">
        <v>196</v>
      </c>
      <c r="C24" s="60"/>
      <c r="D24" s="2"/>
      <c r="E24" s="60"/>
      <c r="F24" s="2"/>
      <c r="G24" s="2"/>
      <c r="H24" s="5"/>
      <c r="I24" s="5"/>
      <c r="J24" s="6"/>
    </row>
    <row r="25" spans="2:21" x14ac:dyDescent="0.3">
      <c r="B25" s="37" t="s">
        <v>211</v>
      </c>
      <c r="C25" s="60">
        <f>'[1]Proyeksi Fasum'!AA55</f>
        <v>4.6146120415478</v>
      </c>
      <c r="D25" s="2">
        <v>250</v>
      </c>
      <c r="E25" s="60">
        <f t="shared" si="0"/>
        <v>1153.65301038695</v>
      </c>
      <c r="F25" s="2">
        <v>500</v>
      </c>
      <c r="G25" s="2" t="s">
        <v>244</v>
      </c>
      <c r="H25" s="5">
        <f>E25*F25</f>
        <v>576826.50519347494</v>
      </c>
      <c r="I25" s="5">
        <f>H25*80%</f>
        <v>461461.20415477996</v>
      </c>
      <c r="J25" s="6">
        <f>I25/1000</f>
        <v>461.46120415477998</v>
      </c>
    </row>
    <row r="26" spans="2:21" x14ac:dyDescent="0.3">
      <c r="B26" s="343" t="s">
        <v>185</v>
      </c>
      <c r="C26" s="342" t="s">
        <v>235</v>
      </c>
      <c r="D26" s="342" t="s">
        <v>248</v>
      </c>
      <c r="E26" s="342" t="s">
        <v>249</v>
      </c>
      <c r="F26" s="342" t="s">
        <v>241</v>
      </c>
      <c r="G26" s="345" t="s">
        <v>240</v>
      </c>
      <c r="H26" s="347" t="s">
        <v>238</v>
      </c>
      <c r="I26" s="347" t="s">
        <v>239</v>
      </c>
      <c r="J26" s="347" t="s">
        <v>250</v>
      </c>
    </row>
    <row r="27" spans="2:21" x14ac:dyDescent="0.3">
      <c r="B27" s="344"/>
      <c r="C27" s="342"/>
      <c r="D27" s="342"/>
      <c r="E27" s="342"/>
      <c r="F27" s="342"/>
      <c r="G27" s="346"/>
      <c r="H27" s="347"/>
      <c r="I27" s="347"/>
      <c r="J27" s="347"/>
    </row>
    <row r="28" spans="2:21" x14ac:dyDescent="0.3">
      <c r="B28" s="57" t="s">
        <v>197</v>
      </c>
      <c r="C28" s="60"/>
      <c r="D28" s="2"/>
      <c r="E28" s="60"/>
      <c r="F28" s="2"/>
      <c r="G28" s="2"/>
      <c r="H28" s="5"/>
      <c r="I28" s="5"/>
      <c r="J28" s="6"/>
    </row>
    <row r="29" spans="2:21" x14ac:dyDescent="0.3">
      <c r="B29" s="56" t="s">
        <v>198</v>
      </c>
      <c r="C29" s="60">
        <f>'[1]Proyeksi Fasum'!AA57</f>
        <v>1150.5766023592516</v>
      </c>
      <c r="D29" s="2">
        <v>1</v>
      </c>
      <c r="E29" s="60">
        <f t="shared" si="0"/>
        <v>1150.5766023592516</v>
      </c>
      <c r="F29" s="2">
        <v>3000</v>
      </c>
      <c r="G29" s="2" t="s">
        <v>245</v>
      </c>
      <c r="H29" s="5">
        <f>E29*F29</f>
        <v>3451729.8070777548</v>
      </c>
      <c r="I29" s="5">
        <f>H29*80%</f>
        <v>2761383.8456622041</v>
      </c>
      <c r="J29" s="6">
        <f>I29/1000</f>
        <v>2761.3838456622043</v>
      </c>
    </row>
    <row r="30" spans="2:21" x14ac:dyDescent="0.3">
      <c r="B30" s="56" t="s">
        <v>212</v>
      </c>
      <c r="C30" s="60">
        <f>'[1]Proyeksi Fasum'!AA58</f>
        <v>3385.587034482236</v>
      </c>
      <c r="D30" s="2">
        <v>1</v>
      </c>
      <c r="E30" s="60">
        <f t="shared" si="0"/>
        <v>3385.587034482236</v>
      </c>
      <c r="F30" s="2">
        <v>3000</v>
      </c>
      <c r="G30" s="2" t="s">
        <v>245</v>
      </c>
      <c r="H30" s="5">
        <f>E30*F30</f>
        <v>10156761.103446709</v>
      </c>
      <c r="I30" s="5">
        <f>H30*80%</f>
        <v>8125408.8827573676</v>
      </c>
      <c r="J30" s="6">
        <f>I30/1000</f>
        <v>8125.4088827573678</v>
      </c>
    </row>
    <row r="31" spans="2:21" x14ac:dyDescent="0.3">
      <c r="B31" s="343" t="s">
        <v>185</v>
      </c>
      <c r="C31" s="342" t="s">
        <v>235</v>
      </c>
      <c r="D31" s="342" t="s">
        <v>236</v>
      </c>
      <c r="E31" s="342" t="s">
        <v>237</v>
      </c>
      <c r="F31" s="342" t="s">
        <v>241</v>
      </c>
      <c r="G31" s="345" t="s">
        <v>240</v>
      </c>
      <c r="H31" s="347" t="s">
        <v>238</v>
      </c>
      <c r="I31" s="347" t="s">
        <v>239</v>
      </c>
      <c r="J31" s="347" t="s">
        <v>250</v>
      </c>
    </row>
    <row r="32" spans="2:21" x14ac:dyDescent="0.3">
      <c r="B32" s="344"/>
      <c r="C32" s="342"/>
      <c r="D32" s="342"/>
      <c r="E32" s="342"/>
      <c r="F32" s="342"/>
      <c r="G32" s="346"/>
      <c r="H32" s="347"/>
      <c r="I32" s="347"/>
      <c r="J32" s="347"/>
    </row>
    <row r="33" spans="2:20" x14ac:dyDescent="0.3">
      <c r="B33" s="56" t="s">
        <v>199</v>
      </c>
      <c r="C33" s="60">
        <f>'[1]Proyeksi Fasum'!AA59</f>
        <v>30.764080276985336</v>
      </c>
      <c r="D33" s="2">
        <v>300</v>
      </c>
      <c r="E33" s="60">
        <f t="shared" si="0"/>
        <v>9229.2240830956016</v>
      </c>
      <c r="F33" s="2">
        <v>5</v>
      </c>
      <c r="G33" s="2" t="s">
        <v>242</v>
      </c>
      <c r="H33" s="5">
        <f>E33*F33</f>
        <v>46146.120415478006</v>
      </c>
      <c r="I33" s="5">
        <f>H33*80%</f>
        <v>36916.896332382406</v>
      </c>
      <c r="J33" s="6">
        <f>I33/1000</f>
        <v>36.916896332382407</v>
      </c>
    </row>
    <row r="34" spans="2:20" x14ac:dyDescent="0.3">
      <c r="B34" s="56" t="s">
        <v>213</v>
      </c>
      <c r="C34" s="60">
        <f>'[1]Proyeksi Fasum'!AA60</f>
        <v>3.0764080276985335</v>
      </c>
      <c r="D34" s="2">
        <v>200</v>
      </c>
      <c r="E34" s="60">
        <f t="shared" si="0"/>
        <v>615.28160553970667</v>
      </c>
      <c r="F34" s="2">
        <v>5</v>
      </c>
      <c r="G34" s="2" t="s">
        <v>242</v>
      </c>
      <c r="H34" s="5">
        <f>E34*F34</f>
        <v>3076.4080276985333</v>
      </c>
      <c r="I34" s="5">
        <f>H34*80%</f>
        <v>2461.1264221588267</v>
      </c>
      <c r="J34" s="6">
        <f>I34/1000</f>
        <v>2.4611264221588267</v>
      </c>
    </row>
    <row r="36" spans="2:20" x14ac:dyDescent="0.3">
      <c r="B36" s="283" t="s">
        <v>188</v>
      </c>
      <c r="C36" s="283"/>
      <c r="D36" s="283"/>
      <c r="E36" s="283"/>
      <c r="F36" s="283"/>
      <c r="G36" s="283"/>
      <c r="H36" s="283"/>
      <c r="I36" s="283"/>
      <c r="J36" s="283"/>
      <c r="L36" s="283" t="s">
        <v>267</v>
      </c>
      <c r="M36" s="283"/>
      <c r="N36" s="283"/>
      <c r="O36" s="283"/>
      <c r="P36" s="283"/>
      <c r="Q36" s="283"/>
      <c r="R36" s="283"/>
      <c r="S36" s="283"/>
      <c r="T36" s="283"/>
    </row>
    <row r="37" spans="2:20" x14ac:dyDescent="0.3">
      <c r="B37" s="348" t="s">
        <v>98</v>
      </c>
      <c r="C37" s="342" t="s">
        <v>235</v>
      </c>
      <c r="D37" s="342" t="s">
        <v>236</v>
      </c>
      <c r="E37" s="342" t="s">
        <v>237</v>
      </c>
      <c r="F37" s="342" t="s">
        <v>241</v>
      </c>
      <c r="G37" s="342" t="s">
        <v>240</v>
      </c>
      <c r="H37" s="342" t="s">
        <v>238</v>
      </c>
      <c r="I37" s="342" t="s">
        <v>239</v>
      </c>
      <c r="J37" s="342" t="s">
        <v>250</v>
      </c>
      <c r="L37" s="343" t="s">
        <v>98</v>
      </c>
      <c r="M37" s="342" t="s">
        <v>235</v>
      </c>
      <c r="N37" s="342" t="s">
        <v>246</v>
      </c>
      <c r="O37" s="342" t="s">
        <v>247</v>
      </c>
      <c r="P37" s="342" t="s">
        <v>241</v>
      </c>
      <c r="Q37" s="345" t="s">
        <v>240</v>
      </c>
      <c r="R37" s="347" t="s">
        <v>238</v>
      </c>
      <c r="S37" s="347" t="s">
        <v>239</v>
      </c>
      <c r="T37" s="347" t="s">
        <v>250</v>
      </c>
    </row>
    <row r="38" spans="2:20" x14ac:dyDescent="0.3">
      <c r="B38" s="348"/>
      <c r="C38" s="342"/>
      <c r="D38" s="342"/>
      <c r="E38" s="342"/>
      <c r="F38" s="342"/>
      <c r="G38" s="342"/>
      <c r="H38" s="342"/>
      <c r="I38" s="342"/>
      <c r="J38" s="342"/>
      <c r="L38" s="344"/>
      <c r="M38" s="342"/>
      <c r="N38" s="342"/>
      <c r="O38" s="342"/>
      <c r="P38" s="342"/>
      <c r="Q38" s="346"/>
      <c r="R38" s="347"/>
      <c r="S38" s="347"/>
      <c r="T38" s="347"/>
    </row>
    <row r="39" spans="2:20" x14ac:dyDescent="0.3">
      <c r="B39" s="60">
        <f>'[1]Debit AL Domestik'!B14</f>
        <v>2023</v>
      </c>
      <c r="C39" s="60">
        <f>'[1]Proyeksi Fasum'!G40</f>
        <v>183.14483366051525</v>
      </c>
      <c r="D39" s="60">
        <v>180</v>
      </c>
      <c r="E39" s="60">
        <f>D39*C39</f>
        <v>32966.070058892743</v>
      </c>
      <c r="F39" s="5">
        <v>40</v>
      </c>
      <c r="G39" s="5" t="s">
        <v>242</v>
      </c>
      <c r="H39" s="5">
        <f>F39*E39</f>
        <v>1318642.8023557097</v>
      </c>
      <c r="I39" s="5">
        <f>80%*H39</f>
        <v>1054914.2418845678</v>
      </c>
      <c r="J39" s="5">
        <f>I39/1000</f>
        <v>1054.9142418845677</v>
      </c>
      <c r="L39" s="60">
        <f>'[1]Proyeksi Fasum'!AC49</f>
        <v>2023</v>
      </c>
      <c r="M39" s="60">
        <f>'[1]Proyeksi Fasum'!G52</f>
        <v>142.09512956419286</v>
      </c>
      <c r="N39" s="60">
        <f>D20</f>
        <v>150</v>
      </c>
      <c r="O39" s="60">
        <f>N39*M39</f>
        <v>21314.269434628928</v>
      </c>
      <c r="P39" s="60">
        <f>$F$18</f>
        <v>5</v>
      </c>
      <c r="Q39" s="5" t="str">
        <f>$G$18</f>
        <v xml:space="preserve"> (L/m2)</v>
      </c>
      <c r="R39" s="5">
        <f>P39*O39</f>
        <v>106571.34717314463</v>
      </c>
      <c r="S39" s="5">
        <f>80%*R39</f>
        <v>85257.077738515713</v>
      </c>
      <c r="T39" s="5">
        <f>S39/1000</f>
        <v>85.257077738515719</v>
      </c>
    </row>
    <row r="40" spans="2:20" x14ac:dyDescent="0.3">
      <c r="B40" s="60">
        <f>'[1]Debit AL Domestik'!B15</f>
        <v>2024</v>
      </c>
      <c r="C40" s="60">
        <f>'[1]Proyeksi Fasum'!H40</f>
        <v>186.83864083034604</v>
      </c>
      <c r="D40" s="60">
        <v>180</v>
      </c>
      <c r="E40" s="60">
        <f t="shared" ref="E40:E59" si="7">D40*C40</f>
        <v>33630.955349462289</v>
      </c>
      <c r="F40" s="5">
        <v>40</v>
      </c>
      <c r="G40" s="5" t="s">
        <v>242</v>
      </c>
      <c r="H40" s="5">
        <f t="shared" ref="H40:H59" si="8">F40*E40</f>
        <v>1345238.2139784915</v>
      </c>
      <c r="I40" s="5">
        <f t="shared" ref="I40:I59" si="9">80%*H40</f>
        <v>1076190.5711827932</v>
      </c>
      <c r="J40" s="5">
        <f t="shared" ref="J40:J59" si="10">I40/1000</f>
        <v>1076.1905711827933</v>
      </c>
      <c r="L40" s="60">
        <f>'[1]Proyeksi Fasum'!AC50</f>
        <v>2024</v>
      </c>
      <c r="M40" s="60">
        <f>'[1]Proyeksi Fasum'!H52</f>
        <v>144.96101443733744</v>
      </c>
      <c r="N40" s="60">
        <v>150</v>
      </c>
      <c r="O40" s="60">
        <f>N40*M40</f>
        <v>21744.152165600615</v>
      </c>
      <c r="P40" s="60">
        <f t="shared" ref="P40:P59" si="11">$F$18</f>
        <v>5</v>
      </c>
      <c r="Q40" s="5" t="str">
        <f t="shared" ref="Q40:Q59" si="12">$G$18</f>
        <v xml:space="preserve"> (L/m2)</v>
      </c>
      <c r="R40" s="5">
        <f t="shared" ref="R40:R59" si="13">P40*O40</f>
        <v>108720.76082800308</v>
      </c>
      <c r="S40" s="5">
        <f t="shared" ref="S40:S59" si="14">80%*R40</f>
        <v>86976.608662402476</v>
      </c>
      <c r="T40" s="5">
        <f t="shared" ref="T40:T59" si="15">S40/1000</f>
        <v>86.976608662402469</v>
      </c>
    </row>
    <row r="41" spans="2:20" x14ac:dyDescent="0.3">
      <c r="B41" s="60">
        <f>'[1]Debit AL Domestik'!B16</f>
        <v>2025</v>
      </c>
      <c r="C41" s="60">
        <f>'[1]Proyeksi Fasum'!I40</f>
        <v>190.60694757046321</v>
      </c>
      <c r="D41" s="60">
        <v>180</v>
      </c>
      <c r="E41" s="60">
        <f t="shared" si="7"/>
        <v>34309.250562683374</v>
      </c>
      <c r="F41" s="5">
        <v>40</v>
      </c>
      <c r="G41" s="5" t="s">
        <v>242</v>
      </c>
      <c r="H41" s="5">
        <f t="shared" si="8"/>
        <v>1372370.0225073351</v>
      </c>
      <c r="I41" s="5">
        <f t="shared" si="9"/>
        <v>1097896.0180058682</v>
      </c>
      <c r="J41" s="5">
        <f t="shared" si="10"/>
        <v>1097.8960180058682</v>
      </c>
      <c r="L41" s="60">
        <f>'[1]Proyeksi Fasum'!AC51</f>
        <v>2025</v>
      </c>
      <c r="M41" s="60">
        <f>'[1]Proyeksi Fasum'!I52</f>
        <v>147.88470070122145</v>
      </c>
      <c r="N41" s="60">
        <v>150</v>
      </c>
      <c r="O41" s="60">
        <f t="shared" ref="O41:O59" si="16">N41*M41</f>
        <v>22182.705105183217</v>
      </c>
      <c r="P41" s="60">
        <f t="shared" si="11"/>
        <v>5</v>
      </c>
      <c r="Q41" s="5" t="str">
        <f t="shared" si="12"/>
        <v xml:space="preserve"> (L/m2)</v>
      </c>
      <c r="R41" s="5">
        <f t="shared" si="13"/>
        <v>110913.52552591608</v>
      </c>
      <c r="S41" s="5">
        <f t="shared" si="14"/>
        <v>88730.820420732867</v>
      </c>
      <c r="T41" s="5">
        <f t="shared" si="15"/>
        <v>88.730820420732869</v>
      </c>
    </row>
    <row r="42" spans="2:20" x14ac:dyDescent="0.3">
      <c r="B42" s="60">
        <f>'[1]Debit AL Domestik'!B17</f>
        <v>2026</v>
      </c>
      <c r="C42" s="60">
        <f>'[1]Proyeksi Fasum'!J40</f>
        <v>194.4512564460301</v>
      </c>
      <c r="D42" s="60">
        <v>180</v>
      </c>
      <c r="E42" s="60">
        <f t="shared" si="7"/>
        <v>35001.22616028542</v>
      </c>
      <c r="F42" s="5">
        <v>40</v>
      </c>
      <c r="G42" s="5" t="s">
        <v>242</v>
      </c>
      <c r="H42" s="5">
        <f t="shared" si="8"/>
        <v>1400049.0464114167</v>
      </c>
      <c r="I42" s="5">
        <f t="shared" si="9"/>
        <v>1120039.2371291334</v>
      </c>
      <c r="J42" s="5">
        <f t="shared" si="10"/>
        <v>1120.0392371291334</v>
      </c>
      <c r="L42" s="60">
        <f>'[1]Proyeksi Fasum'!AC52</f>
        <v>2026</v>
      </c>
      <c r="M42" s="60">
        <f>'[1]Proyeksi Fasum'!J52</f>
        <v>150.86735413916128</v>
      </c>
      <c r="N42" s="60">
        <v>150</v>
      </c>
      <c r="O42" s="60">
        <f t="shared" si="16"/>
        <v>22630.103120874192</v>
      </c>
      <c r="P42" s="60">
        <f t="shared" si="11"/>
        <v>5</v>
      </c>
      <c r="Q42" s="5" t="str">
        <f t="shared" si="12"/>
        <v xml:space="preserve"> (L/m2)</v>
      </c>
      <c r="R42" s="5">
        <f t="shared" si="13"/>
        <v>113150.51560437096</v>
      </c>
      <c r="S42" s="5">
        <f t="shared" si="14"/>
        <v>90520.412483496766</v>
      </c>
      <c r="T42" s="5">
        <f t="shared" si="15"/>
        <v>90.52041248349677</v>
      </c>
    </row>
    <row r="43" spans="2:20" x14ac:dyDescent="0.3">
      <c r="B43" s="60">
        <f>'[1]Debit AL Domestik'!B18</f>
        <v>2027</v>
      </c>
      <c r="C43" s="60">
        <f>'[1]Proyeksi Fasum'!K40</f>
        <v>198.37310032711028</v>
      </c>
      <c r="D43" s="60">
        <v>180</v>
      </c>
      <c r="E43" s="60">
        <f t="shared" si="7"/>
        <v>35707.158058879853</v>
      </c>
      <c r="F43" s="5">
        <v>40</v>
      </c>
      <c r="G43" s="5" t="s">
        <v>242</v>
      </c>
      <c r="H43" s="5">
        <f t="shared" si="8"/>
        <v>1428286.322355194</v>
      </c>
      <c r="I43" s="5">
        <f t="shared" si="9"/>
        <v>1142629.0578841553</v>
      </c>
      <c r="J43" s="5">
        <f t="shared" si="10"/>
        <v>1142.6290578841554</v>
      </c>
      <c r="L43" s="60">
        <f>'[1]Proyeksi Fasum'!AC53</f>
        <v>2027</v>
      </c>
      <c r="M43" s="60">
        <f>'[1]Proyeksi Fasum'!K52</f>
        <v>153.91016404689591</v>
      </c>
      <c r="N43" s="60">
        <v>150</v>
      </c>
      <c r="O43" s="60">
        <f t="shared" si="16"/>
        <v>23086.524607034386</v>
      </c>
      <c r="P43" s="60">
        <f t="shared" si="11"/>
        <v>5</v>
      </c>
      <c r="Q43" s="5" t="str">
        <f t="shared" si="12"/>
        <v xml:space="preserve"> (L/m2)</v>
      </c>
      <c r="R43" s="5">
        <f t="shared" si="13"/>
        <v>115432.62303517193</v>
      </c>
      <c r="S43" s="5">
        <f t="shared" si="14"/>
        <v>92346.098428137542</v>
      </c>
      <c r="T43" s="5">
        <f t="shared" si="15"/>
        <v>92.346098428137537</v>
      </c>
    </row>
    <row r="44" spans="2:20" x14ac:dyDescent="0.3">
      <c r="B44" s="60">
        <f>'[1]Debit AL Domestik'!B19</f>
        <v>2028</v>
      </c>
      <c r="C44" s="60">
        <f>'[1]Proyeksi Fasum'!L40</f>
        <v>202.37404299988091</v>
      </c>
      <c r="D44" s="60">
        <v>180</v>
      </c>
      <c r="E44" s="60">
        <f t="shared" si="7"/>
        <v>36427.327739978566</v>
      </c>
      <c r="F44" s="5">
        <v>40</v>
      </c>
      <c r="G44" s="5" t="s">
        <v>242</v>
      </c>
      <c r="H44" s="5">
        <f t="shared" si="8"/>
        <v>1457093.1095991426</v>
      </c>
      <c r="I44" s="5">
        <f t="shared" si="9"/>
        <v>1165674.4876793141</v>
      </c>
      <c r="J44" s="5">
        <f t="shared" si="10"/>
        <v>1165.6744876793141</v>
      </c>
      <c r="L44" s="60">
        <f>'[1]Proyeksi Fasum'!AC54</f>
        <v>2028</v>
      </c>
      <c r="M44" s="60">
        <f>'[1]Proyeksi Fasum'!L52</f>
        <v>157.01434370680417</v>
      </c>
      <c r="N44" s="60">
        <v>150</v>
      </c>
      <c r="O44" s="60">
        <f t="shared" si="16"/>
        <v>23552.151556020624</v>
      </c>
      <c r="P44" s="60">
        <f t="shared" si="11"/>
        <v>5</v>
      </c>
      <c r="Q44" s="5" t="str">
        <f t="shared" si="12"/>
        <v xml:space="preserve"> (L/m2)</v>
      </c>
      <c r="R44" s="5">
        <f t="shared" si="13"/>
        <v>117760.75778010313</v>
      </c>
      <c r="S44" s="5">
        <f t="shared" si="14"/>
        <v>94208.606224082512</v>
      </c>
      <c r="T44" s="5">
        <f t="shared" si="15"/>
        <v>94.208606224082516</v>
      </c>
    </row>
    <row r="45" spans="2:20" x14ac:dyDescent="0.3">
      <c r="B45" s="60">
        <f>'[1]Debit AL Domestik'!B20</f>
        <v>2029</v>
      </c>
      <c r="C45" s="60">
        <f>'[1]Proyeksi Fasum'!M40</f>
        <v>206.45567979017247</v>
      </c>
      <c r="D45" s="60">
        <v>180</v>
      </c>
      <c r="E45" s="60">
        <f t="shared" si="7"/>
        <v>37162.022362231044</v>
      </c>
      <c r="F45" s="5">
        <v>40</v>
      </c>
      <c r="G45" s="5" t="s">
        <v>242</v>
      </c>
      <c r="H45" s="5">
        <f t="shared" si="8"/>
        <v>1486480.8944892418</v>
      </c>
      <c r="I45" s="5">
        <f t="shared" si="9"/>
        <v>1189184.7155913934</v>
      </c>
      <c r="J45" s="5">
        <f t="shared" si="10"/>
        <v>1189.1847155913933</v>
      </c>
      <c r="L45" s="60">
        <f>'[1]Proyeksi Fasum'!AC55</f>
        <v>2029</v>
      </c>
      <c r="M45" s="60">
        <f>'[1]Proyeksi Fasum'!M52</f>
        <v>160.18113087168553</v>
      </c>
      <c r="N45" s="60">
        <v>150</v>
      </c>
      <c r="O45" s="60">
        <f t="shared" si="16"/>
        <v>24027.169630752829</v>
      </c>
      <c r="P45" s="60">
        <f t="shared" si="11"/>
        <v>5</v>
      </c>
      <c r="Q45" s="5" t="str">
        <f t="shared" si="12"/>
        <v xml:space="preserve"> (L/m2)</v>
      </c>
      <c r="R45" s="5">
        <f t="shared" si="13"/>
        <v>120135.84815376415</v>
      </c>
      <c r="S45" s="5">
        <f t="shared" si="14"/>
        <v>96108.678523011331</v>
      </c>
      <c r="T45" s="5">
        <f t="shared" si="15"/>
        <v>96.108678523011335</v>
      </c>
    </row>
    <row r="46" spans="2:20" x14ac:dyDescent="0.3">
      <c r="B46" s="60">
        <f>'[1]Debit AL Domestik'!B21</f>
        <v>2030</v>
      </c>
      <c r="C46" s="60">
        <f>'[1]Proyeksi Fasum'!N40</f>
        <v>210.61963819958538</v>
      </c>
      <c r="D46" s="60">
        <v>180</v>
      </c>
      <c r="E46" s="60">
        <f t="shared" si="7"/>
        <v>37911.534875925368</v>
      </c>
      <c r="F46" s="5">
        <v>40</v>
      </c>
      <c r="G46" s="5" t="s">
        <v>242</v>
      </c>
      <c r="H46" s="5">
        <f t="shared" si="8"/>
        <v>1516461.3950370147</v>
      </c>
      <c r="I46" s="5">
        <f t="shared" si="9"/>
        <v>1213169.1160296118</v>
      </c>
      <c r="J46" s="5">
        <f t="shared" si="10"/>
        <v>1213.1691160296118</v>
      </c>
      <c r="L46" s="60">
        <f>'[1]Proyeksi Fasum'!AC56</f>
        <v>2030</v>
      </c>
      <c r="M46" s="60">
        <f>'[1]Proyeksi Fasum'!N52</f>
        <v>163.411788258299</v>
      </c>
      <c r="N46" s="60">
        <v>150</v>
      </c>
      <c r="O46" s="60">
        <f t="shared" si="16"/>
        <v>24511.768238744851</v>
      </c>
      <c r="P46" s="60">
        <f t="shared" si="11"/>
        <v>5</v>
      </c>
      <c r="Q46" s="5" t="str">
        <f t="shared" si="12"/>
        <v xml:space="preserve"> (L/m2)</v>
      </c>
      <c r="R46" s="5">
        <f t="shared" si="13"/>
        <v>122558.84119372425</v>
      </c>
      <c r="S46" s="5">
        <f t="shared" si="14"/>
        <v>98047.072954979405</v>
      </c>
      <c r="T46" s="5">
        <f t="shared" si="15"/>
        <v>98.047072954979399</v>
      </c>
    </row>
    <row r="47" spans="2:20" x14ac:dyDescent="0.3">
      <c r="B47" s="60">
        <f>'[1]Debit AL Domestik'!B22</f>
        <v>2031</v>
      </c>
      <c r="C47" s="60">
        <f>'[1]Proyeksi Fasum'!O40</f>
        <v>214.86757855443534</v>
      </c>
      <c r="D47" s="60">
        <v>180</v>
      </c>
      <c r="E47" s="60">
        <f t="shared" si="7"/>
        <v>38676.164139798362</v>
      </c>
      <c r="F47" s="5">
        <v>40</v>
      </c>
      <c r="G47" s="5" t="s">
        <v>242</v>
      </c>
      <c r="H47" s="5">
        <f t="shared" si="8"/>
        <v>1547046.5655919346</v>
      </c>
      <c r="I47" s="5">
        <f t="shared" si="9"/>
        <v>1237637.2524735478</v>
      </c>
      <c r="J47" s="5">
        <f t="shared" si="10"/>
        <v>1237.6372524735477</v>
      </c>
      <c r="L47" s="60">
        <f>'[1]Proyeksi Fasum'!AC57</f>
        <v>2031</v>
      </c>
      <c r="M47" s="60">
        <f>'[1]Proyeksi Fasum'!O52</f>
        <v>166.707604050855</v>
      </c>
      <c r="N47" s="60">
        <v>150</v>
      </c>
      <c r="O47" s="60">
        <f t="shared" si="16"/>
        <v>25006.140607628251</v>
      </c>
      <c r="P47" s="60">
        <f t="shared" si="11"/>
        <v>5</v>
      </c>
      <c r="Q47" s="5" t="str">
        <f t="shared" si="12"/>
        <v xml:space="preserve"> (L/m2)</v>
      </c>
      <c r="R47" s="5">
        <f t="shared" si="13"/>
        <v>125030.70303814125</v>
      </c>
      <c r="S47" s="5">
        <f t="shared" si="14"/>
        <v>100024.562430513</v>
      </c>
      <c r="T47" s="5">
        <f t="shared" si="15"/>
        <v>100.024562430513</v>
      </c>
    </row>
    <row r="48" spans="2:20" x14ac:dyDescent="0.3">
      <c r="B48" s="60">
        <f>'[1]Debit AL Domestik'!B23</f>
        <v>2032</v>
      </c>
      <c r="C48" s="60">
        <f>'[1]Proyeksi Fasum'!P40</f>
        <v>219.20119466778817</v>
      </c>
      <c r="D48" s="60">
        <v>180</v>
      </c>
      <c r="E48" s="60">
        <f t="shared" si="7"/>
        <v>39456.215040201874</v>
      </c>
      <c r="F48" s="5">
        <v>40</v>
      </c>
      <c r="G48" s="5" t="s">
        <v>242</v>
      </c>
      <c r="H48" s="5">
        <f t="shared" si="8"/>
        <v>1578248.601608075</v>
      </c>
      <c r="I48" s="5">
        <f t="shared" si="9"/>
        <v>1262598.88128646</v>
      </c>
      <c r="J48" s="5">
        <f t="shared" si="10"/>
        <v>1262.59888128646</v>
      </c>
      <c r="L48" s="60">
        <f>'[1]Proyeksi Fasum'!AC58</f>
        <v>2032</v>
      </c>
      <c r="M48" s="60">
        <f>'[1]Proyeksi Fasum'!P52</f>
        <v>170.06989241466323</v>
      </c>
      <c r="N48" s="60">
        <v>150</v>
      </c>
      <c r="O48" s="60">
        <f t="shared" si="16"/>
        <v>25510.483862199486</v>
      </c>
      <c r="P48" s="60">
        <f t="shared" si="11"/>
        <v>5</v>
      </c>
      <c r="Q48" s="5" t="str">
        <f t="shared" si="12"/>
        <v xml:space="preserve"> (L/m2)</v>
      </c>
      <c r="R48" s="5">
        <f t="shared" si="13"/>
        <v>127552.41931099743</v>
      </c>
      <c r="S48" s="5">
        <f t="shared" si="14"/>
        <v>102041.93544879794</v>
      </c>
      <c r="T48" s="5">
        <f t="shared" si="15"/>
        <v>102.04193544879794</v>
      </c>
    </row>
    <row r="49" spans="2:20" x14ac:dyDescent="0.3">
      <c r="B49" s="60">
        <f>'[1]Debit AL Domestik'!B24</f>
        <v>2033</v>
      </c>
      <c r="C49" s="60">
        <f>'[1]Proyeksi Fasum'!Q40</f>
        <v>223.62221451484658</v>
      </c>
      <c r="D49" s="60">
        <v>180</v>
      </c>
      <c r="E49" s="60">
        <f t="shared" si="7"/>
        <v>40251.998612672382</v>
      </c>
      <c r="F49" s="5">
        <v>40</v>
      </c>
      <c r="G49" s="5" t="s">
        <v>242</v>
      </c>
      <c r="H49" s="5">
        <f t="shared" si="8"/>
        <v>1610079.9445068953</v>
      </c>
      <c r="I49" s="5">
        <f t="shared" si="9"/>
        <v>1288063.9556055162</v>
      </c>
      <c r="J49" s="5">
        <f t="shared" si="10"/>
        <v>1288.0639556055162</v>
      </c>
      <c r="L49" s="60">
        <f>'[1]Proyeksi Fasum'!AC59</f>
        <v>2033</v>
      </c>
      <c r="M49" s="60">
        <f>'[1]Proyeksi Fasum'!Q52</f>
        <v>173.49999402013958</v>
      </c>
      <c r="N49" s="60">
        <v>150</v>
      </c>
      <c r="O49" s="60">
        <f t="shared" si="16"/>
        <v>26024.999103020938</v>
      </c>
      <c r="P49" s="60">
        <f t="shared" si="11"/>
        <v>5</v>
      </c>
      <c r="Q49" s="5" t="str">
        <f t="shared" si="12"/>
        <v xml:space="preserve"> (L/m2)</v>
      </c>
      <c r="R49" s="5">
        <f t="shared" si="13"/>
        <v>130124.99551510469</v>
      </c>
      <c r="S49" s="5">
        <f t="shared" si="14"/>
        <v>104099.99641208375</v>
      </c>
      <c r="T49" s="5">
        <f t="shared" si="15"/>
        <v>104.09999641208375</v>
      </c>
    </row>
    <row r="50" spans="2:20" x14ac:dyDescent="0.3">
      <c r="B50" s="60">
        <f>'[1]Debit AL Domestik'!B25</f>
        <v>2034</v>
      </c>
      <c r="C50" s="60">
        <f>'[1]Proyeksi Fasum'!R40</f>
        <v>228.13240092195821</v>
      </c>
      <c r="D50" s="60">
        <v>180</v>
      </c>
      <c r="E50" s="60">
        <f t="shared" si="7"/>
        <v>41063.832165952481</v>
      </c>
      <c r="F50" s="5">
        <v>40</v>
      </c>
      <c r="G50" s="5" t="s">
        <v>242</v>
      </c>
      <c r="H50" s="5">
        <f t="shared" si="8"/>
        <v>1642553.2866380992</v>
      </c>
      <c r="I50" s="5">
        <f t="shared" si="9"/>
        <v>1314042.6293104794</v>
      </c>
      <c r="J50" s="5">
        <f t="shared" si="10"/>
        <v>1314.0426293104795</v>
      </c>
      <c r="L50" s="60">
        <f>'[1]Proyeksi Fasum'!AC60</f>
        <v>2034</v>
      </c>
      <c r="M50" s="60">
        <f>'[1]Proyeksi Fasum'!R52</f>
        <v>176.99927657738135</v>
      </c>
      <c r="N50" s="60">
        <v>150</v>
      </c>
      <c r="O50" s="60">
        <f t="shared" si="16"/>
        <v>26549.891486607201</v>
      </c>
      <c r="P50" s="60">
        <f t="shared" si="11"/>
        <v>5</v>
      </c>
      <c r="Q50" s="5" t="str">
        <f t="shared" si="12"/>
        <v xml:space="preserve"> (L/m2)</v>
      </c>
      <c r="R50" s="5">
        <f t="shared" si="13"/>
        <v>132749.457433036</v>
      </c>
      <c r="S50" s="5">
        <f t="shared" si="14"/>
        <v>106199.5659464288</v>
      </c>
      <c r="T50" s="5">
        <f t="shared" si="15"/>
        <v>106.19956594642881</v>
      </c>
    </row>
    <row r="51" spans="2:20" x14ac:dyDescent="0.3">
      <c r="B51" s="60">
        <f>'[1]Debit AL Domestik'!B26</f>
        <v>2035</v>
      </c>
      <c r="C51" s="60">
        <f>'[1]Proyeksi Fasum'!S40</f>
        <v>228.13240092195821</v>
      </c>
      <c r="D51" s="60">
        <v>180</v>
      </c>
      <c r="E51" s="60">
        <f t="shared" si="7"/>
        <v>41063.832165952481</v>
      </c>
      <c r="F51" s="5">
        <v>40</v>
      </c>
      <c r="G51" s="5" t="s">
        <v>242</v>
      </c>
      <c r="H51" s="5">
        <f t="shared" si="8"/>
        <v>1642553.2866380992</v>
      </c>
      <c r="I51" s="5">
        <f t="shared" si="9"/>
        <v>1314042.6293104794</v>
      </c>
      <c r="J51" s="5">
        <f t="shared" si="10"/>
        <v>1314.0426293104795</v>
      </c>
      <c r="L51" s="60">
        <f>'[1]Proyeksi Fasum'!AC61</f>
        <v>2035</v>
      </c>
      <c r="M51" s="60">
        <f>'[1]Proyeksi Fasum'!S52</f>
        <v>176.99927657738135</v>
      </c>
      <c r="N51" s="60">
        <v>150</v>
      </c>
      <c r="O51" s="60">
        <f t="shared" si="16"/>
        <v>26549.891486607201</v>
      </c>
      <c r="P51" s="60">
        <f t="shared" si="11"/>
        <v>5</v>
      </c>
      <c r="Q51" s="5" t="str">
        <f t="shared" si="12"/>
        <v xml:space="preserve"> (L/m2)</v>
      </c>
      <c r="R51" s="5">
        <f t="shared" si="13"/>
        <v>132749.457433036</v>
      </c>
      <c r="S51" s="5">
        <f t="shared" si="14"/>
        <v>106199.5659464288</v>
      </c>
      <c r="T51" s="5">
        <f t="shared" si="15"/>
        <v>106.19956594642881</v>
      </c>
    </row>
    <row r="52" spans="2:20" x14ac:dyDescent="0.3">
      <c r="B52" s="60">
        <f>'[1]Debit AL Domestik'!B27</f>
        <v>2036</v>
      </c>
      <c r="C52" s="60">
        <f>'[1]Proyeksi Fasum'!T40</f>
        <v>232.73355226952097</v>
      </c>
      <c r="D52" s="60">
        <v>180</v>
      </c>
      <c r="E52" s="60">
        <f t="shared" si="7"/>
        <v>41892.039408513774</v>
      </c>
      <c r="F52" s="5">
        <v>40</v>
      </c>
      <c r="G52" s="5" t="s">
        <v>242</v>
      </c>
      <c r="H52" s="5">
        <f t="shared" si="8"/>
        <v>1675681.576340551</v>
      </c>
      <c r="I52" s="5">
        <f t="shared" si="9"/>
        <v>1340545.261072441</v>
      </c>
      <c r="J52" s="5">
        <f t="shared" si="10"/>
        <v>1340.545261072441</v>
      </c>
      <c r="L52" s="60">
        <f>'[1]Proyeksi Fasum'!AC62</f>
        <v>2036</v>
      </c>
      <c r="M52" s="60">
        <f>'[1]Proyeksi Fasum'!T52</f>
        <v>180.56913538152489</v>
      </c>
      <c r="N52" s="60">
        <v>150</v>
      </c>
      <c r="O52" s="60">
        <f t="shared" si="16"/>
        <v>27085.370307228732</v>
      </c>
      <c r="P52" s="60">
        <f t="shared" si="11"/>
        <v>5</v>
      </c>
      <c r="Q52" s="5" t="str">
        <f t="shared" si="12"/>
        <v xml:space="preserve"> (L/m2)</v>
      </c>
      <c r="R52" s="5">
        <f t="shared" si="13"/>
        <v>135426.85153614366</v>
      </c>
      <c r="S52" s="5">
        <f t="shared" si="14"/>
        <v>108341.48122891493</v>
      </c>
      <c r="T52" s="5">
        <f t="shared" si="15"/>
        <v>108.34148122891493</v>
      </c>
    </row>
    <row r="53" spans="2:20" x14ac:dyDescent="0.3">
      <c r="B53" s="60">
        <f>'[1]Debit AL Domestik'!B28</f>
        <v>2037</v>
      </c>
      <c r="C53" s="60">
        <f>'[1]Proyeksi Fasum'!U40</f>
        <v>237.42750320906455</v>
      </c>
      <c r="D53" s="60">
        <v>180</v>
      </c>
      <c r="E53" s="60">
        <f t="shared" si="7"/>
        <v>42736.950577631622</v>
      </c>
      <c r="F53" s="5">
        <v>40</v>
      </c>
      <c r="G53" s="5" t="s">
        <v>242</v>
      </c>
      <c r="H53" s="5">
        <f t="shared" si="8"/>
        <v>1709478.0231052649</v>
      </c>
      <c r="I53" s="5">
        <f t="shared" si="9"/>
        <v>1367582.4184842119</v>
      </c>
      <c r="J53" s="5">
        <f t="shared" si="10"/>
        <v>1367.582418484212</v>
      </c>
      <c r="L53" s="60">
        <f>'[1]Proyeksi Fasum'!AC63</f>
        <v>2037</v>
      </c>
      <c r="M53" s="60">
        <f>'[1]Proyeksi Fasum'!U52</f>
        <v>184.2109938691018</v>
      </c>
      <c r="N53" s="60">
        <v>150</v>
      </c>
      <c r="O53" s="60">
        <f t="shared" si="16"/>
        <v>27631.64908036527</v>
      </c>
      <c r="P53" s="60">
        <f t="shared" si="11"/>
        <v>5</v>
      </c>
      <c r="Q53" s="5" t="str">
        <f t="shared" si="12"/>
        <v xml:space="preserve"> (L/m2)</v>
      </c>
      <c r="R53" s="5">
        <f t="shared" si="13"/>
        <v>138158.24540182634</v>
      </c>
      <c r="S53" s="5">
        <f t="shared" si="14"/>
        <v>110526.59632146108</v>
      </c>
      <c r="T53" s="5">
        <f t="shared" si="15"/>
        <v>110.52659632146108</v>
      </c>
    </row>
    <row r="54" spans="2:20" x14ac:dyDescent="0.3">
      <c r="B54" s="60">
        <f>'[1]Debit AL Domestik'!B29</f>
        <v>2038</v>
      </c>
      <c r="C54" s="60">
        <f>'[1]Proyeksi Fasum'!V40</f>
        <v>242.21612539479503</v>
      </c>
      <c r="D54" s="60">
        <v>180</v>
      </c>
      <c r="E54" s="60">
        <f t="shared" si="7"/>
        <v>43598.902571063103</v>
      </c>
      <c r="F54" s="5">
        <v>40</v>
      </c>
      <c r="G54" s="5" t="s">
        <v>242</v>
      </c>
      <c r="H54" s="5">
        <f t="shared" si="8"/>
        <v>1743956.1028425242</v>
      </c>
      <c r="I54" s="5">
        <f t="shared" si="9"/>
        <v>1395164.8822740195</v>
      </c>
      <c r="J54" s="5">
        <f t="shared" si="10"/>
        <v>1395.1648822740194</v>
      </c>
      <c r="L54" s="60">
        <f>'[1]Proyeksi Fasum'!AC64</f>
        <v>2038</v>
      </c>
      <c r="M54" s="60">
        <f>'[1]Proyeksi Fasum'!V52</f>
        <v>187.92630418561683</v>
      </c>
      <c r="N54" s="60">
        <v>150</v>
      </c>
      <c r="O54" s="60">
        <f t="shared" si="16"/>
        <v>28188.945627842524</v>
      </c>
      <c r="P54" s="60">
        <f t="shared" si="11"/>
        <v>5</v>
      </c>
      <c r="Q54" s="5" t="str">
        <f t="shared" si="12"/>
        <v xml:space="preserve"> (L/m2)</v>
      </c>
      <c r="R54" s="5">
        <f t="shared" si="13"/>
        <v>140944.72813921262</v>
      </c>
      <c r="S54" s="5">
        <f t="shared" si="14"/>
        <v>112755.7825113701</v>
      </c>
      <c r="T54" s="5">
        <f t="shared" si="15"/>
        <v>112.7557825113701</v>
      </c>
    </row>
    <row r="55" spans="2:20" x14ac:dyDescent="0.3">
      <c r="B55" s="60">
        <f>'[1]Debit AL Domestik'!B30</f>
        <v>2039</v>
      </c>
      <c r="C55" s="60">
        <f>'[1]Proyeksi Fasum'!W40</f>
        <v>247.10132822989311</v>
      </c>
      <c r="D55" s="60">
        <v>180</v>
      </c>
      <c r="E55" s="60">
        <f t="shared" si="7"/>
        <v>44478.239081380758</v>
      </c>
      <c r="F55" s="5">
        <v>40</v>
      </c>
      <c r="G55" s="5" t="s">
        <v>242</v>
      </c>
      <c r="H55" s="5">
        <f t="shared" si="8"/>
        <v>1779129.5632552304</v>
      </c>
      <c r="I55" s="5">
        <f t="shared" si="9"/>
        <v>1423303.6506041845</v>
      </c>
      <c r="J55" s="5">
        <f t="shared" si="10"/>
        <v>1423.3036506041844</v>
      </c>
      <c r="L55" s="60">
        <f>'[1]Proyeksi Fasum'!AC65</f>
        <v>2039</v>
      </c>
      <c r="M55" s="60">
        <f>'[1]Proyeksi Fasum'!W52</f>
        <v>191.71654776457225</v>
      </c>
      <c r="N55" s="60">
        <v>150</v>
      </c>
      <c r="O55" s="60">
        <f t="shared" si="16"/>
        <v>28757.48216468584</v>
      </c>
      <c r="P55" s="60">
        <f t="shared" si="11"/>
        <v>5</v>
      </c>
      <c r="Q55" s="5" t="str">
        <f t="shared" si="12"/>
        <v xml:space="preserve"> (L/m2)</v>
      </c>
      <c r="R55" s="5">
        <f t="shared" si="13"/>
        <v>143787.41082342921</v>
      </c>
      <c r="S55" s="5">
        <f t="shared" si="14"/>
        <v>115029.92865874337</v>
      </c>
      <c r="T55" s="5">
        <f t="shared" si="15"/>
        <v>115.02992865874337</v>
      </c>
    </row>
    <row r="56" spans="2:20" x14ac:dyDescent="0.3">
      <c r="B56" s="60">
        <f>'[1]Debit AL Domestik'!B31</f>
        <v>2040</v>
      </c>
      <c r="C56" s="60">
        <f>'[1]Proyeksi Fasum'!X40</f>
        <v>252.08505962786518</v>
      </c>
      <c r="D56" s="60">
        <v>180</v>
      </c>
      <c r="E56" s="60">
        <f t="shared" si="7"/>
        <v>45375.310733015729</v>
      </c>
      <c r="F56" s="5">
        <v>40</v>
      </c>
      <c r="G56" s="5" t="s">
        <v>242</v>
      </c>
      <c r="H56" s="5">
        <f t="shared" si="8"/>
        <v>1815012.4293206292</v>
      </c>
      <c r="I56" s="5">
        <f t="shared" si="9"/>
        <v>1452009.9434565036</v>
      </c>
      <c r="J56" s="5">
        <f t="shared" si="10"/>
        <v>1452.0099434565036</v>
      </c>
      <c r="L56" s="60">
        <f>'[1]Proyeksi Fasum'!AC66</f>
        <v>2040</v>
      </c>
      <c r="M56" s="60">
        <f>'[1]Proyeksi Fasum'!X52</f>
        <v>195.58323591817125</v>
      </c>
      <c r="N56" s="60">
        <v>150</v>
      </c>
      <c r="O56" s="60">
        <f t="shared" si="16"/>
        <v>29337.485387725686</v>
      </c>
      <c r="P56" s="60">
        <f t="shared" si="11"/>
        <v>5</v>
      </c>
      <c r="Q56" s="5" t="str">
        <f t="shared" si="12"/>
        <v xml:space="preserve"> (L/m2)</v>
      </c>
      <c r="R56" s="5">
        <f t="shared" si="13"/>
        <v>146687.42693862843</v>
      </c>
      <c r="S56" s="5">
        <f t="shared" si="14"/>
        <v>117349.94155090275</v>
      </c>
      <c r="T56" s="5">
        <f t="shared" si="15"/>
        <v>117.34994155090274</v>
      </c>
    </row>
    <row r="57" spans="2:20" x14ac:dyDescent="0.3">
      <c r="B57" s="60">
        <f>'[1]Debit AL Domestik'!B32</f>
        <v>2041</v>
      </c>
      <c r="C57" s="60">
        <f>'[1]Proyeksi Fasum'!Y40</f>
        <v>257.16930678924922</v>
      </c>
      <c r="D57" s="60">
        <v>180</v>
      </c>
      <c r="E57" s="60">
        <f t="shared" si="7"/>
        <v>46290.475222064859</v>
      </c>
      <c r="F57" s="5">
        <v>40</v>
      </c>
      <c r="G57" s="5" t="s">
        <v>242</v>
      </c>
      <c r="H57" s="5">
        <f t="shared" si="8"/>
        <v>1851619.0088825943</v>
      </c>
      <c r="I57" s="5">
        <f t="shared" si="9"/>
        <v>1481295.2071060755</v>
      </c>
      <c r="J57" s="5">
        <f t="shared" si="10"/>
        <v>1481.2952071060754</v>
      </c>
      <c r="L57" s="60">
        <f>'[1]Proyeksi Fasum'!AC67</f>
        <v>2041</v>
      </c>
      <c r="M57" s="60">
        <f>'[1]Proyeksi Fasum'!Y52</f>
        <v>199.52791043993471</v>
      </c>
      <c r="N57" s="60">
        <v>150</v>
      </c>
      <c r="O57" s="60">
        <f t="shared" si="16"/>
        <v>29929.186565990207</v>
      </c>
      <c r="P57" s="60">
        <f t="shared" si="11"/>
        <v>5</v>
      </c>
      <c r="Q57" s="5" t="str">
        <f t="shared" si="12"/>
        <v xml:space="preserve"> (L/m2)</v>
      </c>
      <c r="R57" s="5">
        <f t="shared" si="13"/>
        <v>149645.93282995102</v>
      </c>
      <c r="S57" s="5">
        <f t="shared" si="14"/>
        <v>119716.74626396083</v>
      </c>
      <c r="T57" s="5">
        <f t="shared" si="15"/>
        <v>119.71674626396083</v>
      </c>
    </row>
    <row r="58" spans="2:20" x14ac:dyDescent="0.3">
      <c r="B58" s="60">
        <f>'[1]Debit AL Domestik'!B33</f>
        <v>2042</v>
      </c>
      <c r="C58" s="60">
        <f>'[1]Proyeksi Fasum'!Z40</f>
        <v>262.35609699398606</v>
      </c>
      <c r="D58" s="60">
        <v>180</v>
      </c>
      <c r="E58" s="60">
        <f t="shared" si="7"/>
        <v>47224.097458917488</v>
      </c>
      <c r="F58" s="5">
        <v>40</v>
      </c>
      <c r="G58" s="5" t="s">
        <v>242</v>
      </c>
      <c r="H58" s="5">
        <f t="shared" si="8"/>
        <v>1888963.8983566994</v>
      </c>
      <c r="I58" s="5">
        <f t="shared" si="9"/>
        <v>1511171.1186853596</v>
      </c>
      <c r="J58" s="5">
        <f t="shared" si="10"/>
        <v>1511.1711186853595</v>
      </c>
      <c r="L58" s="60">
        <f>'[1]Proyeksi Fasum'!AC68</f>
        <v>2042</v>
      </c>
      <c r="M58" s="60">
        <f>'[1]Proyeksi Fasum'!Z52</f>
        <v>203.55214421947196</v>
      </c>
      <c r="N58" s="60">
        <v>150</v>
      </c>
      <c r="O58" s="60">
        <f t="shared" si="16"/>
        <v>30532.821632920793</v>
      </c>
      <c r="P58" s="60">
        <f t="shared" si="11"/>
        <v>5</v>
      </c>
      <c r="Q58" s="5" t="str">
        <f t="shared" si="12"/>
        <v xml:space="preserve"> (L/m2)</v>
      </c>
      <c r="R58" s="5">
        <f t="shared" si="13"/>
        <v>152664.10816460397</v>
      </c>
      <c r="S58" s="5">
        <f t="shared" si="14"/>
        <v>122131.28653168317</v>
      </c>
      <c r="T58" s="5">
        <f t="shared" si="15"/>
        <v>122.13128653168317</v>
      </c>
    </row>
    <row r="59" spans="2:20" x14ac:dyDescent="0.3">
      <c r="B59" s="60">
        <f>'[1]Debit AL Domestik'!B34</f>
        <v>2043</v>
      </c>
      <c r="C59" s="60">
        <f>'[1]Proyeksi Fasum'!AA40</f>
        <v>267.64749840977242</v>
      </c>
      <c r="D59" s="60">
        <v>180</v>
      </c>
      <c r="E59" s="60">
        <f t="shared" si="7"/>
        <v>48176.549713759036</v>
      </c>
      <c r="F59" s="5">
        <v>40</v>
      </c>
      <c r="G59" s="5" t="s">
        <v>242</v>
      </c>
      <c r="H59" s="5">
        <f t="shared" si="8"/>
        <v>1927061.9885503615</v>
      </c>
      <c r="I59" s="5">
        <f t="shared" si="9"/>
        <v>1541649.5908402894</v>
      </c>
      <c r="J59" s="5">
        <f t="shared" si="10"/>
        <v>1541.6495908402894</v>
      </c>
      <c r="L59" s="60">
        <f>'[1]Proyeksi Fasum'!AC69</f>
        <v>2043</v>
      </c>
      <c r="M59" s="60">
        <f>'[1]Proyeksi Fasum'!AA52</f>
        <v>207.657541869651</v>
      </c>
      <c r="N59" s="60">
        <v>150</v>
      </c>
      <c r="O59" s="60">
        <f t="shared" si="16"/>
        <v>31148.631280447651</v>
      </c>
      <c r="P59" s="60">
        <f t="shared" si="11"/>
        <v>5</v>
      </c>
      <c r="Q59" s="5" t="str">
        <f t="shared" si="12"/>
        <v xml:space="preserve"> (L/m2)</v>
      </c>
      <c r="R59" s="5">
        <f t="shared" si="13"/>
        <v>155743.15640223827</v>
      </c>
      <c r="S59" s="5">
        <f t="shared" si="14"/>
        <v>124594.52512179062</v>
      </c>
      <c r="T59" s="5">
        <f t="shared" si="15"/>
        <v>124.59452512179062</v>
      </c>
    </row>
    <row r="61" spans="2:20" x14ac:dyDescent="0.3">
      <c r="B61" s="283" t="s">
        <v>190</v>
      </c>
      <c r="C61" s="283"/>
      <c r="D61" s="283"/>
      <c r="E61" s="283"/>
      <c r="F61" s="283"/>
      <c r="G61" s="283"/>
      <c r="H61" s="283"/>
      <c r="I61" s="283"/>
      <c r="J61" s="283"/>
      <c r="L61" s="283" t="s">
        <v>268</v>
      </c>
      <c r="M61" s="283"/>
      <c r="N61" s="283"/>
      <c r="O61" s="283"/>
      <c r="P61" s="283"/>
      <c r="Q61" s="283"/>
      <c r="R61" s="283"/>
      <c r="S61" s="283"/>
      <c r="T61" s="283"/>
    </row>
    <row r="62" spans="2:20" x14ac:dyDescent="0.3">
      <c r="B62" s="348" t="s">
        <v>98</v>
      </c>
      <c r="C62" s="342" t="s">
        <v>235</v>
      </c>
      <c r="D62" s="342" t="s">
        <v>236</v>
      </c>
      <c r="E62" s="342" t="s">
        <v>237</v>
      </c>
      <c r="F62" s="342" t="s">
        <v>241</v>
      </c>
      <c r="G62" s="342" t="s">
        <v>240</v>
      </c>
      <c r="H62" s="342" t="s">
        <v>238</v>
      </c>
      <c r="I62" s="342" t="s">
        <v>239</v>
      </c>
      <c r="J62" s="342" t="s">
        <v>250</v>
      </c>
      <c r="L62" s="343" t="s">
        <v>98</v>
      </c>
      <c r="M62" s="342" t="s">
        <v>235</v>
      </c>
      <c r="N62" s="342" t="s">
        <v>246</v>
      </c>
      <c r="O62" s="342" t="s">
        <v>247</v>
      </c>
      <c r="P62" s="342" t="s">
        <v>241</v>
      </c>
      <c r="Q62" s="345" t="s">
        <v>240</v>
      </c>
      <c r="R62" s="347" t="s">
        <v>238</v>
      </c>
      <c r="S62" s="347" t="s">
        <v>239</v>
      </c>
      <c r="T62" s="347" t="s">
        <v>250</v>
      </c>
    </row>
    <row r="63" spans="2:20" x14ac:dyDescent="0.3">
      <c r="B63" s="348"/>
      <c r="C63" s="342"/>
      <c r="D63" s="342"/>
      <c r="E63" s="342"/>
      <c r="F63" s="342"/>
      <c r="G63" s="342"/>
      <c r="H63" s="342"/>
      <c r="I63" s="342"/>
      <c r="J63" s="342"/>
      <c r="L63" s="344"/>
      <c r="M63" s="342"/>
      <c r="N63" s="342"/>
      <c r="O63" s="342"/>
      <c r="P63" s="342"/>
      <c r="Q63" s="346"/>
      <c r="R63" s="347"/>
      <c r="S63" s="347"/>
      <c r="T63" s="347"/>
    </row>
    <row r="64" spans="2:20" x14ac:dyDescent="0.3">
      <c r="B64" s="60">
        <f>'[1]Proyeksi Fasum'!AC49</f>
        <v>2023</v>
      </c>
      <c r="C64" s="60">
        <f>'[1]Proyeksi Fasum'!G41</f>
        <v>235.77265942503112</v>
      </c>
      <c r="D64" s="60">
        <v>300</v>
      </c>
      <c r="E64" s="60">
        <f>D64*C64</f>
        <v>70731.797827509334</v>
      </c>
      <c r="F64" s="60">
        <v>40</v>
      </c>
      <c r="G64" s="5" t="s">
        <v>242</v>
      </c>
      <c r="H64" s="5">
        <f>F64*E64</f>
        <v>2829271.9131003735</v>
      </c>
      <c r="I64" s="5">
        <f>80%*H64</f>
        <v>2263417.5304802987</v>
      </c>
      <c r="J64" s="5">
        <f>I64/1000</f>
        <v>2263.4175304802989</v>
      </c>
      <c r="L64" s="60">
        <f>'[1]Proyeksi Fasum'!AC49</f>
        <v>2023</v>
      </c>
      <c r="M64" s="60">
        <f>'[1]Proyeksi Fasum'!G53</f>
        <v>3321.8683622562421</v>
      </c>
      <c r="N64" s="60">
        <f>D21</f>
        <v>25</v>
      </c>
      <c r="O64" s="60">
        <f>N64*M64</f>
        <v>83046.709056406049</v>
      </c>
      <c r="P64" s="60">
        <f>$F$18</f>
        <v>5</v>
      </c>
      <c r="Q64" s="5" t="str">
        <f>$G$18</f>
        <v xml:space="preserve"> (L/m2)</v>
      </c>
      <c r="R64" s="5">
        <f>P64*O64</f>
        <v>415233.54528203025</v>
      </c>
      <c r="S64" s="5">
        <f>80%*R64</f>
        <v>332186.8362256242</v>
      </c>
      <c r="T64" s="5">
        <f>S64/1000</f>
        <v>332.18683622562418</v>
      </c>
    </row>
    <row r="65" spans="2:20" x14ac:dyDescent="0.3">
      <c r="B65" s="60">
        <f>'[1]Proyeksi Fasum'!AC50</f>
        <v>2024</v>
      </c>
      <c r="C65" s="60">
        <f>'[1]Proyeksi Fasum'!H41</f>
        <v>240.5279054367673</v>
      </c>
      <c r="D65" s="60">
        <v>300</v>
      </c>
      <c r="E65" s="60">
        <f t="shared" ref="E65:E84" si="17">D65*C65</f>
        <v>72158.371631030182</v>
      </c>
      <c r="F65" s="60">
        <v>40</v>
      </c>
      <c r="G65" s="5" t="s">
        <v>242</v>
      </c>
      <c r="H65" s="5">
        <f t="shared" ref="H65:H84" si="18">F65*E65</f>
        <v>2886334.8652412072</v>
      </c>
      <c r="I65" s="5">
        <f t="shared" ref="I65:I84" si="19">80%*H65</f>
        <v>2309067.8921929658</v>
      </c>
      <c r="J65" s="5">
        <f t="shared" ref="J65:J84" si="20">I65/1000</f>
        <v>2309.0678921929657</v>
      </c>
      <c r="L65" s="60">
        <f>'[1]Proyeksi Fasum'!AC50</f>
        <v>2024</v>
      </c>
      <c r="M65" s="60">
        <f>'[1]Proyeksi Fasum'!H53</f>
        <v>3388.8663819573108</v>
      </c>
      <c r="N65" s="60">
        <v>25</v>
      </c>
      <c r="O65" s="60">
        <f>N65*M65</f>
        <v>84721.659548932774</v>
      </c>
      <c r="P65" s="60">
        <f t="shared" ref="P65:P84" si="21">$F$18</f>
        <v>5</v>
      </c>
      <c r="Q65" s="5" t="str">
        <f t="shared" ref="Q65:Q84" si="22">$G$18</f>
        <v xml:space="preserve"> (L/m2)</v>
      </c>
      <c r="R65" s="5">
        <f t="shared" ref="R65:R84" si="23">P65*O65</f>
        <v>423608.2977446639</v>
      </c>
      <c r="S65" s="5">
        <f t="shared" ref="S65:S84" si="24">80%*R65</f>
        <v>338886.63819573115</v>
      </c>
      <c r="T65" s="5">
        <f t="shared" ref="T65:T84" si="25">S65/1000</f>
        <v>338.88663819573117</v>
      </c>
    </row>
    <row r="66" spans="2:20" x14ac:dyDescent="0.3">
      <c r="B66" s="60">
        <f>'[1]Proyeksi Fasum'!AC51</f>
        <v>2025</v>
      </c>
      <c r="C66" s="60">
        <f>'[1]Proyeksi Fasum'!I41</f>
        <v>245.37905894128596</v>
      </c>
      <c r="D66" s="60">
        <v>300</v>
      </c>
      <c r="E66" s="60">
        <f t="shared" si="17"/>
        <v>73613.717682385788</v>
      </c>
      <c r="F66" s="60">
        <v>40</v>
      </c>
      <c r="G66" s="5" t="s">
        <v>242</v>
      </c>
      <c r="H66" s="5">
        <f t="shared" si="18"/>
        <v>2944548.7072954318</v>
      </c>
      <c r="I66" s="5">
        <f t="shared" si="19"/>
        <v>2355638.9658363457</v>
      </c>
      <c r="J66" s="5">
        <f t="shared" si="20"/>
        <v>2355.6389658363455</v>
      </c>
      <c r="L66" s="60">
        <f>'[1]Proyeksi Fasum'!AC51</f>
        <v>2025</v>
      </c>
      <c r="M66" s="60">
        <f>'[1]Proyeksi Fasum'!I53</f>
        <v>3457.2156697263326</v>
      </c>
      <c r="N66" s="60">
        <v>25</v>
      </c>
      <c r="O66" s="60">
        <f t="shared" ref="O66:O84" si="26">N66*M66</f>
        <v>86430.39174315831</v>
      </c>
      <c r="P66" s="60">
        <f t="shared" si="21"/>
        <v>5</v>
      </c>
      <c r="Q66" s="5" t="str">
        <f t="shared" si="22"/>
        <v xml:space="preserve"> (L/m2)</v>
      </c>
      <c r="R66" s="5">
        <f t="shared" si="23"/>
        <v>432151.95871579158</v>
      </c>
      <c r="S66" s="5">
        <f t="shared" si="24"/>
        <v>345721.5669726333</v>
      </c>
      <c r="T66" s="5">
        <f t="shared" si="25"/>
        <v>345.7215669726333</v>
      </c>
    </row>
    <row r="67" spans="2:20" x14ac:dyDescent="0.3">
      <c r="B67" s="60">
        <f>'[1]Proyeksi Fasum'!AC52</f>
        <v>2026</v>
      </c>
      <c r="C67" s="60">
        <f>'[1]Proyeksi Fasum'!J41</f>
        <v>250.32805427534907</v>
      </c>
      <c r="D67" s="60">
        <v>300</v>
      </c>
      <c r="E67" s="60">
        <f t="shared" si="17"/>
        <v>75098.416282604725</v>
      </c>
      <c r="F67" s="60">
        <v>40</v>
      </c>
      <c r="G67" s="5" t="s">
        <v>242</v>
      </c>
      <c r="H67" s="5">
        <f t="shared" si="18"/>
        <v>3003936.6513041891</v>
      </c>
      <c r="I67" s="5">
        <f t="shared" si="19"/>
        <v>2403149.3210433512</v>
      </c>
      <c r="J67" s="5">
        <f t="shared" si="20"/>
        <v>2403.1493210433514</v>
      </c>
      <c r="L67" s="60">
        <f>'[1]Proyeksi Fasum'!AC52</f>
        <v>2026</v>
      </c>
      <c r="M67" s="60">
        <f>'[1]Proyeksi Fasum'!J53</f>
        <v>3526.9434789866145</v>
      </c>
      <c r="N67" s="60">
        <v>25</v>
      </c>
      <c r="O67" s="60">
        <f t="shared" si="26"/>
        <v>88173.586974665363</v>
      </c>
      <c r="P67" s="60">
        <f t="shared" si="21"/>
        <v>5</v>
      </c>
      <c r="Q67" s="5" t="str">
        <f t="shared" si="22"/>
        <v xml:space="preserve"> (L/m2)</v>
      </c>
      <c r="R67" s="5">
        <f t="shared" si="23"/>
        <v>440867.9348733268</v>
      </c>
      <c r="S67" s="5">
        <f t="shared" si="24"/>
        <v>352694.34789866145</v>
      </c>
      <c r="T67" s="5">
        <f t="shared" si="25"/>
        <v>352.69434789866148</v>
      </c>
    </row>
    <row r="68" spans="2:20" x14ac:dyDescent="0.3">
      <c r="B68" s="60">
        <f>'[1]Proyeksi Fasum'!AC53</f>
        <v>2027</v>
      </c>
      <c r="C68" s="60">
        <f>'[1]Proyeksi Fasum'!K41</f>
        <v>255.37686478892357</v>
      </c>
      <c r="D68" s="60">
        <v>300</v>
      </c>
      <c r="E68" s="60">
        <f t="shared" si="17"/>
        <v>76613.059436677067</v>
      </c>
      <c r="F68" s="60">
        <v>40</v>
      </c>
      <c r="G68" s="5" t="s">
        <v>242</v>
      </c>
      <c r="H68" s="5">
        <f t="shared" si="18"/>
        <v>3064522.3774670828</v>
      </c>
      <c r="I68" s="5">
        <f t="shared" si="19"/>
        <v>2451617.9019736662</v>
      </c>
      <c r="J68" s="5">
        <f t="shared" si="20"/>
        <v>2451.617901973666</v>
      </c>
      <c r="L68" s="60">
        <f>'[1]Proyeksi Fasum'!AC53</f>
        <v>2027</v>
      </c>
      <c r="M68" s="60">
        <f>'[1]Proyeksi Fasum'!K53</f>
        <v>3598.0776128296557</v>
      </c>
      <c r="N68" s="60">
        <v>25</v>
      </c>
      <c r="O68" s="60">
        <f t="shared" si="26"/>
        <v>89951.940320741385</v>
      </c>
      <c r="P68" s="60">
        <f t="shared" si="21"/>
        <v>5</v>
      </c>
      <c r="Q68" s="5" t="str">
        <f t="shared" si="22"/>
        <v xml:space="preserve"> (L/m2)</v>
      </c>
      <c r="R68" s="5">
        <f t="shared" si="23"/>
        <v>449759.70160370693</v>
      </c>
      <c r="S68" s="5">
        <f t="shared" si="24"/>
        <v>359807.76128296554</v>
      </c>
      <c r="T68" s="5">
        <f t="shared" si="25"/>
        <v>359.80776128296554</v>
      </c>
    </row>
    <row r="69" spans="2:20" x14ac:dyDescent="0.3">
      <c r="B69" s="60">
        <f>'[1]Proyeksi Fasum'!AC54</f>
        <v>2028</v>
      </c>
      <c r="C69" s="60">
        <f>'[1]Proyeksi Fasum'!L41</f>
        <v>260.52750363203063</v>
      </c>
      <c r="D69" s="60">
        <v>300</v>
      </c>
      <c r="E69" s="60">
        <f t="shared" si="17"/>
        <v>78158.251089609184</v>
      </c>
      <c r="F69" s="60">
        <v>40</v>
      </c>
      <c r="G69" s="5" t="s">
        <v>242</v>
      </c>
      <c r="H69" s="5">
        <f t="shared" si="18"/>
        <v>3126330.0435843673</v>
      </c>
      <c r="I69" s="5">
        <f t="shared" si="19"/>
        <v>2501064.0348674939</v>
      </c>
      <c r="J69" s="5">
        <f t="shared" si="20"/>
        <v>2501.0640348674938</v>
      </c>
      <c r="L69" s="60">
        <f>'[1]Proyeksi Fasum'!AC54</f>
        <v>2028</v>
      </c>
      <c r="M69" s="60">
        <f>'[1]Proyeksi Fasum'!L53</f>
        <v>3670.6464351012883</v>
      </c>
      <c r="N69" s="60">
        <v>25</v>
      </c>
      <c r="O69" s="60">
        <f t="shared" si="26"/>
        <v>91766.160877532209</v>
      </c>
      <c r="P69" s="60">
        <f t="shared" si="21"/>
        <v>5</v>
      </c>
      <c r="Q69" s="5" t="str">
        <f t="shared" si="22"/>
        <v xml:space="preserve"> (L/m2)</v>
      </c>
      <c r="R69" s="5">
        <f t="shared" si="23"/>
        <v>458830.80438766105</v>
      </c>
      <c r="S69" s="5">
        <f t="shared" si="24"/>
        <v>367064.64351012884</v>
      </c>
      <c r="T69" s="5">
        <f t="shared" si="25"/>
        <v>367.06464351012886</v>
      </c>
    </row>
    <row r="70" spans="2:20" x14ac:dyDescent="0.3">
      <c r="B70" s="60">
        <f>'[1]Proyeksi Fasum'!AC55</f>
        <v>2029</v>
      </c>
      <c r="C70" s="60">
        <f>'[1]Proyeksi Fasum'!M41</f>
        <v>265.78202455746339</v>
      </c>
      <c r="D70" s="60">
        <v>300</v>
      </c>
      <c r="E70" s="60">
        <f t="shared" si="17"/>
        <v>79734.607367239019</v>
      </c>
      <c r="F70" s="60">
        <v>40</v>
      </c>
      <c r="G70" s="5" t="s">
        <v>242</v>
      </c>
      <c r="H70" s="5">
        <f t="shared" si="18"/>
        <v>3189384.2946895608</v>
      </c>
      <c r="I70" s="5">
        <f t="shared" si="19"/>
        <v>2551507.4357516486</v>
      </c>
      <c r="J70" s="5">
        <f t="shared" si="20"/>
        <v>2551.5074357516487</v>
      </c>
      <c r="L70" s="60">
        <f>'[1]Proyeksi Fasum'!AC55</f>
        <v>2029</v>
      </c>
      <c r="M70" s="60">
        <f>'[1]Proyeksi Fasum'!M53</f>
        <v>3744.6788817114043</v>
      </c>
      <c r="N70" s="60">
        <v>25</v>
      </c>
      <c r="O70" s="60">
        <f t="shared" si="26"/>
        <v>93616.972042785113</v>
      </c>
      <c r="P70" s="60">
        <f t="shared" si="21"/>
        <v>5</v>
      </c>
      <c r="Q70" s="5" t="str">
        <f t="shared" si="22"/>
        <v xml:space="preserve"> (L/m2)</v>
      </c>
      <c r="R70" s="5">
        <f t="shared" si="23"/>
        <v>468084.8602139256</v>
      </c>
      <c r="S70" s="5">
        <f t="shared" si="24"/>
        <v>374467.88817114051</v>
      </c>
      <c r="T70" s="5">
        <f t="shared" si="25"/>
        <v>374.46788817114049</v>
      </c>
    </row>
    <row r="71" spans="2:20" x14ac:dyDescent="0.3">
      <c r="B71" s="60">
        <f>'[1]Proyeksi Fasum'!AC56</f>
        <v>2030</v>
      </c>
      <c r="C71" s="60">
        <f>'[1]Proyeksi Fasum'!N41</f>
        <v>271.14252273969612</v>
      </c>
      <c r="D71" s="60">
        <v>300</v>
      </c>
      <c r="E71" s="60">
        <f t="shared" si="17"/>
        <v>81342.756821908843</v>
      </c>
      <c r="F71" s="60">
        <v>40</v>
      </c>
      <c r="G71" s="5" t="s">
        <v>242</v>
      </c>
      <c r="H71" s="5">
        <f t="shared" si="18"/>
        <v>3253710.2728763539</v>
      </c>
      <c r="I71" s="5">
        <f t="shared" si="19"/>
        <v>2602968.2183010834</v>
      </c>
      <c r="J71" s="5">
        <f t="shared" si="20"/>
        <v>2602.9682183010837</v>
      </c>
      <c r="L71" s="60">
        <f>'[1]Proyeksi Fasum'!AC56</f>
        <v>2030</v>
      </c>
      <c r="M71" s="60">
        <f>'[1]Proyeksi Fasum'!N53</f>
        <v>3820.2044721717903</v>
      </c>
      <c r="N71" s="60">
        <v>25</v>
      </c>
      <c r="O71" s="60">
        <f t="shared" si="26"/>
        <v>95505.111804294749</v>
      </c>
      <c r="P71" s="60">
        <f t="shared" si="21"/>
        <v>5</v>
      </c>
      <c r="Q71" s="5" t="str">
        <f t="shared" si="22"/>
        <v xml:space="preserve"> (L/m2)</v>
      </c>
      <c r="R71" s="5">
        <f t="shared" si="23"/>
        <v>477525.55902147375</v>
      </c>
      <c r="S71" s="5">
        <f t="shared" si="24"/>
        <v>382020.447217179</v>
      </c>
      <c r="T71" s="5">
        <f t="shared" si="25"/>
        <v>382.02044721717897</v>
      </c>
    </row>
    <row r="72" spans="2:20" x14ac:dyDescent="0.3">
      <c r="B72" s="60">
        <f>'[1]Proyeksi Fasum'!AC57</f>
        <v>2031</v>
      </c>
      <c r="C72" s="60">
        <f>'[1]Proyeksi Fasum'!O41</f>
        <v>276.61113561030754</v>
      </c>
      <c r="D72" s="60">
        <v>300</v>
      </c>
      <c r="E72" s="60">
        <f t="shared" si="17"/>
        <v>82983.340683092261</v>
      </c>
      <c r="F72" s="60">
        <v>40</v>
      </c>
      <c r="G72" s="5" t="s">
        <v>242</v>
      </c>
      <c r="H72" s="5">
        <f t="shared" si="18"/>
        <v>3319333.6273236903</v>
      </c>
      <c r="I72" s="5">
        <f t="shared" si="19"/>
        <v>2655466.9018589524</v>
      </c>
      <c r="J72" s="5">
        <f t="shared" si="20"/>
        <v>2655.4669018589525</v>
      </c>
      <c r="L72" s="60">
        <f>'[1]Proyeksi Fasum'!AC57</f>
        <v>2031</v>
      </c>
      <c r="M72" s="60">
        <f>'[1]Proyeksi Fasum'!O53</f>
        <v>3897.2533213666547</v>
      </c>
      <c r="N72" s="60">
        <v>25</v>
      </c>
      <c r="O72" s="60">
        <f t="shared" si="26"/>
        <v>97431.333034166368</v>
      </c>
      <c r="P72" s="60">
        <f t="shared" si="21"/>
        <v>5</v>
      </c>
      <c r="Q72" s="5" t="str">
        <f t="shared" si="22"/>
        <v xml:space="preserve"> (L/m2)</v>
      </c>
      <c r="R72" s="5">
        <f t="shared" si="23"/>
        <v>487156.66517083184</v>
      </c>
      <c r="S72" s="5">
        <f t="shared" si="24"/>
        <v>389725.33213666547</v>
      </c>
      <c r="T72" s="5">
        <f t="shared" si="25"/>
        <v>389.72533213666549</v>
      </c>
    </row>
    <row r="73" spans="2:20" x14ac:dyDescent="0.3">
      <c r="B73" s="60">
        <f>'[1]Proyeksi Fasum'!AC58</f>
        <v>2032</v>
      </c>
      <c r="C73" s="60">
        <f>'[1]Proyeksi Fasum'!P41</f>
        <v>282.19004371025602</v>
      </c>
      <c r="D73" s="60">
        <v>300</v>
      </c>
      <c r="E73" s="60">
        <f t="shared" si="17"/>
        <v>84657.013113076813</v>
      </c>
      <c r="F73" s="60">
        <v>40</v>
      </c>
      <c r="G73" s="5" t="s">
        <v>242</v>
      </c>
      <c r="H73" s="5">
        <f t="shared" si="18"/>
        <v>3386280.5245230724</v>
      </c>
      <c r="I73" s="5">
        <f t="shared" si="19"/>
        <v>2709024.419618458</v>
      </c>
      <c r="J73" s="5">
        <f t="shared" si="20"/>
        <v>2709.0244196184581</v>
      </c>
      <c r="L73" s="60">
        <f>'[1]Proyeksi Fasum'!AC58</f>
        <v>2032</v>
      </c>
      <c r="M73" s="60">
        <f>'[1]Proyeksi Fasum'!P53</f>
        <v>3975.8561515605716</v>
      </c>
      <c r="N73" s="60">
        <v>25</v>
      </c>
      <c r="O73" s="60">
        <f t="shared" si="26"/>
        <v>99396.403789014294</v>
      </c>
      <c r="P73" s="60">
        <f t="shared" si="21"/>
        <v>5</v>
      </c>
      <c r="Q73" s="5" t="str">
        <f t="shared" si="22"/>
        <v xml:space="preserve"> (L/m2)</v>
      </c>
      <c r="R73" s="5">
        <f t="shared" si="23"/>
        <v>496982.0189450715</v>
      </c>
      <c r="S73" s="5">
        <f t="shared" si="24"/>
        <v>397585.61515605723</v>
      </c>
      <c r="T73" s="5">
        <f t="shared" si="25"/>
        <v>397.58561515605726</v>
      </c>
    </row>
    <row r="74" spans="2:20" x14ac:dyDescent="0.3">
      <c r="B74" s="60">
        <f>'[1]Proyeksi Fasum'!AC59</f>
        <v>2033</v>
      </c>
      <c r="C74" s="60">
        <f>'[1]Proyeksi Fasum'!Q41</f>
        <v>287.88147155934274</v>
      </c>
      <c r="D74" s="60">
        <v>300</v>
      </c>
      <c r="E74" s="60">
        <f t="shared" si="17"/>
        <v>86364.441467802826</v>
      </c>
      <c r="F74" s="60">
        <v>40</v>
      </c>
      <c r="G74" s="5" t="s">
        <v>242</v>
      </c>
      <c r="H74" s="5">
        <f t="shared" si="18"/>
        <v>3454577.6587121133</v>
      </c>
      <c r="I74" s="5">
        <f t="shared" si="19"/>
        <v>2763662.1269696909</v>
      </c>
      <c r="J74" s="5">
        <f t="shared" si="20"/>
        <v>2763.6621269696907</v>
      </c>
      <c r="L74" s="60">
        <f>'[1]Proyeksi Fasum'!AC59</f>
        <v>2033</v>
      </c>
      <c r="M74" s="60">
        <f>'[1]Proyeksi Fasum'!Q53</f>
        <v>4056.0443046485966</v>
      </c>
      <c r="N74" s="60">
        <v>25</v>
      </c>
      <c r="O74" s="60">
        <f t="shared" si="26"/>
        <v>101401.10761621491</v>
      </c>
      <c r="P74" s="60">
        <f t="shared" si="21"/>
        <v>5</v>
      </c>
      <c r="Q74" s="5" t="str">
        <f t="shared" si="22"/>
        <v xml:space="preserve"> (L/m2)</v>
      </c>
      <c r="R74" s="5">
        <f t="shared" si="23"/>
        <v>507005.53808107454</v>
      </c>
      <c r="S74" s="5">
        <f t="shared" si="24"/>
        <v>405604.43046485964</v>
      </c>
      <c r="T74" s="5">
        <f t="shared" si="25"/>
        <v>405.60443046485966</v>
      </c>
    </row>
    <row r="75" spans="2:20" x14ac:dyDescent="0.3">
      <c r="B75" s="60">
        <f>'[1]Proyeksi Fasum'!AC60</f>
        <v>2034</v>
      </c>
      <c r="C75" s="60">
        <f>'[1]Proyeksi Fasum'!R41</f>
        <v>293.68768854321058</v>
      </c>
      <c r="D75" s="60">
        <v>300</v>
      </c>
      <c r="E75" s="60">
        <f t="shared" si="17"/>
        <v>88106.306562963175</v>
      </c>
      <c r="F75" s="60">
        <v>40</v>
      </c>
      <c r="G75" s="5" t="s">
        <v>242</v>
      </c>
      <c r="H75" s="5">
        <f t="shared" si="18"/>
        <v>3524252.262518527</v>
      </c>
      <c r="I75" s="5">
        <f t="shared" si="19"/>
        <v>2819401.8100148216</v>
      </c>
      <c r="J75" s="5">
        <f t="shared" si="20"/>
        <v>2819.4018100148214</v>
      </c>
      <c r="L75" s="60">
        <f>'[1]Proyeksi Fasum'!AC60</f>
        <v>2034</v>
      </c>
      <c r="M75" s="60">
        <f>'[1]Proyeksi Fasum'!R53</f>
        <v>4137.8497546534491</v>
      </c>
      <c r="N75" s="60">
        <v>25</v>
      </c>
      <c r="O75" s="60">
        <f t="shared" si="26"/>
        <v>103446.24386633623</v>
      </c>
      <c r="P75" s="60">
        <f t="shared" si="21"/>
        <v>5</v>
      </c>
      <c r="Q75" s="5" t="str">
        <f t="shared" si="22"/>
        <v xml:space="preserve"> (L/m2)</v>
      </c>
      <c r="R75" s="5">
        <f t="shared" si="23"/>
        <v>517231.21933168115</v>
      </c>
      <c r="S75" s="5">
        <f t="shared" si="24"/>
        <v>413784.97546534496</v>
      </c>
      <c r="T75" s="5">
        <f t="shared" si="25"/>
        <v>413.78497546534498</v>
      </c>
    </row>
    <row r="76" spans="2:20" x14ac:dyDescent="0.3">
      <c r="B76" s="60">
        <f>'[1]Proyeksi Fasum'!AC61</f>
        <v>2035</v>
      </c>
      <c r="C76" s="60">
        <f>'[1]Proyeksi Fasum'!S41</f>
        <v>293.68768854321058</v>
      </c>
      <c r="D76" s="60">
        <v>300</v>
      </c>
      <c r="E76" s="60">
        <f t="shared" si="17"/>
        <v>88106.306562963175</v>
      </c>
      <c r="F76" s="60">
        <v>40</v>
      </c>
      <c r="G76" s="5" t="s">
        <v>242</v>
      </c>
      <c r="H76" s="5">
        <f t="shared" si="18"/>
        <v>3524252.262518527</v>
      </c>
      <c r="I76" s="5">
        <f t="shared" si="19"/>
        <v>2819401.8100148216</v>
      </c>
      <c r="J76" s="5">
        <f t="shared" si="20"/>
        <v>2819.4018100148214</v>
      </c>
      <c r="L76" s="60">
        <f>'[1]Proyeksi Fasum'!AC61</f>
        <v>2035</v>
      </c>
      <c r="M76" s="60">
        <f>'[1]Proyeksi Fasum'!S53</f>
        <v>4137.8497546534491</v>
      </c>
      <c r="N76" s="60">
        <v>25</v>
      </c>
      <c r="O76" s="60">
        <f t="shared" si="26"/>
        <v>103446.24386633623</v>
      </c>
      <c r="P76" s="60">
        <f t="shared" si="21"/>
        <v>5</v>
      </c>
      <c r="Q76" s="5" t="str">
        <f t="shared" si="22"/>
        <v xml:space="preserve"> (L/m2)</v>
      </c>
      <c r="R76" s="5">
        <f t="shared" si="23"/>
        <v>517231.21933168115</v>
      </c>
      <c r="S76" s="5">
        <f t="shared" si="24"/>
        <v>413784.97546534496</v>
      </c>
      <c r="T76" s="5">
        <f t="shared" si="25"/>
        <v>413.78497546534498</v>
      </c>
    </row>
    <row r="77" spans="2:20" x14ac:dyDescent="0.3">
      <c r="B77" s="60">
        <f>'[1]Proyeksi Fasum'!AC62</f>
        <v>2036</v>
      </c>
      <c r="C77" s="60">
        <f>'[1]Proyeksi Fasum'!T41</f>
        <v>299.61100981823392</v>
      </c>
      <c r="D77" s="60">
        <v>300</v>
      </c>
      <c r="E77" s="60">
        <f t="shared" si="17"/>
        <v>89883.302945470175</v>
      </c>
      <c r="F77" s="60">
        <v>40</v>
      </c>
      <c r="G77" s="5" t="s">
        <v>242</v>
      </c>
      <c r="H77" s="5">
        <f t="shared" si="18"/>
        <v>3595332.1178188073</v>
      </c>
      <c r="I77" s="5">
        <f t="shared" si="19"/>
        <v>2876265.6942550461</v>
      </c>
      <c r="J77" s="5">
        <f t="shared" si="20"/>
        <v>2876.2656942550461</v>
      </c>
      <c r="L77" s="60">
        <f>'[1]Proyeksi Fasum'!AC62</f>
        <v>2036</v>
      </c>
      <c r="M77" s="60">
        <f>'[1]Proyeksi Fasum'!T53</f>
        <v>4221.3051204747599</v>
      </c>
      <c r="N77" s="60">
        <v>25</v>
      </c>
      <c r="O77" s="60">
        <f t="shared" si="26"/>
        <v>105532.62801186899</v>
      </c>
      <c r="P77" s="60">
        <f t="shared" si="21"/>
        <v>5</v>
      </c>
      <c r="Q77" s="5" t="str">
        <f t="shared" si="22"/>
        <v xml:space="preserve"> (L/m2)</v>
      </c>
      <c r="R77" s="5">
        <f t="shared" si="23"/>
        <v>527663.14005934494</v>
      </c>
      <c r="S77" s="5">
        <f t="shared" si="24"/>
        <v>422130.51204747596</v>
      </c>
      <c r="T77" s="5">
        <f t="shared" si="25"/>
        <v>422.13051204747597</v>
      </c>
    </row>
    <row r="78" spans="2:20" x14ac:dyDescent="0.3">
      <c r="B78" s="60">
        <f>'[1]Proyeksi Fasum'!AC63</f>
        <v>2037</v>
      </c>
      <c r="C78" s="60">
        <f>'[1]Proyeksi Fasum'!U41</f>
        <v>305.65379723465782</v>
      </c>
      <c r="D78" s="60">
        <v>300</v>
      </c>
      <c r="E78" s="60">
        <f t="shared" si="17"/>
        <v>91696.13917039735</v>
      </c>
      <c r="F78" s="60">
        <v>40</v>
      </c>
      <c r="G78" s="5" t="s">
        <v>242</v>
      </c>
      <c r="H78" s="5">
        <f t="shared" si="18"/>
        <v>3667845.5668158941</v>
      </c>
      <c r="I78" s="5">
        <f t="shared" si="19"/>
        <v>2934276.4534527157</v>
      </c>
      <c r="J78" s="5">
        <f t="shared" si="20"/>
        <v>2934.2764534527155</v>
      </c>
      <c r="L78" s="60">
        <f>'[1]Proyeksi Fasum'!AC63</f>
        <v>2037</v>
      </c>
      <c r="M78" s="60">
        <f>'[1]Proyeksi Fasum'!U53</f>
        <v>4306.4436788954463</v>
      </c>
      <c r="N78" s="60">
        <v>25</v>
      </c>
      <c r="O78" s="60">
        <f t="shared" si="26"/>
        <v>107661.09197238616</v>
      </c>
      <c r="P78" s="60">
        <f t="shared" si="21"/>
        <v>5</v>
      </c>
      <c r="Q78" s="5" t="str">
        <f t="shared" si="22"/>
        <v xml:space="preserve"> (L/m2)</v>
      </c>
      <c r="R78" s="5">
        <f t="shared" si="23"/>
        <v>538305.45986193081</v>
      </c>
      <c r="S78" s="5">
        <f t="shared" si="24"/>
        <v>430644.36788954469</v>
      </c>
      <c r="T78" s="5">
        <f t="shared" si="25"/>
        <v>430.6443678895447</v>
      </c>
    </row>
    <row r="79" spans="2:20" x14ac:dyDescent="0.3">
      <c r="B79" s="60">
        <f>'[1]Proyeksi Fasum'!AC64</f>
        <v>2038</v>
      </c>
      <c r="C79" s="60">
        <f>'[1]Proyeksi Fasum'!V41</f>
        <v>311.81846027835684</v>
      </c>
      <c r="D79" s="60">
        <v>300</v>
      </c>
      <c r="E79" s="60">
        <f t="shared" si="17"/>
        <v>93545.538083507054</v>
      </c>
      <c r="F79" s="60">
        <v>40</v>
      </c>
      <c r="G79" s="5" t="s">
        <v>242</v>
      </c>
      <c r="H79" s="5">
        <f t="shared" si="18"/>
        <v>3741821.523340282</v>
      </c>
      <c r="I79" s="5">
        <f t="shared" si="19"/>
        <v>2993457.2186722257</v>
      </c>
      <c r="J79" s="5">
        <f t="shared" si="20"/>
        <v>2993.4572186722257</v>
      </c>
      <c r="L79" s="60">
        <f>'[1]Proyeksi Fasum'!AC64</f>
        <v>2038</v>
      </c>
      <c r="M79" s="60">
        <f>'[1]Proyeksi Fasum'!V53</f>
        <v>4393.2993778504206</v>
      </c>
      <c r="N79" s="60">
        <v>25</v>
      </c>
      <c r="O79" s="60">
        <f t="shared" si="26"/>
        <v>109832.48444626051</v>
      </c>
      <c r="P79" s="60">
        <f t="shared" si="21"/>
        <v>5</v>
      </c>
      <c r="Q79" s="5" t="str">
        <f t="shared" si="22"/>
        <v xml:space="preserve"> (L/m2)</v>
      </c>
      <c r="R79" s="5">
        <f t="shared" si="23"/>
        <v>549162.4222313026</v>
      </c>
      <c r="S79" s="5">
        <f t="shared" si="24"/>
        <v>439329.9377850421</v>
      </c>
      <c r="T79" s="5">
        <f t="shared" si="25"/>
        <v>439.32993778504209</v>
      </c>
    </row>
    <row r="80" spans="2:20" x14ac:dyDescent="0.3">
      <c r="B80" s="60">
        <f>'[1]Proyeksi Fasum'!AC65</f>
        <v>2039</v>
      </c>
      <c r="C80" s="60">
        <f>'[1]Proyeksi Fasum'!W41</f>
        <v>318.10745703158653</v>
      </c>
      <c r="D80" s="60">
        <v>300</v>
      </c>
      <c r="E80" s="60">
        <f t="shared" si="17"/>
        <v>95432.237109475958</v>
      </c>
      <c r="F80" s="60">
        <v>40</v>
      </c>
      <c r="G80" s="5" t="s">
        <v>242</v>
      </c>
      <c r="H80" s="5">
        <f t="shared" si="18"/>
        <v>3817289.4843790382</v>
      </c>
      <c r="I80" s="5">
        <f t="shared" si="19"/>
        <v>3053831.5875032307</v>
      </c>
      <c r="J80" s="5">
        <f t="shared" si="20"/>
        <v>3053.8315875032308</v>
      </c>
      <c r="L80" s="60">
        <f>'[1]Proyeksi Fasum'!AC65</f>
        <v>2039</v>
      </c>
      <c r="M80" s="60">
        <f>'[1]Proyeksi Fasum'!W53</f>
        <v>4481.9068499628893</v>
      </c>
      <c r="N80" s="60">
        <v>25</v>
      </c>
      <c r="O80" s="60">
        <f t="shared" si="26"/>
        <v>112047.67124907223</v>
      </c>
      <c r="P80" s="60">
        <f t="shared" si="21"/>
        <v>5</v>
      </c>
      <c r="Q80" s="5" t="str">
        <f t="shared" si="22"/>
        <v xml:space="preserve"> (L/m2)</v>
      </c>
      <c r="R80" s="5">
        <f t="shared" si="23"/>
        <v>560238.35624536115</v>
      </c>
      <c r="S80" s="5">
        <f t="shared" si="24"/>
        <v>448190.68499628897</v>
      </c>
      <c r="T80" s="5">
        <f t="shared" si="25"/>
        <v>448.19068499628895</v>
      </c>
    </row>
    <row r="81" spans="2:20" x14ac:dyDescent="0.3">
      <c r="B81" s="60">
        <f>'[1]Proyeksi Fasum'!AC66</f>
        <v>2040</v>
      </c>
      <c r="C81" s="60">
        <f>'[1]Proyeksi Fasum'!X41</f>
        <v>324.52329515311379</v>
      </c>
      <c r="D81" s="60">
        <v>300</v>
      </c>
      <c r="E81" s="60">
        <f t="shared" si="17"/>
        <v>97356.988545934131</v>
      </c>
      <c r="F81" s="60">
        <v>40</v>
      </c>
      <c r="G81" s="5" t="s">
        <v>242</v>
      </c>
      <c r="H81" s="5">
        <f t="shared" si="18"/>
        <v>3894279.5418373654</v>
      </c>
      <c r="I81" s="5">
        <f t="shared" si="19"/>
        <v>3115423.6334698927</v>
      </c>
      <c r="J81" s="5">
        <f t="shared" si="20"/>
        <v>3115.4236334698926</v>
      </c>
      <c r="L81" s="60">
        <f>'[1]Proyeksi Fasum'!AC66</f>
        <v>2040</v>
      </c>
      <c r="M81" s="60">
        <f>'[1]Proyeksi Fasum'!X53</f>
        <v>4572.3014263536925</v>
      </c>
      <c r="N81" s="60">
        <v>25</v>
      </c>
      <c r="O81" s="60">
        <f t="shared" si="26"/>
        <v>114307.53565884232</v>
      </c>
      <c r="P81" s="60">
        <f t="shared" si="21"/>
        <v>5</v>
      </c>
      <c r="Q81" s="5" t="str">
        <f t="shared" si="22"/>
        <v xml:space="preserve"> (L/m2)</v>
      </c>
      <c r="R81" s="5">
        <f t="shared" si="23"/>
        <v>571537.67829421163</v>
      </c>
      <c r="S81" s="5">
        <f t="shared" si="24"/>
        <v>457230.14263536932</v>
      </c>
      <c r="T81" s="5">
        <f t="shared" si="25"/>
        <v>457.2301426353693</v>
      </c>
    </row>
    <row r="82" spans="2:20" x14ac:dyDescent="0.3">
      <c r="B82" s="60">
        <f>'[1]Proyeksi Fasum'!AC67</f>
        <v>2041</v>
      </c>
      <c r="C82" s="60">
        <f>'[1]Proyeksi Fasum'!Y41</f>
        <v>331.0685328781139</v>
      </c>
      <c r="D82" s="60">
        <v>300</v>
      </c>
      <c r="E82" s="60">
        <f t="shared" si="17"/>
        <v>99320.559863434173</v>
      </c>
      <c r="F82" s="60">
        <v>40</v>
      </c>
      <c r="G82" s="5" t="s">
        <v>242</v>
      </c>
      <c r="H82" s="5">
        <f t="shared" si="18"/>
        <v>3972822.3945373669</v>
      </c>
      <c r="I82" s="5">
        <f t="shared" si="19"/>
        <v>3178257.9156298935</v>
      </c>
      <c r="J82" s="5">
        <f t="shared" si="20"/>
        <v>3178.2579156298934</v>
      </c>
      <c r="L82" s="60">
        <f>'[1]Proyeksi Fasum'!AC67</f>
        <v>2041</v>
      </c>
      <c r="M82" s="60">
        <f>'[1]Proyeksi Fasum'!Y53</f>
        <v>4664.5191507291402</v>
      </c>
      <c r="N82" s="60">
        <v>25</v>
      </c>
      <c r="O82" s="60">
        <f t="shared" si="26"/>
        <v>116612.97876822851</v>
      </c>
      <c r="P82" s="60">
        <f t="shared" si="21"/>
        <v>5</v>
      </c>
      <c r="Q82" s="5" t="str">
        <f t="shared" si="22"/>
        <v xml:space="preserve"> (L/m2)</v>
      </c>
      <c r="R82" s="5">
        <f t="shared" si="23"/>
        <v>583064.89384114253</v>
      </c>
      <c r="S82" s="5">
        <f t="shared" si="24"/>
        <v>466451.91507291404</v>
      </c>
      <c r="T82" s="5">
        <f t="shared" si="25"/>
        <v>466.45191507291406</v>
      </c>
    </row>
    <row r="83" spans="2:20" x14ac:dyDescent="0.3">
      <c r="B83" s="60">
        <f>'[1]Proyeksi Fasum'!AC68</f>
        <v>2042</v>
      </c>
      <c r="C83" s="60">
        <f>'[1]Proyeksi Fasum'!Z41</f>
        <v>337.7457800382349</v>
      </c>
      <c r="D83" s="60">
        <v>300</v>
      </c>
      <c r="E83" s="60">
        <f t="shared" si="17"/>
        <v>101323.73401147047</v>
      </c>
      <c r="F83" s="60">
        <v>40</v>
      </c>
      <c r="G83" s="5" t="s">
        <v>242</v>
      </c>
      <c r="H83" s="5">
        <f t="shared" si="18"/>
        <v>4052949.3604588187</v>
      </c>
      <c r="I83" s="5">
        <f t="shared" si="19"/>
        <v>3242359.4883670551</v>
      </c>
      <c r="J83" s="5">
        <f t="shared" si="20"/>
        <v>3242.3594883670553</v>
      </c>
      <c r="L83" s="60">
        <f>'[1]Proyeksi Fasum'!AC68</f>
        <v>2042</v>
      </c>
      <c r="M83" s="60">
        <f>'[1]Proyeksi Fasum'!Z53</f>
        <v>4758.5967937529886</v>
      </c>
      <c r="N83" s="60">
        <v>25</v>
      </c>
      <c r="O83" s="60">
        <f t="shared" si="26"/>
        <v>118964.91984382471</v>
      </c>
      <c r="P83" s="60">
        <f t="shared" si="21"/>
        <v>5</v>
      </c>
      <c r="Q83" s="5" t="str">
        <f t="shared" si="22"/>
        <v xml:space="preserve"> (L/m2)</v>
      </c>
      <c r="R83" s="5">
        <f t="shared" si="23"/>
        <v>594824.5992191236</v>
      </c>
      <c r="S83" s="5">
        <f t="shared" si="24"/>
        <v>475859.6793752989</v>
      </c>
      <c r="T83" s="5">
        <f t="shared" si="25"/>
        <v>475.85967937529892</v>
      </c>
    </row>
    <row r="84" spans="2:20" x14ac:dyDescent="0.3">
      <c r="B84" s="60">
        <f>'[1]Proyeksi Fasum'!AC69</f>
        <v>2043</v>
      </c>
      <c r="C84" s="60">
        <f>'[1]Proyeksi Fasum'!AA41</f>
        <v>344.55769910223574</v>
      </c>
      <c r="D84" s="60">
        <v>300</v>
      </c>
      <c r="E84" s="60">
        <f t="shared" si="17"/>
        <v>103367.30973067072</v>
      </c>
      <c r="F84" s="60">
        <v>40</v>
      </c>
      <c r="G84" s="5" t="s">
        <v>242</v>
      </c>
      <c r="H84" s="5">
        <f t="shared" si="18"/>
        <v>4134692.3892268287</v>
      </c>
      <c r="I84" s="5">
        <f t="shared" si="19"/>
        <v>3307753.9113814631</v>
      </c>
      <c r="J84" s="5">
        <f t="shared" si="20"/>
        <v>3307.7539113814632</v>
      </c>
      <c r="L84" s="60">
        <f>'[1]Proyeksi Fasum'!AC69</f>
        <v>2043</v>
      </c>
      <c r="M84" s="60">
        <f>'[1]Proyeksi Fasum'!AA53</f>
        <v>4854.5718677082859</v>
      </c>
      <c r="N84" s="60">
        <v>25</v>
      </c>
      <c r="O84" s="60">
        <f t="shared" si="26"/>
        <v>121364.29669270715</v>
      </c>
      <c r="P84" s="60">
        <f t="shared" si="21"/>
        <v>5</v>
      </c>
      <c r="Q84" s="5" t="str">
        <f t="shared" si="22"/>
        <v xml:space="preserve"> (L/m2)</v>
      </c>
      <c r="R84" s="5">
        <f t="shared" si="23"/>
        <v>606821.48346353578</v>
      </c>
      <c r="S84" s="5">
        <f t="shared" si="24"/>
        <v>485457.18677082867</v>
      </c>
      <c r="T84" s="5">
        <f t="shared" si="25"/>
        <v>485.45718677082868</v>
      </c>
    </row>
    <row r="86" spans="2:20" x14ac:dyDescent="0.3">
      <c r="B86" s="283" t="s">
        <v>204</v>
      </c>
      <c r="C86" s="283"/>
      <c r="D86" s="283"/>
      <c r="E86" s="283"/>
      <c r="F86" s="283"/>
      <c r="G86" s="283"/>
      <c r="H86" s="283"/>
      <c r="I86" s="283"/>
      <c r="J86" s="283"/>
      <c r="L86" s="283" t="s">
        <v>269</v>
      </c>
      <c r="M86" s="283"/>
      <c r="N86" s="283"/>
      <c r="O86" s="283"/>
      <c r="P86" s="283"/>
      <c r="Q86" s="283"/>
      <c r="R86" s="283"/>
      <c r="S86" s="283"/>
      <c r="T86" s="283"/>
    </row>
    <row r="87" spans="2:20" ht="14.4" customHeight="1" x14ac:dyDescent="0.3">
      <c r="B87" s="348" t="s">
        <v>98</v>
      </c>
      <c r="C87" s="342" t="s">
        <v>235</v>
      </c>
      <c r="D87" s="342" t="s">
        <v>236</v>
      </c>
      <c r="E87" s="342" t="s">
        <v>237</v>
      </c>
      <c r="F87" s="342" t="s">
        <v>241</v>
      </c>
      <c r="G87" s="342" t="s">
        <v>240</v>
      </c>
      <c r="H87" s="342" t="s">
        <v>238</v>
      </c>
      <c r="I87" s="342" t="s">
        <v>239</v>
      </c>
      <c r="J87" s="342" t="s">
        <v>250</v>
      </c>
      <c r="L87" s="343" t="s">
        <v>98</v>
      </c>
      <c r="M87" s="342" t="s">
        <v>235</v>
      </c>
      <c r="N87" s="342" t="s">
        <v>236</v>
      </c>
      <c r="O87" s="342" t="s">
        <v>237</v>
      </c>
      <c r="P87" s="342" t="s">
        <v>241</v>
      </c>
      <c r="Q87" s="345" t="s">
        <v>240</v>
      </c>
      <c r="R87" s="347" t="s">
        <v>238</v>
      </c>
      <c r="S87" s="347" t="s">
        <v>239</v>
      </c>
      <c r="T87" s="347" t="s">
        <v>250</v>
      </c>
    </row>
    <row r="88" spans="2:20" x14ac:dyDescent="0.3">
      <c r="B88" s="348"/>
      <c r="C88" s="342"/>
      <c r="D88" s="342"/>
      <c r="E88" s="342"/>
      <c r="F88" s="342"/>
      <c r="G88" s="342"/>
      <c r="H88" s="342"/>
      <c r="I88" s="342"/>
      <c r="J88" s="342"/>
      <c r="L88" s="344"/>
      <c r="M88" s="342"/>
      <c r="N88" s="342"/>
      <c r="O88" s="342"/>
      <c r="P88" s="342"/>
      <c r="Q88" s="346"/>
      <c r="R88" s="347"/>
      <c r="S88" s="347"/>
      <c r="T88" s="347"/>
    </row>
    <row r="89" spans="2:20" x14ac:dyDescent="0.3">
      <c r="B89" s="60">
        <f>'[1]Proyeksi Fasum'!AC49</f>
        <v>2023</v>
      </c>
      <c r="C89" s="60">
        <f>'[1]Proyeksi Fasum'!G42</f>
        <v>34.734365004580482</v>
      </c>
      <c r="D89" s="60">
        <v>300</v>
      </c>
      <c r="E89" s="60">
        <f>D89*C89</f>
        <v>10420.309501374144</v>
      </c>
      <c r="F89" s="60">
        <v>40</v>
      </c>
      <c r="G89" s="5" t="s">
        <v>242</v>
      </c>
      <c r="H89" s="5">
        <f>F89*E89</f>
        <v>416812.38005496573</v>
      </c>
      <c r="I89" s="5">
        <f>80%*H89</f>
        <v>333449.90404397261</v>
      </c>
      <c r="J89" s="5">
        <f>I89/1000</f>
        <v>333.44990404397259</v>
      </c>
      <c r="L89" s="60">
        <f>'[1]Proyeksi Fasum'!AC49</f>
        <v>2023</v>
      </c>
      <c r="M89" s="60">
        <f>'[1]Proyeksi Fasum'!G55</f>
        <v>3.1576695458709527</v>
      </c>
      <c r="N89" s="60">
        <f>D25</f>
        <v>250</v>
      </c>
      <c r="O89" s="60">
        <f>N89*M89</f>
        <v>789.4173864677382</v>
      </c>
      <c r="P89" s="60">
        <f>F25</f>
        <v>500</v>
      </c>
      <c r="Q89" s="5" t="str">
        <f>$G$25</f>
        <v>(L/bed/hari)</v>
      </c>
      <c r="R89" s="5">
        <f>P89*O89</f>
        <v>394708.6932338691</v>
      </c>
      <c r="S89" s="5">
        <f>80%*R89</f>
        <v>315766.9545870953</v>
      </c>
      <c r="T89" s="5">
        <f>S89/1000</f>
        <v>315.76695458709531</v>
      </c>
    </row>
    <row r="90" spans="2:20" x14ac:dyDescent="0.3">
      <c r="B90" s="60">
        <f>'[1]Proyeksi Fasum'!AC50</f>
        <v>2024</v>
      </c>
      <c r="C90" s="60">
        <f>'[1]Proyeksi Fasum'!H42</f>
        <v>35.434914640238041</v>
      </c>
      <c r="D90" s="60">
        <v>300</v>
      </c>
      <c r="E90" s="60">
        <f t="shared" ref="E90:E109" si="27">D90*C90</f>
        <v>10630.474392071412</v>
      </c>
      <c r="F90" s="60">
        <v>40</v>
      </c>
      <c r="G90" s="5" t="s">
        <v>242</v>
      </c>
      <c r="H90" s="5">
        <f t="shared" ref="H90:H109" si="28">F90*E90</f>
        <v>425218.97568285646</v>
      </c>
      <c r="I90" s="5">
        <f t="shared" ref="I90:I109" si="29">80%*H90</f>
        <v>340175.18054628518</v>
      </c>
      <c r="J90" s="5">
        <f t="shared" ref="J90:J109" si="30">I90/1000</f>
        <v>340.17518054628516</v>
      </c>
      <c r="L90" s="60">
        <f>'[1]Proyeksi Fasum'!AC50</f>
        <v>2024</v>
      </c>
      <c r="M90" s="60">
        <f>'[1]Proyeksi Fasum'!H55</f>
        <v>3.2213558763852763</v>
      </c>
      <c r="N90" s="60">
        <v>250</v>
      </c>
      <c r="O90" s="60">
        <f>N90*M90</f>
        <v>805.33896909631903</v>
      </c>
      <c r="P90" s="60">
        <v>500</v>
      </c>
      <c r="Q90" s="5" t="str">
        <f t="shared" ref="Q90:Q109" si="31">$G$25</f>
        <v>(L/bed/hari)</v>
      </c>
      <c r="R90" s="5">
        <f t="shared" ref="R90:R109" si="32">P90*O90</f>
        <v>402669.48454815953</v>
      </c>
      <c r="S90" s="5">
        <f t="shared" ref="S90:S109" si="33">80%*R90</f>
        <v>322135.58763852762</v>
      </c>
      <c r="T90" s="5">
        <f t="shared" ref="T90:T109" si="34">S90/1000</f>
        <v>322.13558763852762</v>
      </c>
    </row>
    <row r="91" spans="2:20" x14ac:dyDescent="0.3">
      <c r="B91" s="60">
        <f>'[1]Proyeksi Fasum'!AC51</f>
        <v>2025</v>
      </c>
      <c r="C91" s="60">
        <f>'[1]Proyeksi Fasum'!I42</f>
        <v>36.149593504743024</v>
      </c>
      <c r="D91" s="60">
        <v>300</v>
      </c>
      <c r="E91" s="60">
        <f t="shared" si="27"/>
        <v>10844.878051422907</v>
      </c>
      <c r="F91" s="60">
        <v>40</v>
      </c>
      <c r="G91" s="5" t="s">
        <v>242</v>
      </c>
      <c r="H91" s="5">
        <f t="shared" si="28"/>
        <v>433795.1220569163</v>
      </c>
      <c r="I91" s="5">
        <f t="shared" si="29"/>
        <v>347036.09764553304</v>
      </c>
      <c r="J91" s="5">
        <f t="shared" si="30"/>
        <v>347.03609764553306</v>
      </c>
      <c r="L91" s="60">
        <f>'[1]Proyeksi Fasum'!AC51</f>
        <v>2025</v>
      </c>
      <c r="M91" s="60">
        <f>'[1]Proyeksi Fasum'!I55</f>
        <v>3.2863266822493657</v>
      </c>
      <c r="N91" s="60">
        <v>250</v>
      </c>
      <c r="O91" s="60">
        <f t="shared" ref="O91:O109" si="35">N91*M91</f>
        <v>821.5816705623414</v>
      </c>
      <c r="P91" s="60">
        <v>500</v>
      </c>
      <c r="Q91" s="5" t="str">
        <f t="shared" si="31"/>
        <v>(L/bed/hari)</v>
      </c>
      <c r="R91" s="5">
        <f t="shared" si="32"/>
        <v>410790.83528117067</v>
      </c>
      <c r="S91" s="5">
        <f t="shared" si="33"/>
        <v>328632.66822493658</v>
      </c>
      <c r="T91" s="5">
        <f t="shared" si="34"/>
        <v>328.63266822493659</v>
      </c>
    </row>
    <row r="92" spans="2:20" x14ac:dyDescent="0.3">
      <c r="B92" s="60">
        <f>'[1]Proyeksi Fasum'!AC52</f>
        <v>2026</v>
      </c>
      <c r="C92" s="60">
        <f>'[1]Proyeksi Fasum'!J42</f>
        <v>36.878686567350535</v>
      </c>
      <c r="D92" s="60">
        <v>300</v>
      </c>
      <c r="E92" s="60">
        <f t="shared" si="27"/>
        <v>11063.605970205161</v>
      </c>
      <c r="F92" s="60">
        <v>40</v>
      </c>
      <c r="G92" s="5" t="s">
        <v>242</v>
      </c>
      <c r="H92" s="5">
        <f t="shared" si="28"/>
        <v>442544.2388082064</v>
      </c>
      <c r="I92" s="5">
        <f t="shared" si="29"/>
        <v>354035.39104656514</v>
      </c>
      <c r="J92" s="5">
        <f t="shared" si="30"/>
        <v>354.03539104656517</v>
      </c>
      <c r="L92" s="60">
        <f>'[1]Proyeksi Fasum'!AC52</f>
        <v>2026</v>
      </c>
      <c r="M92" s="60">
        <f>'[1]Proyeksi Fasum'!J55</f>
        <v>3.3526078697591393</v>
      </c>
      <c r="N92" s="60">
        <v>250</v>
      </c>
      <c r="O92" s="60">
        <f t="shared" si="35"/>
        <v>838.15196743978481</v>
      </c>
      <c r="P92" s="60">
        <v>500</v>
      </c>
      <c r="Q92" s="5" t="str">
        <f t="shared" si="31"/>
        <v>(L/bed/hari)</v>
      </c>
      <c r="R92" s="5">
        <f t="shared" si="32"/>
        <v>419075.98371989239</v>
      </c>
      <c r="S92" s="5">
        <f t="shared" si="33"/>
        <v>335260.78697591391</v>
      </c>
      <c r="T92" s="5">
        <f t="shared" si="34"/>
        <v>335.2607869759139</v>
      </c>
    </row>
    <row r="93" spans="2:20" x14ac:dyDescent="0.3">
      <c r="B93" s="60">
        <f>'[1]Proyeksi Fasum'!AC53</f>
        <v>2027</v>
      </c>
      <c r="C93" s="60">
        <f>'[1]Proyeksi Fasum'!K42</f>
        <v>37.622484544796777</v>
      </c>
      <c r="D93" s="60">
        <v>300</v>
      </c>
      <c r="E93" s="60">
        <f t="shared" si="27"/>
        <v>11286.745363439033</v>
      </c>
      <c r="F93" s="60">
        <v>40</v>
      </c>
      <c r="G93" s="5" t="s">
        <v>242</v>
      </c>
      <c r="H93" s="5">
        <f t="shared" si="28"/>
        <v>451469.81453756132</v>
      </c>
      <c r="I93" s="5">
        <f t="shared" si="29"/>
        <v>361175.85163004906</v>
      </c>
      <c r="J93" s="5">
        <f t="shared" si="30"/>
        <v>361.17585163004907</v>
      </c>
      <c r="L93" s="60">
        <f>'[1]Proyeksi Fasum'!AC53</f>
        <v>2027</v>
      </c>
      <c r="M93" s="60">
        <f>'[1]Proyeksi Fasum'!K55</f>
        <v>3.420225867708798</v>
      </c>
      <c r="N93" s="60">
        <v>250</v>
      </c>
      <c r="O93" s="60">
        <f t="shared" si="35"/>
        <v>855.05646692719949</v>
      </c>
      <c r="P93" s="60">
        <v>500</v>
      </c>
      <c r="Q93" s="5" t="str">
        <f t="shared" si="31"/>
        <v>(L/bed/hari)</v>
      </c>
      <c r="R93" s="5">
        <f t="shared" si="32"/>
        <v>427528.23346359975</v>
      </c>
      <c r="S93" s="5">
        <f t="shared" si="33"/>
        <v>342022.5867708798</v>
      </c>
      <c r="T93" s="5">
        <f t="shared" si="34"/>
        <v>342.0225867708798</v>
      </c>
    </row>
    <row r="94" spans="2:20" x14ac:dyDescent="0.3">
      <c r="B94" s="60">
        <f>'[1]Proyeksi Fasum'!AC54</f>
        <v>2028</v>
      </c>
      <c r="C94" s="60">
        <f>'[1]Proyeksi Fasum'!L42</f>
        <v>38.381284017218796</v>
      </c>
      <c r="D94" s="60">
        <v>300</v>
      </c>
      <c r="E94" s="60">
        <f t="shared" si="27"/>
        <v>11514.385205165639</v>
      </c>
      <c r="F94" s="60">
        <v>40</v>
      </c>
      <c r="G94" s="5" t="s">
        <v>242</v>
      </c>
      <c r="H94" s="5">
        <f t="shared" si="28"/>
        <v>460575.40820662561</v>
      </c>
      <c r="I94" s="5">
        <f t="shared" si="29"/>
        <v>368460.32656530052</v>
      </c>
      <c r="J94" s="5">
        <f t="shared" si="30"/>
        <v>368.46032656530053</v>
      </c>
      <c r="L94" s="60">
        <f>'[1]Proyeksi Fasum'!AC54</f>
        <v>2028</v>
      </c>
      <c r="M94" s="60">
        <f>'[1]Proyeksi Fasum'!L55</f>
        <v>3.4892076379289811</v>
      </c>
      <c r="N94" s="60">
        <v>250</v>
      </c>
      <c r="O94" s="60">
        <f t="shared" si="35"/>
        <v>872.30190948224526</v>
      </c>
      <c r="P94" s="60">
        <v>500</v>
      </c>
      <c r="Q94" s="5" t="str">
        <f t="shared" si="31"/>
        <v>(L/bed/hari)</v>
      </c>
      <c r="R94" s="5">
        <f t="shared" si="32"/>
        <v>436150.95474112261</v>
      </c>
      <c r="S94" s="5">
        <f t="shared" si="33"/>
        <v>348920.7637928981</v>
      </c>
      <c r="T94" s="5">
        <f t="shared" si="34"/>
        <v>348.92076379289807</v>
      </c>
    </row>
    <row r="95" spans="2:20" x14ac:dyDescent="0.3">
      <c r="B95" s="60">
        <f>'[1]Proyeksi Fasum'!AC55</f>
        <v>2029</v>
      </c>
      <c r="C95" s="60">
        <f>'[1]Proyeksi Fasum'!M42</f>
        <v>39.155387546412022</v>
      </c>
      <c r="D95" s="60">
        <v>300</v>
      </c>
      <c r="E95" s="60">
        <f t="shared" si="27"/>
        <v>11746.616263923606</v>
      </c>
      <c r="F95" s="60">
        <v>40</v>
      </c>
      <c r="G95" s="5" t="s">
        <v>242</v>
      </c>
      <c r="H95" s="5">
        <f t="shared" si="28"/>
        <v>469864.65055694425</v>
      </c>
      <c r="I95" s="5">
        <f t="shared" si="29"/>
        <v>375891.7204455554</v>
      </c>
      <c r="J95" s="5">
        <f t="shared" si="30"/>
        <v>375.89172044555539</v>
      </c>
      <c r="L95" s="60">
        <f>'[1]Proyeksi Fasum'!AC55</f>
        <v>2029</v>
      </c>
      <c r="M95" s="60">
        <f>'[1]Proyeksi Fasum'!M55</f>
        <v>3.5595806860374566</v>
      </c>
      <c r="N95" s="60">
        <v>250</v>
      </c>
      <c r="O95" s="60">
        <f t="shared" si="35"/>
        <v>889.8951715093641</v>
      </c>
      <c r="P95" s="60">
        <v>500</v>
      </c>
      <c r="Q95" s="5" t="str">
        <f t="shared" si="31"/>
        <v>(L/bed/hari)</v>
      </c>
      <c r="R95" s="5">
        <f t="shared" si="32"/>
        <v>444947.58575468208</v>
      </c>
      <c r="S95" s="5">
        <f t="shared" si="33"/>
        <v>355958.06860374566</v>
      </c>
      <c r="T95" s="5">
        <f t="shared" si="34"/>
        <v>355.95806860374569</v>
      </c>
    </row>
    <row r="96" spans="2:20" x14ac:dyDescent="0.3">
      <c r="B96" s="60">
        <f>'[1]Proyeksi Fasum'!AC56</f>
        <v>2030</v>
      </c>
      <c r="C96" s="60">
        <f>'[1]Proyeksi Fasum'!N42</f>
        <v>39.945103796473092</v>
      </c>
      <c r="D96" s="60">
        <v>300</v>
      </c>
      <c r="E96" s="60">
        <f t="shared" si="27"/>
        <v>11983.531138941928</v>
      </c>
      <c r="F96" s="60">
        <v>40</v>
      </c>
      <c r="G96" s="5" t="s">
        <v>242</v>
      </c>
      <c r="H96" s="5">
        <f t="shared" si="28"/>
        <v>479341.24555767712</v>
      </c>
      <c r="I96" s="5">
        <f t="shared" si="29"/>
        <v>383472.99644614174</v>
      </c>
      <c r="J96" s="5">
        <f t="shared" si="30"/>
        <v>383.47299644614174</v>
      </c>
      <c r="L96" s="60">
        <f>'[1]Proyeksi Fasum'!AC56</f>
        <v>2030</v>
      </c>
      <c r="M96" s="60">
        <f>'[1]Proyeksi Fasum'!N55</f>
        <v>3.6313730724066446</v>
      </c>
      <c r="N96" s="60">
        <v>250</v>
      </c>
      <c r="O96" s="60">
        <f t="shared" si="35"/>
        <v>907.84326810166112</v>
      </c>
      <c r="P96" s="60">
        <v>500</v>
      </c>
      <c r="Q96" s="5" t="str">
        <f t="shared" si="31"/>
        <v>(L/bed/hari)</v>
      </c>
      <c r="R96" s="5">
        <f t="shared" si="32"/>
        <v>453921.63405083056</v>
      </c>
      <c r="S96" s="5">
        <f t="shared" si="33"/>
        <v>363137.30724066449</v>
      </c>
      <c r="T96" s="5">
        <f t="shared" si="34"/>
        <v>363.13730724066448</v>
      </c>
    </row>
    <row r="97" spans="2:20" x14ac:dyDescent="0.3">
      <c r="B97" s="60">
        <f>'[1]Proyeksi Fasum'!AC57</f>
        <v>2031</v>
      </c>
      <c r="C97" s="60">
        <f>'[1]Proyeksi Fasum'!O42</f>
        <v>40.750747656875667</v>
      </c>
      <c r="D97" s="60">
        <v>300</v>
      </c>
      <c r="E97" s="60">
        <f t="shared" si="27"/>
        <v>12225.224297062699</v>
      </c>
      <c r="F97" s="60">
        <v>40</v>
      </c>
      <c r="G97" s="5" t="s">
        <v>242</v>
      </c>
      <c r="H97" s="5">
        <f t="shared" si="28"/>
        <v>489008.97188250796</v>
      </c>
      <c r="I97" s="5">
        <f t="shared" si="29"/>
        <v>391207.17750600638</v>
      </c>
      <c r="J97" s="5">
        <f t="shared" si="30"/>
        <v>391.20717750600636</v>
      </c>
      <c r="L97" s="60">
        <f>'[1]Proyeksi Fasum'!AC57</f>
        <v>2031</v>
      </c>
      <c r="M97" s="60">
        <f>'[1]Proyeksi Fasum'!O55</f>
        <v>3.7046134233523333</v>
      </c>
      <c r="N97" s="60">
        <v>250</v>
      </c>
      <c r="O97" s="60">
        <f t="shared" si="35"/>
        <v>926.15335583808337</v>
      </c>
      <c r="P97" s="60">
        <v>500</v>
      </c>
      <c r="Q97" s="5" t="str">
        <f t="shared" si="31"/>
        <v>(L/bed/hari)</v>
      </c>
      <c r="R97" s="5">
        <f t="shared" si="32"/>
        <v>463076.67791904171</v>
      </c>
      <c r="S97" s="5">
        <f t="shared" si="33"/>
        <v>370461.34233523341</v>
      </c>
      <c r="T97" s="5">
        <f t="shared" si="34"/>
        <v>370.46134233523338</v>
      </c>
    </row>
    <row r="98" spans="2:20" x14ac:dyDescent="0.3">
      <c r="B98" s="60">
        <f>'[1]Proyeksi Fasum'!AC58</f>
        <v>2032</v>
      </c>
      <c r="C98" s="60">
        <f>'[1]Proyeksi Fasum'!P42</f>
        <v>41.572640368028793</v>
      </c>
      <c r="D98" s="60">
        <v>300</v>
      </c>
      <c r="E98" s="60">
        <f t="shared" si="27"/>
        <v>12471.792110408638</v>
      </c>
      <c r="F98" s="60">
        <v>40</v>
      </c>
      <c r="G98" s="5" t="s">
        <v>242</v>
      </c>
      <c r="H98" s="5">
        <f t="shared" si="28"/>
        <v>498871.68441634555</v>
      </c>
      <c r="I98" s="5">
        <f t="shared" si="29"/>
        <v>399097.34753307648</v>
      </c>
      <c r="J98" s="5">
        <f t="shared" si="30"/>
        <v>399.09734753307646</v>
      </c>
      <c r="L98" s="60">
        <f>'[1]Proyeksi Fasum'!AC58</f>
        <v>2032</v>
      </c>
      <c r="M98" s="60">
        <f>'[1]Proyeksi Fasum'!P55</f>
        <v>3.7793309425480719</v>
      </c>
      <c r="N98" s="60">
        <v>250</v>
      </c>
      <c r="O98" s="60">
        <f t="shared" si="35"/>
        <v>944.832735637018</v>
      </c>
      <c r="P98" s="60">
        <v>500</v>
      </c>
      <c r="Q98" s="5" t="str">
        <f t="shared" si="31"/>
        <v>(L/bed/hari)</v>
      </c>
      <c r="R98" s="5">
        <f t="shared" si="32"/>
        <v>472416.367818509</v>
      </c>
      <c r="S98" s="5">
        <f t="shared" si="33"/>
        <v>377933.09425480722</v>
      </c>
      <c r="T98" s="5">
        <f t="shared" si="34"/>
        <v>377.9330942548072</v>
      </c>
    </row>
    <row r="99" spans="2:20" x14ac:dyDescent="0.3">
      <c r="B99" s="60">
        <f>'[1]Proyeksi Fasum'!AC59</f>
        <v>2033</v>
      </c>
      <c r="C99" s="60">
        <f>'[1]Proyeksi Fasum'!Q42</f>
        <v>42.411109649367454</v>
      </c>
      <c r="D99" s="60">
        <v>300</v>
      </c>
      <c r="E99" s="60">
        <f t="shared" si="27"/>
        <v>12723.332894810235</v>
      </c>
      <c r="F99" s="60">
        <v>40</v>
      </c>
      <c r="G99" s="5" t="s">
        <v>242</v>
      </c>
      <c r="H99" s="5">
        <f t="shared" si="28"/>
        <v>508933.31579240941</v>
      </c>
      <c r="I99" s="5">
        <f t="shared" si="29"/>
        <v>407146.65263392753</v>
      </c>
      <c r="J99" s="5">
        <f t="shared" si="30"/>
        <v>407.14665263392754</v>
      </c>
      <c r="L99" s="60">
        <f>'[1]Proyeksi Fasum'!AC59</f>
        <v>2033</v>
      </c>
      <c r="M99" s="60">
        <f>'[1]Proyeksi Fasum'!Q55</f>
        <v>3.8555554226697684</v>
      </c>
      <c r="N99" s="60">
        <v>250</v>
      </c>
      <c r="O99" s="60">
        <f t="shared" si="35"/>
        <v>963.88885566744204</v>
      </c>
      <c r="P99" s="60">
        <v>500</v>
      </c>
      <c r="Q99" s="5" t="str">
        <f t="shared" si="31"/>
        <v>(L/bed/hari)</v>
      </c>
      <c r="R99" s="5">
        <f t="shared" si="32"/>
        <v>481944.42783372104</v>
      </c>
      <c r="S99" s="5">
        <f t="shared" si="33"/>
        <v>385555.54226697684</v>
      </c>
      <c r="T99" s="5">
        <f t="shared" si="34"/>
        <v>385.55554226697683</v>
      </c>
    </row>
    <row r="100" spans="2:20" x14ac:dyDescent="0.3">
      <c r="B100" s="60">
        <f>'[1]Proyeksi Fasum'!AC60</f>
        <v>2034</v>
      </c>
      <c r="C100" s="60">
        <f>'[1]Proyeksi Fasum'!R42</f>
        <v>43.266489830026558</v>
      </c>
      <c r="D100" s="60">
        <v>300</v>
      </c>
      <c r="E100" s="60">
        <f t="shared" si="27"/>
        <v>12979.946949007968</v>
      </c>
      <c r="F100" s="60">
        <v>40</v>
      </c>
      <c r="G100" s="5" t="s">
        <v>242</v>
      </c>
      <c r="H100" s="5">
        <f t="shared" si="28"/>
        <v>519197.8779603187</v>
      </c>
      <c r="I100" s="5">
        <f t="shared" si="29"/>
        <v>415358.30236825498</v>
      </c>
      <c r="J100" s="5">
        <f t="shared" si="30"/>
        <v>415.35830236825501</v>
      </c>
      <c r="L100" s="60">
        <f>'[1]Proyeksi Fasum'!AC60</f>
        <v>2034</v>
      </c>
      <c r="M100" s="60">
        <f>'[1]Proyeksi Fasum'!R55</f>
        <v>3.9333172572751414</v>
      </c>
      <c r="N100" s="60">
        <v>250</v>
      </c>
      <c r="O100" s="60">
        <f t="shared" si="35"/>
        <v>983.32931431878535</v>
      </c>
      <c r="P100" s="60">
        <v>500</v>
      </c>
      <c r="Q100" s="5" t="str">
        <f t="shared" si="31"/>
        <v>(L/bed/hari)</v>
      </c>
      <c r="R100" s="5">
        <f t="shared" si="32"/>
        <v>491664.65715939266</v>
      </c>
      <c r="S100" s="5">
        <f t="shared" si="33"/>
        <v>393331.72572751413</v>
      </c>
      <c r="T100" s="5">
        <f t="shared" si="34"/>
        <v>393.33172572751414</v>
      </c>
    </row>
    <row r="101" spans="2:20" x14ac:dyDescent="0.3">
      <c r="B101" s="60">
        <f>'[1]Proyeksi Fasum'!AC61</f>
        <v>2035</v>
      </c>
      <c r="C101" s="60">
        <f>'[1]Proyeksi Fasum'!S42</f>
        <v>43.266489830026558</v>
      </c>
      <c r="D101" s="60">
        <v>300</v>
      </c>
      <c r="E101" s="60">
        <f t="shared" si="27"/>
        <v>12979.946949007968</v>
      </c>
      <c r="F101" s="60">
        <v>40</v>
      </c>
      <c r="G101" s="5" t="s">
        <v>242</v>
      </c>
      <c r="H101" s="5">
        <f t="shared" si="28"/>
        <v>519197.8779603187</v>
      </c>
      <c r="I101" s="5">
        <f t="shared" si="29"/>
        <v>415358.30236825498</v>
      </c>
      <c r="J101" s="5">
        <f t="shared" si="30"/>
        <v>415.35830236825501</v>
      </c>
      <c r="L101" s="60">
        <f>'[1]Proyeksi Fasum'!AC61</f>
        <v>2035</v>
      </c>
      <c r="M101" s="60">
        <f>'[1]Proyeksi Fasum'!S55</f>
        <v>3.9333172572751414</v>
      </c>
      <c r="N101" s="60">
        <v>250</v>
      </c>
      <c r="O101" s="60">
        <f t="shared" si="35"/>
        <v>983.32931431878535</v>
      </c>
      <c r="P101" s="60">
        <v>500</v>
      </c>
      <c r="Q101" s="5" t="str">
        <f t="shared" si="31"/>
        <v>(L/bed/hari)</v>
      </c>
      <c r="R101" s="5">
        <f t="shared" si="32"/>
        <v>491664.65715939266</v>
      </c>
      <c r="S101" s="5">
        <f t="shared" si="33"/>
        <v>393331.72572751413</v>
      </c>
      <c r="T101" s="5">
        <f t="shared" si="34"/>
        <v>393.33172572751414</v>
      </c>
    </row>
    <row r="102" spans="2:20" x14ac:dyDescent="0.3">
      <c r="B102" s="60">
        <f>'[1]Proyeksi Fasum'!AC62</f>
        <v>2036</v>
      </c>
      <c r="C102" s="60">
        <f>'[1]Proyeksi Fasum'!T42</f>
        <v>44.139121982150535</v>
      </c>
      <c r="D102" s="60">
        <v>300</v>
      </c>
      <c r="E102" s="60">
        <f t="shared" si="27"/>
        <v>13241.736594645161</v>
      </c>
      <c r="F102" s="60">
        <v>40</v>
      </c>
      <c r="G102" s="5" t="s">
        <v>242</v>
      </c>
      <c r="H102" s="5">
        <f t="shared" si="28"/>
        <v>529669.46378580644</v>
      </c>
      <c r="I102" s="5">
        <f t="shared" si="29"/>
        <v>423735.57102864515</v>
      </c>
      <c r="J102" s="5">
        <f t="shared" si="30"/>
        <v>423.73557102864515</v>
      </c>
      <c r="L102" s="60">
        <f>'[1]Proyeksi Fasum'!AC62</f>
        <v>2036</v>
      </c>
      <c r="M102" s="60">
        <f>'[1]Proyeksi Fasum'!T55</f>
        <v>4.012647452922776</v>
      </c>
      <c r="N102" s="60">
        <v>250</v>
      </c>
      <c r="O102" s="60">
        <f t="shared" si="35"/>
        <v>1003.1618632306941</v>
      </c>
      <c r="P102" s="60">
        <v>500</v>
      </c>
      <c r="Q102" s="5" t="str">
        <f t="shared" si="31"/>
        <v>(L/bed/hari)</v>
      </c>
      <c r="R102" s="5">
        <f t="shared" si="32"/>
        <v>501580.93161534704</v>
      </c>
      <c r="S102" s="5">
        <f t="shared" si="33"/>
        <v>401264.74529227766</v>
      </c>
      <c r="T102" s="5">
        <f t="shared" si="34"/>
        <v>401.26474529227767</v>
      </c>
    </row>
    <row r="103" spans="2:20" x14ac:dyDescent="0.3">
      <c r="B103" s="60">
        <f>'[1]Proyeksi Fasum'!AC63</f>
        <v>2037</v>
      </c>
      <c r="C103" s="60">
        <f>'[1]Proyeksi Fasum'!U42</f>
        <v>45.029354056891549</v>
      </c>
      <c r="D103" s="60">
        <v>300</v>
      </c>
      <c r="E103" s="60">
        <f t="shared" si="27"/>
        <v>13508.806217067464</v>
      </c>
      <c r="F103" s="60">
        <v>40</v>
      </c>
      <c r="G103" s="5" t="s">
        <v>242</v>
      </c>
      <c r="H103" s="5">
        <f t="shared" si="28"/>
        <v>540352.24868269858</v>
      </c>
      <c r="I103" s="5">
        <f t="shared" si="29"/>
        <v>432281.7989461589</v>
      </c>
      <c r="J103" s="5">
        <f t="shared" si="30"/>
        <v>432.28179894615891</v>
      </c>
      <c r="L103" s="60">
        <f>'[1]Proyeksi Fasum'!AC63</f>
        <v>2037</v>
      </c>
      <c r="M103" s="60">
        <f>'[1]Proyeksi Fasum'!U55</f>
        <v>4.093577641535596</v>
      </c>
      <c r="N103" s="60">
        <v>250</v>
      </c>
      <c r="O103" s="60">
        <f t="shared" si="35"/>
        <v>1023.394410383899</v>
      </c>
      <c r="P103" s="60">
        <v>500</v>
      </c>
      <c r="Q103" s="5" t="str">
        <f t="shared" si="31"/>
        <v>(L/bed/hari)</v>
      </c>
      <c r="R103" s="5">
        <f t="shared" si="32"/>
        <v>511697.2051919495</v>
      </c>
      <c r="S103" s="5">
        <f t="shared" si="33"/>
        <v>409357.76415355963</v>
      </c>
      <c r="T103" s="5">
        <f t="shared" si="34"/>
        <v>409.35776415355963</v>
      </c>
    </row>
    <row r="104" spans="2:20" x14ac:dyDescent="0.3">
      <c r="B104" s="60">
        <f>'[1]Proyeksi Fasum'!AC64</f>
        <v>2038</v>
      </c>
      <c r="C104" s="60">
        <f>'[1]Proyeksi Fasum'!V42</f>
        <v>45.937541023150779</v>
      </c>
      <c r="D104" s="60">
        <v>300</v>
      </c>
      <c r="E104" s="60">
        <f t="shared" si="27"/>
        <v>13781.262306945233</v>
      </c>
      <c r="F104" s="60">
        <v>40</v>
      </c>
      <c r="G104" s="5" t="s">
        <v>242</v>
      </c>
      <c r="H104" s="5">
        <f t="shared" si="28"/>
        <v>551250.4922778093</v>
      </c>
      <c r="I104" s="5">
        <f t="shared" si="29"/>
        <v>441000.39382224745</v>
      </c>
      <c r="J104" s="5">
        <f t="shared" si="30"/>
        <v>441.00039382224747</v>
      </c>
      <c r="L104" s="60">
        <f>'[1]Proyeksi Fasum'!AC64</f>
        <v>2038</v>
      </c>
      <c r="M104" s="60">
        <f>'[1]Proyeksi Fasum'!V55</f>
        <v>4.1761400930137071</v>
      </c>
      <c r="N104" s="60">
        <v>250</v>
      </c>
      <c r="O104" s="60">
        <f t="shared" si="35"/>
        <v>1044.0350232534267</v>
      </c>
      <c r="P104" s="60">
        <v>500</v>
      </c>
      <c r="Q104" s="5" t="str">
        <f t="shared" si="31"/>
        <v>(L/bed/hari)</v>
      </c>
      <c r="R104" s="5">
        <f t="shared" si="32"/>
        <v>522017.51162671339</v>
      </c>
      <c r="S104" s="5">
        <f t="shared" si="33"/>
        <v>417614.00930137071</v>
      </c>
      <c r="T104" s="5">
        <f t="shared" si="34"/>
        <v>417.61400930137069</v>
      </c>
    </row>
    <row r="105" spans="2:20" x14ac:dyDescent="0.3">
      <c r="B105" s="60">
        <f>'[1]Proyeksi Fasum'!AC65</f>
        <v>2039</v>
      </c>
      <c r="C105" s="60">
        <f>'[1]Proyeksi Fasum'!W42</f>
        <v>46.86404500911766</v>
      </c>
      <c r="D105" s="60">
        <v>300</v>
      </c>
      <c r="E105" s="60">
        <f t="shared" si="27"/>
        <v>14059.213502735298</v>
      </c>
      <c r="F105" s="60">
        <v>40</v>
      </c>
      <c r="G105" s="5" t="s">
        <v>242</v>
      </c>
      <c r="H105" s="5">
        <f t="shared" si="28"/>
        <v>562368.54010941193</v>
      </c>
      <c r="I105" s="5">
        <f t="shared" si="29"/>
        <v>449894.83208752959</v>
      </c>
      <c r="J105" s="5">
        <f t="shared" si="30"/>
        <v>449.89483208752961</v>
      </c>
      <c r="L105" s="60">
        <f>'[1]Proyeksi Fasum'!AC65</f>
        <v>2039</v>
      </c>
      <c r="M105" s="60">
        <f>'[1]Proyeksi Fasum'!W55</f>
        <v>4.2603677281016052</v>
      </c>
      <c r="N105" s="60">
        <v>250</v>
      </c>
      <c r="O105" s="60">
        <f t="shared" si="35"/>
        <v>1065.0919320254013</v>
      </c>
      <c r="P105" s="60">
        <v>500</v>
      </c>
      <c r="Q105" s="5" t="str">
        <f t="shared" si="31"/>
        <v>(L/bed/hari)</v>
      </c>
      <c r="R105" s="5">
        <f t="shared" si="32"/>
        <v>532545.96601270069</v>
      </c>
      <c r="S105" s="5">
        <f t="shared" si="33"/>
        <v>426036.77281016059</v>
      </c>
      <c r="T105" s="5">
        <f t="shared" si="34"/>
        <v>426.03677281016058</v>
      </c>
    </row>
    <row r="106" spans="2:20" x14ac:dyDescent="0.3">
      <c r="B106" s="60">
        <f>'[1]Proyeksi Fasum'!AC66</f>
        <v>2040</v>
      </c>
      <c r="C106" s="60">
        <f>'[1]Proyeksi Fasum'!X42</f>
        <v>47.80923544666409</v>
      </c>
      <c r="D106" s="60">
        <v>300</v>
      </c>
      <c r="E106" s="60">
        <f t="shared" si="27"/>
        <v>14342.770633999227</v>
      </c>
      <c r="F106" s="60">
        <v>40</v>
      </c>
      <c r="G106" s="5" t="s">
        <v>242</v>
      </c>
      <c r="H106" s="5">
        <f t="shared" si="28"/>
        <v>573710.82535996905</v>
      </c>
      <c r="I106" s="5">
        <f t="shared" si="29"/>
        <v>458968.66028797528</v>
      </c>
      <c r="J106" s="5">
        <f t="shared" si="30"/>
        <v>458.9686602879753</v>
      </c>
      <c r="L106" s="60">
        <f>'[1]Proyeksi Fasum'!AC66</f>
        <v>2040</v>
      </c>
      <c r="M106" s="60">
        <f>'[1]Proyeksi Fasum'!X55</f>
        <v>4.3462941315149166</v>
      </c>
      <c r="N106" s="60">
        <v>250</v>
      </c>
      <c r="O106" s="60">
        <f t="shared" si="35"/>
        <v>1086.5735328787291</v>
      </c>
      <c r="P106" s="60">
        <v>500</v>
      </c>
      <c r="Q106" s="5" t="str">
        <f t="shared" si="31"/>
        <v>(L/bed/hari)</v>
      </c>
      <c r="R106" s="5">
        <f t="shared" si="32"/>
        <v>543286.76643936452</v>
      </c>
      <c r="S106" s="5">
        <f t="shared" si="33"/>
        <v>434629.41315149167</v>
      </c>
      <c r="T106" s="5">
        <f t="shared" si="34"/>
        <v>434.62941315149169</v>
      </c>
    </row>
    <row r="107" spans="2:20" x14ac:dyDescent="0.3">
      <c r="B107" s="60">
        <f>'[1]Proyeksi Fasum'!AC67</f>
        <v>2041</v>
      </c>
      <c r="C107" s="60">
        <f>'[1]Proyeksi Fasum'!Y42</f>
        <v>48.77348921865071</v>
      </c>
      <c r="D107" s="60">
        <v>300</v>
      </c>
      <c r="E107" s="60">
        <f t="shared" si="27"/>
        <v>14632.046765595212</v>
      </c>
      <c r="F107" s="60">
        <v>40</v>
      </c>
      <c r="G107" s="5" t="s">
        <v>242</v>
      </c>
      <c r="H107" s="5">
        <f t="shared" si="28"/>
        <v>585281.87062380847</v>
      </c>
      <c r="I107" s="5">
        <f t="shared" si="29"/>
        <v>468225.4964990468</v>
      </c>
      <c r="J107" s="5">
        <f t="shared" si="30"/>
        <v>468.22549649904681</v>
      </c>
      <c r="L107" s="60">
        <f>'[1]Proyeksi Fasum'!AC67</f>
        <v>2041</v>
      </c>
      <c r="M107" s="60">
        <f>'[1]Proyeksi Fasum'!Y55</f>
        <v>4.4339535653318825</v>
      </c>
      <c r="N107" s="60">
        <v>250</v>
      </c>
      <c r="O107" s="60">
        <f t="shared" si="35"/>
        <v>1108.4883913329707</v>
      </c>
      <c r="P107" s="60">
        <v>500</v>
      </c>
      <c r="Q107" s="5" t="str">
        <f t="shared" si="31"/>
        <v>(L/bed/hari)</v>
      </c>
      <c r="R107" s="5">
        <f t="shared" si="32"/>
        <v>554244.19566648535</v>
      </c>
      <c r="S107" s="5">
        <f t="shared" si="33"/>
        <v>443395.35653318831</v>
      </c>
      <c r="T107" s="5">
        <f t="shared" si="34"/>
        <v>443.39535653318831</v>
      </c>
    </row>
    <row r="108" spans="2:20" x14ac:dyDescent="0.3">
      <c r="B108" s="60">
        <f>'[1]Proyeksi Fasum'!AC68</f>
        <v>2042</v>
      </c>
      <c r="C108" s="60">
        <f>'[1]Proyeksi Fasum'!Z42</f>
        <v>49.757190809204253</v>
      </c>
      <c r="D108" s="60">
        <v>300</v>
      </c>
      <c r="E108" s="60">
        <f t="shared" si="27"/>
        <v>14927.157242761275</v>
      </c>
      <c r="F108" s="60">
        <v>40</v>
      </c>
      <c r="G108" s="5" t="s">
        <v>242</v>
      </c>
      <c r="H108" s="5">
        <f t="shared" si="28"/>
        <v>597086.28971045103</v>
      </c>
      <c r="I108" s="5">
        <f t="shared" si="29"/>
        <v>477669.03176836087</v>
      </c>
      <c r="J108" s="5">
        <f t="shared" si="30"/>
        <v>477.66903176836087</v>
      </c>
      <c r="L108" s="60">
        <f>'[1]Proyeksi Fasum'!AC68</f>
        <v>2042</v>
      </c>
      <c r="M108" s="60">
        <f>'[1]Proyeksi Fasum'!Z55</f>
        <v>4.523380982654932</v>
      </c>
      <c r="N108" s="60">
        <v>250</v>
      </c>
      <c r="O108" s="60">
        <f t="shared" si="35"/>
        <v>1130.8452456637331</v>
      </c>
      <c r="P108" s="60">
        <v>500</v>
      </c>
      <c r="Q108" s="5" t="str">
        <f t="shared" si="31"/>
        <v>(L/bed/hari)</v>
      </c>
      <c r="R108" s="5">
        <f t="shared" si="32"/>
        <v>565422.62283186649</v>
      </c>
      <c r="S108" s="5">
        <f t="shared" si="33"/>
        <v>452338.09826549323</v>
      </c>
      <c r="T108" s="5">
        <f t="shared" si="34"/>
        <v>452.33809826549322</v>
      </c>
    </row>
    <row r="109" spans="2:20" x14ac:dyDescent="0.3">
      <c r="B109" s="60">
        <f>'[1]Proyeksi Fasum'!AC69</f>
        <v>2043</v>
      </c>
      <c r="C109" s="60">
        <f>'[1]Proyeksi Fasum'!AA42</f>
        <v>50.760732457025803</v>
      </c>
      <c r="D109" s="60">
        <v>300</v>
      </c>
      <c r="E109" s="60">
        <f t="shared" si="27"/>
        <v>15228.21973710774</v>
      </c>
      <c r="F109" s="60">
        <v>40</v>
      </c>
      <c r="G109" s="5" t="s">
        <v>242</v>
      </c>
      <c r="H109" s="5">
        <f t="shared" si="28"/>
        <v>609128.78948430961</v>
      </c>
      <c r="I109" s="5">
        <f t="shared" si="29"/>
        <v>487303.03158744774</v>
      </c>
      <c r="J109" s="5">
        <f t="shared" si="30"/>
        <v>487.30303158744772</v>
      </c>
      <c r="L109" s="60">
        <f>'[1]Proyeksi Fasum'!AC69</f>
        <v>2043</v>
      </c>
      <c r="M109" s="60">
        <f>'[1]Proyeksi Fasum'!AA55</f>
        <v>4.6146120415478</v>
      </c>
      <c r="N109" s="60">
        <v>250</v>
      </c>
      <c r="O109" s="60">
        <f t="shared" si="35"/>
        <v>1153.65301038695</v>
      </c>
      <c r="P109" s="60">
        <v>500</v>
      </c>
      <c r="Q109" s="5" t="str">
        <f t="shared" si="31"/>
        <v>(L/bed/hari)</v>
      </c>
      <c r="R109" s="5">
        <f t="shared" si="32"/>
        <v>576826.50519347494</v>
      </c>
      <c r="S109" s="5">
        <f t="shared" si="33"/>
        <v>461461.20415477996</v>
      </c>
      <c r="T109" s="5">
        <f t="shared" si="34"/>
        <v>461.46120415477998</v>
      </c>
    </row>
    <row r="111" spans="2:20" x14ac:dyDescent="0.3">
      <c r="B111" s="283" t="s">
        <v>205</v>
      </c>
      <c r="C111" s="283"/>
      <c r="D111" s="283"/>
      <c r="E111" s="283"/>
      <c r="F111" s="283"/>
      <c r="G111" s="283"/>
      <c r="H111" s="283"/>
      <c r="I111" s="283"/>
      <c r="J111" s="283"/>
      <c r="L111" s="283" t="s">
        <v>314</v>
      </c>
      <c r="M111" s="283"/>
      <c r="N111" s="283"/>
      <c r="O111" s="283"/>
      <c r="P111" s="283"/>
      <c r="Q111" s="283"/>
      <c r="R111" s="283"/>
      <c r="S111" s="283"/>
      <c r="T111" s="283"/>
    </row>
    <row r="112" spans="2:20" ht="14.4" customHeight="1" x14ac:dyDescent="0.3">
      <c r="B112" s="348" t="s">
        <v>98</v>
      </c>
      <c r="C112" s="342" t="s">
        <v>235</v>
      </c>
      <c r="D112" s="342" t="s">
        <v>236</v>
      </c>
      <c r="E112" s="342" t="s">
        <v>237</v>
      </c>
      <c r="F112" s="342" t="s">
        <v>241</v>
      </c>
      <c r="G112" s="342" t="s">
        <v>240</v>
      </c>
      <c r="H112" s="342" t="s">
        <v>238</v>
      </c>
      <c r="I112" s="342" t="s">
        <v>239</v>
      </c>
      <c r="J112" s="342" t="s">
        <v>250</v>
      </c>
      <c r="L112" s="343" t="s">
        <v>98</v>
      </c>
      <c r="M112" s="342" t="s">
        <v>235</v>
      </c>
      <c r="N112" s="342" t="s">
        <v>248</v>
      </c>
      <c r="O112" s="342" t="s">
        <v>249</v>
      </c>
      <c r="P112" s="342" t="s">
        <v>241</v>
      </c>
      <c r="Q112" s="345" t="s">
        <v>240</v>
      </c>
      <c r="R112" s="347" t="s">
        <v>238</v>
      </c>
      <c r="S112" s="347" t="s">
        <v>239</v>
      </c>
      <c r="T112" s="347" t="s">
        <v>250</v>
      </c>
    </row>
    <row r="113" spans="2:20" x14ac:dyDescent="0.3">
      <c r="B113" s="348"/>
      <c r="C113" s="342"/>
      <c r="D113" s="342"/>
      <c r="E113" s="342"/>
      <c r="F113" s="342"/>
      <c r="G113" s="342"/>
      <c r="H113" s="342"/>
      <c r="I113" s="342"/>
      <c r="J113" s="342"/>
      <c r="L113" s="344"/>
      <c r="M113" s="342"/>
      <c r="N113" s="342"/>
      <c r="O113" s="342"/>
      <c r="P113" s="342"/>
      <c r="Q113" s="346"/>
      <c r="R113" s="347"/>
      <c r="S113" s="347"/>
      <c r="T113" s="347"/>
    </row>
    <row r="114" spans="2:20" x14ac:dyDescent="0.3">
      <c r="B114" s="60">
        <f>'[1]Proyeksi Fasum'!AC49</f>
        <v>2023</v>
      </c>
      <c r="C114" s="60">
        <f>'[1]Proyeksi Fasum'!G43</f>
        <v>89.467303799676998</v>
      </c>
      <c r="D114" s="60">
        <v>540</v>
      </c>
      <c r="E114" s="60">
        <f>D114*C114</f>
        <v>48312.344051825581</v>
      </c>
      <c r="F114" s="60">
        <v>50</v>
      </c>
      <c r="G114" s="5" t="s">
        <v>242</v>
      </c>
      <c r="H114" s="5">
        <f>F114*E114</f>
        <v>2415617.2025912791</v>
      </c>
      <c r="I114" s="5">
        <f>80%*H114</f>
        <v>1932493.7620730232</v>
      </c>
      <c r="J114" s="5">
        <f>I114/1000</f>
        <v>1932.4937620730232</v>
      </c>
      <c r="L114" s="60">
        <f>'[1]Proyeksi Fasum'!AC49</f>
        <v>2023</v>
      </c>
      <c r="M114" s="60">
        <f>'[1]Proyeksi Fasum'!G57</f>
        <v>787.3122734371575</v>
      </c>
      <c r="N114" s="60">
        <v>1</v>
      </c>
      <c r="O114" s="60">
        <f>M114*N114</f>
        <v>787.3122734371575</v>
      </c>
      <c r="P114" s="60">
        <f>$F$29</f>
        <v>3000</v>
      </c>
      <c r="Q114" s="5" t="str">
        <f>$G$29</f>
        <v>(L/unit/hari)</v>
      </c>
      <c r="R114" s="5">
        <f>P114*O114</f>
        <v>2361936.8203114723</v>
      </c>
      <c r="S114" s="5">
        <f>80%*R114</f>
        <v>1889549.4562491779</v>
      </c>
      <c r="T114" s="5">
        <f>S114/1000</f>
        <v>1889.5494562491779</v>
      </c>
    </row>
    <row r="115" spans="2:20" x14ac:dyDescent="0.3">
      <c r="B115" s="60">
        <f>'[1]Proyeksi Fasum'!AC50</f>
        <v>2024</v>
      </c>
      <c r="C115" s="60">
        <f>'[1]Proyeksi Fasum'!H43</f>
        <v>91.271749830916164</v>
      </c>
      <c r="D115" s="60">
        <v>540</v>
      </c>
      <c r="E115" s="60">
        <f t="shared" ref="E115:E134" si="36">D115*C115</f>
        <v>49286.744908694731</v>
      </c>
      <c r="F115" s="60">
        <v>50</v>
      </c>
      <c r="G115" s="5" t="s">
        <v>242</v>
      </c>
      <c r="H115" s="5">
        <f t="shared" ref="H115:H134" si="37">F115*E115</f>
        <v>2464337.2454347364</v>
      </c>
      <c r="I115" s="5">
        <f t="shared" ref="I115:I134" si="38">80%*H115</f>
        <v>1971469.7963477892</v>
      </c>
      <c r="J115" s="5">
        <f t="shared" ref="J115:J134" si="39">I115/1000</f>
        <v>1971.4697963477893</v>
      </c>
      <c r="L115" s="60">
        <f>'[1]Proyeksi Fasum'!AC50</f>
        <v>2024</v>
      </c>
      <c r="M115" s="60">
        <f>'[1]Proyeksi Fasum'!H57</f>
        <v>803.19139851206228</v>
      </c>
      <c r="N115" s="60">
        <v>1</v>
      </c>
      <c r="O115" s="60">
        <f t="shared" ref="O115:O134" si="40">M115*N115</f>
        <v>803.19139851206228</v>
      </c>
      <c r="P115" s="60">
        <f t="shared" ref="P115:P134" si="41">$F$29</f>
        <v>3000</v>
      </c>
      <c r="Q115" s="5" t="str">
        <f t="shared" ref="Q115:Q134" si="42">$G$29</f>
        <v>(L/unit/hari)</v>
      </c>
      <c r="R115" s="5">
        <f t="shared" ref="R115:R134" si="43">P115*O115</f>
        <v>2409574.1955361869</v>
      </c>
      <c r="S115" s="5">
        <f t="shared" ref="S115:S134" si="44">80%*R115</f>
        <v>1927659.3564289496</v>
      </c>
      <c r="T115" s="5">
        <f t="shared" ref="T115:T134" si="45">S115/1000</f>
        <v>1927.6593564289496</v>
      </c>
    </row>
    <row r="116" spans="2:20" x14ac:dyDescent="0.3">
      <c r="B116" s="60">
        <f>'[1]Proyeksi Fasum'!AC51</f>
        <v>2025</v>
      </c>
      <c r="C116" s="60">
        <f>'[1]Proyeksi Fasum'!I43</f>
        <v>93.112589330398691</v>
      </c>
      <c r="D116" s="60">
        <v>540</v>
      </c>
      <c r="E116" s="60">
        <f t="shared" si="36"/>
        <v>50280.798238415293</v>
      </c>
      <c r="F116" s="60">
        <v>50</v>
      </c>
      <c r="G116" s="5" t="s">
        <v>242</v>
      </c>
      <c r="H116" s="5">
        <f t="shared" si="37"/>
        <v>2514039.9119207645</v>
      </c>
      <c r="I116" s="5">
        <f t="shared" si="38"/>
        <v>2011231.9295366118</v>
      </c>
      <c r="J116" s="5">
        <f t="shared" si="39"/>
        <v>2011.2319295366117</v>
      </c>
      <c r="L116" s="60">
        <f>'[1]Proyeksi Fasum'!AC51</f>
        <v>2025</v>
      </c>
      <c r="M116" s="60">
        <f>'[1]Proyeksi Fasum'!I57</f>
        <v>819.39078610750857</v>
      </c>
      <c r="N116" s="60">
        <v>1</v>
      </c>
      <c r="O116" s="60">
        <f t="shared" si="40"/>
        <v>819.39078610750857</v>
      </c>
      <c r="P116" s="60">
        <f t="shared" si="41"/>
        <v>3000</v>
      </c>
      <c r="Q116" s="5" t="str">
        <f t="shared" si="42"/>
        <v>(L/unit/hari)</v>
      </c>
      <c r="R116" s="5">
        <f t="shared" si="43"/>
        <v>2458172.3583225259</v>
      </c>
      <c r="S116" s="5">
        <f t="shared" si="44"/>
        <v>1966537.8866580208</v>
      </c>
      <c r="T116" s="5">
        <f t="shared" si="45"/>
        <v>1966.5378866580209</v>
      </c>
    </row>
    <row r="117" spans="2:20" x14ac:dyDescent="0.3">
      <c r="B117" s="60">
        <f>'[1]Proyeksi Fasum'!AC52</f>
        <v>2026</v>
      </c>
      <c r="C117" s="60">
        <f>'[1]Proyeksi Fasum'!J43</f>
        <v>94.99055630984229</v>
      </c>
      <c r="D117" s="60">
        <v>540</v>
      </c>
      <c r="E117" s="60">
        <f t="shared" si="36"/>
        <v>51294.900407314839</v>
      </c>
      <c r="F117" s="60">
        <v>50</v>
      </c>
      <c r="G117" s="5" t="s">
        <v>242</v>
      </c>
      <c r="H117" s="5">
        <f t="shared" si="37"/>
        <v>2564745.020365742</v>
      </c>
      <c r="I117" s="5">
        <f t="shared" si="38"/>
        <v>2051796.0162925937</v>
      </c>
      <c r="J117" s="5">
        <f t="shared" si="39"/>
        <v>2051.7960162925938</v>
      </c>
      <c r="L117" s="60">
        <f>'[1]Proyeksi Fasum'!AC52</f>
        <v>2026</v>
      </c>
      <c r="M117" s="60">
        <f>'[1]Proyeksi Fasum'!J57</f>
        <v>835.91689552661217</v>
      </c>
      <c r="N117" s="60">
        <v>1</v>
      </c>
      <c r="O117" s="60">
        <f t="shared" si="40"/>
        <v>835.91689552661217</v>
      </c>
      <c r="P117" s="60">
        <f t="shared" si="41"/>
        <v>3000</v>
      </c>
      <c r="Q117" s="5" t="str">
        <f t="shared" si="42"/>
        <v>(L/unit/hari)</v>
      </c>
      <c r="R117" s="5">
        <f t="shared" si="43"/>
        <v>2507750.6865798365</v>
      </c>
      <c r="S117" s="5">
        <f t="shared" si="44"/>
        <v>2006200.5492638694</v>
      </c>
      <c r="T117" s="5">
        <f t="shared" si="45"/>
        <v>2006.2005492638693</v>
      </c>
    </row>
    <row r="118" spans="2:20" x14ac:dyDescent="0.3">
      <c r="B118" s="60">
        <f>'[1]Proyeksi Fasum'!AC53</f>
        <v>2027</v>
      </c>
      <c r="C118" s="60">
        <f>'[1]Proyeksi Fasum'!K43</f>
        <v>96.90639958508261</v>
      </c>
      <c r="D118" s="60">
        <v>540</v>
      </c>
      <c r="E118" s="60">
        <f t="shared" si="36"/>
        <v>52329.455775944611</v>
      </c>
      <c r="F118" s="60">
        <v>50</v>
      </c>
      <c r="G118" s="5" t="s">
        <v>242</v>
      </c>
      <c r="H118" s="5">
        <f t="shared" si="37"/>
        <v>2616472.7887972305</v>
      </c>
      <c r="I118" s="5">
        <f t="shared" si="38"/>
        <v>2093178.2310377844</v>
      </c>
      <c r="J118" s="5">
        <f t="shared" si="39"/>
        <v>2093.1782310377844</v>
      </c>
      <c r="L118" s="60">
        <f>'[1]Proyeksi Fasum'!AC53</f>
        <v>2027</v>
      </c>
      <c r="M118" s="60">
        <f>'[1]Proyeksi Fasum'!K57</f>
        <v>852.77631634872694</v>
      </c>
      <c r="N118" s="60">
        <v>1</v>
      </c>
      <c r="O118" s="60">
        <f t="shared" si="40"/>
        <v>852.77631634872694</v>
      </c>
      <c r="P118" s="60">
        <f t="shared" si="41"/>
        <v>3000</v>
      </c>
      <c r="Q118" s="5" t="str">
        <f t="shared" si="42"/>
        <v>(L/unit/hari)</v>
      </c>
      <c r="R118" s="5">
        <f t="shared" si="43"/>
        <v>2558328.9490461806</v>
      </c>
      <c r="S118" s="5">
        <f t="shared" si="44"/>
        <v>2046663.1592369445</v>
      </c>
      <c r="T118" s="5">
        <f t="shared" si="45"/>
        <v>2046.6631592369445</v>
      </c>
    </row>
    <row r="119" spans="2:20" x14ac:dyDescent="0.3">
      <c r="B119" s="60">
        <f>'[1]Proyeksi Fasum'!AC54</f>
        <v>2028</v>
      </c>
      <c r="C119" s="60">
        <f>'[1]Proyeksi Fasum'!L43</f>
        <v>98.860883074654467</v>
      </c>
      <c r="D119" s="60">
        <v>540</v>
      </c>
      <c r="E119" s="60">
        <f t="shared" si="36"/>
        <v>53384.876860313409</v>
      </c>
      <c r="F119" s="60">
        <v>50</v>
      </c>
      <c r="G119" s="5" t="s">
        <v>242</v>
      </c>
      <c r="H119" s="5">
        <f t="shared" si="37"/>
        <v>2669243.8430156703</v>
      </c>
      <c r="I119" s="5">
        <f t="shared" si="38"/>
        <v>2135395.0744125363</v>
      </c>
      <c r="J119" s="5">
        <f t="shared" si="39"/>
        <v>2135.3950744125364</v>
      </c>
      <c r="L119" s="60">
        <f>'[1]Proyeksi Fasum'!AC54</f>
        <v>2028</v>
      </c>
      <c r="M119" s="60">
        <f>'[1]Proyeksi Fasum'!L57</f>
        <v>869.97577105695939</v>
      </c>
      <c r="N119" s="60">
        <v>1</v>
      </c>
      <c r="O119" s="60">
        <f t="shared" si="40"/>
        <v>869.97577105695939</v>
      </c>
      <c r="P119" s="60">
        <f t="shared" si="41"/>
        <v>3000</v>
      </c>
      <c r="Q119" s="5" t="str">
        <f t="shared" si="42"/>
        <v>(L/unit/hari)</v>
      </c>
      <c r="R119" s="5">
        <f t="shared" si="43"/>
        <v>2609927.3131708782</v>
      </c>
      <c r="S119" s="5">
        <f t="shared" si="44"/>
        <v>2087941.8505367027</v>
      </c>
      <c r="T119" s="5">
        <f t="shared" si="45"/>
        <v>2087.9418505367025</v>
      </c>
    </row>
    <row r="120" spans="2:20" x14ac:dyDescent="0.3">
      <c r="B120" s="60">
        <f>'[1]Proyeksi Fasum'!AC55</f>
        <v>2029</v>
      </c>
      <c r="C120" s="60">
        <f>'[1]Proyeksi Fasum'!M43</f>
        <v>100.85478610439459</v>
      </c>
      <c r="D120" s="60">
        <v>540</v>
      </c>
      <c r="E120" s="60">
        <f t="shared" si="36"/>
        <v>54461.584496373078</v>
      </c>
      <c r="F120" s="60">
        <v>50</v>
      </c>
      <c r="G120" s="5" t="s">
        <v>242</v>
      </c>
      <c r="H120" s="5">
        <f t="shared" si="37"/>
        <v>2723079.2248186539</v>
      </c>
      <c r="I120" s="5">
        <f t="shared" si="38"/>
        <v>2178463.3798549231</v>
      </c>
      <c r="J120" s="5">
        <f t="shared" si="39"/>
        <v>2178.463379854923</v>
      </c>
      <c r="L120" s="60">
        <f>'[1]Proyeksi Fasum'!AC55</f>
        <v>2029</v>
      </c>
      <c r="M120" s="60">
        <f>'[1]Proyeksi Fasum'!M57</f>
        <v>887.52211771867246</v>
      </c>
      <c r="N120" s="60">
        <v>1</v>
      </c>
      <c r="O120" s="60">
        <f t="shared" si="40"/>
        <v>887.52211771867246</v>
      </c>
      <c r="P120" s="60">
        <f t="shared" si="41"/>
        <v>3000</v>
      </c>
      <c r="Q120" s="5" t="str">
        <f t="shared" si="42"/>
        <v>(L/unit/hari)</v>
      </c>
      <c r="R120" s="5">
        <f t="shared" si="43"/>
        <v>2662566.3531560176</v>
      </c>
      <c r="S120" s="5">
        <f t="shared" si="44"/>
        <v>2130053.0825248142</v>
      </c>
      <c r="T120" s="5">
        <f t="shared" si="45"/>
        <v>2130.0530825248143</v>
      </c>
    </row>
    <row r="121" spans="2:20" x14ac:dyDescent="0.3">
      <c r="B121" s="60">
        <f>'[1]Proyeksi Fasum'!AC56</f>
        <v>2030</v>
      </c>
      <c r="C121" s="60">
        <f>'[1]Proyeksi Fasum'!N43</f>
        <v>102.88890371818826</v>
      </c>
      <c r="D121" s="60">
        <v>540</v>
      </c>
      <c r="E121" s="60">
        <f t="shared" si="36"/>
        <v>55560.008007821663</v>
      </c>
      <c r="F121" s="60">
        <v>50</v>
      </c>
      <c r="G121" s="5" t="s">
        <v>242</v>
      </c>
      <c r="H121" s="5">
        <f t="shared" si="37"/>
        <v>2778000.4003910832</v>
      </c>
      <c r="I121" s="5">
        <f t="shared" si="38"/>
        <v>2222400.3203128665</v>
      </c>
      <c r="J121" s="5">
        <f t="shared" si="39"/>
        <v>2222.4003203128664</v>
      </c>
      <c r="L121" s="60">
        <f>'[1]Proyeksi Fasum'!AC56</f>
        <v>2030</v>
      </c>
      <c r="M121" s="60">
        <f>'[1]Proyeksi Fasum'!N57</f>
        <v>905.42235272005678</v>
      </c>
      <c r="N121" s="60">
        <v>1</v>
      </c>
      <c r="O121" s="60">
        <f t="shared" si="40"/>
        <v>905.42235272005678</v>
      </c>
      <c r="P121" s="60">
        <f t="shared" si="41"/>
        <v>3000</v>
      </c>
      <c r="Q121" s="5" t="str">
        <f t="shared" si="42"/>
        <v>(L/unit/hari)</v>
      </c>
      <c r="R121" s="5">
        <f t="shared" si="43"/>
        <v>2716267.0581601704</v>
      </c>
      <c r="S121" s="5">
        <f t="shared" si="44"/>
        <v>2173013.6465281365</v>
      </c>
      <c r="T121" s="5">
        <f t="shared" si="45"/>
        <v>2173.0136465281366</v>
      </c>
    </row>
    <row r="122" spans="2:20" x14ac:dyDescent="0.3">
      <c r="B122" s="60">
        <f>'[1]Proyeksi Fasum'!AC57</f>
        <v>2031</v>
      </c>
      <c r="C122" s="60">
        <f>'[1]Proyeksi Fasum'!O43</f>
        <v>104.96404699498278</v>
      </c>
      <c r="D122" s="60">
        <v>540</v>
      </c>
      <c r="E122" s="60">
        <f t="shared" si="36"/>
        <v>56680.585377290699</v>
      </c>
      <c r="F122" s="60">
        <v>50</v>
      </c>
      <c r="G122" s="5" t="s">
        <v>242</v>
      </c>
      <c r="H122" s="5">
        <f t="shared" si="37"/>
        <v>2834029.2688645348</v>
      </c>
      <c r="I122" s="5">
        <f t="shared" si="38"/>
        <v>2267223.4150916277</v>
      </c>
      <c r="J122" s="5">
        <f t="shared" si="39"/>
        <v>2267.2234150916279</v>
      </c>
      <c r="L122" s="60">
        <f>'[1]Proyeksi Fasum'!AC57</f>
        <v>2031</v>
      </c>
      <c r="M122" s="60">
        <f>'[1]Proyeksi Fasum'!O57</f>
        <v>923.68361355584841</v>
      </c>
      <c r="N122" s="60">
        <v>1</v>
      </c>
      <c r="O122" s="60">
        <f t="shared" si="40"/>
        <v>923.68361355584841</v>
      </c>
      <c r="P122" s="60">
        <f t="shared" si="41"/>
        <v>3000</v>
      </c>
      <c r="Q122" s="5" t="str">
        <f t="shared" si="42"/>
        <v>(L/unit/hari)</v>
      </c>
      <c r="R122" s="5">
        <f t="shared" si="43"/>
        <v>2771050.8406675453</v>
      </c>
      <c r="S122" s="5">
        <f t="shared" si="44"/>
        <v>2216840.6725340365</v>
      </c>
      <c r="T122" s="5">
        <f t="shared" si="45"/>
        <v>2216.8406725340365</v>
      </c>
    </row>
    <row r="123" spans="2:20" x14ac:dyDescent="0.3">
      <c r="B123" s="60">
        <f>'[1]Proyeksi Fasum'!AC58</f>
        <v>2032</v>
      </c>
      <c r="C123" s="60">
        <f>'[1]Proyeksi Fasum'!P43</f>
        <v>107.08104337219537</v>
      </c>
      <c r="D123" s="60">
        <v>540</v>
      </c>
      <c r="E123" s="60">
        <f t="shared" si="36"/>
        <v>57823.763420985495</v>
      </c>
      <c r="F123" s="60">
        <v>50</v>
      </c>
      <c r="G123" s="5" t="s">
        <v>242</v>
      </c>
      <c r="H123" s="5">
        <f t="shared" si="37"/>
        <v>2891188.171049275</v>
      </c>
      <c r="I123" s="5">
        <f t="shared" si="38"/>
        <v>2312950.53683942</v>
      </c>
      <c r="J123" s="5">
        <f t="shared" si="39"/>
        <v>2312.9505368394198</v>
      </c>
      <c r="L123" s="60">
        <f>'[1]Proyeksi Fasum'!AC58</f>
        <v>2032</v>
      </c>
      <c r="M123" s="60">
        <f>'[1]Proyeksi Fasum'!P57</f>
        <v>942.31318167531924</v>
      </c>
      <c r="N123" s="60">
        <v>1</v>
      </c>
      <c r="O123" s="60">
        <f t="shared" si="40"/>
        <v>942.31318167531924</v>
      </c>
      <c r="P123" s="60">
        <f t="shared" si="41"/>
        <v>3000</v>
      </c>
      <c r="Q123" s="5" t="str">
        <f t="shared" si="42"/>
        <v>(L/unit/hari)</v>
      </c>
      <c r="R123" s="5">
        <f t="shared" si="43"/>
        <v>2826939.5450259577</v>
      </c>
      <c r="S123" s="5">
        <f t="shared" si="44"/>
        <v>2261551.6360207661</v>
      </c>
      <c r="T123" s="5">
        <f t="shared" si="45"/>
        <v>2261.5516360207662</v>
      </c>
    </row>
    <row r="124" spans="2:20" x14ac:dyDescent="0.3">
      <c r="B124" s="60">
        <f>'[1]Proyeksi Fasum'!AC59</f>
        <v>2033</v>
      </c>
      <c r="C124" s="60">
        <f>'[1]Proyeksi Fasum'!Q43</f>
        <v>109.24073697564344</v>
      </c>
      <c r="D124" s="60">
        <v>540</v>
      </c>
      <c r="E124" s="60">
        <f t="shared" si="36"/>
        <v>58989.997966847463</v>
      </c>
      <c r="F124" s="60">
        <v>50</v>
      </c>
      <c r="G124" s="5" t="s">
        <v>242</v>
      </c>
      <c r="H124" s="5">
        <f t="shared" si="37"/>
        <v>2949499.8983423733</v>
      </c>
      <c r="I124" s="5">
        <f t="shared" si="38"/>
        <v>2359599.9186738986</v>
      </c>
      <c r="J124" s="5">
        <f t="shared" si="39"/>
        <v>2359.5999186738986</v>
      </c>
      <c r="L124" s="60">
        <f>'[1]Proyeksi Fasum'!AC59</f>
        <v>2033</v>
      </c>
      <c r="M124" s="60">
        <f>'[1]Proyeksi Fasum'!Q57</f>
        <v>961.31848538566226</v>
      </c>
      <c r="N124" s="60">
        <v>1</v>
      </c>
      <c r="O124" s="60">
        <f t="shared" si="40"/>
        <v>961.31848538566226</v>
      </c>
      <c r="P124" s="60">
        <f t="shared" si="41"/>
        <v>3000</v>
      </c>
      <c r="Q124" s="5" t="str">
        <f t="shared" si="42"/>
        <v>(L/unit/hari)</v>
      </c>
      <c r="R124" s="5">
        <f t="shared" si="43"/>
        <v>2883955.4561569868</v>
      </c>
      <c r="S124" s="5">
        <f t="shared" si="44"/>
        <v>2307164.3649255894</v>
      </c>
      <c r="T124" s="5">
        <f t="shared" si="45"/>
        <v>2307.1643649255893</v>
      </c>
    </row>
    <row r="125" spans="2:20" x14ac:dyDescent="0.3">
      <c r="B125" s="60">
        <f>'[1]Proyeksi Fasum'!AC60</f>
        <v>2034</v>
      </c>
      <c r="C125" s="60">
        <f>'[1]Proyeksi Fasum'!R43</f>
        <v>111.443988956129</v>
      </c>
      <c r="D125" s="60">
        <v>540</v>
      </c>
      <c r="E125" s="60">
        <f t="shared" si="36"/>
        <v>60179.754036309663</v>
      </c>
      <c r="F125" s="60">
        <v>50</v>
      </c>
      <c r="G125" s="5" t="s">
        <v>242</v>
      </c>
      <c r="H125" s="5">
        <f t="shared" si="37"/>
        <v>3008987.7018154832</v>
      </c>
      <c r="I125" s="5">
        <f t="shared" si="38"/>
        <v>2407190.1614523865</v>
      </c>
      <c r="J125" s="5">
        <f t="shared" si="39"/>
        <v>2407.1901614523867</v>
      </c>
      <c r="L125" s="60">
        <f>'[1]Proyeksi Fasum'!AC60</f>
        <v>2034</v>
      </c>
      <c r="M125" s="60">
        <f>'[1]Proyeksi Fasum'!R57</f>
        <v>980.70710281393519</v>
      </c>
      <c r="N125" s="60">
        <v>1</v>
      </c>
      <c r="O125" s="60">
        <f t="shared" si="40"/>
        <v>980.70710281393519</v>
      </c>
      <c r="P125" s="60">
        <f t="shared" si="41"/>
        <v>3000</v>
      </c>
      <c r="Q125" s="5" t="str">
        <f t="shared" si="42"/>
        <v>(L/unit/hari)</v>
      </c>
      <c r="R125" s="5">
        <f t="shared" si="43"/>
        <v>2942121.3084418057</v>
      </c>
      <c r="S125" s="5">
        <f t="shared" si="44"/>
        <v>2353697.0467534447</v>
      </c>
      <c r="T125" s="5">
        <f t="shared" si="45"/>
        <v>2353.6970467534447</v>
      </c>
    </row>
    <row r="126" spans="2:20" x14ac:dyDescent="0.3">
      <c r="B126" s="60">
        <f>'[1]Proyeksi Fasum'!AC61</f>
        <v>2035</v>
      </c>
      <c r="C126" s="60">
        <f>'[1]Proyeksi Fasum'!S43</f>
        <v>111.443988956129</v>
      </c>
      <c r="D126" s="60">
        <v>540</v>
      </c>
      <c r="E126" s="60">
        <f t="shared" si="36"/>
        <v>60179.754036309663</v>
      </c>
      <c r="F126" s="60">
        <v>50</v>
      </c>
      <c r="G126" s="5" t="s">
        <v>242</v>
      </c>
      <c r="H126" s="5">
        <f t="shared" si="37"/>
        <v>3008987.7018154832</v>
      </c>
      <c r="I126" s="5">
        <f t="shared" si="38"/>
        <v>2407190.1614523865</v>
      </c>
      <c r="J126" s="5">
        <f t="shared" si="39"/>
        <v>2407.1901614523867</v>
      </c>
      <c r="L126" s="60">
        <f>'[1]Proyeksi Fasum'!AC61</f>
        <v>2035</v>
      </c>
      <c r="M126" s="60">
        <f>'[1]Proyeksi Fasum'!S57</f>
        <v>980.70710281393519</v>
      </c>
      <c r="N126" s="60">
        <v>1</v>
      </c>
      <c r="O126" s="60">
        <f t="shared" si="40"/>
        <v>980.70710281393519</v>
      </c>
      <c r="P126" s="60">
        <f t="shared" si="41"/>
        <v>3000</v>
      </c>
      <c r="Q126" s="5" t="str">
        <f t="shared" si="42"/>
        <v>(L/unit/hari)</v>
      </c>
      <c r="R126" s="5">
        <f t="shared" si="43"/>
        <v>2942121.3084418057</v>
      </c>
      <c r="S126" s="5">
        <f t="shared" si="44"/>
        <v>2353697.0467534447</v>
      </c>
      <c r="T126" s="5">
        <f t="shared" si="45"/>
        <v>2353.6970467534447</v>
      </c>
    </row>
    <row r="127" spans="2:20" x14ac:dyDescent="0.3">
      <c r="B127" s="60">
        <f>'[1]Proyeksi Fasum'!AC62</f>
        <v>2036</v>
      </c>
      <c r="C127" s="60">
        <f>'[1]Proyeksi Fasum'!T43</f>
        <v>113.69167783281198</v>
      </c>
      <c r="D127" s="60">
        <v>540</v>
      </c>
      <c r="E127" s="60">
        <f t="shared" si="36"/>
        <v>61393.506029718468</v>
      </c>
      <c r="F127" s="60">
        <v>50</v>
      </c>
      <c r="G127" s="5" t="s">
        <v>242</v>
      </c>
      <c r="H127" s="5">
        <f t="shared" si="37"/>
        <v>3069675.3014859236</v>
      </c>
      <c r="I127" s="5">
        <f t="shared" si="38"/>
        <v>2455740.241188739</v>
      </c>
      <c r="J127" s="5">
        <f t="shared" si="39"/>
        <v>2455.7402411887388</v>
      </c>
      <c r="L127" s="60">
        <f>'[1]Proyeksi Fasum'!AC62</f>
        <v>2036</v>
      </c>
      <c r="M127" s="60">
        <f>'[1]Proyeksi Fasum'!T57</f>
        <v>1000.4867649287454</v>
      </c>
      <c r="N127" s="60">
        <v>1</v>
      </c>
      <c r="O127" s="60">
        <f t="shared" si="40"/>
        <v>1000.4867649287454</v>
      </c>
      <c r="P127" s="60">
        <f t="shared" si="41"/>
        <v>3000</v>
      </c>
      <c r="Q127" s="5" t="str">
        <f t="shared" si="42"/>
        <v>(L/unit/hari)</v>
      </c>
      <c r="R127" s="5">
        <f t="shared" si="43"/>
        <v>3001460.2947862362</v>
      </c>
      <c r="S127" s="5">
        <f t="shared" si="44"/>
        <v>2401168.2358289892</v>
      </c>
      <c r="T127" s="5">
        <f t="shared" si="45"/>
        <v>2401.1682358289891</v>
      </c>
    </row>
    <row r="128" spans="2:20" x14ac:dyDescent="0.3">
      <c r="B128" s="60">
        <f>'[1]Proyeksi Fasum'!AC63</f>
        <v>2037</v>
      </c>
      <c r="C128" s="60">
        <f>'[1]Proyeksi Fasum'!U43</f>
        <v>115.98469984350854</v>
      </c>
      <c r="D128" s="60">
        <v>540</v>
      </c>
      <c r="E128" s="60">
        <f t="shared" si="36"/>
        <v>62631.73791549461</v>
      </c>
      <c r="F128" s="60">
        <v>50</v>
      </c>
      <c r="G128" s="5" t="s">
        <v>242</v>
      </c>
      <c r="H128" s="5">
        <f t="shared" si="37"/>
        <v>3131586.8957747305</v>
      </c>
      <c r="I128" s="5">
        <f t="shared" si="38"/>
        <v>2505269.5166197843</v>
      </c>
      <c r="J128" s="5">
        <f t="shared" si="39"/>
        <v>2505.2695166197841</v>
      </c>
      <c r="L128" s="60">
        <f>'[1]Proyeksi Fasum'!AC63</f>
        <v>2037</v>
      </c>
      <c r="M128" s="60">
        <f>'[1]Proyeksi Fasum'!U57</f>
        <v>1020.6653586228751</v>
      </c>
      <c r="N128" s="60">
        <v>1</v>
      </c>
      <c r="O128" s="60">
        <f t="shared" si="40"/>
        <v>1020.6653586228751</v>
      </c>
      <c r="P128" s="60">
        <f t="shared" si="41"/>
        <v>3000</v>
      </c>
      <c r="Q128" s="5" t="str">
        <f t="shared" si="42"/>
        <v>(L/unit/hari)</v>
      </c>
      <c r="R128" s="5">
        <f t="shared" si="43"/>
        <v>3061996.0758686257</v>
      </c>
      <c r="S128" s="5">
        <f t="shared" si="44"/>
        <v>2449596.8606949006</v>
      </c>
      <c r="T128" s="5">
        <f t="shared" si="45"/>
        <v>2449.5968606949004</v>
      </c>
    </row>
    <row r="129" spans="2:20" x14ac:dyDescent="0.3">
      <c r="B129" s="60">
        <f>'[1]Proyeksi Fasum'!AC64</f>
        <v>2038</v>
      </c>
      <c r="C129" s="60">
        <f>'[1]Proyeksi Fasum'!V43</f>
        <v>118.32396930205505</v>
      </c>
      <c r="D129" s="60">
        <v>540</v>
      </c>
      <c r="E129" s="60">
        <f t="shared" si="36"/>
        <v>63894.943423109726</v>
      </c>
      <c r="F129" s="60">
        <v>50</v>
      </c>
      <c r="G129" s="5" t="s">
        <v>242</v>
      </c>
      <c r="H129" s="5">
        <f t="shared" si="37"/>
        <v>3194747.1711554863</v>
      </c>
      <c r="I129" s="5">
        <f t="shared" si="38"/>
        <v>2555797.7369243894</v>
      </c>
      <c r="J129" s="5">
        <f t="shared" si="39"/>
        <v>2555.7977369243895</v>
      </c>
      <c r="L129" s="60">
        <f>'[1]Proyeksi Fasum'!AC64</f>
        <v>2038</v>
      </c>
      <c r="M129" s="60">
        <f>'[1]Proyeksi Fasum'!V57</f>
        <v>1041.2509298580844</v>
      </c>
      <c r="N129" s="60">
        <v>1</v>
      </c>
      <c r="O129" s="60">
        <f t="shared" si="40"/>
        <v>1041.2509298580844</v>
      </c>
      <c r="P129" s="60">
        <f t="shared" si="41"/>
        <v>3000</v>
      </c>
      <c r="Q129" s="5" t="str">
        <f t="shared" si="42"/>
        <v>(L/unit/hari)</v>
      </c>
      <c r="R129" s="5">
        <f t="shared" si="43"/>
        <v>3123752.7895742534</v>
      </c>
      <c r="S129" s="5">
        <f t="shared" si="44"/>
        <v>2499002.2316594026</v>
      </c>
      <c r="T129" s="5">
        <f t="shared" si="45"/>
        <v>2499.0022316594027</v>
      </c>
    </row>
    <row r="130" spans="2:20" x14ac:dyDescent="0.3">
      <c r="B130" s="60">
        <f>'[1]Proyeksi Fasum'!AC65</f>
        <v>2039</v>
      </c>
      <c r="C130" s="60">
        <f>'[1]Proyeksi Fasum'!W43</f>
        <v>120.71041896287882</v>
      </c>
      <c r="D130" s="60">
        <v>540</v>
      </c>
      <c r="E130" s="60">
        <f t="shared" si="36"/>
        <v>65183.626239954559</v>
      </c>
      <c r="F130" s="60">
        <v>50</v>
      </c>
      <c r="G130" s="5" t="s">
        <v>242</v>
      </c>
      <c r="H130" s="5">
        <f t="shared" si="37"/>
        <v>3259181.311997728</v>
      </c>
      <c r="I130" s="5">
        <f t="shared" si="38"/>
        <v>2607345.0495981826</v>
      </c>
      <c r="J130" s="5">
        <f t="shared" si="39"/>
        <v>2607.3450495981824</v>
      </c>
      <c r="L130" s="60">
        <f>'[1]Proyeksi Fasum'!AC65</f>
        <v>2039</v>
      </c>
      <c r="M130" s="60">
        <f>'[1]Proyeksi Fasum'!W57</f>
        <v>1062.2516868733337</v>
      </c>
      <c r="N130" s="60">
        <v>1</v>
      </c>
      <c r="O130" s="60">
        <f t="shared" si="40"/>
        <v>1062.2516868733337</v>
      </c>
      <c r="P130" s="60">
        <f t="shared" si="41"/>
        <v>3000</v>
      </c>
      <c r="Q130" s="5" t="str">
        <f t="shared" si="42"/>
        <v>(L/unit/hari)</v>
      </c>
      <c r="R130" s="5">
        <f t="shared" si="43"/>
        <v>3186755.0606200011</v>
      </c>
      <c r="S130" s="5">
        <f t="shared" si="44"/>
        <v>2549404.0484960009</v>
      </c>
      <c r="T130" s="5">
        <f t="shared" si="45"/>
        <v>2549.404048496001</v>
      </c>
    </row>
    <row r="131" spans="2:20" x14ac:dyDescent="0.3">
      <c r="B131" s="60">
        <f>'[1]Proyeksi Fasum'!AC66</f>
        <v>2040</v>
      </c>
      <c r="C131" s="60">
        <f>'[1]Proyeksi Fasum'!X43</f>
        <v>123.14500039292265</v>
      </c>
      <c r="D131" s="60">
        <v>540</v>
      </c>
      <c r="E131" s="60">
        <f t="shared" si="36"/>
        <v>66498.300212178234</v>
      </c>
      <c r="F131" s="60">
        <v>50</v>
      </c>
      <c r="G131" s="5" t="s">
        <v>242</v>
      </c>
      <c r="H131" s="5">
        <f t="shared" si="37"/>
        <v>3324915.0106089115</v>
      </c>
      <c r="I131" s="5">
        <f t="shared" si="38"/>
        <v>2659932.0084871296</v>
      </c>
      <c r="J131" s="5">
        <f t="shared" si="39"/>
        <v>2659.9320084871297</v>
      </c>
      <c r="L131" s="60">
        <f>'[1]Proyeksi Fasum'!AC66</f>
        <v>2040</v>
      </c>
      <c r="M131" s="60">
        <f>'[1]Proyeksi Fasum'!X57</f>
        <v>1083.6760034577194</v>
      </c>
      <c r="N131" s="60">
        <v>1</v>
      </c>
      <c r="O131" s="60">
        <f t="shared" si="40"/>
        <v>1083.6760034577194</v>
      </c>
      <c r="P131" s="60">
        <f t="shared" si="41"/>
        <v>3000</v>
      </c>
      <c r="Q131" s="5" t="str">
        <f t="shared" si="42"/>
        <v>(L/unit/hari)</v>
      </c>
      <c r="R131" s="5">
        <f t="shared" si="43"/>
        <v>3251028.0103731584</v>
      </c>
      <c r="S131" s="5">
        <f t="shared" si="44"/>
        <v>2600822.4082985269</v>
      </c>
      <c r="T131" s="5">
        <f t="shared" si="45"/>
        <v>2600.8224082985271</v>
      </c>
    </row>
    <row r="132" spans="2:20" x14ac:dyDescent="0.3">
      <c r="B132" s="60">
        <f>'[1]Proyeksi Fasum'!AC67</f>
        <v>2041</v>
      </c>
      <c r="C132" s="60">
        <f>'[1]Proyeksi Fasum'!Y43</f>
        <v>125.62868435107001</v>
      </c>
      <c r="D132" s="60">
        <v>540</v>
      </c>
      <c r="E132" s="60">
        <f t="shared" si="36"/>
        <v>67839.489549577804</v>
      </c>
      <c r="F132" s="60">
        <v>50</v>
      </c>
      <c r="G132" s="5" t="s">
        <v>242</v>
      </c>
      <c r="H132" s="5">
        <f t="shared" si="37"/>
        <v>3391974.4774788902</v>
      </c>
      <c r="I132" s="5">
        <f t="shared" si="38"/>
        <v>2713579.5819831123</v>
      </c>
      <c r="J132" s="5">
        <f t="shared" si="39"/>
        <v>2713.5795819831123</v>
      </c>
      <c r="L132" s="60">
        <f>'[1]Proyeksi Fasum'!AC67</f>
        <v>2041</v>
      </c>
      <c r="M132" s="60">
        <f>'[1]Proyeksi Fasum'!Y57</f>
        <v>1105.532422289416</v>
      </c>
      <c r="N132" s="60">
        <v>1</v>
      </c>
      <c r="O132" s="60">
        <f t="shared" si="40"/>
        <v>1105.532422289416</v>
      </c>
      <c r="P132" s="60">
        <f t="shared" si="41"/>
        <v>3000</v>
      </c>
      <c r="Q132" s="5" t="str">
        <f t="shared" si="42"/>
        <v>(L/unit/hari)</v>
      </c>
      <c r="R132" s="5">
        <f t="shared" si="43"/>
        <v>3316597.2668682481</v>
      </c>
      <c r="S132" s="5">
        <f t="shared" si="44"/>
        <v>2653277.8134945985</v>
      </c>
      <c r="T132" s="5">
        <f t="shared" si="45"/>
        <v>2653.2778134945984</v>
      </c>
    </row>
    <row r="133" spans="2:20" x14ac:dyDescent="0.3">
      <c r="B133" s="60">
        <f>'[1]Proyeksi Fasum'!AC68</f>
        <v>2042</v>
      </c>
      <c r="C133" s="60">
        <f>'[1]Proyeksi Fasum'!Z43</f>
        <v>128.16246117522309</v>
      </c>
      <c r="D133" s="60">
        <v>540</v>
      </c>
      <c r="E133" s="60">
        <f t="shared" si="36"/>
        <v>69207.729034620468</v>
      </c>
      <c r="F133" s="60">
        <v>50</v>
      </c>
      <c r="G133" s="5" t="s">
        <v>242</v>
      </c>
      <c r="H133" s="5">
        <f t="shared" si="37"/>
        <v>3460386.4517310234</v>
      </c>
      <c r="I133" s="5">
        <f t="shared" si="38"/>
        <v>2768309.1613848191</v>
      </c>
      <c r="J133" s="5">
        <f t="shared" si="39"/>
        <v>2768.3091613848192</v>
      </c>
      <c r="L133" s="60">
        <f>'[1]Proyeksi Fasum'!AC68</f>
        <v>2042</v>
      </c>
      <c r="M133" s="60">
        <f>'[1]Proyeksi Fasum'!Z57</f>
        <v>1127.8296583419631</v>
      </c>
      <c r="N133" s="60">
        <v>1</v>
      </c>
      <c r="O133" s="60">
        <f t="shared" si="40"/>
        <v>1127.8296583419631</v>
      </c>
      <c r="P133" s="60">
        <f t="shared" si="41"/>
        <v>3000</v>
      </c>
      <c r="Q133" s="5" t="str">
        <f t="shared" si="42"/>
        <v>(L/unit/hari)</v>
      </c>
      <c r="R133" s="5">
        <f t="shared" si="43"/>
        <v>3383488.975025889</v>
      </c>
      <c r="S133" s="5">
        <f t="shared" si="44"/>
        <v>2706791.1800207114</v>
      </c>
      <c r="T133" s="5">
        <f t="shared" si="45"/>
        <v>2706.7911800207112</v>
      </c>
    </row>
    <row r="134" spans="2:20" x14ac:dyDescent="0.3">
      <c r="B134" s="60">
        <f>'[1]Proyeksi Fasum'!AC69</f>
        <v>2043</v>
      </c>
      <c r="C134" s="60">
        <f>'[1]Proyeksi Fasum'!AA43</f>
        <v>130.74734117718768</v>
      </c>
      <c r="D134" s="60">
        <v>540</v>
      </c>
      <c r="E134" s="60">
        <f t="shared" si="36"/>
        <v>70603.564235681348</v>
      </c>
      <c r="F134" s="60">
        <v>50</v>
      </c>
      <c r="G134" s="5" t="s">
        <v>242</v>
      </c>
      <c r="H134" s="5">
        <f t="shared" si="37"/>
        <v>3530178.2117840676</v>
      </c>
      <c r="I134" s="5">
        <f t="shared" si="38"/>
        <v>2824142.5694272541</v>
      </c>
      <c r="J134" s="5">
        <f t="shared" si="39"/>
        <v>2824.1425694272543</v>
      </c>
      <c r="L134" s="60">
        <f>'[1]Proyeksi Fasum'!AC69</f>
        <v>2043</v>
      </c>
      <c r="M134" s="60">
        <f>'[1]Proyeksi Fasum'!AA57</f>
        <v>1150.5766023592516</v>
      </c>
      <c r="N134" s="60">
        <v>1</v>
      </c>
      <c r="O134" s="60">
        <f t="shared" si="40"/>
        <v>1150.5766023592516</v>
      </c>
      <c r="P134" s="60">
        <f t="shared" si="41"/>
        <v>3000</v>
      </c>
      <c r="Q134" s="5" t="str">
        <f t="shared" si="42"/>
        <v>(L/unit/hari)</v>
      </c>
      <c r="R134" s="5">
        <f t="shared" si="43"/>
        <v>3451729.8070777548</v>
      </c>
      <c r="S134" s="5">
        <f t="shared" si="44"/>
        <v>2761383.8456622041</v>
      </c>
      <c r="T134" s="5">
        <f t="shared" si="45"/>
        <v>2761.3838456622043</v>
      </c>
    </row>
    <row r="136" spans="2:20" x14ac:dyDescent="0.3">
      <c r="B136" s="283" t="s">
        <v>206</v>
      </c>
      <c r="C136" s="283"/>
      <c r="D136" s="283"/>
      <c r="E136" s="283"/>
      <c r="F136" s="283"/>
      <c r="G136" s="283"/>
      <c r="H136" s="283"/>
      <c r="I136" s="283"/>
      <c r="J136" s="283"/>
      <c r="L136" s="283" t="s">
        <v>270</v>
      </c>
      <c r="M136" s="283"/>
      <c r="N136" s="283"/>
      <c r="O136" s="283"/>
      <c r="P136" s="283"/>
      <c r="Q136" s="283"/>
      <c r="R136" s="283"/>
      <c r="S136" s="283"/>
      <c r="T136" s="283"/>
    </row>
    <row r="137" spans="2:20" x14ac:dyDescent="0.3">
      <c r="B137" s="348" t="s">
        <v>98</v>
      </c>
      <c r="C137" s="342" t="s">
        <v>235</v>
      </c>
      <c r="D137" s="342" t="s">
        <v>236</v>
      </c>
      <c r="E137" s="342" t="s">
        <v>237</v>
      </c>
      <c r="F137" s="342" t="s">
        <v>241</v>
      </c>
      <c r="G137" s="342" t="s">
        <v>240</v>
      </c>
      <c r="H137" s="342" t="s">
        <v>238</v>
      </c>
      <c r="I137" s="342" t="s">
        <v>239</v>
      </c>
      <c r="J137" s="342" t="s">
        <v>250</v>
      </c>
      <c r="L137" s="343" t="s">
        <v>98</v>
      </c>
      <c r="M137" s="342" t="s">
        <v>235</v>
      </c>
      <c r="N137" s="342" t="s">
        <v>248</v>
      </c>
      <c r="O137" s="342" t="s">
        <v>249</v>
      </c>
      <c r="P137" s="342" t="s">
        <v>241</v>
      </c>
      <c r="Q137" s="345" t="s">
        <v>240</v>
      </c>
      <c r="R137" s="347" t="s">
        <v>238</v>
      </c>
      <c r="S137" s="347" t="s">
        <v>239</v>
      </c>
      <c r="T137" s="347" t="s">
        <v>250</v>
      </c>
    </row>
    <row r="138" spans="2:20" x14ac:dyDescent="0.3">
      <c r="B138" s="348"/>
      <c r="C138" s="342"/>
      <c r="D138" s="342"/>
      <c r="E138" s="342"/>
      <c r="F138" s="342"/>
      <c r="G138" s="342"/>
      <c r="H138" s="342"/>
      <c r="I138" s="342"/>
      <c r="J138" s="342"/>
      <c r="L138" s="344"/>
      <c r="M138" s="342"/>
      <c r="N138" s="342"/>
      <c r="O138" s="342"/>
      <c r="P138" s="342"/>
      <c r="Q138" s="346"/>
      <c r="R138" s="347"/>
      <c r="S138" s="347"/>
      <c r="T138" s="347"/>
    </row>
    <row r="139" spans="2:20" x14ac:dyDescent="0.3">
      <c r="B139" s="60">
        <f>'[1]Proyeksi Fasum'!AC49</f>
        <v>2023</v>
      </c>
      <c r="C139" s="60">
        <f>'[1]Proyeksi Fasum'!G44</f>
        <v>51.575269249225563</v>
      </c>
      <c r="D139" s="60">
        <f>D10</f>
        <v>540</v>
      </c>
      <c r="E139" s="60">
        <f>D139*C139</f>
        <v>27850.645394581803</v>
      </c>
      <c r="F139" s="60">
        <v>50</v>
      </c>
      <c r="G139" s="5" t="s">
        <v>242</v>
      </c>
      <c r="H139" s="5">
        <f>F139*E139</f>
        <v>1392532.2697290902</v>
      </c>
      <c r="I139" s="5">
        <f>80%*H139</f>
        <v>1114025.8157832723</v>
      </c>
      <c r="J139" s="5">
        <f>I139/1000</f>
        <v>1114.0258157832723</v>
      </c>
      <c r="L139" s="60">
        <f>'[1]Proyeksi Fasum'!AC49</f>
        <v>2023</v>
      </c>
      <c r="M139" s="60">
        <f>'[1]Proyeksi Fasum'!G58</f>
        <v>2316.676890153989</v>
      </c>
      <c r="N139" s="60">
        <v>1</v>
      </c>
      <c r="O139" s="60">
        <f>M139*N139</f>
        <v>2316.676890153989</v>
      </c>
      <c r="P139" s="60">
        <f>F30</f>
        <v>3000</v>
      </c>
      <c r="Q139" s="5" t="str">
        <f>$G$29</f>
        <v>(L/unit/hari)</v>
      </c>
      <c r="R139" s="5">
        <f>P139*O139</f>
        <v>6950030.6704619667</v>
      </c>
      <c r="S139" s="5">
        <f>80%*R139</f>
        <v>5560024.5363695733</v>
      </c>
      <c r="T139" s="5">
        <f>S139/1000</f>
        <v>5560.0245363695731</v>
      </c>
    </row>
    <row r="140" spans="2:20" x14ac:dyDescent="0.3">
      <c r="B140" s="60">
        <f>'[1]Proyeksi Fasum'!AC50</f>
        <v>2024</v>
      </c>
      <c r="C140" s="60">
        <f>'[1]Proyeksi Fasum'!H44</f>
        <v>52.615479314292848</v>
      </c>
      <c r="D140" s="60">
        <v>540</v>
      </c>
      <c r="E140" s="60">
        <f t="shared" ref="E140:E159" si="46">D140*C140</f>
        <v>28412.358829718138</v>
      </c>
      <c r="F140" s="60">
        <v>50</v>
      </c>
      <c r="G140" s="5" t="s">
        <v>242</v>
      </c>
      <c r="H140" s="5">
        <f t="shared" ref="H140:H159" si="47">F140*E140</f>
        <v>1420617.941485907</v>
      </c>
      <c r="I140" s="5">
        <f t="shared" ref="I140:I159" si="48">80%*H140</f>
        <v>1136494.3531887257</v>
      </c>
      <c r="J140" s="5">
        <f t="shared" ref="J140:J159" si="49">I140/1000</f>
        <v>1136.4943531887257</v>
      </c>
      <c r="L140" s="60">
        <f>'[1]Proyeksi Fasum'!AC50</f>
        <v>2024</v>
      </c>
      <c r="M140" s="60">
        <f>'[1]Proyeksi Fasum'!H58</f>
        <v>2363.4014279746643</v>
      </c>
      <c r="N140" s="60">
        <v>1</v>
      </c>
      <c r="O140" s="60">
        <f t="shared" ref="O140:O159" si="50">M140*N140</f>
        <v>2363.4014279746643</v>
      </c>
      <c r="P140" s="60">
        <f t="shared" ref="P140:P159" si="51">$F$29</f>
        <v>3000</v>
      </c>
      <c r="Q140" s="5" t="str">
        <f t="shared" ref="Q140:Q159" si="52">$G$29</f>
        <v>(L/unit/hari)</v>
      </c>
      <c r="R140" s="5">
        <f t="shared" ref="R140:R159" si="53">P140*O140</f>
        <v>7090204.2839239929</v>
      </c>
      <c r="S140" s="5">
        <f t="shared" ref="S140:S159" si="54">80%*R140</f>
        <v>5672163.4271391947</v>
      </c>
      <c r="T140" s="5">
        <f t="shared" ref="T140:T159" si="55">S140/1000</f>
        <v>5672.1634271391949</v>
      </c>
    </row>
    <row r="141" spans="2:20" x14ac:dyDescent="0.3">
      <c r="B141" s="60">
        <f>'[1]Proyeksi Fasum'!AC51</f>
        <v>2025</v>
      </c>
      <c r="C141" s="60">
        <f>'[1]Proyeksi Fasum'!I44</f>
        <v>53.676669143406308</v>
      </c>
      <c r="D141" s="60">
        <v>540</v>
      </c>
      <c r="E141" s="60">
        <f t="shared" si="46"/>
        <v>28985.401337439405</v>
      </c>
      <c r="F141" s="60">
        <v>50</v>
      </c>
      <c r="G141" s="5" t="s">
        <v>242</v>
      </c>
      <c r="H141" s="5">
        <f t="shared" si="47"/>
        <v>1449270.0668719702</v>
      </c>
      <c r="I141" s="5">
        <f t="shared" si="48"/>
        <v>1159416.0534975762</v>
      </c>
      <c r="J141" s="5">
        <f t="shared" si="49"/>
        <v>1159.4160534975761</v>
      </c>
      <c r="L141" s="60">
        <f>'[1]Proyeksi Fasum'!AC51</f>
        <v>2025</v>
      </c>
      <c r="M141" s="60">
        <f>'[1]Proyeksi Fasum'!I58</f>
        <v>2411.0683425436182</v>
      </c>
      <c r="N141" s="60">
        <v>1</v>
      </c>
      <c r="O141" s="60">
        <f t="shared" si="50"/>
        <v>2411.0683425436182</v>
      </c>
      <c r="P141" s="60">
        <f t="shared" si="51"/>
        <v>3000</v>
      </c>
      <c r="Q141" s="5" t="str">
        <f t="shared" si="52"/>
        <v>(L/unit/hari)</v>
      </c>
      <c r="R141" s="5">
        <f t="shared" si="53"/>
        <v>7233205.0276308544</v>
      </c>
      <c r="S141" s="5">
        <f t="shared" si="54"/>
        <v>5786564.0221046843</v>
      </c>
      <c r="T141" s="5">
        <f t="shared" si="55"/>
        <v>5786.5640221046842</v>
      </c>
    </row>
    <row r="142" spans="2:20" x14ac:dyDescent="0.3">
      <c r="B142" s="60">
        <f>'[1]Proyeksi Fasum'!AC52</f>
        <v>2026</v>
      </c>
      <c r="C142" s="60">
        <f>'[1]Proyeksi Fasum'!J44</f>
        <v>54.759261872732608</v>
      </c>
      <c r="D142" s="60">
        <v>540</v>
      </c>
      <c r="E142" s="60">
        <f t="shared" si="46"/>
        <v>29570.001411275607</v>
      </c>
      <c r="F142" s="60">
        <v>50</v>
      </c>
      <c r="G142" s="5" t="s">
        <v>242</v>
      </c>
      <c r="H142" s="5">
        <f t="shared" si="47"/>
        <v>1478500.0705637804</v>
      </c>
      <c r="I142" s="5">
        <f t="shared" si="48"/>
        <v>1182800.0564510243</v>
      </c>
      <c r="J142" s="5">
        <f t="shared" si="49"/>
        <v>1182.8000564510241</v>
      </c>
      <c r="L142" s="60">
        <f>'[1]Proyeksi Fasum'!AC52</f>
        <v>2026</v>
      </c>
      <c r="M142" s="60">
        <f>'[1]Proyeksi Fasum'!J58</f>
        <v>2459.696640446622</v>
      </c>
      <c r="N142" s="60">
        <v>1</v>
      </c>
      <c r="O142" s="60">
        <f t="shared" si="50"/>
        <v>2459.696640446622</v>
      </c>
      <c r="P142" s="60">
        <f t="shared" si="51"/>
        <v>3000</v>
      </c>
      <c r="Q142" s="5" t="str">
        <f t="shared" si="52"/>
        <v>(L/unit/hari)</v>
      </c>
      <c r="R142" s="5">
        <f t="shared" si="53"/>
        <v>7379089.9213398658</v>
      </c>
      <c r="S142" s="5">
        <f t="shared" si="54"/>
        <v>5903271.9370718934</v>
      </c>
      <c r="T142" s="5">
        <f t="shared" si="55"/>
        <v>5903.2719370718933</v>
      </c>
    </row>
    <row r="143" spans="2:20" x14ac:dyDescent="0.3">
      <c r="B143" s="60">
        <f>'[1]Proyeksi Fasum'!AC53</f>
        <v>2027</v>
      </c>
      <c r="C143" s="60">
        <f>'[1]Proyeksi Fasum'!K44</f>
        <v>55.863689172577033</v>
      </c>
      <c r="D143" s="60">
        <v>540</v>
      </c>
      <c r="E143" s="60">
        <f t="shared" si="46"/>
        <v>30166.392153191598</v>
      </c>
      <c r="F143" s="60">
        <v>50</v>
      </c>
      <c r="G143" s="5" t="s">
        <v>242</v>
      </c>
      <c r="H143" s="5">
        <f t="shared" si="47"/>
        <v>1508319.60765958</v>
      </c>
      <c r="I143" s="5">
        <f t="shared" si="48"/>
        <v>1206655.6861276641</v>
      </c>
      <c r="J143" s="5">
        <f t="shared" si="49"/>
        <v>1206.655686127664</v>
      </c>
      <c r="L143" s="60">
        <f>'[1]Proyeksi Fasum'!AC53</f>
        <v>2027</v>
      </c>
      <c r="M143" s="60">
        <f>'[1]Proyeksi Fasum'!K58</f>
        <v>2509.3057116090213</v>
      </c>
      <c r="N143" s="60">
        <v>1</v>
      </c>
      <c r="O143" s="60">
        <f t="shared" si="50"/>
        <v>2509.3057116090213</v>
      </c>
      <c r="P143" s="60">
        <f t="shared" si="51"/>
        <v>3000</v>
      </c>
      <c r="Q143" s="5" t="str">
        <f t="shared" si="52"/>
        <v>(L/unit/hari)</v>
      </c>
      <c r="R143" s="5">
        <f t="shared" si="53"/>
        <v>7527917.1348270634</v>
      </c>
      <c r="S143" s="5">
        <f t="shared" si="54"/>
        <v>6022333.7078616507</v>
      </c>
      <c r="T143" s="5">
        <f t="shared" si="55"/>
        <v>6022.3337078616505</v>
      </c>
    </row>
    <row r="144" spans="2:20" x14ac:dyDescent="0.3">
      <c r="B144" s="60">
        <f>'[1]Proyeksi Fasum'!AC54</f>
        <v>2028</v>
      </c>
      <c r="C144" s="60">
        <f>'[1]Proyeksi Fasum'!L44</f>
        <v>56.990391419506693</v>
      </c>
      <c r="D144" s="60">
        <v>540</v>
      </c>
      <c r="E144" s="60">
        <f t="shared" si="46"/>
        <v>30774.811366533613</v>
      </c>
      <c r="F144" s="60">
        <v>50</v>
      </c>
      <c r="G144" s="5" t="s">
        <v>242</v>
      </c>
      <c r="H144" s="5">
        <f t="shared" si="47"/>
        <v>1538740.5683266807</v>
      </c>
      <c r="I144" s="5">
        <f t="shared" si="48"/>
        <v>1230992.4546613446</v>
      </c>
      <c r="J144" s="5">
        <f t="shared" si="49"/>
        <v>1230.9924546613447</v>
      </c>
      <c r="L144" s="60">
        <f>'[1]Proyeksi Fasum'!AC54</f>
        <v>2028</v>
      </c>
      <c r="M144" s="60">
        <f>'[1]Proyeksi Fasum'!L58</f>
        <v>2559.9153370272293</v>
      </c>
      <c r="N144" s="60">
        <v>1</v>
      </c>
      <c r="O144" s="60">
        <f t="shared" si="50"/>
        <v>2559.9153370272293</v>
      </c>
      <c r="P144" s="60">
        <f t="shared" si="51"/>
        <v>3000</v>
      </c>
      <c r="Q144" s="5" t="str">
        <f t="shared" si="52"/>
        <v>(L/unit/hari)</v>
      </c>
      <c r="R144" s="5">
        <f t="shared" si="53"/>
        <v>7679746.0110816881</v>
      </c>
      <c r="S144" s="5">
        <f t="shared" si="54"/>
        <v>6143796.8088653507</v>
      </c>
      <c r="T144" s="5">
        <f t="shared" si="55"/>
        <v>6143.7968088653506</v>
      </c>
    </row>
    <row r="145" spans="2:20" x14ac:dyDescent="0.3">
      <c r="B145" s="60">
        <f>'[1]Proyeksi Fasum'!AC55</f>
        <v>2029</v>
      </c>
      <c r="C145" s="60">
        <f>'[1]Proyeksi Fasum'!M44</f>
        <v>58.13981787194512</v>
      </c>
      <c r="D145" s="60">
        <v>540</v>
      </c>
      <c r="E145" s="60">
        <f t="shared" si="46"/>
        <v>31395.501650850365</v>
      </c>
      <c r="F145" s="60">
        <v>50</v>
      </c>
      <c r="G145" s="5" t="s">
        <v>242</v>
      </c>
      <c r="H145" s="5">
        <f t="shared" si="47"/>
        <v>1569775.0825425182</v>
      </c>
      <c r="I145" s="5">
        <f t="shared" si="48"/>
        <v>1255820.0660340146</v>
      </c>
      <c r="J145" s="5">
        <f t="shared" si="49"/>
        <v>1255.8200660340146</v>
      </c>
      <c r="L145" s="60">
        <f>'[1]Proyeksi Fasum'!AC55</f>
        <v>2029</v>
      </c>
      <c r="M145" s="60">
        <f>'[1]Proyeksi Fasum'!M58</f>
        <v>2611.5456966561474</v>
      </c>
      <c r="N145" s="60">
        <v>1</v>
      </c>
      <c r="O145" s="60">
        <f t="shared" si="50"/>
        <v>2611.5456966561474</v>
      </c>
      <c r="P145" s="60">
        <f t="shared" si="51"/>
        <v>3000</v>
      </c>
      <c r="Q145" s="5" t="str">
        <f t="shared" si="52"/>
        <v>(L/unit/hari)</v>
      </c>
      <c r="R145" s="5">
        <f t="shared" si="53"/>
        <v>7834637.089968442</v>
      </c>
      <c r="S145" s="5">
        <f t="shared" si="54"/>
        <v>6267709.671974754</v>
      </c>
      <c r="T145" s="5">
        <f t="shared" si="55"/>
        <v>6267.7096719747542</v>
      </c>
    </row>
    <row r="146" spans="2:20" x14ac:dyDescent="0.3">
      <c r="B146" s="60">
        <f>'[1]Proyeksi Fasum'!AC56</f>
        <v>2030</v>
      </c>
      <c r="C146" s="60">
        <f>'[1]Proyeksi Fasum'!N44</f>
        <v>59.31242684930853</v>
      </c>
      <c r="D146" s="60">
        <v>540</v>
      </c>
      <c r="E146" s="60">
        <f t="shared" si="46"/>
        <v>32028.710498626606</v>
      </c>
      <c r="F146" s="60">
        <v>50</v>
      </c>
      <c r="G146" s="5" t="s">
        <v>242</v>
      </c>
      <c r="H146" s="5">
        <f t="shared" si="47"/>
        <v>1601435.5249313302</v>
      </c>
      <c r="I146" s="5">
        <f t="shared" si="48"/>
        <v>1281148.4199450642</v>
      </c>
      <c r="J146" s="5">
        <f t="shared" si="49"/>
        <v>1281.1484199450642</v>
      </c>
      <c r="L146" s="60">
        <f>'[1]Proyeksi Fasum'!AC56</f>
        <v>2030</v>
      </c>
      <c r="M146" s="60">
        <f>'[1]Proyeksi Fasum'!N58</f>
        <v>2664.217377455675</v>
      </c>
      <c r="N146" s="60">
        <v>1</v>
      </c>
      <c r="O146" s="60">
        <f t="shared" si="50"/>
        <v>2664.217377455675</v>
      </c>
      <c r="P146" s="60">
        <f t="shared" si="51"/>
        <v>3000</v>
      </c>
      <c r="Q146" s="5" t="str">
        <f t="shared" si="52"/>
        <v>(L/unit/hari)</v>
      </c>
      <c r="R146" s="5">
        <f t="shared" si="53"/>
        <v>7992652.1323670251</v>
      </c>
      <c r="S146" s="5">
        <f t="shared" si="54"/>
        <v>6394121.7058936208</v>
      </c>
      <c r="T146" s="5">
        <f t="shared" si="55"/>
        <v>6394.1217058936209</v>
      </c>
    </row>
    <row r="147" spans="2:20" x14ac:dyDescent="0.3">
      <c r="B147" s="60">
        <f>'[1]Proyeksi Fasum'!AC57</f>
        <v>2031</v>
      </c>
      <c r="C147" s="60">
        <f>'[1]Proyeksi Fasum'!O44</f>
        <v>60.508685914754778</v>
      </c>
      <c r="D147" s="60">
        <v>540</v>
      </c>
      <c r="E147" s="60">
        <f t="shared" si="46"/>
        <v>32674.690393967579</v>
      </c>
      <c r="F147" s="60">
        <v>50</v>
      </c>
      <c r="G147" s="5" t="s">
        <v>242</v>
      </c>
      <c r="H147" s="5">
        <f t="shared" si="47"/>
        <v>1633734.5196983789</v>
      </c>
      <c r="I147" s="5">
        <f t="shared" si="48"/>
        <v>1306987.6157587031</v>
      </c>
      <c r="J147" s="5">
        <f t="shared" si="49"/>
        <v>1306.987615758703</v>
      </c>
      <c r="L147" s="60">
        <f>'[1]Proyeksi Fasum'!AC57</f>
        <v>2031</v>
      </c>
      <c r="M147" s="60">
        <f>'[1]Proyeksi Fasum'!O58</f>
        <v>2717.9513815994951</v>
      </c>
      <c r="N147" s="60">
        <v>1</v>
      </c>
      <c r="O147" s="60">
        <f t="shared" si="50"/>
        <v>2717.9513815994951</v>
      </c>
      <c r="P147" s="60">
        <f t="shared" si="51"/>
        <v>3000</v>
      </c>
      <c r="Q147" s="5" t="str">
        <f t="shared" si="52"/>
        <v>(L/unit/hari)</v>
      </c>
      <c r="R147" s="5">
        <f t="shared" si="53"/>
        <v>8153854.1447984856</v>
      </c>
      <c r="S147" s="5">
        <f t="shared" si="54"/>
        <v>6523083.3158387886</v>
      </c>
      <c r="T147" s="5">
        <f t="shared" si="55"/>
        <v>6523.0833158387886</v>
      </c>
    </row>
    <row r="148" spans="2:20" x14ac:dyDescent="0.3">
      <c r="B148" s="60">
        <f>'[1]Proyeksi Fasum'!AC58</f>
        <v>2032</v>
      </c>
      <c r="C148" s="60">
        <f>'[1]Proyeksi Fasum'!P44</f>
        <v>61.72907206161851</v>
      </c>
      <c r="D148" s="60">
        <v>540</v>
      </c>
      <c r="E148" s="60">
        <f t="shared" si="46"/>
        <v>33333.698913273998</v>
      </c>
      <c r="F148" s="60">
        <v>50</v>
      </c>
      <c r="G148" s="5" t="s">
        <v>242</v>
      </c>
      <c r="H148" s="5">
        <f t="shared" si="47"/>
        <v>1666684.9456636999</v>
      </c>
      <c r="I148" s="5">
        <f t="shared" si="48"/>
        <v>1333347.95653096</v>
      </c>
      <c r="J148" s="5">
        <f t="shared" si="49"/>
        <v>1333.3479565309601</v>
      </c>
      <c r="L148" s="60">
        <f>'[1]Proyeksi Fasum'!AC58</f>
        <v>2032</v>
      </c>
      <c r="M148" s="60">
        <f>'[1]Proyeksi Fasum'!P58</f>
        <v>2772.7691348494354</v>
      </c>
      <c r="N148" s="60">
        <v>1</v>
      </c>
      <c r="O148" s="60">
        <f t="shared" si="50"/>
        <v>2772.7691348494354</v>
      </c>
      <c r="P148" s="60">
        <f t="shared" si="51"/>
        <v>3000</v>
      </c>
      <c r="Q148" s="5" t="str">
        <f t="shared" si="52"/>
        <v>(L/unit/hari)</v>
      </c>
      <c r="R148" s="5">
        <f t="shared" si="53"/>
        <v>8318307.404548306</v>
      </c>
      <c r="S148" s="5">
        <f t="shared" si="54"/>
        <v>6654645.9236386456</v>
      </c>
      <c r="T148" s="5">
        <f t="shared" si="55"/>
        <v>6654.6459236386454</v>
      </c>
    </row>
    <row r="149" spans="2:20" x14ac:dyDescent="0.3">
      <c r="B149" s="60">
        <f>'[1]Proyeksi Fasum'!AC59</f>
        <v>2033</v>
      </c>
      <c r="C149" s="60">
        <f>'[1]Proyeksi Fasum'!Q44</f>
        <v>62.974071903606223</v>
      </c>
      <c r="D149" s="60">
        <v>540</v>
      </c>
      <c r="E149" s="60">
        <f t="shared" si="46"/>
        <v>34005.998827947362</v>
      </c>
      <c r="F149" s="60">
        <v>50</v>
      </c>
      <c r="G149" s="5" t="s">
        <v>242</v>
      </c>
      <c r="H149" s="5">
        <f t="shared" si="47"/>
        <v>1700299.941397368</v>
      </c>
      <c r="I149" s="5">
        <f t="shared" si="48"/>
        <v>1360239.9531178945</v>
      </c>
      <c r="J149" s="5">
        <f t="shared" si="49"/>
        <v>1360.2399531178944</v>
      </c>
      <c r="L149" s="60">
        <f>'[1]Proyeksi Fasum'!AC59</f>
        <v>2033</v>
      </c>
      <c r="M149" s="60">
        <f>'[1]Proyeksi Fasum'!Q58</f>
        <v>2828.6924950987204</v>
      </c>
      <c r="N149" s="60">
        <v>1</v>
      </c>
      <c r="O149" s="60">
        <f t="shared" si="50"/>
        <v>2828.6924950987204</v>
      </c>
      <c r="P149" s="60">
        <f t="shared" si="51"/>
        <v>3000</v>
      </c>
      <c r="Q149" s="5" t="str">
        <f t="shared" si="52"/>
        <v>(L/unit/hari)</v>
      </c>
      <c r="R149" s="5">
        <f t="shared" si="53"/>
        <v>8486077.4852961618</v>
      </c>
      <c r="S149" s="5">
        <f t="shared" si="54"/>
        <v>6788861.9882369302</v>
      </c>
      <c r="T149" s="5">
        <f t="shared" si="55"/>
        <v>6788.8619882369303</v>
      </c>
    </row>
    <row r="150" spans="2:20" x14ac:dyDescent="0.3">
      <c r="B150" s="60">
        <f>'[1]Proyeksi Fasum'!AC60</f>
        <v>2034</v>
      </c>
      <c r="C150" s="60">
        <f>'[1]Proyeksi Fasum'!R44</f>
        <v>64.244181868827312</v>
      </c>
      <c r="D150" s="60">
        <v>540</v>
      </c>
      <c r="E150" s="60">
        <f t="shared" si="46"/>
        <v>34691.858209166749</v>
      </c>
      <c r="F150" s="60">
        <v>50</v>
      </c>
      <c r="G150" s="5" t="s">
        <v>242</v>
      </c>
      <c r="H150" s="5">
        <f t="shared" si="47"/>
        <v>1734592.9104583375</v>
      </c>
      <c r="I150" s="5">
        <f t="shared" si="48"/>
        <v>1387674.3283666701</v>
      </c>
      <c r="J150" s="5">
        <f t="shared" si="49"/>
        <v>1387.6743283666701</v>
      </c>
      <c r="L150" s="60">
        <f>'[1]Proyeksi Fasum'!AC60</f>
        <v>2034</v>
      </c>
      <c r="M150" s="60">
        <f>'[1]Proyeksi Fasum'!R58</f>
        <v>2885.7437610875286</v>
      </c>
      <c r="N150" s="60">
        <v>1</v>
      </c>
      <c r="O150" s="60">
        <f t="shared" si="50"/>
        <v>2885.7437610875286</v>
      </c>
      <c r="P150" s="60">
        <f t="shared" si="51"/>
        <v>3000</v>
      </c>
      <c r="Q150" s="5" t="str">
        <f t="shared" si="52"/>
        <v>(L/unit/hari)</v>
      </c>
      <c r="R150" s="5">
        <f t="shared" si="53"/>
        <v>8657231.2832625862</v>
      </c>
      <c r="S150" s="5">
        <f t="shared" si="54"/>
        <v>6925785.026610069</v>
      </c>
      <c r="T150" s="5">
        <f t="shared" si="55"/>
        <v>6925.7850266100686</v>
      </c>
    </row>
    <row r="151" spans="2:20" x14ac:dyDescent="0.3">
      <c r="B151" s="60">
        <f>'[1]Proyeksi Fasum'!AC61</f>
        <v>2035</v>
      </c>
      <c r="C151" s="60">
        <f>'[1]Proyeksi Fasum'!S44</f>
        <v>64.244181868827312</v>
      </c>
      <c r="D151" s="60">
        <v>540</v>
      </c>
      <c r="E151" s="60">
        <f t="shared" si="46"/>
        <v>34691.858209166749</v>
      </c>
      <c r="F151" s="60">
        <v>50</v>
      </c>
      <c r="G151" s="5" t="s">
        <v>242</v>
      </c>
      <c r="H151" s="5">
        <f t="shared" si="47"/>
        <v>1734592.9104583375</v>
      </c>
      <c r="I151" s="5">
        <f t="shared" si="48"/>
        <v>1387674.3283666701</v>
      </c>
      <c r="J151" s="5">
        <f t="shared" si="49"/>
        <v>1387.6743283666701</v>
      </c>
      <c r="L151" s="60">
        <f>'[1]Proyeksi Fasum'!AC61</f>
        <v>2035</v>
      </c>
      <c r="M151" s="60">
        <f>'[1]Proyeksi Fasum'!S58</f>
        <v>2885.7437610875286</v>
      </c>
      <c r="N151" s="60">
        <v>1</v>
      </c>
      <c r="O151" s="60">
        <f t="shared" si="50"/>
        <v>2885.7437610875286</v>
      </c>
      <c r="P151" s="60">
        <f t="shared" si="51"/>
        <v>3000</v>
      </c>
      <c r="Q151" s="5" t="str">
        <f t="shared" si="52"/>
        <v>(L/unit/hari)</v>
      </c>
      <c r="R151" s="5">
        <f t="shared" si="53"/>
        <v>8657231.2832625862</v>
      </c>
      <c r="S151" s="5">
        <f t="shared" si="54"/>
        <v>6925785.026610069</v>
      </c>
      <c r="T151" s="5">
        <f t="shared" si="55"/>
        <v>6925.7850266100686</v>
      </c>
    </row>
    <row r="152" spans="2:20" x14ac:dyDescent="0.3">
      <c r="B152" s="60">
        <f>'[1]Proyeksi Fasum'!AC62</f>
        <v>2036</v>
      </c>
      <c r="C152" s="60">
        <f>'[1]Proyeksi Fasum'!T44</f>
        <v>65.539908397738671</v>
      </c>
      <c r="D152" s="60">
        <v>540</v>
      </c>
      <c r="E152" s="60">
        <f t="shared" si="46"/>
        <v>35391.550534778886</v>
      </c>
      <c r="F152" s="60">
        <v>50</v>
      </c>
      <c r="G152" s="5" t="s">
        <v>242</v>
      </c>
      <c r="H152" s="5">
        <f t="shared" si="47"/>
        <v>1769577.5267389442</v>
      </c>
      <c r="I152" s="5">
        <f t="shared" si="48"/>
        <v>1415662.0213911554</v>
      </c>
      <c r="J152" s="5">
        <f t="shared" si="49"/>
        <v>1415.6620213911553</v>
      </c>
      <c r="L152" s="60">
        <f>'[1]Proyeksi Fasum'!AC62</f>
        <v>2036</v>
      </c>
      <c r="M152" s="60">
        <f>'[1]Proyeksi Fasum'!T58</f>
        <v>2943.9456812943431</v>
      </c>
      <c r="N152" s="60">
        <v>1</v>
      </c>
      <c r="O152" s="60">
        <f t="shared" si="50"/>
        <v>2943.9456812943431</v>
      </c>
      <c r="P152" s="60">
        <f t="shared" si="51"/>
        <v>3000</v>
      </c>
      <c r="Q152" s="5" t="str">
        <f t="shared" si="52"/>
        <v>(L/unit/hari)</v>
      </c>
      <c r="R152" s="5">
        <f t="shared" si="53"/>
        <v>8831837.0438830294</v>
      </c>
      <c r="S152" s="5">
        <f t="shared" si="54"/>
        <v>7065469.6351064239</v>
      </c>
      <c r="T152" s="5">
        <f t="shared" si="55"/>
        <v>7065.469635106424</v>
      </c>
    </row>
    <row r="153" spans="2:20" x14ac:dyDescent="0.3">
      <c r="B153" s="60">
        <f>'[1]Proyeksi Fasum'!AC63</f>
        <v>2037</v>
      </c>
      <c r="C153" s="60">
        <f>'[1]Proyeksi Fasum'!U44</f>
        <v>66.861768145081399</v>
      </c>
      <c r="D153" s="60">
        <v>540</v>
      </c>
      <c r="E153" s="60">
        <f t="shared" si="46"/>
        <v>36105.354798343957</v>
      </c>
      <c r="F153" s="60">
        <v>50</v>
      </c>
      <c r="G153" s="5" t="s">
        <v>242</v>
      </c>
      <c r="H153" s="5">
        <f t="shared" si="47"/>
        <v>1805267.7399171977</v>
      </c>
      <c r="I153" s="5">
        <f t="shared" si="48"/>
        <v>1444214.1919337583</v>
      </c>
      <c r="J153" s="5">
        <f t="shared" si="49"/>
        <v>1444.2141919337582</v>
      </c>
      <c r="L153" s="60">
        <f>'[1]Proyeksi Fasum'!AC63</f>
        <v>2037</v>
      </c>
      <c r="M153" s="60">
        <f>'[1]Proyeksi Fasum'!U58</f>
        <v>3003.3214630066154</v>
      </c>
      <c r="N153" s="60">
        <v>1</v>
      </c>
      <c r="O153" s="60">
        <f t="shared" si="50"/>
        <v>3003.3214630066154</v>
      </c>
      <c r="P153" s="60">
        <f t="shared" si="51"/>
        <v>3000</v>
      </c>
      <c r="Q153" s="5" t="str">
        <f t="shared" si="52"/>
        <v>(L/unit/hari)</v>
      </c>
      <c r="R153" s="5">
        <f t="shared" si="53"/>
        <v>9009964.3890198469</v>
      </c>
      <c r="S153" s="5">
        <f t="shared" si="54"/>
        <v>7207971.5112158777</v>
      </c>
      <c r="T153" s="5">
        <f t="shared" si="55"/>
        <v>7207.9715112158774</v>
      </c>
    </row>
    <row r="154" spans="2:20" x14ac:dyDescent="0.3">
      <c r="B154" s="60">
        <f>'[1]Proyeksi Fasum'!AC64</f>
        <v>2038</v>
      </c>
      <c r="C154" s="60">
        <f>'[1]Proyeksi Fasum'!V44</f>
        <v>68.210288185890548</v>
      </c>
      <c r="D154" s="60">
        <v>540</v>
      </c>
      <c r="E154" s="60">
        <f t="shared" si="46"/>
        <v>36833.555620380896</v>
      </c>
      <c r="F154" s="60">
        <v>50</v>
      </c>
      <c r="G154" s="5" t="s">
        <v>242</v>
      </c>
      <c r="H154" s="5">
        <f t="shared" si="47"/>
        <v>1841677.7810190448</v>
      </c>
      <c r="I154" s="5">
        <f t="shared" si="48"/>
        <v>1473342.2248152359</v>
      </c>
      <c r="J154" s="5">
        <f t="shared" si="49"/>
        <v>1473.342224815236</v>
      </c>
      <c r="L154" s="60">
        <f>'[1]Proyeksi Fasum'!AC64</f>
        <v>2038</v>
      </c>
      <c r="M154" s="60">
        <f>'[1]Proyeksi Fasum'!V58</f>
        <v>3063.89478157439</v>
      </c>
      <c r="N154" s="60">
        <v>1</v>
      </c>
      <c r="O154" s="60">
        <f t="shared" si="50"/>
        <v>3063.89478157439</v>
      </c>
      <c r="P154" s="60">
        <f t="shared" si="51"/>
        <v>3000</v>
      </c>
      <c r="Q154" s="5" t="str">
        <f t="shared" si="52"/>
        <v>(L/unit/hari)</v>
      </c>
      <c r="R154" s="5">
        <f t="shared" si="53"/>
        <v>9191684.3447231706</v>
      </c>
      <c r="S154" s="5">
        <f t="shared" si="54"/>
        <v>7353347.4757785369</v>
      </c>
      <c r="T154" s="5">
        <f t="shared" si="55"/>
        <v>7353.347475778537</v>
      </c>
    </row>
    <row r="155" spans="2:20" x14ac:dyDescent="0.3">
      <c r="B155" s="60">
        <f>'[1]Proyeksi Fasum'!AC65</f>
        <v>2039</v>
      </c>
      <c r="C155" s="60">
        <f>'[1]Proyeksi Fasum'!W44</f>
        <v>69.58600622565956</v>
      </c>
      <c r="D155" s="60">
        <v>540</v>
      </c>
      <c r="E155" s="60">
        <f t="shared" si="46"/>
        <v>37576.44336185616</v>
      </c>
      <c r="F155" s="60">
        <v>50</v>
      </c>
      <c r="G155" s="5" t="s">
        <v>242</v>
      </c>
      <c r="H155" s="5">
        <f t="shared" si="47"/>
        <v>1878822.168092808</v>
      </c>
      <c r="I155" s="5">
        <f t="shared" si="48"/>
        <v>1503057.7344742464</v>
      </c>
      <c r="J155" s="5">
        <f t="shared" si="49"/>
        <v>1503.0577344742464</v>
      </c>
      <c r="L155" s="60">
        <f>'[1]Proyeksi Fasum'!AC65</f>
        <v>2039</v>
      </c>
      <c r="M155" s="60">
        <f>'[1]Proyeksi Fasum'!W58</f>
        <v>3125.6897898505445</v>
      </c>
      <c r="N155" s="60">
        <v>1</v>
      </c>
      <c r="O155" s="60">
        <f t="shared" si="50"/>
        <v>3125.6897898505445</v>
      </c>
      <c r="P155" s="60">
        <f t="shared" si="51"/>
        <v>3000</v>
      </c>
      <c r="Q155" s="5" t="str">
        <f t="shared" si="52"/>
        <v>(L/unit/hari)</v>
      </c>
      <c r="R155" s="5">
        <f t="shared" si="53"/>
        <v>9377069.3695516326</v>
      </c>
      <c r="S155" s="5">
        <f t="shared" si="54"/>
        <v>7501655.495641306</v>
      </c>
      <c r="T155" s="5">
        <f t="shared" si="55"/>
        <v>7501.6554956413056</v>
      </c>
    </row>
    <row r="156" spans="2:20" x14ac:dyDescent="0.3">
      <c r="B156" s="60">
        <f>'[1]Proyeksi Fasum'!AC66</f>
        <v>2040</v>
      </c>
      <c r="C156" s="60">
        <f>'[1]Proyeksi Fasum'!X44</f>
        <v>70.98947081474364</v>
      </c>
      <c r="D156" s="60">
        <v>540</v>
      </c>
      <c r="E156" s="60">
        <f t="shared" si="46"/>
        <v>38334.314239961568</v>
      </c>
      <c r="F156" s="60">
        <v>50</v>
      </c>
      <c r="G156" s="5" t="s">
        <v>242</v>
      </c>
      <c r="H156" s="5">
        <f t="shared" si="47"/>
        <v>1916715.7119980785</v>
      </c>
      <c r="I156" s="5">
        <f t="shared" si="48"/>
        <v>1533372.5695984629</v>
      </c>
      <c r="J156" s="5">
        <f t="shared" si="49"/>
        <v>1533.3725695984629</v>
      </c>
      <c r="L156" s="60">
        <f>'[1]Proyeksi Fasum'!AC66</f>
        <v>2040</v>
      </c>
      <c r="M156" s="60">
        <f>'[1]Proyeksi Fasum'!X58</f>
        <v>3188.7311278214443</v>
      </c>
      <c r="N156" s="60">
        <v>1</v>
      </c>
      <c r="O156" s="60">
        <f t="shared" si="50"/>
        <v>3188.7311278214443</v>
      </c>
      <c r="P156" s="60">
        <f t="shared" si="51"/>
        <v>3000</v>
      </c>
      <c r="Q156" s="5" t="str">
        <f t="shared" si="52"/>
        <v>(L/unit/hari)</v>
      </c>
      <c r="R156" s="5">
        <f t="shared" si="53"/>
        <v>9566193.3834643327</v>
      </c>
      <c r="S156" s="5">
        <f t="shared" si="54"/>
        <v>7652954.7067714669</v>
      </c>
      <c r="T156" s="5">
        <f t="shared" si="55"/>
        <v>7652.9547067714666</v>
      </c>
    </row>
    <row r="157" spans="2:20" x14ac:dyDescent="0.3">
      <c r="B157" s="60">
        <f>'[1]Proyeksi Fasum'!AC67</f>
        <v>2041</v>
      </c>
      <c r="C157" s="60">
        <f>'[1]Proyeksi Fasum'!Y44</f>
        <v>72.421241567087421</v>
      </c>
      <c r="D157" s="60">
        <v>540</v>
      </c>
      <c r="E157" s="60">
        <f t="shared" si="46"/>
        <v>39107.470446227206</v>
      </c>
      <c r="F157" s="60">
        <v>50</v>
      </c>
      <c r="G157" s="5" t="s">
        <v>242</v>
      </c>
      <c r="H157" s="5">
        <f t="shared" si="47"/>
        <v>1955373.5223113603</v>
      </c>
      <c r="I157" s="5">
        <f t="shared" si="48"/>
        <v>1564298.8178490885</v>
      </c>
      <c r="J157" s="5">
        <f t="shared" si="49"/>
        <v>1564.2988178490884</v>
      </c>
      <c r="L157" s="60">
        <f>'[1]Proyeksi Fasum'!AC67</f>
        <v>2041</v>
      </c>
      <c r="M157" s="60">
        <f>'[1]Proyeksi Fasum'!Y58</f>
        <v>3253.0439324318245</v>
      </c>
      <c r="N157" s="60">
        <v>1</v>
      </c>
      <c r="O157" s="60">
        <f t="shared" si="50"/>
        <v>3253.0439324318245</v>
      </c>
      <c r="P157" s="60">
        <f t="shared" si="51"/>
        <v>3000</v>
      </c>
      <c r="Q157" s="5" t="str">
        <f t="shared" si="52"/>
        <v>(L/unit/hari)</v>
      </c>
      <c r="R157" s="5">
        <f t="shared" si="53"/>
        <v>9759131.7972954735</v>
      </c>
      <c r="S157" s="5">
        <f t="shared" si="54"/>
        <v>7807305.4378363788</v>
      </c>
      <c r="T157" s="5">
        <f t="shared" si="55"/>
        <v>7807.3054378363786</v>
      </c>
    </row>
    <row r="158" spans="2:20" x14ac:dyDescent="0.3">
      <c r="B158" s="60">
        <f>'[1]Proyeksi Fasum'!AC68</f>
        <v>2042</v>
      </c>
      <c r="C158" s="60">
        <f>'[1]Proyeksi Fasum'!Z44</f>
        <v>73.881889383363884</v>
      </c>
      <c r="D158" s="60">
        <v>540</v>
      </c>
      <c r="E158" s="60">
        <f t="shared" si="46"/>
        <v>39896.220267016499</v>
      </c>
      <c r="F158" s="60">
        <v>50</v>
      </c>
      <c r="G158" s="5" t="s">
        <v>242</v>
      </c>
      <c r="H158" s="5">
        <f t="shared" si="47"/>
        <v>1994811.0133508248</v>
      </c>
      <c r="I158" s="5">
        <f t="shared" si="48"/>
        <v>1595848.81068066</v>
      </c>
      <c r="J158" s="5">
        <f t="shared" si="49"/>
        <v>1595.8488106806599</v>
      </c>
      <c r="L158" s="60">
        <f>'[1]Proyeksi Fasum'!AC68</f>
        <v>2042</v>
      </c>
      <c r="M158" s="60">
        <f>'[1]Proyeksi Fasum'!Z58</f>
        <v>3318.6538476078354</v>
      </c>
      <c r="N158" s="60">
        <v>1</v>
      </c>
      <c r="O158" s="60">
        <f t="shared" si="50"/>
        <v>3318.6538476078354</v>
      </c>
      <c r="P158" s="60">
        <f t="shared" si="51"/>
        <v>3000</v>
      </c>
      <c r="Q158" s="5" t="str">
        <f t="shared" si="52"/>
        <v>(L/unit/hari)</v>
      </c>
      <c r="R158" s="5">
        <f t="shared" si="53"/>
        <v>9955961.5428235065</v>
      </c>
      <c r="S158" s="5">
        <f t="shared" si="54"/>
        <v>7964769.2342588054</v>
      </c>
      <c r="T158" s="5">
        <f t="shared" si="55"/>
        <v>7964.7692342588052</v>
      </c>
    </row>
    <row r="159" spans="2:20" x14ac:dyDescent="0.3">
      <c r="B159" s="60">
        <f>'[1]Proyeksi Fasum'!AC69</f>
        <v>2043</v>
      </c>
      <c r="C159" s="60">
        <f>'[1]Proyeksi Fasum'!AA44</f>
        <v>75.371996678614067</v>
      </c>
      <c r="D159" s="60">
        <v>540</v>
      </c>
      <c r="E159" s="60">
        <f t="shared" si="46"/>
        <v>40700.878206451598</v>
      </c>
      <c r="F159" s="60">
        <v>50</v>
      </c>
      <c r="G159" s="5" t="s">
        <v>242</v>
      </c>
      <c r="H159" s="5">
        <f t="shared" si="47"/>
        <v>2035043.91032258</v>
      </c>
      <c r="I159" s="5">
        <f t="shared" si="48"/>
        <v>1628035.1282580642</v>
      </c>
      <c r="J159" s="5">
        <f t="shared" si="49"/>
        <v>1628.0351282580641</v>
      </c>
      <c r="L159" s="60">
        <f>'[1]Proyeksi Fasum'!AC69</f>
        <v>2043</v>
      </c>
      <c r="M159" s="60">
        <f>'[1]Proyeksi Fasum'!AA58</f>
        <v>3385.587034482236</v>
      </c>
      <c r="N159" s="60">
        <v>1</v>
      </c>
      <c r="O159" s="60">
        <f t="shared" si="50"/>
        <v>3385.587034482236</v>
      </c>
      <c r="P159" s="60">
        <f t="shared" si="51"/>
        <v>3000</v>
      </c>
      <c r="Q159" s="5" t="str">
        <f t="shared" si="52"/>
        <v>(L/unit/hari)</v>
      </c>
      <c r="R159" s="5">
        <f t="shared" si="53"/>
        <v>10156761.103446709</v>
      </c>
      <c r="S159" s="5">
        <f t="shared" si="54"/>
        <v>8125408.8827573676</v>
      </c>
      <c r="T159" s="5">
        <f t="shared" si="55"/>
        <v>8125.4088827573678</v>
      </c>
    </row>
    <row r="161" spans="2:20" x14ac:dyDescent="0.3">
      <c r="B161" s="283" t="s">
        <v>191</v>
      </c>
      <c r="C161" s="283"/>
      <c r="D161" s="283"/>
      <c r="E161" s="283"/>
      <c r="F161" s="283"/>
      <c r="G161" s="283"/>
      <c r="H161" s="283"/>
      <c r="I161" s="283"/>
      <c r="J161" s="283"/>
      <c r="L161" s="283" t="s">
        <v>271</v>
      </c>
      <c r="M161" s="283"/>
      <c r="N161" s="283"/>
      <c r="O161" s="283"/>
      <c r="P161" s="283"/>
      <c r="Q161" s="283"/>
      <c r="R161" s="283"/>
      <c r="S161" s="283"/>
      <c r="T161" s="283"/>
    </row>
    <row r="162" spans="2:20" ht="14.4" customHeight="1" x14ac:dyDescent="0.3">
      <c r="B162" s="348" t="s">
        <v>98</v>
      </c>
      <c r="C162" s="342" t="s">
        <v>235</v>
      </c>
      <c r="D162" s="342" t="s">
        <v>236</v>
      </c>
      <c r="E162" s="342" t="s">
        <v>237</v>
      </c>
      <c r="F162" s="342" t="s">
        <v>241</v>
      </c>
      <c r="G162" s="342" t="s">
        <v>240</v>
      </c>
      <c r="H162" s="342" t="s">
        <v>238</v>
      </c>
      <c r="I162" s="342" t="s">
        <v>239</v>
      </c>
      <c r="J162" s="342" t="s">
        <v>250</v>
      </c>
      <c r="L162" s="343" t="s">
        <v>98</v>
      </c>
      <c r="M162" s="342" t="s">
        <v>235</v>
      </c>
      <c r="N162" s="342" t="s">
        <v>236</v>
      </c>
      <c r="O162" s="342" t="s">
        <v>237</v>
      </c>
      <c r="P162" s="342" t="s">
        <v>241</v>
      </c>
      <c r="Q162" s="345" t="s">
        <v>240</v>
      </c>
      <c r="R162" s="347" t="s">
        <v>238</v>
      </c>
      <c r="S162" s="347" t="s">
        <v>239</v>
      </c>
      <c r="T162" s="347" t="s">
        <v>250</v>
      </c>
    </row>
    <row r="163" spans="2:20" x14ac:dyDescent="0.3">
      <c r="B163" s="348"/>
      <c r="C163" s="342"/>
      <c r="D163" s="342"/>
      <c r="E163" s="342"/>
      <c r="F163" s="342"/>
      <c r="G163" s="342"/>
      <c r="H163" s="342"/>
      <c r="I163" s="342"/>
      <c r="J163" s="342"/>
      <c r="L163" s="344"/>
      <c r="M163" s="342"/>
      <c r="N163" s="342"/>
      <c r="O163" s="342"/>
      <c r="P163" s="342"/>
      <c r="Q163" s="346"/>
      <c r="R163" s="347"/>
      <c r="S163" s="347"/>
      <c r="T163" s="347"/>
    </row>
    <row r="164" spans="2:20" x14ac:dyDescent="0.3">
      <c r="B164" s="60">
        <f>'[1]Proyeksi Fasum'!AC49</f>
        <v>2023</v>
      </c>
      <c r="C164" s="60">
        <f>'[1]Proyeksi Fasum'!G45</f>
        <v>34.734365004580482</v>
      </c>
      <c r="D164" s="60">
        <f>D11</f>
        <v>720</v>
      </c>
      <c r="E164" s="60">
        <f>D164*C164</f>
        <v>25008.742803297948</v>
      </c>
      <c r="F164" s="60">
        <v>80</v>
      </c>
      <c r="G164" s="5" t="s">
        <v>242</v>
      </c>
      <c r="H164" s="5">
        <f>F164*E164</f>
        <v>2000699.4242638359</v>
      </c>
      <c r="I164" s="5">
        <f>80%*H164</f>
        <v>1600559.5394110689</v>
      </c>
      <c r="J164" s="5">
        <f>I164/1000</f>
        <v>1600.559539411069</v>
      </c>
      <c r="L164" s="60">
        <f>'Proyeksi Penduduk'!B74</f>
        <v>2023</v>
      </c>
      <c r="M164" s="60">
        <f>'Proyeksi Fasum'!G59</f>
        <v>4.5489460740581009</v>
      </c>
      <c r="N164" s="60">
        <f>$D$33</f>
        <v>300</v>
      </c>
      <c r="O164" s="60">
        <f>M164*N164</f>
        <v>1364.6838222174304</v>
      </c>
      <c r="P164" s="60">
        <f>$F$33</f>
        <v>5</v>
      </c>
      <c r="Q164" s="5" t="str">
        <f>$G$33</f>
        <v xml:space="preserve"> (L/org/hari)</v>
      </c>
      <c r="R164" s="5">
        <f>P164*O164</f>
        <v>6823.4191110871516</v>
      </c>
      <c r="S164" s="5">
        <f>80%*R164</f>
        <v>5458.7352888697214</v>
      </c>
      <c r="T164" s="5">
        <f>S164/1000</f>
        <v>5.4587352888697218</v>
      </c>
    </row>
    <row r="165" spans="2:20" x14ac:dyDescent="0.3">
      <c r="B165" s="60">
        <f>'[1]Proyeksi Fasum'!AC50</f>
        <v>2024</v>
      </c>
      <c r="C165" s="60">
        <f>'[1]Proyeksi Fasum'!H45</f>
        <v>35.434914640238041</v>
      </c>
      <c r="D165" s="60">
        <v>720</v>
      </c>
      <c r="E165" s="60">
        <f t="shared" ref="E165:E184" si="56">D165*C165</f>
        <v>25513.138540971391</v>
      </c>
      <c r="F165" s="60">
        <v>80</v>
      </c>
      <c r="G165" s="5" t="s">
        <v>242</v>
      </c>
      <c r="H165" s="5">
        <f t="shared" ref="H165:H184" si="57">F165*E165</f>
        <v>2041051.0832777112</v>
      </c>
      <c r="I165" s="5">
        <f t="shared" ref="I165:I184" si="58">80%*H165</f>
        <v>1632840.866622169</v>
      </c>
      <c r="J165" s="5">
        <f t="shared" ref="J165:J184" si="59">I165/1000</f>
        <v>1632.840866622169</v>
      </c>
      <c r="L165" s="60">
        <f>'Proyeksi Penduduk'!B75</f>
        <v>2024</v>
      </c>
      <c r="M165" s="60">
        <f>'Proyeksi Fasum'!H59</f>
        <v>4.6308320581010909</v>
      </c>
      <c r="N165" s="60">
        <f t="shared" ref="N165:N184" si="60">$D$33</f>
        <v>300</v>
      </c>
      <c r="O165" s="60">
        <f t="shared" ref="O165:O174" si="61">M165*N165</f>
        <v>1389.2496174303274</v>
      </c>
      <c r="P165" s="60">
        <f t="shared" ref="P165:P184" si="62">$F$33</f>
        <v>5</v>
      </c>
      <c r="Q165" s="5" t="str">
        <f t="shared" ref="Q165:Q184" si="63">$G$33</f>
        <v xml:space="preserve"> (L/org/hari)</v>
      </c>
      <c r="R165" s="5">
        <f t="shared" ref="R165:R174" si="64">P165*O165</f>
        <v>6946.2480871516364</v>
      </c>
      <c r="S165" s="5">
        <f t="shared" ref="S165:S174" si="65">80%*R165</f>
        <v>5556.9984697213094</v>
      </c>
      <c r="T165" s="5">
        <f t="shared" ref="T165:T174" si="66">S165/1000</f>
        <v>5.5569984697213091</v>
      </c>
    </row>
    <row r="166" spans="2:20" x14ac:dyDescent="0.3">
      <c r="B166" s="60">
        <f>'[1]Proyeksi Fasum'!AC51</f>
        <v>2025</v>
      </c>
      <c r="C166" s="60">
        <f>'[1]Proyeksi Fasum'!I45</f>
        <v>36.149593504743024</v>
      </c>
      <c r="D166" s="60">
        <v>720</v>
      </c>
      <c r="E166" s="60">
        <f t="shared" si="56"/>
        <v>26027.707323414976</v>
      </c>
      <c r="F166" s="60">
        <v>80</v>
      </c>
      <c r="G166" s="5" t="s">
        <v>242</v>
      </c>
      <c r="H166" s="5">
        <f t="shared" si="57"/>
        <v>2082216.585873198</v>
      </c>
      <c r="I166" s="5">
        <f t="shared" si="58"/>
        <v>1665773.2686985584</v>
      </c>
      <c r="J166" s="5">
        <f t="shared" si="59"/>
        <v>1665.7732686985585</v>
      </c>
      <c r="L166" s="60">
        <f>'Proyeksi Penduduk'!B76</f>
        <v>2025</v>
      </c>
      <c r="M166" s="60">
        <f>'Proyeksi Fasum'!I59</f>
        <v>4.7141920790470309</v>
      </c>
      <c r="N166" s="60">
        <f t="shared" si="60"/>
        <v>300</v>
      </c>
      <c r="O166" s="60">
        <f t="shared" si="61"/>
        <v>1414.2576237141093</v>
      </c>
      <c r="P166" s="60">
        <f t="shared" si="62"/>
        <v>5</v>
      </c>
      <c r="Q166" s="5" t="str">
        <f t="shared" si="63"/>
        <v xml:space="preserve"> (L/org/hari)</v>
      </c>
      <c r="R166" s="5">
        <f t="shared" si="64"/>
        <v>7071.2881185705464</v>
      </c>
      <c r="S166" s="5">
        <f t="shared" si="65"/>
        <v>5657.0304948564371</v>
      </c>
      <c r="T166" s="5">
        <f t="shared" si="66"/>
        <v>5.6570304948564374</v>
      </c>
    </row>
    <row r="167" spans="2:20" x14ac:dyDescent="0.3">
      <c r="B167" s="60">
        <f>'[1]Proyeksi Fasum'!AC52</f>
        <v>2026</v>
      </c>
      <c r="C167" s="60">
        <f>'[1]Proyeksi Fasum'!J45</f>
        <v>36.878686567350535</v>
      </c>
      <c r="D167" s="60">
        <v>720</v>
      </c>
      <c r="E167" s="60">
        <f t="shared" si="56"/>
        <v>26552.654328492386</v>
      </c>
      <c r="F167" s="60">
        <v>80</v>
      </c>
      <c r="G167" s="5" t="s">
        <v>242</v>
      </c>
      <c r="H167" s="5">
        <f t="shared" si="57"/>
        <v>2124212.3462793911</v>
      </c>
      <c r="I167" s="5">
        <f t="shared" si="58"/>
        <v>1699369.877023513</v>
      </c>
      <c r="J167" s="5">
        <f t="shared" si="59"/>
        <v>1699.369877023513</v>
      </c>
      <c r="L167" s="60">
        <f>'Proyeksi Penduduk'!B77</f>
        <v>2026</v>
      </c>
      <c r="M167" s="60">
        <f>'Proyeksi Fasum'!J59</f>
        <v>4.7990526711656951</v>
      </c>
      <c r="N167" s="60">
        <f t="shared" si="60"/>
        <v>300</v>
      </c>
      <c r="O167" s="60">
        <f t="shared" si="61"/>
        <v>1439.7158013497085</v>
      </c>
      <c r="P167" s="60">
        <f t="shared" si="62"/>
        <v>5</v>
      </c>
      <c r="Q167" s="5" t="str">
        <f t="shared" si="63"/>
        <v xml:space="preserve"> (L/org/hari)</v>
      </c>
      <c r="R167" s="5">
        <f t="shared" si="64"/>
        <v>7198.5790067485423</v>
      </c>
      <c r="S167" s="5">
        <f t="shared" si="65"/>
        <v>5758.863205398834</v>
      </c>
      <c r="T167" s="5">
        <f t="shared" si="66"/>
        <v>5.7588632053988338</v>
      </c>
    </row>
    <row r="168" spans="2:20" x14ac:dyDescent="0.3">
      <c r="B168" s="60">
        <f>'[1]Proyeksi Fasum'!AC53</f>
        <v>2027</v>
      </c>
      <c r="C168" s="60">
        <f>'[1]Proyeksi Fasum'!K45</f>
        <v>37.622484544796777</v>
      </c>
      <c r="D168" s="60">
        <v>720</v>
      </c>
      <c r="E168" s="60">
        <f t="shared" si="56"/>
        <v>27088.188872253679</v>
      </c>
      <c r="F168" s="60">
        <v>80</v>
      </c>
      <c r="G168" s="5" t="s">
        <v>242</v>
      </c>
      <c r="H168" s="5">
        <f t="shared" si="57"/>
        <v>2167055.1097802944</v>
      </c>
      <c r="I168" s="5">
        <f t="shared" si="58"/>
        <v>1733644.0878242357</v>
      </c>
      <c r="J168" s="5">
        <f t="shared" si="59"/>
        <v>1733.6440878242356</v>
      </c>
      <c r="L168" s="60">
        <f>'Proyeksi Penduduk'!B78</f>
        <v>2027</v>
      </c>
      <c r="M168" s="60">
        <f>'Proyeksi Fasum'!K59</f>
        <v>4.8854408463726102</v>
      </c>
      <c r="N168" s="60">
        <f t="shared" si="60"/>
        <v>300</v>
      </c>
      <c r="O168" s="60">
        <f t="shared" si="61"/>
        <v>1465.632253911783</v>
      </c>
      <c r="P168" s="60">
        <f t="shared" si="62"/>
        <v>5</v>
      </c>
      <c r="Q168" s="5" t="str">
        <f t="shared" si="63"/>
        <v xml:space="preserve"> (L/org/hari)</v>
      </c>
      <c r="R168" s="5">
        <f t="shared" si="64"/>
        <v>7328.1612695589147</v>
      </c>
      <c r="S168" s="5">
        <f t="shared" si="65"/>
        <v>5862.5290156471319</v>
      </c>
      <c r="T168" s="5">
        <f t="shared" si="66"/>
        <v>5.8625290156471319</v>
      </c>
    </row>
    <row r="169" spans="2:20" x14ac:dyDescent="0.3">
      <c r="B169" s="60">
        <f>'[1]Proyeksi Fasum'!AC54</f>
        <v>2028</v>
      </c>
      <c r="C169" s="60">
        <f>'[1]Proyeksi Fasum'!L45</f>
        <v>38.381284017218796</v>
      </c>
      <c r="D169" s="60">
        <v>720</v>
      </c>
      <c r="E169" s="60">
        <f t="shared" si="56"/>
        <v>27634.524492397533</v>
      </c>
      <c r="F169" s="60">
        <v>80</v>
      </c>
      <c r="G169" s="5" t="s">
        <v>242</v>
      </c>
      <c r="H169" s="5">
        <f t="shared" si="57"/>
        <v>2210761.9593918025</v>
      </c>
      <c r="I169" s="5">
        <f t="shared" si="58"/>
        <v>1768609.5675134421</v>
      </c>
      <c r="J169" s="5">
        <f t="shared" si="59"/>
        <v>1768.6095675134422</v>
      </c>
      <c r="L169" s="60">
        <f>'Proyeksi Penduduk'!B79</f>
        <v>2028</v>
      </c>
      <c r="M169" s="60">
        <f>'Proyeksi Fasum'!L59</f>
        <v>4.973384102827211</v>
      </c>
      <c r="N169" s="60">
        <f t="shared" si="60"/>
        <v>300</v>
      </c>
      <c r="O169" s="60">
        <f t="shared" si="61"/>
        <v>1492.0152308481634</v>
      </c>
      <c r="P169" s="60">
        <f t="shared" si="62"/>
        <v>5</v>
      </c>
      <c r="Q169" s="5" t="str">
        <f t="shared" si="63"/>
        <v xml:space="preserve"> (L/org/hari)</v>
      </c>
      <c r="R169" s="5">
        <f t="shared" si="64"/>
        <v>7460.0761542408163</v>
      </c>
      <c r="S169" s="5">
        <f t="shared" si="65"/>
        <v>5968.0609233926534</v>
      </c>
      <c r="T169" s="5">
        <f t="shared" si="66"/>
        <v>5.9680609233926534</v>
      </c>
    </row>
    <row r="170" spans="2:20" x14ac:dyDescent="0.3">
      <c r="B170" s="60">
        <f>'[1]Proyeksi Fasum'!AC55</f>
        <v>2029</v>
      </c>
      <c r="C170" s="60">
        <f>'[1]Proyeksi Fasum'!M45</f>
        <v>39.155387546412022</v>
      </c>
      <c r="D170" s="60">
        <v>720</v>
      </c>
      <c r="E170" s="60">
        <f t="shared" si="56"/>
        <v>28191.879033416655</v>
      </c>
      <c r="F170" s="60">
        <v>80</v>
      </c>
      <c r="G170" s="5" t="s">
        <v>242</v>
      </c>
      <c r="H170" s="5">
        <f t="shared" si="57"/>
        <v>2255350.3226733324</v>
      </c>
      <c r="I170" s="5">
        <f t="shared" si="58"/>
        <v>1804280.2581386659</v>
      </c>
      <c r="J170" s="5">
        <f t="shared" si="59"/>
        <v>1804.2802581386659</v>
      </c>
      <c r="L170" s="60">
        <f>'Proyeksi Penduduk'!B80</f>
        <v>2029</v>
      </c>
      <c r="M170" s="60">
        <f>'Proyeksi Fasum'!M59</f>
        <v>5.0629104336857491</v>
      </c>
      <c r="N170" s="60">
        <f t="shared" si="60"/>
        <v>300</v>
      </c>
      <c r="O170" s="60">
        <f t="shared" si="61"/>
        <v>1518.8731301057248</v>
      </c>
      <c r="P170" s="60">
        <f t="shared" si="62"/>
        <v>5</v>
      </c>
      <c r="Q170" s="5" t="str">
        <f t="shared" si="63"/>
        <v xml:space="preserve"> (L/org/hari)</v>
      </c>
      <c r="R170" s="5">
        <f t="shared" si="64"/>
        <v>7594.3656505286244</v>
      </c>
      <c r="S170" s="5">
        <f t="shared" si="65"/>
        <v>6075.4925204229003</v>
      </c>
      <c r="T170" s="5">
        <f t="shared" si="66"/>
        <v>6.0754925204229</v>
      </c>
    </row>
    <row r="171" spans="2:20" x14ac:dyDescent="0.3">
      <c r="B171" s="60">
        <f>'[1]Proyeksi Fasum'!AC56</f>
        <v>2030</v>
      </c>
      <c r="C171" s="60">
        <f>'[1]Proyeksi Fasum'!N45</f>
        <v>39.945103796473092</v>
      </c>
      <c r="D171" s="60">
        <v>720</v>
      </c>
      <c r="E171" s="60">
        <f t="shared" si="56"/>
        <v>28760.474733460625</v>
      </c>
      <c r="F171" s="60">
        <v>80</v>
      </c>
      <c r="G171" s="5" t="s">
        <v>242</v>
      </c>
      <c r="H171" s="5">
        <f t="shared" si="57"/>
        <v>2300837.97867685</v>
      </c>
      <c r="I171" s="5">
        <f t="shared" si="58"/>
        <v>1840670.38294148</v>
      </c>
      <c r="J171" s="5">
        <f t="shared" si="59"/>
        <v>1840.6703829414801</v>
      </c>
      <c r="L171" s="60">
        <f>'Proyeksi Penduduk'!B81</f>
        <v>2030</v>
      </c>
      <c r="M171" s="60">
        <f>'Proyeksi Fasum'!N59</f>
        <v>5.1540483360117788</v>
      </c>
      <c r="N171" s="60">
        <f t="shared" si="60"/>
        <v>300</v>
      </c>
      <c r="O171" s="60">
        <f t="shared" si="61"/>
        <v>1546.2145008035336</v>
      </c>
      <c r="P171" s="60">
        <f t="shared" si="62"/>
        <v>5</v>
      </c>
      <c r="Q171" s="5" t="str">
        <f t="shared" si="63"/>
        <v xml:space="preserve"> (L/org/hari)</v>
      </c>
      <c r="R171" s="5">
        <f>P171*O171</f>
        <v>7731.0725040176676</v>
      </c>
      <c r="S171" s="5">
        <f t="shared" si="65"/>
        <v>6184.8580032141344</v>
      </c>
      <c r="T171" s="5">
        <f t="shared" si="66"/>
        <v>6.184858003214134</v>
      </c>
    </row>
    <row r="172" spans="2:20" x14ac:dyDescent="0.3">
      <c r="B172" s="60">
        <f>'[1]Proyeksi Fasum'!AC57</f>
        <v>2031</v>
      </c>
      <c r="C172" s="60">
        <f>'[1]Proyeksi Fasum'!O45</f>
        <v>40.750747656875667</v>
      </c>
      <c r="D172" s="60">
        <v>720</v>
      </c>
      <c r="E172" s="60">
        <f t="shared" si="56"/>
        <v>29340.538312950481</v>
      </c>
      <c r="F172" s="60">
        <v>80</v>
      </c>
      <c r="G172" s="5" t="s">
        <v>242</v>
      </c>
      <c r="H172" s="5">
        <f t="shared" si="57"/>
        <v>2347243.0650360384</v>
      </c>
      <c r="I172" s="5">
        <f t="shared" si="58"/>
        <v>1877794.4520288308</v>
      </c>
      <c r="J172" s="5">
        <f t="shared" si="59"/>
        <v>1877.7944520288308</v>
      </c>
      <c r="L172" s="60">
        <f>'Proyeksi Penduduk'!B82</f>
        <v>2031</v>
      </c>
      <c r="M172" s="60">
        <f>'Proyeksi Fasum'!O59</f>
        <v>5.2468268198470369</v>
      </c>
      <c r="N172" s="60">
        <f t="shared" si="60"/>
        <v>300</v>
      </c>
      <c r="O172" s="60">
        <f t="shared" si="61"/>
        <v>1574.0480459541111</v>
      </c>
      <c r="P172" s="60">
        <f t="shared" si="62"/>
        <v>5</v>
      </c>
      <c r="Q172" s="5" t="str">
        <f t="shared" si="63"/>
        <v xml:space="preserve"> (L/org/hari)</v>
      </c>
      <c r="R172" s="5">
        <f t="shared" si="64"/>
        <v>7870.2402297705557</v>
      </c>
      <c r="S172" s="5">
        <f t="shared" si="65"/>
        <v>6296.1921838164453</v>
      </c>
      <c r="T172" s="5">
        <f t="shared" si="66"/>
        <v>6.2961921838164452</v>
      </c>
    </row>
    <row r="173" spans="2:20" x14ac:dyDescent="0.3">
      <c r="B173" s="60">
        <f>'[1]Proyeksi Fasum'!AC58</f>
        <v>2032</v>
      </c>
      <c r="C173" s="60">
        <f>'[1]Proyeksi Fasum'!P45</f>
        <v>41.572640368028793</v>
      </c>
      <c r="D173" s="60">
        <v>720</v>
      </c>
      <c r="E173" s="60">
        <f t="shared" si="56"/>
        <v>29932.301064980729</v>
      </c>
      <c r="F173" s="60">
        <v>80</v>
      </c>
      <c r="G173" s="5" t="s">
        <v>242</v>
      </c>
      <c r="H173" s="5">
        <f t="shared" si="57"/>
        <v>2394584.0851984583</v>
      </c>
      <c r="I173" s="5">
        <f t="shared" si="58"/>
        <v>1915667.2681587667</v>
      </c>
      <c r="J173" s="5">
        <f t="shared" si="59"/>
        <v>1915.6672681587668</v>
      </c>
      <c r="L173" s="60">
        <f>'Proyeksi Penduduk'!B83</f>
        <v>2032</v>
      </c>
      <c r="M173" s="60">
        <f>'Proyeksi Fasum'!P59</f>
        <v>5.3412754174456127</v>
      </c>
      <c r="N173" s="60">
        <f t="shared" si="60"/>
        <v>300</v>
      </c>
      <c r="O173" s="60">
        <f t="shared" si="61"/>
        <v>1602.3826252336837</v>
      </c>
      <c r="P173" s="60">
        <f t="shared" si="62"/>
        <v>5</v>
      </c>
      <c r="Q173" s="5" t="str">
        <f t="shared" si="63"/>
        <v xml:space="preserve"> (L/org/hari)</v>
      </c>
      <c r="R173" s="5">
        <f t="shared" si="64"/>
        <v>8011.9131261684188</v>
      </c>
      <c r="S173" s="5">
        <f t="shared" si="65"/>
        <v>6409.5305009347358</v>
      </c>
      <c r="T173" s="5">
        <f t="shared" si="66"/>
        <v>6.4095305009347356</v>
      </c>
    </row>
    <row r="174" spans="2:20" x14ac:dyDescent="0.3">
      <c r="B174" s="60">
        <f>'[1]Proyeksi Fasum'!AC59</f>
        <v>2033</v>
      </c>
      <c r="C174" s="60">
        <f>'[1]Proyeksi Fasum'!Q45</f>
        <v>42.411109649367454</v>
      </c>
      <c r="D174" s="60">
        <v>720</v>
      </c>
      <c r="E174" s="60">
        <f t="shared" si="56"/>
        <v>30535.998947544565</v>
      </c>
      <c r="F174" s="60">
        <v>80</v>
      </c>
      <c r="G174" s="5" t="s">
        <v>242</v>
      </c>
      <c r="H174" s="5">
        <f t="shared" si="57"/>
        <v>2442879.9158035652</v>
      </c>
      <c r="I174" s="5">
        <f t="shared" si="58"/>
        <v>1954303.9326428522</v>
      </c>
      <c r="J174" s="5">
        <f t="shared" si="59"/>
        <v>1954.3039326428523</v>
      </c>
      <c r="L174" s="60">
        <f>'Proyeksi Penduduk'!B84</f>
        <v>2033</v>
      </c>
      <c r="M174" s="60">
        <f>'Proyeksi Fasum'!Q59</f>
        <v>5.4374241926743299</v>
      </c>
      <c r="N174" s="60">
        <f t="shared" si="60"/>
        <v>300</v>
      </c>
      <c r="O174" s="60">
        <f t="shared" si="61"/>
        <v>1631.2272578022989</v>
      </c>
      <c r="P174" s="60">
        <f t="shared" si="62"/>
        <v>5</v>
      </c>
      <c r="Q174" s="5" t="str">
        <f t="shared" si="63"/>
        <v xml:space="preserve"> (L/org/hari)</v>
      </c>
      <c r="R174" s="5">
        <f t="shared" si="64"/>
        <v>8156.1362890114942</v>
      </c>
      <c r="S174" s="5">
        <f t="shared" si="65"/>
        <v>6524.9090312091957</v>
      </c>
      <c r="T174" s="5">
        <f t="shared" si="66"/>
        <v>6.5249090312091962</v>
      </c>
    </row>
    <row r="175" spans="2:20" x14ac:dyDescent="0.3">
      <c r="B175" s="60">
        <f>'[1]Proyeksi Fasum'!AC60</f>
        <v>2034</v>
      </c>
      <c r="C175" s="60">
        <f>'[1]Proyeksi Fasum'!R45</f>
        <v>43.266489830026558</v>
      </c>
      <c r="D175" s="60">
        <v>720</v>
      </c>
      <c r="E175" s="60">
        <f t="shared" si="56"/>
        <v>31151.872677619122</v>
      </c>
      <c r="F175" s="60">
        <v>80</v>
      </c>
      <c r="G175" s="5" t="s">
        <v>242</v>
      </c>
      <c r="H175" s="5">
        <f t="shared" si="57"/>
        <v>2492149.8142095297</v>
      </c>
      <c r="I175" s="5">
        <f t="shared" si="58"/>
        <v>1993719.8513676238</v>
      </c>
      <c r="J175" s="5">
        <f t="shared" si="59"/>
        <v>1993.7198513676237</v>
      </c>
      <c r="L175" s="60">
        <f>'Proyeksi Penduduk'!B85</f>
        <v>2034</v>
      </c>
      <c r="M175" s="60">
        <f>'Proyeksi Fasum'!R59</f>
        <v>5.5353037505823659</v>
      </c>
      <c r="N175" s="60">
        <f t="shared" si="60"/>
        <v>300</v>
      </c>
      <c r="O175" s="60">
        <f t="shared" ref="O175:O184" si="67">M175*N175</f>
        <v>1660.5911251747098</v>
      </c>
      <c r="P175" s="60">
        <f t="shared" si="62"/>
        <v>5</v>
      </c>
      <c r="Q175" s="5" t="str">
        <f t="shared" si="63"/>
        <v xml:space="preserve"> (L/org/hari)</v>
      </c>
      <c r="R175" s="5">
        <f t="shared" ref="R175:R184" si="68">P175*O175</f>
        <v>8302.9556258735483</v>
      </c>
      <c r="S175" s="5">
        <f t="shared" ref="S175:S184" si="69">80%*R175</f>
        <v>6642.364500698839</v>
      </c>
      <c r="T175" s="5">
        <f t="shared" ref="T175:T184" si="70">S175/1000</f>
        <v>6.6423645006988394</v>
      </c>
    </row>
    <row r="176" spans="2:20" x14ac:dyDescent="0.3">
      <c r="B176" s="60">
        <f>'[1]Proyeksi Fasum'!AC61</f>
        <v>2035</v>
      </c>
      <c r="C176" s="60">
        <f>'[1]Proyeksi Fasum'!S45</f>
        <v>43.266489830026558</v>
      </c>
      <c r="D176" s="60">
        <v>720</v>
      </c>
      <c r="E176" s="60">
        <f t="shared" si="56"/>
        <v>31151.872677619122</v>
      </c>
      <c r="F176" s="60">
        <v>80</v>
      </c>
      <c r="G176" s="5" t="s">
        <v>242</v>
      </c>
      <c r="H176" s="5">
        <f t="shared" si="57"/>
        <v>2492149.8142095297</v>
      </c>
      <c r="I176" s="5">
        <f t="shared" si="58"/>
        <v>1993719.8513676238</v>
      </c>
      <c r="J176" s="5">
        <f t="shared" si="59"/>
        <v>1993.7198513676237</v>
      </c>
      <c r="L176" s="60">
        <f>'Proyeksi Penduduk'!B86</f>
        <v>2035</v>
      </c>
      <c r="M176" s="60">
        <f>'Proyeksi Fasum'!S59</f>
        <v>5.5353037505823659</v>
      </c>
      <c r="N176" s="60">
        <f t="shared" si="60"/>
        <v>300</v>
      </c>
      <c r="O176" s="60">
        <f t="shared" si="67"/>
        <v>1660.5911251747098</v>
      </c>
      <c r="P176" s="60">
        <f t="shared" si="62"/>
        <v>5</v>
      </c>
      <c r="Q176" s="5" t="str">
        <f t="shared" si="63"/>
        <v xml:space="preserve"> (L/org/hari)</v>
      </c>
      <c r="R176" s="5">
        <f t="shared" si="68"/>
        <v>8302.9556258735483</v>
      </c>
      <c r="S176" s="5">
        <f t="shared" si="69"/>
        <v>6642.364500698839</v>
      </c>
      <c r="T176" s="5">
        <f t="shared" si="70"/>
        <v>6.6423645006988394</v>
      </c>
    </row>
    <row r="177" spans="2:20" x14ac:dyDescent="0.3">
      <c r="B177" s="60">
        <f>'[1]Proyeksi Fasum'!AC62</f>
        <v>2036</v>
      </c>
      <c r="C177" s="60">
        <f>'[1]Proyeksi Fasum'!T45</f>
        <v>44.139121982150535</v>
      </c>
      <c r="D177" s="60">
        <v>720</v>
      </c>
      <c r="E177" s="60">
        <f t="shared" si="56"/>
        <v>31780.167827148383</v>
      </c>
      <c r="F177" s="60">
        <v>80</v>
      </c>
      <c r="G177" s="5" t="s">
        <v>242</v>
      </c>
      <c r="H177" s="5">
        <f t="shared" si="57"/>
        <v>2542413.4261718709</v>
      </c>
      <c r="I177" s="5">
        <f t="shared" si="58"/>
        <v>2033930.7409374968</v>
      </c>
      <c r="J177" s="5">
        <f t="shared" si="59"/>
        <v>2033.9307409374967</v>
      </c>
      <c r="L177" s="60">
        <f>'Proyeksi Penduduk'!B87</f>
        <v>2036</v>
      </c>
      <c r="M177" s="60">
        <f>'Proyeksi Fasum'!T59</f>
        <v>5.6349452471431141</v>
      </c>
      <c r="N177" s="60">
        <f t="shared" si="60"/>
        <v>300</v>
      </c>
      <c r="O177" s="60">
        <f t="shared" si="67"/>
        <v>1690.4835741429342</v>
      </c>
      <c r="P177" s="60">
        <f t="shared" si="62"/>
        <v>5</v>
      </c>
      <c r="Q177" s="5" t="str">
        <f t="shared" si="63"/>
        <v xml:space="preserve"> (L/org/hari)</v>
      </c>
      <c r="R177" s="5">
        <f t="shared" si="68"/>
        <v>8452.4178707146712</v>
      </c>
      <c r="S177" s="5">
        <f t="shared" si="69"/>
        <v>6761.9342965717369</v>
      </c>
      <c r="T177" s="5">
        <f t="shared" si="70"/>
        <v>6.7619342965717371</v>
      </c>
    </row>
    <row r="178" spans="2:20" x14ac:dyDescent="0.3">
      <c r="B178" s="60">
        <f>'[1]Proyeksi Fasum'!AC63</f>
        <v>2037</v>
      </c>
      <c r="C178" s="60">
        <f>'[1]Proyeksi Fasum'!U45</f>
        <v>45.029354056891549</v>
      </c>
      <c r="D178" s="60">
        <v>720</v>
      </c>
      <c r="E178" s="60">
        <f t="shared" si="56"/>
        <v>32421.134920961915</v>
      </c>
      <c r="F178" s="60">
        <v>80</v>
      </c>
      <c r="G178" s="5" t="s">
        <v>242</v>
      </c>
      <c r="H178" s="5">
        <f t="shared" si="57"/>
        <v>2593690.7936769533</v>
      </c>
      <c r="I178" s="5">
        <f t="shared" si="58"/>
        <v>2074952.6349415628</v>
      </c>
      <c r="J178" s="5">
        <f t="shared" si="59"/>
        <v>2074.9526349415628</v>
      </c>
      <c r="L178" s="60">
        <f>'Proyeksi Penduduk'!B88</f>
        <v>2037</v>
      </c>
      <c r="M178" s="60">
        <f>'Proyeksi Fasum'!U59</f>
        <v>5.7363803991714288</v>
      </c>
      <c r="N178" s="60">
        <f t="shared" si="60"/>
        <v>300</v>
      </c>
      <c r="O178" s="60">
        <f t="shared" si="67"/>
        <v>1720.9141197514286</v>
      </c>
      <c r="P178" s="60">
        <f t="shared" si="62"/>
        <v>5</v>
      </c>
      <c r="Q178" s="5" t="str">
        <f t="shared" si="63"/>
        <v xml:space="preserve"> (L/org/hari)</v>
      </c>
      <c r="R178" s="5">
        <f t="shared" si="68"/>
        <v>8604.5705987571437</v>
      </c>
      <c r="S178" s="5">
        <f t="shared" si="69"/>
        <v>6883.6564790057155</v>
      </c>
      <c r="T178" s="5">
        <f t="shared" si="70"/>
        <v>6.8836564790057153</v>
      </c>
    </row>
    <row r="179" spans="2:20" x14ac:dyDescent="0.3">
      <c r="B179" s="60">
        <f>'[1]Proyeksi Fasum'!AC64</f>
        <v>2038</v>
      </c>
      <c r="C179" s="60">
        <f>'[1]Proyeksi Fasum'!V45</f>
        <v>45.937541023150779</v>
      </c>
      <c r="D179" s="60">
        <v>720</v>
      </c>
      <c r="E179" s="60">
        <f t="shared" si="56"/>
        <v>33075.02953666856</v>
      </c>
      <c r="F179" s="60">
        <v>80</v>
      </c>
      <c r="G179" s="5" t="s">
        <v>242</v>
      </c>
      <c r="H179" s="5">
        <f t="shared" si="57"/>
        <v>2646002.3629334848</v>
      </c>
      <c r="I179" s="5">
        <f t="shared" si="58"/>
        <v>2116801.8903467879</v>
      </c>
      <c r="J179" s="5">
        <f t="shared" si="59"/>
        <v>2116.8018903467878</v>
      </c>
      <c r="L179" s="60">
        <f>'Proyeksi Penduduk'!B89</f>
        <v>2038</v>
      </c>
      <c r="M179" s="60">
        <f>'Proyeksi Fasum'!V59</f>
        <v>5.8396414944193715</v>
      </c>
      <c r="N179" s="60">
        <f t="shared" si="60"/>
        <v>300</v>
      </c>
      <c r="O179" s="60">
        <f t="shared" si="67"/>
        <v>1751.8924483258115</v>
      </c>
      <c r="P179" s="60">
        <f t="shared" si="62"/>
        <v>5</v>
      </c>
      <c r="Q179" s="5" t="str">
        <f t="shared" si="63"/>
        <v xml:space="preserve"> (L/org/hari)</v>
      </c>
      <c r="R179" s="5">
        <f t="shared" si="68"/>
        <v>8759.4622416290586</v>
      </c>
      <c r="S179" s="5">
        <f t="shared" si="69"/>
        <v>7007.569793303247</v>
      </c>
      <c r="T179" s="5">
        <f t="shared" si="70"/>
        <v>7.0075697933032473</v>
      </c>
    </row>
    <row r="180" spans="2:20" x14ac:dyDescent="0.3">
      <c r="B180" s="60">
        <f>'[1]Proyeksi Fasum'!AC65</f>
        <v>2039</v>
      </c>
      <c r="C180" s="60">
        <f>'[1]Proyeksi Fasum'!W45</f>
        <v>46.86404500911766</v>
      </c>
      <c r="D180" s="60">
        <v>720</v>
      </c>
      <c r="E180" s="60">
        <f t="shared" si="56"/>
        <v>33742.112406564716</v>
      </c>
      <c r="F180" s="60">
        <v>80</v>
      </c>
      <c r="G180" s="5" t="s">
        <v>242</v>
      </c>
      <c r="H180" s="5">
        <f t="shared" si="57"/>
        <v>2699368.9925251771</v>
      </c>
      <c r="I180" s="5">
        <f t="shared" si="58"/>
        <v>2159495.1940201418</v>
      </c>
      <c r="J180" s="5">
        <f t="shared" si="59"/>
        <v>2159.4951940201418</v>
      </c>
      <c r="L180" s="60">
        <f>'Proyeksi Penduduk'!B90</f>
        <v>2039</v>
      </c>
      <c r="M180" s="60">
        <f>'Proyeksi Fasum'!W59</f>
        <v>5.9447614018537172</v>
      </c>
      <c r="N180" s="60">
        <f t="shared" si="60"/>
        <v>300</v>
      </c>
      <c r="O180" s="60">
        <f t="shared" si="67"/>
        <v>1783.428420556115</v>
      </c>
      <c r="P180" s="60">
        <f t="shared" si="62"/>
        <v>5</v>
      </c>
      <c r="Q180" s="5" t="str">
        <f t="shared" si="63"/>
        <v xml:space="preserve"> (L/org/hari)</v>
      </c>
      <c r="R180" s="5">
        <f t="shared" si="68"/>
        <v>8917.1421027805754</v>
      </c>
      <c r="S180" s="5">
        <f t="shared" si="69"/>
        <v>7133.7136822244611</v>
      </c>
      <c r="T180" s="5">
        <f t="shared" si="70"/>
        <v>7.1337136822244611</v>
      </c>
    </row>
    <row r="181" spans="2:20" x14ac:dyDescent="0.3">
      <c r="B181" s="60">
        <f>'[1]Proyeksi Fasum'!AC66</f>
        <v>2040</v>
      </c>
      <c r="C181" s="60">
        <f>'[1]Proyeksi Fasum'!X45</f>
        <v>47.80923544666409</v>
      </c>
      <c r="D181" s="60">
        <v>720</v>
      </c>
      <c r="E181" s="60">
        <f t="shared" si="56"/>
        <v>34422.649521598141</v>
      </c>
      <c r="F181" s="60">
        <v>80</v>
      </c>
      <c r="G181" s="5" t="s">
        <v>242</v>
      </c>
      <c r="H181" s="5">
        <f t="shared" si="57"/>
        <v>2753811.9617278511</v>
      </c>
      <c r="I181" s="5">
        <f t="shared" si="58"/>
        <v>2203049.569382281</v>
      </c>
      <c r="J181" s="5">
        <f t="shared" si="59"/>
        <v>2203.0495693822809</v>
      </c>
      <c r="L181" s="60">
        <f>'Proyeksi Penduduk'!B91</f>
        <v>2040</v>
      </c>
      <c r="M181" s="60">
        <f>'Proyeksi Fasum'!X59</f>
        <v>6.0517735821184333</v>
      </c>
      <c r="N181" s="60">
        <f t="shared" si="60"/>
        <v>300</v>
      </c>
      <c r="O181" s="60">
        <f t="shared" si="67"/>
        <v>1815.5320746355301</v>
      </c>
      <c r="P181" s="60">
        <f t="shared" si="62"/>
        <v>5</v>
      </c>
      <c r="Q181" s="5" t="str">
        <f t="shared" si="63"/>
        <v xml:space="preserve"> (L/org/hari)</v>
      </c>
      <c r="R181" s="5">
        <f t="shared" si="68"/>
        <v>9077.6603731776504</v>
      </c>
      <c r="S181" s="5">
        <f t="shared" si="69"/>
        <v>7262.1282985421203</v>
      </c>
      <c r="T181" s="5">
        <f t="shared" si="70"/>
        <v>7.2621282985421205</v>
      </c>
    </row>
    <row r="182" spans="2:20" x14ac:dyDescent="0.3">
      <c r="B182" s="60">
        <f>'[1]Proyeksi Fasum'!AC67</f>
        <v>2041</v>
      </c>
      <c r="C182" s="60">
        <f>'[1]Proyeksi Fasum'!Y45</f>
        <v>48.77348921865071</v>
      </c>
      <c r="D182" s="60">
        <v>720</v>
      </c>
      <c r="E182" s="60">
        <f t="shared" si="56"/>
        <v>35116.912237428514</v>
      </c>
      <c r="F182" s="60">
        <v>80</v>
      </c>
      <c r="G182" s="5" t="s">
        <v>242</v>
      </c>
      <c r="H182" s="5">
        <f t="shared" si="57"/>
        <v>2809352.978994281</v>
      </c>
      <c r="I182" s="5">
        <f t="shared" si="58"/>
        <v>2247482.3831954249</v>
      </c>
      <c r="J182" s="5">
        <f t="shared" si="59"/>
        <v>2247.482383195425</v>
      </c>
      <c r="L182" s="60">
        <f>'Proyeksi Penduduk'!B92</f>
        <v>2041</v>
      </c>
      <c r="M182" s="60">
        <f>'Proyeksi Fasum'!Y59</f>
        <v>6.160712098185531</v>
      </c>
      <c r="N182" s="60">
        <f t="shared" si="60"/>
        <v>300</v>
      </c>
      <c r="O182" s="60">
        <f t="shared" si="67"/>
        <v>1848.2136294556592</v>
      </c>
      <c r="P182" s="60">
        <f t="shared" si="62"/>
        <v>5</v>
      </c>
      <c r="Q182" s="5" t="str">
        <f t="shared" si="63"/>
        <v xml:space="preserve"> (L/org/hari)</v>
      </c>
      <c r="R182" s="5">
        <f t="shared" si="68"/>
        <v>9241.0681472782962</v>
      </c>
      <c r="S182" s="5">
        <f t="shared" si="69"/>
        <v>7392.8545178226377</v>
      </c>
      <c r="T182" s="5">
        <f t="shared" si="70"/>
        <v>7.3928545178226379</v>
      </c>
    </row>
    <row r="183" spans="2:20" x14ac:dyDescent="0.3">
      <c r="B183" s="60">
        <f>'[1]Proyeksi Fasum'!AC68</f>
        <v>2042</v>
      </c>
      <c r="C183" s="60">
        <f>'[1]Proyeksi Fasum'!Z45</f>
        <v>49.757190809204253</v>
      </c>
      <c r="D183" s="60">
        <v>720</v>
      </c>
      <c r="E183" s="60">
        <f t="shared" si="56"/>
        <v>35825.177382627066</v>
      </c>
      <c r="F183" s="60">
        <v>80</v>
      </c>
      <c r="G183" s="5" t="s">
        <v>242</v>
      </c>
      <c r="H183" s="5">
        <f t="shared" si="57"/>
        <v>2866014.1906101652</v>
      </c>
      <c r="I183" s="5">
        <f t="shared" si="58"/>
        <v>2292811.3524881322</v>
      </c>
      <c r="J183" s="5">
        <f t="shared" si="59"/>
        <v>2292.8113524881323</v>
      </c>
      <c r="L183" s="60">
        <f>'Proyeksi Penduduk'!B93</f>
        <v>2042</v>
      </c>
      <c r="M183" s="60">
        <f>'Proyeksi Fasum'!Z59</f>
        <v>6.2716116261976182</v>
      </c>
      <c r="N183" s="60">
        <f t="shared" si="60"/>
        <v>300</v>
      </c>
      <c r="O183" s="60">
        <f t="shared" si="67"/>
        <v>1881.4834878592856</v>
      </c>
      <c r="P183" s="60">
        <f t="shared" si="62"/>
        <v>5</v>
      </c>
      <c r="Q183" s="5" t="str">
        <f t="shared" si="63"/>
        <v xml:space="preserve"> (L/org/hari)</v>
      </c>
      <c r="R183" s="5">
        <f t="shared" si="68"/>
        <v>9407.4174392964269</v>
      </c>
      <c r="S183" s="5">
        <f t="shared" si="69"/>
        <v>7525.9339514371422</v>
      </c>
      <c r="T183" s="5">
        <f t="shared" si="70"/>
        <v>7.5259339514371426</v>
      </c>
    </row>
    <row r="184" spans="2:20" x14ac:dyDescent="0.3">
      <c r="B184" s="60">
        <f>'[1]Proyeksi Fasum'!AC69</f>
        <v>2043</v>
      </c>
      <c r="C184" s="60">
        <f>'[1]Proyeksi Fasum'!AA45</f>
        <v>50.760732457025803</v>
      </c>
      <c r="D184" s="60">
        <v>720</v>
      </c>
      <c r="E184" s="60">
        <f t="shared" si="56"/>
        <v>36547.727369058579</v>
      </c>
      <c r="F184" s="60">
        <v>80</v>
      </c>
      <c r="G184" s="5" t="s">
        <v>242</v>
      </c>
      <c r="H184" s="5">
        <f t="shared" si="57"/>
        <v>2923818.1895246864</v>
      </c>
      <c r="I184" s="5">
        <f t="shared" si="58"/>
        <v>2339054.5516197491</v>
      </c>
      <c r="J184" s="5">
        <f t="shared" si="59"/>
        <v>2339.054551619749</v>
      </c>
      <c r="L184" s="60">
        <f>'Proyeksi Penduduk'!B94</f>
        <v>2043</v>
      </c>
      <c r="M184" s="60">
        <f>'Proyeksi Fasum'!AA59</f>
        <v>6.3845074665056369</v>
      </c>
      <c r="N184" s="60">
        <f t="shared" si="60"/>
        <v>300</v>
      </c>
      <c r="O184" s="60">
        <f t="shared" si="67"/>
        <v>1915.352239951691</v>
      </c>
      <c r="P184" s="60">
        <f t="shared" si="62"/>
        <v>5</v>
      </c>
      <c r="Q184" s="5" t="str">
        <f t="shared" si="63"/>
        <v xml:space="preserve"> (L/org/hari)</v>
      </c>
      <c r="R184" s="5">
        <f t="shared" si="68"/>
        <v>9576.7611997584554</v>
      </c>
      <c r="S184" s="5">
        <f t="shared" si="69"/>
        <v>7661.4089598067649</v>
      </c>
      <c r="T184" s="5">
        <f t="shared" si="70"/>
        <v>7.6614089598067645</v>
      </c>
    </row>
    <row r="186" spans="2:20" x14ac:dyDescent="0.3">
      <c r="B186" s="283" t="s">
        <v>192</v>
      </c>
      <c r="C186" s="283"/>
      <c r="D186" s="283"/>
      <c r="E186" s="283"/>
      <c r="F186" s="283"/>
      <c r="G186" s="283"/>
      <c r="H186" s="283"/>
      <c r="I186" s="283"/>
      <c r="J186" s="283"/>
      <c r="L186" s="283" t="s">
        <v>315</v>
      </c>
      <c r="M186" s="283"/>
      <c r="N186" s="283"/>
      <c r="O186" s="283"/>
      <c r="P186" s="283"/>
      <c r="Q186" s="283"/>
      <c r="R186" s="283"/>
      <c r="S186" s="283"/>
      <c r="T186" s="283"/>
    </row>
    <row r="187" spans="2:20" x14ac:dyDescent="0.3">
      <c r="B187" s="348" t="s">
        <v>98</v>
      </c>
      <c r="C187" s="342" t="s">
        <v>235</v>
      </c>
      <c r="D187" s="342" t="s">
        <v>236</v>
      </c>
      <c r="E187" s="342" t="s">
        <v>237</v>
      </c>
      <c r="F187" s="342" t="s">
        <v>241</v>
      </c>
      <c r="G187" s="342" t="s">
        <v>240</v>
      </c>
      <c r="H187" s="342" t="s">
        <v>238</v>
      </c>
      <c r="I187" s="342" t="s">
        <v>239</v>
      </c>
      <c r="J187" s="342" t="s">
        <v>250</v>
      </c>
      <c r="L187" s="343" t="s">
        <v>98</v>
      </c>
      <c r="M187" s="342" t="s">
        <v>235</v>
      </c>
      <c r="N187" s="342" t="s">
        <v>236</v>
      </c>
      <c r="O187" s="342" t="s">
        <v>237</v>
      </c>
      <c r="P187" s="342" t="s">
        <v>241</v>
      </c>
      <c r="Q187" s="345" t="s">
        <v>240</v>
      </c>
      <c r="R187" s="347" t="s">
        <v>238</v>
      </c>
      <c r="S187" s="347" t="s">
        <v>239</v>
      </c>
      <c r="T187" s="347" t="s">
        <v>250</v>
      </c>
    </row>
    <row r="188" spans="2:20" x14ac:dyDescent="0.3">
      <c r="B188" s="348"/>
      <c r="C188" s="342"/>
      <c r="D188" s="342"/>
      <c r="E188" s="342"/>
      <c r="F188" s="342"/>
      <c r="G188" s="342"/>
      <c r="H188" s="342"/>
      <c r="I188" s="342"/>
      <c r="J188" s="342"/>
      <c r="L188" s="344"/>
      <c r="M188" s="342"/>
      <c r="N188" s="342"/>
      <c r="O188" s="342"/>
      <c r="P188" s="342"/>
      <c r="Q188" s="346"/>
      <c r="R188" s="347"/>
      <c r="S188" s="347"/>
      <c r="T188" s="347"/>
    </row>
    <row r="189" spans="2:20" x14ac:dyDescent="0.3">
      <c r="B189" s="60">
        <f>'[1]Proyeksi Fasum'!AC49</f>
        <v>2023</v>
      </c>
      <c r="C189" s="60">
        <f>'[1]Proyeksi Fasum'!G46</f>
        <v>64.205947432709365</v>
      </c>
      <c r="D189" s="60">
        <f>D12</f>
        <v>720</v>
      </c>
      <c r="E189" s="60">
        <f>D189*C189</f>
        <v>46228.282151550746</v>
      </c>
      <c r="F189" s="60">
        <v>80</v>
      </c>
      <c r="G189" s="5" t="s">
        <v>242</v>
      </c>
      <c r="H189" s="5">
        <f>F189*E189</f>
        <v>3698262.5721240598</v>
      </c>
      <c r="I189" s="5">
        <f>80%*H189</f>
        <v>2958610.0576992482</v>
      </c>
      <c r="J189" s="5">
        <f>I189/1000</f>
        <v>2958.610057699248</v>
      </c>
      <c r="L189" s="60">
        <f>'Proyeksi Penduduk'!B74</f>
        <v>2023</v>
      </c>
      <c r="M189" s="60">
        <f>'Proyeksi Fasum'!G60</f>
        <v>1.2996988783023147</v>
      </c>
      <c r="N189" s="60">
        <f>$D$33</f>
        <v>300</v>
      </c>
      <c r="O189" s="60">
        <f>M189*N189</f>
        <v>389.90966349069441</v>
      </c>
      <c r="P189" s="60">
        <f>$F$33</f>
        <v>5</v>
      </c>
      <c r="Q189" s="5" t="str">
        <f>$G$33</f>
        <v xml:space="preserve"> (L/org/hari)</v>
      </c>
      <c r="R189" s="5">
        <f>P189*O189</f>
        <v>1949.548317453472</v>
      </c>
      <c r="S189" s="5">
        <f>80%*R189</f>
        <v>1559.6386539627777</v>
      </c>
      <c r="T189" s="5">
        <f>S189/1000</f>
        <v>1.5596386539627776</v>
      </c>
    </row>
    <row r="190" spans="2:20" x14ac:dyDescent="0.3">
      <c r="B190" s="60">
        <f>'[1]Proyeksi Fasum'!AC50</f>
        <v>2024</v>
      </c>
      <c r="C190" s="60">
        <f>'[1]Proyeksi Fasum'!H46</f>
        <v>65.500902819833954</v>
      </c>
      <c r="D190" s="60">
        <v>720</v>
      </c>
      <c r="E190" s="60">
        <f t="shared" ref="E190:E209" si="71">D190*C190</f>
        <v>47160.650030280449</v>
      </c>
      <c r="F190" s="60">
        <v>80</v>
      </c>
      <c r="G190" s="5" t="s">
        <v>242</v>
      </c>
      <c r="H190" s="5">
        <f t="shared" ref="H190:H209" si="72">F190*E190</f>
        <v>3772852.0024224361</v>
      </c>
      <c r="I190" s="5">
        <f t="shared" ref="I190:I209" si="73">80%*H190</f>
        <v>3018281.6019379492</v>
      </c>
      <c r="J190" s="5">
        <f t="shared" ref="J190:J209" si="74">I190/1000</f>
        <v>3018.2816019379493</v>
      </c>
      <c r="L190" s="60">
        <f>'Proyeksi Penduduk'!B75</f>
        <v>2024</v>
      </c>
      <c r="M190" s="60">
        <f>'Proyeksi Fasum'!H60</f>
        <v>1.3230948737431689</v>
      </c>
      <c r="N190" s="60">
        <f t="shared" ref="N190:N209" si="75">$D$33</f>
        <v>300</v>
      </c>
      <c r="O190" s="60">
        <f t="shared" ref="O190:O209" si="76">M190*N190</f>
        <v>396.92846212295069</v>
      </c>
      <c r="P190" s="60">
        <f t="shared" ref="P190:P209" si="77">$F$33</f>
        <v>5</v>
      </c>
      <c r="Q190" s="5" t="str">
        <f t="shared" ref="Q190:Q209" si="78">$G$33</f>
        <v xml:space="preserve"> (L/org/hari)</v>
      </c>
      <c r="R190" s="5">
        <f t="shared" ref="R190:R195" si="79">P190*O190</f>
        <v>1984.6423106147536</v>
      </c>
      <c r="S190" s="5">
        <f t="shared" ref="S190:S209" si="80">80%*R190</f>
        <v>1587.713848491803</v>
      </c>
      <c r="T190" s="5">
        <f t="shared" ref="T190:T209" si="81">S190/1000</f>
        <v>1.587713848491803</v>
      </c>
    </row>
    <row r="191" spans="2:20" x14ac:dyDescent="0.3">
      <c r="B191" s="60">
        <f>'[1]Proyeksi Fasum'!AC51</f>
        <v>2025</v>
      </c>
      <c r="C191" s="60">
        <f>'[1]Proyeksi Fasum'!I46</f>
        <v>66.821975872403769</v>
      </c>
      <c r="D191" s="60">
        <v>720</v>
      </c>
      <c r="E191" s="60">
        <f t="shared" si="71"/>
        <v>48111.822628130714</v>
      </c>
      <c r="F191" s="60">
        <v>80</v>
      </c>
      <c r="G191" s="5" t="s">
        <v>242</v>
      </c>
      <c r="H191" s="5">
        <f t="shared" si="72"/>
        <v>3848945.8102504574</v>
      </c>
      <c r="I191" s="5">
        <f t="shared" si="73"/>
        <v>3079156.6482003662</v>
      </c>
      <c r="J191" s="5">
        <f t="shared" si="74"/>
        <v>3079.1566482003664</v>
      </c>
      <c r="L191" s="60">
        <f>'Proyeksi Penduduk'!B76</f>
        <v>2025</v>
      </c>
      <c r="M191" s="60">
        <f>'Proyeksi Fasum'!I60</f>
        <v>1.3469120225848661</v>
      </c>
      <c r="N191" s="60">
        <f t="shared" si="75"/>
        <v>300</v>
      </c>
      <c r="O191" s="60">
        <f t="shared" si="76"/>
        <v>404.07360677545984</v>
      </c>
      <c r="P191" s="60">
        <f t="shared" si="77"/>
        <v>5</v>
      </c>
      <c r="Q191" s="5" t="str">
        <f t="shared" si="78"/>
        <v xml:space="preserve"> (L/org/hari)</v>
      </c>
      <c r="R191" s="5">
        <f t="shared" si="79"/>
        <v>2020.3680338772992</v>
      </c>
      <c r="S191" s="5">
        <f t="shared" si="80"/>
        <v>1616.2944271018396</v>
      </c>
      <c r="T191" s="5">
        <f t="shared" si="81"/>
        <v>1.6162944271018396</v>
      </c>
    </row>
    <row r="192" spans="2:20" x14ac:dyDescent="0.3">
      <c r="B192" s="60">
        <f>'[1]Proyeksi Fasum'!AC52</f>
        <v>2026</v>
      </c>
      <c r="C192" s="60">
        <f>'[1]Proyeksi Fasum'!J46</f>
        <v>68.169693351769169</v>
      </c>
      <c r="D192" s="60">
        <v>720</v>
      </c>
      <c r="E192" s="60">
        <f t="shared" si="71"/>
        <v>49082.179213273805</v>
      </c>
      <c r="F192" s="60">
        <v>80</v>
      </c>
      <c r="G192" s="5" t="s">
        <v>242</v>
      </c>
      <c r="H192" s="5">
        <f t="shared" si="72"/>
        <v>3926574.3370619044</v>
      </c>
      <c r="I192" s="5">
        <f t="shared" si="73"/>
        <v>3141259.4696495235</v>
      </c>
      <c r="J192" s="5">
        <f t="shared" si="74"/>
        <v>3141.2594696495235</v>
      </c>
      <c r="L192" s="60">
        <f>'Proyeksi Penduduk'!B77</f>
        <v>2026</v>
      </c>
      <c r="M192" s="60">
        <f>'Proyeksi Fasum'!J60</f>
        <v>1.3711579060473413</v>
      </c>
      <c r="N192" s="60">
        <f t="shared" si="75"/>
        <v>300</v>
      </c>
      <c r="O192" s="60">
        <f t="shared" si="76"/>
        <v>411.3473718142024</v>
      </c>
      <c r="P192" s="60">
        <f t="shared" si="77"/>
        <v>5</v>
      </c>
      <c r="Q192" s="5" t="str">
        <f t="shared" si="78"/>
        <v xml:space="preserve"> (L/org/hari)</v>
      </c>
      <c r="R192" s="5">
        <f t="shared" si="79"/>
        <v>2056.7368590710121</v>
      </c>
      <c r="S192" s="5">
        <f t="shared" si="80"/>
        <v>1645.3894872568098</v>
      </c>
      <c r="T192" s="5">
        <f t="shared" si="81"/>
        <v>1.6453894872568098</v>
      </c>
    </row>
    <row r="193" spans="2:20" x14ac:dyDescent="0.3">
      <c r="B193" s="60">
        <f>'[1]Proyeksi Fasum'!AC53</f>
        <v>2027</v>
      </c>
      <c r="C193" s="60">
        <f>'[1]Proyeksi Fasum'!K46</f>
        <v>69.54459264341223</v>
      </c>
      <c r="D193" s="60">
        <v>720</v>
      </c>
      <c r="E193" s="60">
        <f t="shared" si="71"/>
        <v>50072.106703256803</v>
      </c>
      <c r="F193" s="60">
        <v>80</v>
      </c>
      <c r="G193" s="5" t="s">
        <v>242</v>
      </c>
      <c r="H193" s="5">
        <f t="shared" si="72"/>
        <v>4005768.5362605443</v>
      </c>
      <c r="I193" s="5">
        <f t="shared" si="73"/>
        <v>3204614.8290084358</v>
      </c>
      <c r="J193" s="5">
        <f t="shared" si="74"/>
        <v>3204.6148290084357</v>
      </c>
      <c r="L193" s="60">
        <f>'Proyeksi Penduduk'!B78</f>
        <v>2027</v>
      </c>
      <c r="M193" s="60">
        <f>'Proyeksi Fasum'!K60</f>
        <v>1.3958402418207458</v>
      </c>
      <c r="N193" s="60">
        <f t="shared" si="75"/>
        <v>300</v>
      </c>
      <c r="O193" s="60">
        <f t="shared" si="76"/>
        <v>418.75207254622376</v>
      </c>
      <c r="P193" s="60">
        <f t="shared" si="77"/>
        <v>5</v>
      </c>
      <c r="Q193" s="5" t="str">
        <f t="shared" si="78"/>
        <v xml:space="preserve"> (L/org/hari)</v>
      </c>
      <c r="R193" s="5">
        <f t="shared" si="79"/>
        <v>2093.7603627311187</v>
      </c>
      <c r="S193" s="5">
        <f t="shared" si="80"/>
        <v>1675.008290184895</v>
      </c>
      <c r="T193" s="5">
        <f t="shared" si="81"/>
        <v>1.6750082901848951</v>
      </c>
    </row>
    <row r="194" spans="2:20" x14ac:dyDescent="0.3">
      <c r="B194" s="60">
        <f>'[1]Proyeksi Fasum'!AC54</f>
        <v>2028</v>
      </c>
      <c r="C194" s="60">
        <f>'[1]Proyeksi Fasum'!L46</f>
        <v>70.947221971222618</v>
      </c>
      <c r="D194" s="60">
        <v>720</v>
      </c>
      <c r="E194" s="60">
        <f t="shared" si="71"/>
        <v>51081.999819280281</v>
      </c>
      <c r="F194" s="60">
        <v>80</v>
      </c>
      <c r="G194" s="5" t="s">
        <v>242</v>
      </c>
      <c r="H194" s="5">
        <f t="shared" si="72"/>
        <v>4086559.9855424226</v>
      </c>
      <c r="I194" s="5">
        <f t="shared" si="73"/>
        <v>3269247.9884339385</v>
      </c>
      <c r="J194" s="5">
        <f t="shared" si="74"/>
        <v>3269.2479884339386</v>
      </c>
      <c r="L194" s="60">
        <f>'Proyeksi Penduduk'!B79</f>
        <v>2028</v>
      </c>
      <c r="M194" s="60">
        <f>'Proyeksi Fasum'!L60</f>
        <v>1.4209668865220604</v>
      </c>
      <c r="N194" s="60">
        <f t="shared" si="75"/>
        <v>300</v>
      </c>
      <c r="O194" s="60">
        <f t="shared" si="76"/>
        <v>426.29006595661809</v>
      </c>
      <c r="P194" s="60">
        <f t="shared" si="77"/>
        <v>5</v>
      </c>
      <c r="Q194" s="5" t="str">
        <f t="shared" si="78"/>
        <v xml:space="preserve"> (L/org/hari)</v>
      </c>
      <c r="R194" s="5">
        <f t="shared" si="79"/>
        <v>2131.4503297830906</v>
      </c>
      <c r="S194" s="5">
        <f t="shared" si="80"/>
        <v>1705.1602638264726</v>
      </c>
      <c r="T194" s="5">
        <f t="shared" si="81"/>
        <v>1.7051602638264727</v>
      </c>
    </row>
    <row r="195" spans="2:20" x14ac:dyDescent="0.3">
      <c r="B195" s="60">
        <f>'[1]Proyeksi Fasum'!AC55</f>
        <v>2029</v>
      </c>
      <c r="C195" s="60">
        <f>'[1]Proyeksi Fasum'!M46</f>
        <v>72.378140616094953</v>
      </c>
      <c r="D195" s="60">
        <v>720</v>
      </c>
      <c r="E195" s="60">
        <f t="shared" si="71"/>
        <v>52112.261243588364</v>
      </c>
      <c r="F195" s="60">
        <v>80</v>
      </c>
      <c r="G195" s="5" t="s">
        <v>242</v>
      </c>
      <c r="H195" s="5">
        <f t="shared" si="72"/>
        <v>4168980.8994870689</v>
      </c>
      <c r="I195" s="5">
        <f t="shared" si="73"/>
        <v>3335184.7195896553</v>
      </c>
      <c r="J195" s="5">
        <f t="shared" si="74"/>
        <v>3335.1847195896553</v>
      </c>
      <c r="L195" s="60">
        <f>'Proyeksi Penduduk'!B80</f>
        <v>2029</v>
      </c>
      <c r="M195" s="60">
        <f>'Proyeksi Fasum'!M60</f>
        <v>1.4465458381959284</v>
      </c>
      <c r="N195" s="60">
        <f t="shared" si="75"/>
        <v>300</v>
      </c>
      <c r="O195" s="60">
        <f t="shared" si="76"/>
        <v>433.96375145877852</v>
      </c>
      <c r="P195" s="60">
        <f t="shared" si="77"/>
        <v>5</v>
      </c>
      <c r="Q195" s="5" t="str">
        <f t="shared" si="78"/>
        <v xml:space="preserve"> (L/org/hari)</v>
      </c>
      <c r="R195" s="5">
        <f t="shared" si="79"/>
        <v>2169.8187572938928</v>
      </c>
      <c r="S195" s="5">
        <f t="shared" si="80"/>
        <v>1735.8550058351143</v>
      </c>
      <c r="T195" s="5">
        <f t="shared" si="81"/>
        <v>1.7358550058351143</v>
      </c>
    </row>
    <row r="196" spans="2:20" x14ac:dyDescent="0.3">
      <c r="B196" s="60">
        <f>'[1]Proyeksi Fasum'!AC56</f>
        <v>2030</v>
      </c>
      <c r="C196" s="60">
        <f>'[1]Proyeksi Fasum'!N46</f>
        <v>73.837919138935106</v>
      </c>
      <c r="D196" s="60">
        <v>720</v>
      </c>
      <c r="E196" s="60">
        <f t="shared" si="71"/>
        <v>53163.301780033275</v>
      </c>
      <c r="F196" s="60">
        <v>80</v>
      </c>
      <c r="G196" s="5" t="s">
        <v>242</v>
      </c>
      <c r="H196" s="5">
        <f t="shared" si="72"/>
        <v>4253064.142402662</v>
      </c>
      <c r="I196" s="5">
        <f t="shared" si="73"/>
        <v>3402451.3139221296</v>
      </c>
      <c r="J196" s="5">
        <f t="shared" si="74"/>
        <v>3402.4513139221294</v>
      </c>
      <c r="L196" s="60">
        <f>'Proyeksi Penduduk'!B81</f>
        <v>2030</v>
      </c>
      <c r="M196" s="60">
        <f>'Proyeksi Fasum'!N60</f>
        <v>1.4725852388605083</v>
      </c>
      <c r="N196" s="60">
        <f t="shared" si="75"/>
        <v>300</v>
      </c>
      <c r="O196" s="60">
        <f t="shared" si="76"/>
        <v>441.7755716581525</v>
      </c>
      <c r="P196" s="60">
        <f t="shared" si="77"/>
        <v>5</v>
      </c>
      <c r="Q196" s="5" t="str">
        <f t="shared" si="78"/>
        <v xml:space="preserve"> (L/org/hari)</v>
      </c>
      <c r="R196" s="5">
        <f>P196*O196</f>
        <v>2208.8778582907626</v>
      </c>
      <c r="S196" s="5">
        <f t="shared" si="80"/>
        <v>1767.1022866326102</v>
      </c>
      <c r="T196" s="5">
        <f t="shared" si="81"/>
        <v>1.7671022866326103</v>
      </c>
    </row>
    <row r="197" spans="2:20" x14ac:dyDescent="0.3">
      <c r="B197" s="60">
        <f>'[1]Proyeksi Fasum'!AC57</f>
        <v>2031</v>
      </c>
      <c r="C197" s="60">
        <f>'[1]Proyeksi Fasum'!O46</f>
        <v>75.327139608164117</v>
      </c>
      <c r="D197" s="60">
        <v>720</v>
      </c>
      <c r="E197" s="60">
        <f t="shared" si="71"/>
        <v>54235.540517878166</v>
      </c>
      <c r="F197" s="60">
        <v>80</v>
      </c>
      <c r="G197" s="5" t="s">
        <v>242</v>
      </c>
      <c r="H197" s="5">
        <f t="shared" si="72"/>
        <v>4338843.2414302528</v>
      </c>
      <c r="I197" s="5">
        <f t="shared" si="73"/>
        <v>3471074.5931442026</v>
      </c>
      <c r="J197" s="5">
        <f t="shared" si="74"/>
        <v>3471.0745931442025</v>
      </c>
      <c r="L197" s="60">
        <f>'Proyeksi Penduduk'!B82</f>
        <v>2031</v>
      </c>
      <c r="M197" s="60">
        <f>'Proyeksi Fasum'!O60</f>
        <v>1.4990933770991535</v>
      </c>
      <c r="N197" s="60">
        <f t="shared" si="75"/>
        <v>300</v>
      </c>
      <c r="O197" s="60">
        <f t="shared" si="76"/>
        <v>449.72801312974605</v>
      </c>
      <c r="P197" s="60">
        <f t="shared" si="77"/>
        <v>5</v>
      </c>
      <c r="Q197" s="5" t="str">
        <f t="shared" si="78"/>
        <v xml:space="preserve"> (L/org/hari)</v>
      </c>
      <c r="R197" s="5">
        <f t="shared" ref="R197:R209" si="82">P197*O197</f>
        <v>2248.6400656487303</v>
      </c>
      <c r="S197" s="5">
        <f t="shared" si="80"/>
        <v>1798.9120525189844</v>
      </c>
      <c r="T197" s="5">
        <f t="shared" si="81"/>
        <v>1.7989120525189843</v>
      </c>
    </row>
    <row r="198" spans="2:20" x14ac:dyDescent="0.3">
      <c r="B198" s="60">
        <f>'[1]Proyeksi Fasum'!AC58</f>
        <v>2032</v>
      </c>
      <c r="C198" s="60">
        <f>'[1]Proyeksi Fasum'!P46</f>
        <v>76.846395831810796</v>
      </c>
      <c r="D198" s="60">
        <v>720</v>
      </c>
      <c r="E198" s="60">
        <f t="shared" si="71"/>
        <v>55329.404998903774</v>
      </c>
      <c r="F198" s="60">
        <v>80</v>
      </c>
      <c r="G198" s="5" t="s">
        <v>242</v>
      </c>
      <c r="H198" s="5">
        <f t="shared" si="72"/>
        <v>4426352.3999123015</v>
      </c>
      <c r="I198" s="5">
        <f t="shared" si="73"/>
        <v>3541081.9199298415</v>
      </c>
      <c r="J198" s="5">
        <f t="shared" si="74"/>
        <v>3541.0819199298417</v>
      </c>
      <c r="L198" s="60">
        <f>'Proyeksi Penduduk'!B83</f>
        <v>2032</v>
      </c>
      <c r="M198" s="60">
        <f>'Proyeksi Fasum'!P60</f>
        <v>1.5260786906987465</v>
      </c>
      <c r="N198" s="60">
        <f t="shared" si="75"/>
        <v>300</v>
      </c>
      <c r="O198" s="60">
        <f t="shared" si="76"/>
        <v>457.82360720962396</v>
      </c>
      <c r="P198" s="60">
        <f t="shared" si="77"/>
        <v>5</v>
      </c>
      <c r="Q198" s="5" t="str">
        <f t="shared" si="78"/>
        <v xml:space="preserve"> (L/org/hari)</v>
      </c>
      <c r="R198" s="5">
        <f t="shared" si="82"/>
        <v>2289.1180360481198</v>
      </c>
      <c r="S198" s="5">
        <f t="shared" si="80"/>
        <v>1831.2944288384961</v>
      </c>
      <c r="T198" s="5">
        <f t="shared" si="81"/>
        <v>1.831294428838496</v>
      </c>
    </row>
    <row r="199" spans="2:20" x14ac:dyDescent="0.3">
      <c r="B199" s="60">
        <f>'[1]Proyeksi Fasum'!AC59</f>
        <v>2033</v>
      </c>
      <c r="C199" s="60">
        <f>'[1]Proyeksi Fasum'!Q46</f>
        <v>78.396293594285297</v>
      </c>
      <c r="D199" s="60">
        <v>720</v>
      </c>
      <c r="E199" s="60">
        <f t="shared" si="71"/>
        <v>56445.331387885417</v>
      </c>
      <c r="F199" s="60">
        <v>80</v>
      </c>
      <c r="G199" s="5" t="s">
        <v>242</v>
      </c>
      <c r="H199" s="5">
        <f t="shared" si="72"/>
        <v>4515626.5110308332</v>
      </c>
      <c r="I199" s="5">
        <f t="shared" si="73"/>
        <v>3612501.2088246667</v>
      </c>
      <c r="J199" s="5">
        <f t="shared" si="74"/>
        <v>3612.5012088246667</v>
      </c>
      <c r="L199" s="60">
        <f>'Proyeksi Penduduk'!B84</f>
        <v>2033</v>
      </c>
      <c r="M199" s="60">
        <f>'Proyeksi Fasum'!Q60</f>
        <v>1.5535497693355227</v>
      </c>
      <c r="N199" s="60">
        <f t="shared" si="75"/>
        <v>300</v>
      </c>
      <c r="O199" s="60">
        <f t="shared" si="76"/>
        <v>466.06493080065678</v>
      </c>
      <c r="P199" s="60">
        <f t="shared" si="77"/>
        <v>5</v>
      </c>
      <c r="Q199" s="5" t="str">
        <f t="shared" si="78"/>
        <v xml:space="preserve"> (L/org/hari)</v>
      </c>
      <c r="R199" s="5">
        <f t="shared" si="82"/>
        <v>2330.3246540032837</v>
      </c>
      <c r="S199" s="5">
        <f t="shared" si="80"/>
        <v>1864.2597232026271</v>
      </c>
      <c r="T199" s="5">
        <f t="shared" si="81"/>
        <v>1.8642597232026272</v>
      </c>
    </row>
    <row r="200" spans="2:20" x14ac:dyDescent="0.3">
      <c r="B200" s="60">
        <f>'[1]Proyeksi Fasum'!AC60</f>
        <v>2034</v>
      </c>
      <c r="C200" s="60">
        <f>'[1]Proyeksi Fasum'!R46</f>
        <v>79.977450897927881</v>
      </c>
      <c r="D200" s="60">
        <v>720</v>
      </c>
      <c r="E200" s="60">
        <f t="shared" si="71"/>
        <v>57583.764646508076</v>
      </c>
      <c r="F200" s="60">
        <v>80</v>
      </c>
      <c r="G200" s="5" t="s">
        <v>242</v>
      </c>
      <c r="H200" s="5">
        <f t="shared" si="72"/>
        <v>4606701.1717206463</v>
      </c>
      <c r="I200" s="5">
        <f t="shared" si="73"/>
        <v>3685360.9373765173</v>
      </c>
      <c r="J200" s="5">
        <f t="shared" si="74"/>
        <v>3685.3609373765175</v>
      </c>
      <c r="L200" s="60">
        <f>'Proyeksi Penduduk'!B85</f>
        <v>2034</v>
      </c>
      <c r="M200" s="60">
        <f>'Proyeksi Fasum'!R60</f>
        <v>1.5815153573092473</v>
      </c>
      <c r="N200" s="60">
        <f t="shared" si="75"/>
        <v>300</v>
      </c>
      <c r="O200" s="60">
        <f t="shared" si="76"/>
        <v>474.45460719277418</v>
      </c>
      <c r="P200" s="60">
        <f t="shared" si="77"/>
        <v>5</v>
      </c>
      <c r="Q200" s="5" t="str">
        <f t="shared" si="78"/>
        <v xml:space="preserve"> (L/org/hari)</v>
      </c>
      <c r="R200" s="5">
        <f t="shared" si="82"/>
        <v>2372.2730359638708</v>
      </c>
      <c r="S200" s="5">
        <f t="shared" si="80"/>
        <v>1897.8184287710967</v>
      </c>
      <c r="T200" s="5">
        <f t="shared" si="81"/>
        <v>1.8978184287710966</v>
      </c>
    </row>
    <row r="201" spans="2:20" x14ac:dyDescent="0.3">
      <c r="B201" s="60">
        <f>'[1]Proyeksi Fasum'!AC61</f>
        <v>2035</v>
      </c>
      <c r="C201" s="60">
        <f>'[1]Proyeksi Fasum'!S46</f>
        <v>79.977450897927881</v>
      </c>
      <c r="D201" s="60">
        <v>720</v>
      </c>
      <c r="E201" s="60">
        <f t="shared" si="71"/>
        <v>57583.764646508076</v>
      </c>
      <c r="F201" s="60">
        <v>80</v>
      </c>
      <c r="G201" s="5" t="s">
        <v>242</v>
      </c>
      <c r="H201" s="5">
        <f t="shared" si="72"/>
        <v>4606701.1717206463</v>
      </c>
      <c r="I201" s="5">
        <f t="shared" si="73"/>
        <v>3685360.9373765173</v>
      </c>
      <c r="J201" s="5">
        <f t="shared" si="74"/>
        <v>3685.3609373765175</v>
      </c>
      <c r="L201" s="60">
        <f>'Proyeksi Penduduk'!B86</f>
        <v>2035</v>
      </c>
      <c r="M201" s="60">
        <f>'Proyeksi Fasum'!S60</f>
        <v>1.5815153573092473</v>
      </c>
      <c r="N201" s="60">
        <f t="shared" si="75"/>
        <v>300</v>
      </c>
      <c r="O201" s="60">
        <f t="shared" si="76"/>
        <v>474.45460719277418</v>
      </c>
      <c r="P201" s="60">
        <f t="shared" si="77"/>
        <v>5</v>
      </c>
      <c r="Q201" s="5" t="str">
        <f t="shared" si="78"/>
        <v xml:space="preserve"> (L/org/hari)</v>
      </c>
      <c r="R201" s="5">
        <f t="shared" si="82"/>
        <v>2372.2730359638708</v>
      </c>
      <c r="S201" s="5">
        <f t="shared" si="80"/>
        <v>1897.8184287710967</v>
      </c>
      <c r="T201" s="5">
        <f t="shared" si="81"/>
        <v>1.8978184287710966</v>
      </c>
    </row>
    <row r="202" spans="2:20" x14ac:dyDescent="0.3">
      <c r="B202" s="60">
        <f>'[1]Proyeksi Fasum'!AC62</f>
        <v>2036</v>
      </c>
      <c r="C202" s="60">
        <f>'[1]Proyeksi Fasum'!T46</f>
        <v>81.590498209429768</v>
      </c>
      <c r="D202" s="60">
        <v>720</v>
      </c>
      <c r="E202" s="60">
        <f t="shared" si="71"/>
        <v>58745.15871078943</v>
      </c>
      <c r="F202" s="60">
        <v>80</v>
      </c>
      <c r="G202" s="5" t="s">
        <v>242</v>
      </c>
      <c r="H202" s="5">
        <f t="shared" si="72"/>
        <v>4699612.6968631539</v>
      </c>
      <c r="I202" s="5">
        <f t="shared" si="73"/>
        <v>3759690.1574905235</v>
      </c>
      <c r="J202" s="5">
        <f t="shared" si="74"/>
        <v>3759.6901574905237</v>
      </c>
      <c r="L202" s="60">
        <f>'Proyeksi Penduduk'!B87</f>
        <v>2036</v>
      </c>
      <c r="M202" s="60">
        <f>'Proyeksi Fasum'!T60</f>
        <v>1.6099843563266041</v>
      </c>
      <c r="N202" s="60">
        <f t="shared" si="75"/>
        <v>300</v>
      </c>
      <c r="O202" s="60">
        <f t="shared" si="76"/>
        <v>482.99530689798121</v>
      </c>
      <c r="P202" s="60">
        <f t="shared" si="77"/>
        <v>5</v>
      </c>
      <c r="Q202" s="5" t="str">
        <f t="shared" si="78"/>
        <v xml:space="preserve"> (L/org/hari)</v>
      </c>
      <c r="R202" s="5">
        <f t="shared" si="82"/>
        <v>2414.976534489906</v>
      </c>
      <c r="S202" s="5">
        <f t="shared" si="80"/>
        <v>1931.9812275919248</v>
      </c>
      <c r="T202" s="5">
        <f t="shared" si="81"/>
        <v>1.9319812275919248</v>
      </c>
    </row>
    <row r="203" spans="2:20" x14ac:dyDescent="0.3">
      <c r="B203" s="60">
        <f>'[1]Proyeksi Fasum'!AC63</f>
        <v>2037</v>
      </c>
      <c r="C203" s="60">
        <f>'[1]Proyeksi Fasum'!U46</f>
        <v>83.236078711223783</v>
      </c>
      <c r="D203" s="60">
        <v>720</v>
      </c>
      <c r="E203" s="60">
        <f t="shared" si="71"/>
        <v>59929.976672081124</v>
      </c>
      <c r="F203" s="60">
        <v>80</v>
      </c>
      <c r="G203" s="5" t="s">
        <v>242</v>
      </c>
      <c r="H203" s="5">
        <f t="shared" si="72"/>
        <v>4794398.13376649</v>
      </c>
      <c r="I203" s="5">
        <f t="shared" si="73"/>
        <v>3835518.5070131924</v>
      </c>
      <c r="J203" s="5">
        <f t="shared" si="74"/>
        <v>3835.5185070131924</v>
      </c>
      <c r="L203" s="60">
        <f>'Proyeksi Penduduk'!B88</f>
        <v>2037</v>
      </c>
      <c r="M203" s="60">
        <f>'Proyeksi Fasum'!U60</f>
        <v>1.638965828334694</v>
      </c>
      <c r="N203" s="60">
        <f t="shared" si="75"/>
        <v>300</v>
      </c>
      <c r="O203" s="60">
        <f t="shared" si="76"/>
        <v>491.6897485004082</v>
      </c>
      <c r="P203" s="60">
        <f t="shared" si="77"/>
        <v>5</v>
      </c>
      <c r="Q203" s="5" t="str">
        <f t="shared" si="78"/>
        <v xml:space="preserve"> (L/org/hari)</v>
      </c>
      <c r="R203" s="5">
        <f t="shared" si="82"/>
        <v>2458.4487425020411</v>
      </c>
      <c r="S203" s="5">
        <f t="shared" si="80"/>
        <v>1966.758994001633</v>
      </c>
      <c r="T203" s="5">
        <f t="shared" si="81"/>
        <v>1.966758994001633</v>
      </c>
    </row>
    <row r="204" spans="2:20" x14ac:dyDescent="0.3">
      <c r="B204" s="60">
        <f>'[1]Proyeksi Fasum'!AC64</f>
        <v>2038</v>
      </c>
      <c r="C204" s="60">
        <f>'[1]Proyeksi Fasum'!V46</f>
        <v>84.914848557945376</v>
      </c>
      <c r="D204" s="60">
        <v>720</v>
      </c>
      <c r="E204" s="60">
        <f t="shared" si="71"/>
        <v>61138.690961720669</v>
      </c>
      <c r="F204" s="60">
        <v>80</v>
      </c>
      <c r="G204" s="5" t="s">
        <v>242</v>
      </c>
      <c r="H204" s="5">
        <f t="shared" si="72"/>
        <v>4891095.2769376533</v>
      </c>
      <c r="I204" s="5">
        <f t="shared" si="73"/>
        <v>3912876.2215501228</v>
      </c>
      <c r="J204" s="5">
        <f t="shared" si="74"/>
        <v>3912.8762215501229</v>
      </c>
      <c r="L204" s="60">
        <f>'Proyeksi Penduduk'!B89</f>
        <v>2038</v>
      </c>
      <c r="M204" s="60">
        <f>'Proyeksi Fasum'!V60</f>
        <v>1.6684689984055348</v>
      </c>
      <c r="N204" s="60">
        <f t="shared" si="75"/>
        <v>300</v>
      </c>
      <c r="O204" s="60">
        <f t="shared" si="76"/>
        <v>500.54069952166043</v>
      </c>
      <c r="P204" s="60">
        <f t="shared" si="77"/>
        <v>5</v>
      </c>
      <c r="Q204" s="5" t="str">
        <f t="shared" si="78"/>
        <v xml:space="preserve"> (L/org/hari)</v>
      </c>
      <c r="R204" s="5">
        <f t="shared" si="82"/>
        <v>2502.7034976083023</v>
      </c>
      <c r="S204" s="5">
        <f t="shared" si="80"/>
        <v>2002.1627980866419</v>
      </c>
      <c r="T204" s="5">
        <f t="shared" si="81"/>
        <v>2.0021627980866419</v>
      </c>
    </row>
    <row r="205" spans="2:20" x14ac:dyDescent="0.3">
      <c r="B205" s="60">
        <f>'[1]Proyeksi Fasum'!AC65</f>
        <v>2039</v>
      </c>
      <c r="C205" s="60">
        <f>'[1]Proyeksi Fasum'!W46</f>
        <v>86.627477138065984</v>
      </c>
      <c r="D205" s="60">
        <v>720</v>
      </c>
      <c r="E205" s="60">
        <f t="shared" si="71"/>
        <v>62371.783539407508</v>
      </c>
      <c r="F205" s="60">
        <v>80</v>
      </c>
      <c r="G205" s="5" t="s">
        <v>242</v>
      </c>
      <c r="H205" s="5">
        <f t="shared" si="72"/>
        <v>4989742.6831526011</v>
      </c>
      <c r="I205" s="5">
        <f t="shared" si="73"/>
        <v>3991794.146522081</v>
      </c>
      <c r="J205" s="5">
        <f t="shared" si="74"/>
        <v>3991.7941465220811</v>
      </c>
      <c r="L205" s="60">
        <f>'Proyeksi Penduduk'!B90</f>
        <v>2039</v>
      </c>
      <c r="M205" s="60">
        <f>'Proyeksi Fasum'!W60</f>
        <v>1.6985032576724906</v>
      </c>
      <c r="N205" s="60">
        <f t="shared" si="75"/>
        <v>300</v>
      </c>
      <c r="O205" s="60">
        <f t="shared" si="76"/>
        <v>509.55097730174714</v>
      </c>
      <c r="P205" s="60">
        <f t="shared" si="77"/>
        <v>5</v>
      </c>
      <c r="Q205" s="5" t="str">
        <f t="shared" si="78"/>
        <v xml:space="preserve"> (L/org/hari)</v>
      </c>
      <c r="R205" s="5">
        <f t="shared" si="82"/>
        <v>2547.7548865087356</v>
      </c>
      <c r="S205" s="5">
        <f t="shared" si="80"/>
        <v>2038.2039092069886</v>
      </c>
      <c r="T205" s="5">
        <f t="shared" si="81"/>
        <v>2.0382039092069886</v>
      </c>
    </row>
    <row r="206" spans="2:20" x14ac:dyDescent="0.3">
      <c r="B206" s="60">
        <f>'[1]Proyeksi Fasum'!AC66</f>
        <v>2040</v>
      </c>
      <c r="C206" s="60">
        <f>'[1]Proyeksi Fasum'!X46</f>
        <v>88.374647340803307</v>
      </c>
      <c r="D206" s="60">
        <v>720</v>
      </c>
      <c r="E206" s="60">
        <f t="shared" si="71"/>
        <v>63629.746085378378</v>
      </c>
      <c r="F206" s="60">
        <v>80</v>
      </c>
      <c r="G206" s="5" t="s">
        <v>242</v>
      </c>
      <c r="H206" s="5">
        <f t="shared" si="72"/>
        <v>5090379.6868302701</v>
      </c>
      <c r="I206" s="5">
        <f t="shared" si="73"/>
        <v>4072303.7494642162</v>
      </c>
      <c r="J206" s="5">
        <f t="shared" si="74"/>
        <v>4072.3037494642163</v>
      </c>
      <c r="L206" s="60">
        <f>'Proyeksi Penduduk'!B91</f>
        <v>2040</v>
      </c>
      <c r="M206" s="60">
        <f>'Proyeksi Fasum'!X60</f>
        <v>1.7290781663195525</v>
      </c>
      <c r="N206" s="60">
        <f t="shared" si="75"/>
        <v>300</v>
      </c>
      <c r="O206" s="60">
        <f t="shared" si="76"/>
        <v>518.72344989586577</v>
      </c>
      <c r="P206" s="60">
        <f t="shared" si="77"/>
        <v>5</v>
      </c>
      <c r="Q206" s="5" t="str">
        <f t="shared" si="78"/>
        <v xml:space="preserve"> (L/org/hari)</v>
      </c>
      <c r="R206" s="5">
        <f t="shared" si="82"/>
        <v>2593.6172494793291</v>
      </c>
      <c r="S206" s="5">
        <f t="shared" si="80"/>
        <v>2074.8937995834635</v>
      </c>
      <c r="T206" s="5">
        <f t="shared" si="81"/>
        <v>2.0748937995834633</v>
      </c>
    </row>
    <row r="207" spans="2:20" x14ac:dyDescent="0.3">
      <c r="B207" s="60">
        <f>'[1]Proyeksi Fasum'!AC67</f>
        <v>2041</v>
      </c>
      <c r="C207" s="60">
        <f>'[1]Proyeksi Fasum'!Y46</f>
        <v>90.157055828414954</v>
      </c>
      <c r="D207" s="60">
        <v>720</v>
      </c>
      <c r="E207" s="60">
        <f t="shared" si="71"/>
        <v>64913.080196458766</v>
      </c>
      <c r="F207" s="60">
        <v>80</v>
      </c>
      <c r="G207" s="5" t="s">
        <v>242</v>
      </c>
      <c r="H207" s="5">
        <f t="shared" si="72"/>
        <v>5193046.4157167012</v>
      </c>
      <c r="I207" s="5">
        <f t="shared" si="73"/>
        <v>4154437.132573361</v>
      </c>
      <c r="J207" s="5">
        <f t="shared" si="74"/>
        <v>4154.4371325733609</v>
      </c>
      <c r="L207" s="60">
        <f>'Proyeksi Penduduk'!B92</f>
        <v>2041</v>
      </c>
      <c r="M207" s="60">
        <f>'Proyeksi Fasum'!Y60</f>
        <v>1.7602034566244376</v>
      </c>
      <c r="N207" s="60">
        <f t="shared" si="75"/>
        <v>300</v>
      </c>
      <c r="O207" s="60">
        <f t="shared" si="76"/>
        <v>528.06103698733125</v>
      </c>
      <c r="P207" s="60">
        <f t="shared" si="77"/>
        <v>5</v>
      </c>
      <c r="Q207" s="5" t="str">
        <f t="shared" si="78"/>
        <v xml:space="preserve"> (L/org/hari)</v>
      </c>
      <c r="R207" s="5">
        <f t="shared" si="82"/>
        <v>2640.3051849366561</v>
      </c>
      <c r="S207" s="5">
        <f t="shared" si="80"/>
        <v>2112.244147949325</v>
      </c>
      <c r="T207" s="5">
        <f t="shared" si="81"/>
        <v>2.1122441479493248</v>
      </c>
    </row>
    <row r="208" spans="2:20" x14ac:dyDescent="0.3">
      <c r="B208" s="60">
        <f>'[1]Proyeksi Fasum'!AC68</f>
        <v>2042</v>
      </c>
      <c r="C208" s="60">
        <f>'[1]Proyeksi Fasum'!Z46</f>
        <v>91.975413313983623</v>
      </c>
      <c r="D208" s="60">
        <v>720</v>
      </c>
      <c r="E208" s="60">
        <f t="shared" si="71"/>
        <v>66222.297586068205</v>
      </c>
      <c r="F208" s="60">
        <v>80</v>
      </c>
      <c r="G208" s="5" t="s">
        <v>242</v>
      </c>
      <c r="H208" s="5">
        <f t="shared" si="72"/>
        <v>5297783.8068854567</v>
      </c>
      <c r="I208" s="5">
        <f t="shared" si="73"/>
        <v>4238227.0455083651</v>
      </c>
      <c r="J208" s="5">
        <f t="shared" si="74"/>
        <v>4238.2270455083653</v>
      </c>
      <c r="L208" s="60">
        <f>'Proyeksi Penduduk'!B93</f>
        <v>2042</v>
      </c>
      <c r="M208" s="60">
        <f>'Proyeksi Fasum'!Z60</f>
        <v>1.7918890360564623</v>
      </c>
      <c r="N208" s="60">
        <f t="shared" si="75"/>
        <v>300</v>
      </c>
      <c r="O208" s="60">
        <f t="shared" si="76"/>
        <v>537.56671081693867</v>
      </c>
      <c r="P208" s="60">
        <f t="shared" si="77"/>
        <v>5</v>
      </c>
      <c r="Q208" s="5" t="str">
        <f t="shared" si="78"/>
        <v xml:space="preserve"> (L/org/hari)</v>
      </c>
      <c r="R208" s="5">
        <f t="shared" si="82"/>
        <v>2687.8335540846933</v>
      </c>
      <c r="S208" s="5">
        <f t="shared" si="80"/>
        <v>2150.2668432677547</v>
      </c>
      <c r="T208" s="5">
        <f t="shared" si="81"/>
        <v>2.1502668432677545</v>
      </c>
    </row>
    <row r="209" spans="2:20" x14ac:dyDescent="0.3">
      <c r="B209" s="60">
        <f>'[1]Proyeksi Fasum'!AC69</f>
        <v>2043</v>
      </c>
      <c r="C209" s="60">
        <f>'[1]Proyeksi Fasum'!AA46</f>
        <v>93.830444844805271</v>
      </c>
      <c r="D209" s="60">
        <v>720</v>
      </c>
      <c r="E209" s="60">
        <f t="shared" si="71"/>
        <v>67557.920288259789</v>
      </c>
      <c r="F209" s="60">
        <v>80</v>
      </c>
      <c r="G209" s="5" t="s">
        <v>242</v>
      </c>
      <c r="H209" s="5">
        <f t="shared" si="72"/>
        <v>5404633.6230607834</v>
      </c>
      <c r="I209" s="5">
        <f t="shared" si="73"/>
        <v>4323706.8984486265</v>
      </c>
      <c r="J209" s="5">
        <f t="shared" si="74"/>
        <v>4323.7068984486268</v>
      </c>
      <c r="L209" s="60">
        <f>'Proyeksi Penduduk'!B94</f>
        <v>2043</v>
      </c>
      <c r="M209" s="60">
        <f>'Proyeksi Fasum'!AA60</f>
        <v>1.8241449904301821</v>
      </c>
      <c r="N209" s="60">
        <f t="shared" si="75"/>
        <v>300</v>
      </c>
      <c r="O209" s="60">
        <f t="shared" si="76"/>
        <v>547.24349712905462</v>
      </c>
      <c r="P209" s="60">
        <f t="shared" si="77"/>
        <v>5</v>
      </c>
      <c r="Q209" s="5" t="str">
        <f t="shared" si="78"/>
        <v xml:space="preserve"> (L/org/hari)</v>
      </c>
      <c r="R209" s="5">
        <f t="shared" si="82"/>
        <v>2736.217485645273</v>
      </c>
      <c r="S209" s="5">
        <f t="shared" si="80"/>
        <v>2188.9739885162185</v>
      </c>
      <c r="T209" s="5">
        <f t="shared" si="81"/>
        <v>2.1889739885162185</v>
      </c>
    </row>
    <row r="211" spans="2:20" x14ac:dyDescent="0.3">
      <c r="B211" s="283" t="s">
        <v>207</v>
      </c>
      <c r="C211" s="283"/>
      <c r="D211" s="283"/>
      <c r="E211" s="283"/>
      <c r="F211" s="283"/>
      <c r="G211" s="283"/>
      <c r="H211" s="283"/>
      <c r="I211" s="283"/>
      <c r="J211" s="283"/>
    </row>
    <row r="212" spans="2:20" x14ac:dyDescent="0.3">
      <c r="B212" s="348" t="s">
        <v>98</v>
      </c>
      <c r="C212" s="342" t="s">
        <v>235</v>
      </c>
      <c r="D212" s="342" t="s">
        <v>236</v>
      </c>
      <c r="E212" s="342" t="s">
        <v>237</v>
      </c>
      <c r="F212" s="342" t="s">
        <v>241</v>
      </c>
      <c r="G212" s="342" t="s">
        <v>240</v>
      </c>
      <c r="H212" s="342" t="s">
        <v>238</v>
      </c>
      <c r="I212" s="342" t="s">
        <v>239</v>
      </c>
      <c r="J212" s="342" t="s">
        <v>250</v>
      </c>
    </row>
    <row r="213" spans="2:20" x14ac:dyDescent="0.3">
      <c r="B213" s="348"/>
      <c r="C213" s="342"/>
      <c r="D213" s="342"/>
      <c r="E213" s="342"/>
      <c r="F213" s="342"/>
      <c r="G213" s="342"/>
      <c r="H213" s="342"/>
      <c r="I213" s="342"/>
      <c r="J213" s="342"/>
    </row>
    <row r="214" spans="2:20" x14ac:dyDescent="0.3">
      <c r="B214" s="60">
        <f>'[1]Proyeksi Fasum'!AC49</f>
        <v>2023</v>
      </c>
      <c r="C214" s="60">
        <f>'[1]Proyeksi Fasum'!G47</f>
        <v>16.840904244645081</v>
      </c>
      <c r="D214" s="60">
        <f>D13</f>
        <v>720</v>
      </c>
      <c r="E214" s="60">
        <f>D214*C214</f>
        <v>12125.451056144459</v>
      </c>
      <c r="F214" s="60">
        <v>80</v>
      </c>
      <c r="G214" s="5" t="s">
        <v>242</v>
      </c>
      <c r="H214" s="5">
        <f>F214*E214</f>
        <v>970036.08449155674</v>
      </c>
      <c r="I214" s="5">
        <f>80%*H214</f>
        <v>776028.86759324546</v>
      </c>
      <c r="J214" s="5">
        <f>I214/1000</f>
        <v>776.02886759324542</v>
      </c>
    </row>
    <row r="215" spans="2:20" x14ac:dyDescent="0.3">
      <c r="B215" s="60">
        <f>'[1]Proyeksi Fasum'!AC50</f>
        <v>2024</v>
      </c>
      <c r="C215" s="60">
        <f>'[1]Proyeksi Fasum'!H47</f>
        <v>17.180564674054807</v>
      </c>
      <c r="D215" s="60">
        <v>720</v>
      </c>
      <c r="E215" s="60">
        <f t="shared" ref="E215:E234" si="83">D215*C215</f>
        <v>12370.006565319462</v>
      </c>
      <c r="F215" s="60">
        <v>80</v>
      </c>
      <c r="G215" s="5" t="s">
        <v>242</v>
      </c>
      <c r="H215" s="5">
        <f t="shared" ref="H215:H234" si="84">F215*E215</f>
        <v>989600.52522555692</v>
      </c>
      <c r="I215" s="5">
        <f t="shared" ref="I215:I234" si="85">80%*H215</f>
        <v>791680.42018044554</v>
      </c>
      <c r="J215" s="5">
        <f t="shared" ref="J215:J234" si="86">I215/1000</f>
        <v>791.68042018044548</v>
      </c>
    </row>
    <row r="216" spans="2:20" x14ac:dyDescent="0.3">
      <c r="B216" s="60">
        <f>'[1]Proyeksi Fasum'!AC51</f>
        <v>2025</v>
      </c>
      <c r="C216" s="60">
        <f>'[1]Proyeksi Fasum'!I47</f>
        <v>17.527075638663284</v>
      </c>
      <c r="D216" s="60">
        <v>720</v>
      </c>
      <c r="E216" s="60">
        <f t="shared" si="83"/>
        <v>12619.494459837564</v>
      </c>
      <c r="F216" s="60">
        <v>80</v>
      </c>
      <c r="G216" s="5" t="s">
        <v>242</v>
      </c>
      <c r="H216" s="5">
        <f t="shared" si="84"/>
        <v>1009559.5567870052</v>
      </c>
      <c r="I216" s="5">
        <f t="shared" si="85"/>
        <v>807647.64542960422</v>
      </c>
      <c r="J216" s="5">
        <f t="shared" si="86"/>
        <v>807.64764542960427</v>
      </c>
    </row>
    <row r="217" spans="2:20" x14ac:dyDescent="0.3">
      <c r="B217" s="60">
        <f>'[1]Proyeksi Fasum'!AC52</f>
        <v>2026</v>
      </c>
      <c r="C217" s="60">
        <f>'[1]Proyeksi Fasum'!J47</f>
        <v>17.880575305382077</v>
      </c>
      <c r="D217" s="60">
        <v>720</v>
      </c>
      <c r="E217" s="60">
        <f t="shared" si="83"/>
        <v>12874.014219875096</v>
      </c>
      <c r="F217" s="60">
        <v>80</v>
      </c>
      <c r="G217" s="5" t="s">
        <v>242</v>
      </c>
      <c r="H217" s="5">
        <f t="shared" si="84"/>
        <v>1029921.1375900077</v>
      </c>
      <c r="I217" s="5">
        <f t="shared" si="85"/>
        <v>823936.91007200629</v>
      </c>
      <c r="J217" s="5">
        <f t="shared" si="86"/>
        <v>823.9369100720063</v>
      </c>
    </row>
    <row r="218" spans="2:20" x14ac:dyDescent="0.3">
      <c r="B218" s="60">
        <f>'[1]Proyeksi Fasum'!AC53</f>
        <v>2027</v>
      </c>
      <c r="C218" s="60">
        <f>'[1]Proyeksi Fasum'!K47</f>
        <v>18.241204627780256</v>
      </c>
      <c r="D218" s="60">
        <v>720</v>
      </c>
      <c r="E218" s="60">
        <f t="shared" si="83"/>
        <v>13133.667332001784</v>
      </c>
      <c r="F218" s="60">
        <v>80</v>
      </c>
      <c r="G218" s="5" t="s">
        <v>242</v>
      </c>
      <c r="H218" s="5">
        <f t="shared" si="84"/>
        <v>1050693.3865601427</v>
      </c>
      <c r="I218" s="5">
        <f t="shared" si="85"/>
        <v>840554.70924811426</v>
      </c>
      <c r="J218" s="5">
        <f t="shared" si="86"/>
        <v>840.55470924811425</v>
      </c>
    </row>
    <row r="219" spans="2:20" x14ac:dyDescent="0.3">
      <c r="B219" s="60">
        <f>'[1]Proyeksi Fasum'!AC54</f>
        <v>2028</v>
      </c>
      <c r="C219" s="60">
        <f>'[1]Proyeksi Fasum'!L47</f>
        <v>18.609107402287901</v>
      </c>
      <c r="D219" s="60">
        <v>720</v>
      </c>
      <c r="E219" s="60">
        <f t="shared" si="83"/>
        <v>13398.557329647288</v>
      </c>
      <c r="F219" s="60">
        <v>80</v>
      </c>
      <c r="G219" s="5" t="s">
        <v>242</v>
      </c>
      <c r="H219" s="5">
        <f t="shared" si="84"/>
        <v>1071884.5863717832</v>
      </c>
      <c r="I219" s="5">
        <f t="shared" si="85"/>
        <v>857507.66909742658</v>
      </c>
      <c r="J219" s="5">
        <f t="shared" si="86"/>
        <v>857.50766909742663</v>
      </c>
    </row>
    <row r="220" spans="2:20" x14ac:dyDescent="0.3">
      <c r="B220" s="60">
        <f>'[1]Proyeksi Fasum'!AC55</f>
        <v>2029</v>
      </c>
      <c r="C220" s="60">
        <f>'[1]Proyeksi Fasum'!M47</f>
        <v>18.984430325533101</v>
      </c>
      <c r="D220" s="60">
        <v>720</v>
      </c>
      <c r="E220" s="60">
        <f t="shared" si="83"/>
        <v>13668.789834383833</v>
      </c>
      <c r="F220" s="60">
        <v>80</v>
      </c>
      <c r="G220" s="5" t="s">
        <v>242</v>
      </c>
      <c r="H220" s="5">
        <f t="shared" si="84"/>
        <v>1093503.1867507068</v>
      </c>
      <c r="I220" s="5">
        <f t="shared" si="85"/>
        <v>874802.54940056545</v>
      </c>
      <c r="J220" s="5">
        <f t="shared" si="86"/>
        <v>874.80254940056545</v>
      </c>
    </row>
    <row r="221" spans="2:20" x14ac:dyDescent="0.3">
      <c r="B221" s="60">
        <f>'[1]Proyeksi Fasum'!AC56</f>
        <v>2030</v>
      </c>
      <c r="C221" s="60">
        <f>'[1]Proyeksi Fasum'!N47</f>
        <v>19.367323052835438</v>
      </c>
      <c r="D221" s="60">
        <v>720</v>
      </c>
      <c r="E221" s="60">
        <f t="shared" si="83"/>
        <v>13944.472598041515</v>
      </c>
      <c r="F221" s="60">
        <v>80</v>
      </c>
      <c r="G221" s="5" t="s">
        <v>242</v>
      </c>
      <c r="H221" s="5">
        <f t="shared" si="84"/>
        <v>1115557.8078433212</v>
      </c>
      <c r="I221" s="5">
        <f t="shared" si="85"/>
        <v>892446.24627465708</v>
      </c>
      <c r="J221" s="5">
        <f t="shared" si="86"/>
        <v>892.44624627465703</v>
      </c>
    </row>
    <row r="222" spans="2:20" x14ac:dyDescent="0.3">
      <c r="B222" s="60">
        <f>'[1]Proyeksi Fasum'!AC57</f>
        <v>2031</v>
      </c>
      <c r="C222" s="60">
        <f>'[1]Proyeksi Fasum'!O47</f>
        <v>19.757938257879111</v>
      </c>
      <c r="D222" s="60">
        <v>720</v>
      </c>
      <c r="E222" s="60">
        <f t="shared" si="83"/>
        <v>14225.71554567296</v>
      </c>
      <c r="F222" s="60">
        <v>80</v>
      </c>
      <c r="G222" s="5" t="s">
        <v>242</v>
      </c>
      <c r="H222" s="5">
        <f t="shared" si="84"/>
        <v>1138057.2436538367</v>
      </c>
      <c r="I222" s="5">
        <f t="shared" si="85"/>
        <v>910445.79492306942</v>
      </c>
      <c r="J222" s="5">
        <f t="shared" si="86"/>
        <v>910.44579492306946</v>
      </c>
    </row>
    <row r="223" spans="2:20" x14ac:dyDescent="0.3">
      <c r="B223" s="60">
        <f>'[1]Proyeksi Fasum'!AC58</f>
        <v>2032</v>
      </c>
      <c r="C223" s="60">
        <f>'[1]Proyeksi Fasum'!P47</f>
        <v>20.156431693589717</v>
      </c>
      <c r="D223" s="60">
        <v>720</v>
      </c>
      <c r="E223" s="60">
        <f t="shared" si="83"/>
        <v>14512.630819384596</v>
      </c>
      <c r="F223" s="60">
        <v>80</v>
      </c>
      <c r="G223" s="5" t="s">
        <v>242</v>
      </c>
      <c r="H223" s="5">
        <f t="shared" si="84"/>
        <v>1161010.4655507677</v>
      </c>
      <c r="I223" s="5">
        <f t="shared" si="85"/>
        <v>928808.37244061427</v>
      </c>
      <c r="J223" s="5">
        <f t="shared" si="86"/>
        <v>928.80837244061422</v>
      </c>
    </row>
    <row r="224" spans="2:20" x14ac:dyDescent="0.3">
      <c r="B224" s="60">
        <f>'[1]Proyeksi Fasum'!AC59</f>
        <v>2033</v>
      </c>
      <c r="C224" s="60">
        <f>'[1]Proyeksi Fasum'!Q47</f>
        <v>20.562962254238766</v>
      </c>
      <c r="D224" s="60">
        <v>720</v>
      </c>
      <c r="E224" s="60">
        <f t="shared" si="83"/>
        <v>14805.332823051911</v>
      </c>
      <c r="F224" s="60">
        <v>80</v>
      </c>
      <c r="G224" s="5" t="s">
        <v>242</v>
      </c>
      <c r="H224" s="5">
        <f t="shared" si="84"/>
        <v>1184426.6258441529</v>
      </c>
      <c r="I224" s="5">
        <f t="shared" si="85"/>
        <v>947541.3006753223</v>
      </c>
      <c r="J224" s="5">
        <f t="shared" si="86"/>
        <v>947.5413006753223</v>
      </c>
    </row>
    <row r="225" spans="2:10" x14ac:dyDescent="0.3">
      <c r="B225" s="60">
        <f>'[1]Proyeksi Fasum'!AC60</f>
        <v>2034</v>
      </c>
      <c r="C225" s="60">
        <f>'[1]Proyeksi Fasum'!R47</f>
        <v>20.977692038800754</v>
      </c>
      <c r="D225" s="60">
        <v>720</v>
      </c>
      <c r="E225" s="60">
        <f t="shared" si="83"/>
        <v>15103.938267936543</v>
      </c>
      <c r="F225" s="60">
        <v>80</v>
      </c>
      <c r="G225" s="5" t="s">
        <v>242</v>
      </c>
      <c r="H225" s="5">
        <f t="shared" si="84"/>
        <v>1208315.0614349234</v>
      </c>
      <c r="I225" s="5">
        <f t="shared" si="85"/>
        <v>966652.04914793884</v>
      </c>
      <c r="J225" s="5">
        <f t="shared" si="86"/>
        <v>966.6520491479389</v>
      </c>
    </row>
    <row r="226" spans="2:10" x14ac:dyDescent="0.3">
      <c r="B226" s="60">
        <f>'[1]Proyeksi Fasum'!AC61</f>
        <v>2035</v>
      </c>
      <c r="C226" s="60">
        <f>'[1]Proyeksi Fasum'!S47</f>
        <v>20.977692038800754</v>
      </c>
      <c r="D226" s="60">
        <v>720</v>
      </c>
      <c r="E226" s="60">
        <f t="shared" si="83"/>
        <v>15103.938267936543</v>
      </c>
      <c r="F226" s="60">
        <v>80</v>
      </c>
      <c r="G226" s="5" t="s">
        <v>242</v>
      </c>
      <c r="H226" s="5">
        <f t="shared" si="84"/>
        <v>1208315.0614349234</v>
      </c>
      <c r="I226" s="5">
        <f t="shared" si="85"/>
        <v>966652.04914793884</v>
      </c>
      <c r="J226" s="5">
        <f t="shared" si="86"/>
        <v>966.6520491479389</v>
      </c>
    </row>
    <row r="227" spans="2:10" x14ac:dyDescent="0.3">
      <c r="B227" s="60">
        <f>'[1]Proyeksi Fasum'!AC62</f>
        <v>2036</v>
      </c>
      <c r="C227" s="60">
        <f>'[1]Proyeksi Fasum'!T47</f>
        <v>21.400786415588136</v>
      </c>
      <c r="D227" s="60">
        <v>720</v>
      </c>
      <c r="E227" s="60">
        <f t="shared" si="83"/>
        <v>15408.566219223458</v>
      </c>
      <c r="F227" s="60">
        <v>80</v>
      </c>
      <c r="G227" s="5" t="s">
        <v>242</v>
      </c>
      <c r="H227" s="5">
        <f t="shared" si="84"/>
        <v>1232685.2975378765</v>
      </c>
      <c r="I227" s="5">
        <f t="shared" si="85"/>
        <v>986148.23803030129</v>
      </c>
      <c r="J227" s="5">
        <f t="shared" si="86"/>
        <v>986.14823803030129</v>
      </c>
    </row>
    <row r="228" spans="2:10" x14ac:dyDescent="0.3">
      <c r="B228" s="60">
        <f>'[1]Proyeksi Fasum'!AC63</f>
        <v>2037</v>
      </c>
      <c r="C228" s="60">
        <f>'[1]Proyeksi Fasum'!U47</f>
        <v>21.832414088189843</v>
      </c>
      <c r="D228" s="60">
        <v>720</v>
      </c>
      <c r="E228" s="60">
        <f t="shared" si="83"/>
        <v>15719.338143496687</v>
      </c>
      <c r="F228" s="60">
        <v>80</v>
      </c>
      <c r="G228" s="5" t="s">
        <v>242</v>
      </c>
      <c r="H228" s="5">
        <f t="shared" si="84"/>
        <v>1257547.0514797349</v>
      </c>
      <c r="I228" s="5">
        <f t="shared" si="85"/>
        <v>1006037.641183788</v>
      </c>
      <c r="J228" s="5">
        <f t="shared" si="86"/>
        <v>1006.037641183788</v>
      </c>
    </row>
    <row r="229" spans="2:10" x14ac:dyDescent="0.3">
      <c r="B229" s="60">
        <f>'[1]Proyeksi Fasum'!AC64</f>
        <v>2038</v>
      </c>
      <c r="C229" s="60">
        <f>'[1]Proyeksi Fasum'!V47</f>
        <v>22.272747162739773</v>
      </c>
      <c r="D229" s="60">
        <v>720</v>
      </c>
      <c r="E229" s="60">
        <f t="shared" si="83"/>
        <v>16036.377957172635</v>
      </c>
      <c r="F229" s="60">
        <v>80</v>
      </c>
      <c r="G229" s="5" t="s">
        <v>242</v>
      </c>
      <c r="H229" s="5">
        <f t="shared" si="84"/>
        <v>1282910.2365738109</v>
      </c>
      <c r="I229" s="5">
        <f t="shared" si="85"/>
        <v>1026328.1892590488</v>
      </c>
      <c r="J229" s="5">
        <f t="shared" si="86"/>
        <v>1026.3281892590487</v>
      </c>
    </row>
    <row r="230" spans="2:10" x14ac:dyDescent="0.3">
      <c r="B230" s="60">
        <f>'[1]Proyeksi Fasum'!AC65</f>
        <v>2039</v>
      </c>
      <c r="C230" s="60">
        <f>'[1]Proyeksi Fasum'!W47</f>
        <v>22.721961216541896</v>
      </c>
      <c r="D230" s="60">
        <v>720</v>
      </c>
      <c r="E230" s="60">
        <f t="shared" si="83"/>
        <v>16359.812075910166</v>
      </c>
      <c r="F230" s="60">
        <v>80</v>
      </c>
      <c r="G230" s="5" t="s">
        <v>242</v>
      </c>
      <c r="H230" s="5">
        <f t="shared" si="84"/>
        <v>1308784.9660728131</v>
      </c>
      <c r="I230" s="5">
        <f t="shared" si="85"/>
        <v>1047027.9728582506</v>
      </c>
      <c r="J230" s="5">
        <f t="shared" si="86"/>
        <v>1047.0279728582507</v>
      </c>
    </row>
    <row r="231" spans="2:10" x14ac:dyDescent="0.3">
      <c r="B231" s="60">
        <f>'[1]Proyeksi Fasum'!AC66</f>
        <v>2040</v>
      </c>
      <c r="C231" s="60">
        <f>'[1]Proyeksi Fasum'!X47</f>
        <v>23.180235368079558</v>
      </c>
      <c r="D231" s="60">
        <v>720</v>
      </c>
      <c r="E231" s="60">
        <f t="shared" si="83"/>
        <v>16689.769465017282</v>
      </c>
      <c r="F231" s="60">
        <v>80</v>
      </c>
      <c r="G231" s="5" t="s">
        <v>242</v>
      </c>
      <c r="H231" s="5">
        <f t="shared" si="84"/>
        <v>1335181.5572013825</v>
      </c>
      <c r="I231" s="5">
        <f t="shared" si="85"/>
        <v>1068145.245761106</v>
      </c>
      <c r="J231" s="5">
        <f t="shared" si="86"/>
        <v>1068.145245761106</v>
      </c>
    </row>
    <row r="232" spans="2:10" x14ac:dyDescent="0.3">
      <c r="B232" s="60">
        <f>'[1]Proyeksi Fasum'!AC67</f>
        <v>2041</v>
      </c>
      <c r="C232" s="60">
        <f>'[1]Proyeksi Fasum'!Y47</f>
        <v>23.647752348436708</v>
      </c>
      <c r="D232" s="60">
        <v>720</v>
      </c>
      <c r="E232" s="60">
        <f t="shared" si="83"/>
        <v>17026.38169087443</v>
      </c>
      <c r="F232" s="60">
        <v>80</v>
      </c>
      <c r="G232" s="5" t="s">
        <v>242</v>
      </c>
      <c r="H232" s="5">
        <f t="shared" si="84"/>
        <v>1362110.5352699545</v>
      </c>
      <c r="I232" s="5">
        <f t="shared" si="85"/>
        <v>1089688.4282159635</v>
      </c>
      <c r="J232" s="5">
        <f t="shared" si="86"/>
        <v>1089.6884282159635</v>
      </c>
    </row>
    <row r="233" spans="2:10" x14ac:dyDescent="0.3">
      <c r="B233" s="60">
        <f>'[1]Proyeksi Fasum'!AC68</f>
        <v>2042</v>
      </c>
      <c r="C233" s="60">
        <f>'[1]Proyeksi Fasum'!Z47</f>
        <v>24.124698574159638</v>
      </c>
      <c r="D233" s="60">
        <v>720</v>
      </c>
      <c r="E233" s="60">
        <f t="shared" si="83"/>
        <v>17369.78297339494</v>
      </c>
      <c r="F233" s="60">
        <v>80</v>
      </c>
      <c r="G233" s="5" t="s">
        <v>242</v>
      </c>
      <c r="H233" s="5">
        <f t="shared" si="84"/>
        <v>1389582.6378715951</v>
      </c>
      <c r="I233" s="5">
        <f t="shared" si="85"/>
        <v>1111666.1102972762</v>
      </c>
      <c r="J233" s="5">
        <f t="shared" si="86"/>
        <v>1111.6661102972762</v>
      </c>
    </row>
    <row r="234" spans="2:10" x14ac:dyDescent="0.3">
      <c r="B234" s="60">
        <f>'[1]Proyeksi Fasum'!AC69</f>
        <v>2043</v>
      </c>
      <c r="C234" s="60">
        <f>'[1]Proyeksi Fasum'!AA47</f>
        <v>24.611264221588268</v>
      </c>
      <c r="D234" s="60">
        <v>720</v>
      </c>
      <c r="E234" s="60">
        <f t="shared" si="83"/>
        <v>17720.110239543552</v>
      </c>
      <c r="F234" s="60">
        <v>80</v>
      </c>
      <c r="G234" s="5" t="s">
        <v>242</v>
      </c>
      <c r="H234" s="5">
        <f t="shared" si="84"/>
        <v>1417608.819163484</v>
      </c>
      <c r="I234" s="5">
        <f t="shared" si="85"/>
        <v>1134087.0553307873</v>
      </c>
      <c r="J234" s="5">
        <f t="shared" si="86"/>
        <v>1134.0870553307873</v>
      </c>
    </row>
    <row r="235" spans="2:10" x14ac:dyDescent="0.3">
      <c r="B235" s="62"/>
      <c r="C235" s="62"/>
      <c r="D235" s="62"/>
      <c r="E235" s="62"/>
      <c r="F235" s="62"/>
      <c r="G235" s="63"/>
      <c r="H235" s="63"/>
      <c r="I235" s="63"/>
      <c r="J235" s="63"/>
    </row>
    <row r="236" spans="2:10" x14ac:dyDescent="0.3">
      <c r="B236" s="283" t="s">
        <v>265</v>
      </c>
      <c r="C236" s="283"/>
      <c r="D236" s="283"/>
      <c r="E236" s="283"/>
      <c r="F236" s="283"/>
      <c r="G236" s="283"/>
      <c r="H236" s="283"/>
      <c r="I236" s="283"/>
      <c r="J236" s="283"/>
    </row>
    <row r="237" spans="2:10" x14ac:dyDescent="0.3">
      <c r="B237" s="343" t="s">
        <v>98</v>
      </c>
      <c r="C237" s="342" t="s">
        <v>235</v>
      </c>
      <c r="D237" s="342" t="s">
        <v>246</v>
      </c>
      <c r="E237" s="342" t="s">
        <v>247</v>
      </c>
      <c r="F237" s="342" t="s">
        <v>241</v>
      </c>
      <c r="G237" s="345" t="s">
        <v>240</v>
      </c>
      <c r="H237" s="347" t="s">
        <v>238</v>
      </c>
      <c r="I237" s="347" t="s">
        <v>239</v>
      </c>
      <c r="J237" s="347" t="s">
        <v>250</v>
      </c>
    </row>
    <row r="238" spans="2:10" x14ac:dyDescent="0.3">
      <c r="B238" s="344"/>
      <c r="C238" s="342"/>
      <c r="D238" s="342"/>
      <c r="E238" s="342"/>
      <c r="F238" s="342"/>
      <c r="G238" s="346"/>
      <c r="H238" s="347"/>
      <c r="I238" s="347"/>
      <c r="J238" s="347"/>
    </row>
    <row r="239" spans="2:10" x14ac:dyDescent="0.3">
      <c r="B239" s="60">
        <f>'[1]Proyeksi Fasum'!AC49</f>
        <v>2023</v>
      </c>
      <c r="C239" s="60">
        <f>'[1]Proyeksi Fasum'!G50</f>
        <v>11.578121668193493</v>
      </c>
      <c r="D239" s="60">
        <v>850</v>
      </c>
      <c r="E239" s="60">
        <f>D239*C239</f>
        <v>9841.4034179644696</v>
      </c>
      <c r="F239" s="60">
        <f>$F$18</f>
        <v>5</v>
      </c>
      <c r="G239" s="5" t="str">
        <f>$G$18</f>
        <v xml:space="preserve"> (L/m2)</v>
      </c>
      <c r="H239" s="5">
        <f>F239*E239</f>
        <v>49207.017089822344</v>
      </c>
      <c r="I239" s="5">
        <f>80%*H239</f>
        <v>39365.613671857878</v>
      </c>
      <c r="J239" s="5">
        <f>I239/1000</f>
        <v>39.365613671857879</v>
      </c>
    </row>
    <row r="240" spans="2:10" x14ac:dyDescent="0.3">
      <c r="B240" s="60">
        <f>'[1]Proyeksi Fasum'!AC50</f>
        <v>2024</v>
      </c>
      <c r="C240" s="60">
        <f>'[1]Proyeksi Fasum'!H50</f>
        <v>11.81163821341268</v>
      </c>
      <c r="D240" s="60">
        <v>850</v>
      </c>
      <c r="E240" s="60">
        <f>D240*C240</f>
        <v>10039.892481400779</v>
      </c>
      <c r="F240" s="60">
        <f t="shared" ref="F240:F259" si="87">$F$18</f>
        <v>5</v>
      </c>
      <c r="G240" s="5" t="str">
        <f t="shared" ref="G240:G259" si="88">$G$18</f>
        <v xml:space="preserve"> (L/m2)</v>
      </c>
      <c r="H240" s="5">
        <f t="shared" ref="H240:H259" si="89">F240*E240</f>
        <v>50199.462407003892</v>
      </c>
      <c r="I240" s="5">
        <f t="shared" ref="I240:I259" si="90">80%*H240</f>
        <v>40159.569925603115</v>
      </c>
      <c r="J240" s="5">
        <f t="shared" ref="J240:J259" si="91">I240/1000</f>
        <v>40.159569925603115</v>
      </c>
    </row>
    <row r="241" spans="2:10" x14ac:dyDescent="0.3">
      <c r="B241" s="60">
        <f>'[1]Proyeksi Fasum'!AC51</f>
        <v>2025</v>
      </c>
      <c r="C241" s="60">
        <f>'[1]Proyeksi Fasum'!I50</f>
        <v>12.049864501581007</v>
      </c>
      <c r="D241" s="60">
        <v>850</v>
      </c>
      <c r="E241" s="60">
        <f t="shared" ref="E241:E259" si="92">D241*C241</f>
        <v>10242.384826343856</v>
      </c>
      <c r="F241" s="60">
        <f t="shared" si="87"/>
        <v>5</v>
      </c>
      <c r="G241" s="5" t="str">
        <f t="shared" si="88"/>
        <v xml:space="preserve"> (L/m2)</v>
      </c>
      <c r="H241" s="5">
        <f t="shared" si="89"/>
        <v>51211.924131719279</v>
      </c>
      <c r="I241" s="5">
        <f t="shared" si="90"/>
        <v>40969.539305375423</v>
      </c>
      <c r="J241" s="5">
        <f t="shared" si="91"/>
        <v>40.96953930537542</v>
      </c>
    </row>
    <row r="242" spans="2:10" x14ac:dyDescent="0.3">
      <c r="B242" s="60">
        <f>'[1]Proyeksi Fasum'!AC52</f>
        <v>2026</v>
      </c>
      <c r="C242" s="60">
        <f>'[1]Proyeksi Fasum'!J50</f>
        <v>12.292895522450179</v>
      </c>
      <c r="D242" s="60">
        <v>850</v>
      </c>
      <c r="E242" s="60">
        <f t="shared" si="92"/>
        <v>10448.961194082653</v>
      </c>
      <c r="F242" s="60">
        <f t="shared" si="87"/>
        <v>5</v>
      </c>
      <c r="G242" s="5" t="str">
        <f t="shared" si="88"/>
        <v xml:space="preserve"> (L/m2)</v>
      </c>
      <c r="H242" s="5">
        <f t="shared" si="89"/>
        <v>52244.805970413261</v>
      </c>
      <c r="I242" s="5">
        <f t="shared" si="90"/>
        <v>41795.84477633061</v>
      </c>
      <c r="J242" s="5">
        <f t="shared" si="91"/>
        <v>41.795844776330611</v>
      </c>
    </row>
    <row r="243" spans="2:10" x14ac:dyDescent="0.3">
      <c r="B243" s="60">
        <f>'[1]Proyeksi Fasum'!AC53</f>
        <v>2027</v>
      </c>
      <c r="C243" s="60">
        <f>'[1]Proyeksi Fasum'!K50</f>
        <v>12.540828181598926</v>
      </c>
      <c r="D243" s="60">
        <v>850</v>
      </c>
      <c r="E243" s="60">
        <f t="shared" si="92"/>
        <v>10659.703954359087</v>
      </c>
      <c r="F243" s="60">
        <f t="shared" si="87"/>
        <v>5</v>
      </c>
      <c r="G243" s="5" t="str">
        <f t="shared" si="88"/>
        <v xml:space="preserve"> (L/m2)</v>
      </c>
      <c r="H243" s="5">
        <f t="shared" si="89"/>
        <v>53298.519771795436</v>
      </c>
      <c r="I243" s="5">
        <f t="shared" si="90"/>
        <v>42638.815817436349</v>
      </c>
      <c r="J243" s="5">
        <f t="shared" si="91"/>
        <v>42.638815817436345</v>
      </c>
    </row>
    <row r="244" spans="2:10" x14ac:dyDescent="0.3">
      <c r="B244" s="60">
        <f>'[1]Proyeksi Fasum'!AC54</f>
        <v>2028</v>
      </c>
      <c r="C244" s="60">
        <f>'[1]Proyeksi Fasum'!L50</f>
        <v>12.793761339072931</v>
      </c>
      <c r="D244" s="60">
        <v>850</v>
      </c>
      <c r="E244" s="60">
        <f t="shared" si="92"/>
        <v>10874.697138211992</v>
      </c>
      <c r="F244" s="60">
        <f t="shared" si="87"/>
        <v>5</v>
      </c>
      <c r="G244" s="5" t="str">
        <f t="shared" si="88"/>
        <v xml:space="preserve"> (L/m2)</v>
      </c>
      <c r="H244" s="5">
        <f t="shared" si="89"/>
        <v>54373.485691059963</v>
      </c>
      <c r="I244" s="5">
        <f t="shared" si="90"/>
        <v>43498.788552847975</v>
      </c>
      <c r="J244" s="5">
        <f t="shared" si="91"/>
        <v>43.498788552847977</v>
      </c>
    </row>
    <row r="245" spans="2:10" x14ac:dyDescent="0.3">
      <c r="B245" s="60">
        <f>'[1]Proyeksi Fasum'!AC55</f>
        <v>2029</v>
      </c>
      <c r="C245" s="60">
        <f>'[1]Proyeksi Fasum'!M50</f>
        <v>13.051795848804007</v>
      </c>
      <c r="D245" s="60">
        <v>850</v>
      </c>
      <c r="E245" s="60">
        <f t="shared" si="92"/>
        <v>11094.026471483407</v>
      </c>
      <c r="F245" s="60">
        <f t="shared" si="87"/>
        <v>5</v>
      </c>
      <c r="G245" s="5" t="str">
        <f t="shared" si="88"/>
        <v xml:space="preserve"> (L/m2)</v>
      </c>
      <c r="H245" s="5">
        <f t="shared" si="89"/>
        <v>55470.132357417031</v>
      </c>
      <c r="I245" s="5">
        <f t="shared" si="90"/>
        <v>44376.105885933626</v>
      </c>
      <c r="J245" s="5">
        <f t="shared" si="91"/>
        <v>44.376105885933626</v>
      </c>
    </row>
    <row r="246" spans="2:10" x14ac:dyDescent="0.3">
      <c r="B246" s="60">
        <f>'[1]Proyeksi Fasum'!AC56</f>
        <v>2030</v>
      </c>
      <c r="C246" s="60">
        <f>'[1]Proyeksi Fasum'!N50</f>
        <v>13.315034598824363</v>
      </c>
      <c r="D246" s="60">
        <v>850</v>
      </c>
      <c r="E246" s="60">
        <f t="shared" si="92"/>
        <v>11317.779409000708</v>
      </c>
      <c r="F246" s="60">
        <f t="shared" si="87"/>
        <v>5</v>
      </c>
      <c r="G246" s="5" t="str">
        <f t="shared" si="88"/>
        <v xml:space="preserve"> (L/m2)</v>
      </c>
      <c r="H246" s="5">
        <f t="shared" si="89"/>
        <v>56588.897045003541</v>
      </c>
      <c r="I246" s="5">
        <f t="shared" si="90"/>
        <v>45271.117636002833</v>
      </c>
      <c r="J246" s="5">
        <f t="shared" si="91"/>
        <v>45.271117636002835</v>
      </c>
    </row>
    <row r="247" spans="2:10" x14ac:dyDescent="0.3">
      <c r="B247" s="60">
        <f>'[1]Proyeksi Fasum'!AC57</f>
        <v>2031</v>
      </c>
      <c r="C247" s="60">
        <f>'[1]Proyeksi Fasum'!O50</f>
        <v>13.583582552291888</v>
      </c>
      <c r="D247" s="60">
        <v>850</v>
      </c>
      <c r="E247" s="60">
        <f t="shared" si="92"/>
        <v>11546.045169448105</v>
      </c>
      <c r="F247" s="60">
        <f t="shared" si="87"/>
        <v>5</v>
      </c>
      <c r="G247" s="5" t="str">
        <f t="shared" si="88"/>
        <v xml:space="preserve"> (L/m2)</v>
      </c>
      <c r="H247" s="5">
        <f t="shared" si="89"/>
        <v>57730.225847240523</v>
      </c>
      <c r="I247" s="5">
        <f t="shared" si="90"/>
        <v>46184.180677792421</v>
      </c>
      <c r="J247" s="5">
        <f t="shared" si="91"/>
        <v>46.184180677792419</v>
      </c>
    </row>
    <row r="248" spans="2:10" x14ac:dyDescent="0.3">
      <c r="B248" s="60">
        <f>'[1]Proyeksi Fasum'!AC58</f>
        <v>2032</v>
      </c>
      <c r="C248" s="60">
        <f>'[1]Proyeksi Fasum'!P50</f>
        <v>13.85754678934293</v>
      </c>
      <c r="D248" s="60">
        <v>850</v>
      </c>
      <c r="E248" s="60">
        <f t="shared" si="92"/>
        <v>11778.91477094149</v>
      </c>
      <c r="F248" s="60">
        <f t="shared" si="87"/>
        <v>5</v>
      </c>
      <c r="G248" s="5" t="str">
        <f t="shared" si="88"/>
        <v xml:space="preserve"> (L/m2)</v>
      </c>
      <c r="H248" s="5">
        <f t="shared" si="89"/>
        <v>58894.573854707451</v>
      </c>
      <c r="I248" s="5">
        <f t="shared" si="90"/>
        <v>47115.659083765961</v>
      </c>
      <c r="J248" s="5">
        <f t="shared" si="91"/>
        <v>47.115659083765962</v>
      </c>
    </row>
    <row r="249" spans="2:10" x14ac:dyDescent="0.3">
      <c r="B249" s="60">
        <f>'[1]Proyeksi Fasum'!AC59</f>
        <v>2033</v>
      </c>
      <c r="C249" s="60">
        <f>'[1]Proyeksi Fasum'!Q50</f>
        <v>14.137036549789151</v>
      </c>
      <c r="D249" s="60">
        <v>850</v>
      </c>
      <c r="E249" s="60">
        <f t="shared" si="92"/>
        <v>12016.481067320779</v>
      </c>
      <c r="F249" s="60">
        <f t="shared" si="87"/>
        <v>5</v>
      </c>
      <c r="G249" s="5" t="str">
        <f t="shared" si="88"/>
        <v xml:space="preserve"> (L/m2)</v>
      </c>
      <c r="H249" s="5">
        <f t="shared" si="89"/>
        <v>60082.405336603901</v>
      </c>
      <c r="I249" s="5">
        <f t="shared" si="90"/>
        <v>48065.924269283125</v>
      </c>
      <c r="J249" s="5">
        <f t="shared" si="91"/>
        <v>48.065924269283123</v>
      </c>
    </row>
    <row r="250" spans="2:10" x14ac:dyDescent="0.3">
      <c r="B250" s="60">
        <f>'[1]Proyeksi Fasum'!AC60</f>
        <v>2034</v>
      </c>
      <c r="C250" s="60">
        <f>'[1]Proyeksi Fasum'!R50</f>
        <v>14.422163276675519</v>
      </c>
      <c r="D250" s="60">
        <v>850</v>
      </c>
      <c r="E250" s="60">
        <f t="shared" si="92"/>
        <v>12258.838785174192</v>
      </c>
      <c r="F250" s="60">
        <f t="shared" si="87"/>
        <v>5</v>
      </c>
      <c r="G250" s="5" t="str">
        <f t="shared" si="88"/>
        <v xml:space="preserve"> (L/m2)</v>
      </c>
      <c r="H250" s="5">
        <f t="shared" si="89"/>
        <v>61294.193925870961</v>
      </c>
      <c r="I250" s="5">
        <f t="shared" si="90"/>
        <v>49035.355140696774</v>
      </c>
      <c r="J250" s="5">
        <f t="shared" si="91"/>
        <v>49.035355140696772</v>
      </c>
    </row>
    <row r="251" spans="2:10" x14ac:dyDescent="0.3">
      <c r="B251" s="60">
        <f>'[1]Proyeksi Fasum'!AC61</f>
        <v>2035</v>
      </c>
      <c r="C251" s="60">
        <f>'[1]Proyeksi Fasum'!S50</f>
        <v>14.422163276675519</v>
      </c>
      <c r="D251" s="60">
        <v>850</v>
      </c>
      <c r="E251" s="60">
        <f t="shared" si="92"/>
        <v>12258.838785174192</v>
      </c>
      <c r="F251" s="60">
        <f t="shared" si="87"/>
        <v>5</v>
      </c>
      <c r="G251" s="5" t="str">
        <f t="shared" si="88"/>
        <v xml:space="preserve"> (L/m2)</v>
      </c>
      <c r="H251" s="5">
        <f t="shared" si="89"/>
        <v>61294.193925870961</v>
      </c>
      <c r="I251" s="5">
        <f t="shared" si="90"/>
        <v>49035.355140696774</v>
      </c>
      <c r="J251" s="5">
        <f t="shared" si="91"/>
        <v>49.035355140696772</v>
      </c>
    </row>
    <row r="252" spans="2:10" x14ac:dyDescent="0.3">
      <c r="B252" s="60">
        <f>'[1]Proyeksi Fasum'!AC62</f>
        <v>2036</v>
      </c>
      <c r="C252" s="60">
        <f>'[1]Proyeksi Fasum'!T50</f>
        <v>14.713040660716844</v>
      </c>
      <c r="D252" s="60">
        <v>850</v>
      </c>
      <c r="E252" s="60">
        <f t="shared" si="92"/>
        <v>12506.084561609317</v>
      </c>
      <c r="F252" s="60">
        <f t="shared" si="87"/>
        <v>5</v>
      </c>
      <c r="G252" s="5" t="str">
        <f t="shared" si="88"/>
        <v xml:space="preserve"> (L/m2)</v>
      </c>
      <c r="H252" s="5">
        <f t="shared" si="89"/>
        <v>62530.422808046584</v>
      </c>
      <c r="I252" s="5">
        <f t="shared" si="90"/>
        <v>50024.33824643727</v>
      </c>
      <c r="J252" s="5">
        <f t="shared" si="91"/>
        <v>50.024338246437267</v>
      </c>
    </row>
    <row r="253" spans="2:10" x14ac:dyDescent="0.3">
      <c r="B253" s="60">
        <f>'[1]Proyeksi Fasum'!AC63</f>
        <v>2037</v>
      </c>
      <c r="C253" s="60">
        <f>'[1]Proyeksi Fasum'!U50</f>
        <v>15.009784685630517</v>
      </c>
      <c r="D253" s="60">
        <v>850</v>
      </c>
      <c r="E253" s="60">
        <f t="shared" si="92"/>
        <v>12758.31698278594</v>
      </c>
      <c r="F253" s="60">
        <f t="shared" si="87"/>
        <v>5</v>
      </c>
      <c r="G253" s="5" t="str">
        <f t="shared" si="88"/>
        <v xml:space="preserve"> (L/m2)</v>
      </c>
      <c r="H253" s="5">
        <f t="shared" si="89"/>
        <v>63791.584913929699</v>
      </c>
      <c r="I253" s="5">
        <f t="shared" si="90"/>
        <v>51033.267931143761</v>
      </c>
      <c r="J253" s="5">
        <f t="shared" si="91"/>
        <v>51.033267931143762</v>
      </c>
    </row>
    <row r="254" spans="2:10" x14ac:dyDescent="0.3">
      <c r="B254" s="60">
        <f>'[1]Proyeksi Fasum'!AC64</f>
        <v>2038</v>
      </c>
      <c r="C254" s="60">
        <f>'[1]Proyeksi Fasum'!V50</f>
        <v>15.312513674383593</v>
      </c>
      <c r="D254" s="60">
        <v>850</v>
      </c>
      <c r="E254" s="60">
        <f t="shared" si="92"/>
        <v>13015.636623226055</v>
      </c>
      <c r="F254" s="60">
        <f t="shared" si="87"/>
        <v>5</v>
      </c>
      <c r="G254" s="5" t="str">
        <f t="shared" si="88"/>
        <v xml:space="preserve"> (L/m2)</v>
      </c>
      <c r="H254" s="5">
        <f t="shared" si="89"/>
        <v>65078.183116130276</v>
      </c>
      <c r="I254" s="5">
        <f t="shared" si="90"/>
        <v>52062.546492904221</v>
      </c>
      <c r="J254" s="5">
        <f t="shared" si="91"/>
        <v>52.062546492904218</v>
      </c>
    </row>
    <row r="255" spans="2:10" x14ac:dyDescent="0.3">
      <c r="B255" s="60">
        <f>'[1]Proyeksi Fasum'!AC65</f>
        <v>2039</v>
      </c>
      <c r="C255" s="60">
        <f>'[1]Proyeksi Fasum'!W50</f>
        <v>15.621348336372554</v>
      </c>
      <c r="D255" s="60">
        <v>850</v>
      </c>
      <c r="E255" s="60">
        <f t="shared" si="92"/>
        <v>13278.146085916671</v>
      </c>
      <c r="F255" s="60">
        <f t="shared" si="87"/>
        <v>5</v>
      </c>
      <c r="G255" s="5" t="str">
        <f t="shared" si="88"/>
        <v xml:space="preserve"> (L/m2)</v>
      </c>
      <c r="H255" s="5">
        <f t="shared" si="89"/>
        <v>66390.73042958336</v>
      </c>
      <c r="I255" s="5">
        <f t="shared" si="90"/>
        <v>53112.584343666691</v>
      </c>
      <c r="J255" s="5">
        <f t="shared" si="91"/>
        <v>53.11258434366669</v>
      </c>
    </row>
    <row r="256" spans="2:10" x14ac:dyDescent="0.3">
      <c r="B256" s="60">
        <f>'[1]Proyeksi Fasum'!AC66</f>
        <v>2040</v>
      </c>
      <c r="C256" s="60">
        <f>'[1]Proyeksi Fasum'!X50</f>
        <v>15.936411815554695</v>
      </c>
      <c r="D256" s="60">
        <v>850</v>
      </c>
      <c r="E256" s="60">
        <f t="shared" si="92"/>
        <v>13545.950043221492</v>
      </c>
      <c r="F256" s="60">
        <f t="shared" si="87"/>
        <v>5</v>
      </c>
      <c r="G256" s="5" t="str">
        <f t="shared" si="88"/>
        <v xml:space="preserve"> (L/m2)</v>
      </c>
      <c r="H256" s="5">
        <f t="shared" si="89"/>
        <v>67729.750216107466</v>
      </c>
      <c r="I256" s="5">
        <f t="shared" si="90"/>
        <v>54183.800172885974</v>
      </c>
      <c r="J256" s="5">
        <f t="shared" si="91"/>
        <v>54.183800172885974</v>
      </c>
    </row>
    <row r="257" spans="2:10" x14ac:dyDescent="0.3">
      <c r="B257" s="60">
        <f>'[1]Proyeksi Fasum'!AC67</f>
        <v>2041</v>
      </c>
      <c r="C257" s="60">
        <f>'[1]Proyeksi Fasum'!Y50</f>
        <v>16.257829739550235</v>
      </c>
      <c r="D257" s="60">
        <v>850</v>
      </c>
      <c r="E257" s="60">
        <f t="shared" si="92"/>
        <v>13819.1552786177</v>
      </c>
      <c r="F257" s="60">
        <f t="shared" si="87"/>
        <v>5</v>
      </c>
      <c r="G257" s="5" t="str">
        <f t="shared" si="88"/>
        <v xml:space="preserve"> (L/m2)</v>
      </c>
      <c r="H257" s="5">
        <f t="shared" si="89"/>
        <v>69095.776393088498</v>
      </c>
      <c r="I257" s="5">
        <f t="shared" si="90"/>
        <v>55276.6211144708</v>
      </c>
      <c r="J257" s="5">
        <f t="shared" si="91"/>
        <v>55.2766211144708</v>
      </c>
    </row>
    <row r="258" spans="2:10" x14ac:dyDescent="0.3">
      <c r="B258" s="60">
        <f>'[1]Proyeksi Fasum'!AC68</f>
        <v>2042</v>
      </c>
      <c r="C258" s="60">
        <f>'[1]Proyeksi Fasum'!Z50</f>
        <v>16.58573026973475</v>
      </c>
      <c r="D258" s="60">
        <v>850</v>
      </c>
      <c r="E258" s="60">
        <f t="shared" si="92"/>
        <v>14097.870729274537</v>
      </c>
      <c r="F258" s="60">
        <f t="shared" si="87"/>
        <v>5</v>
      </c>
      <c r="G258" s="5" t="str">
        <f t="shared" si="88"/>
        <v xml:space="preserve"> (L/m2)</v>
      </c>
      <c r="H258" s="5">
        <f t="shared" si="89"/>
        <v>70489.353646372678</v>
      </c>
      <c r="I258" s="5">
        <f t="shared" si="90"/>
        <v>56391.482917098147</v>
      </c>
      <c r="J258" s="5">
        <f t="shared" si="91"/>
        <v>56.391482917098145</v>
      </c>
    </row>
    <row r="259" spans="2:10" x14ac:dyDescent="0.3">
      <c r="B259" s="60">
        <f>'[1]Proyeksi Fasum'!AC69</f>
        <v>2043</v>
      </c>
      <c r="C259" s="60">
        <f>'[1]Proyeksi Fasum'!AA50</f>
        <v>16.920244152341933</v>
      </c>
      <c r="D259" s="60">
        <v>850</v>
      </c>
      <c r="E259" s="60">
        <f t="shared" si="92"/>
        <v>14382.207529490643</v>
      </c>
      <c r="F259" s="60">
        <f t="shared" si="87"/>
        <v>5</v>
      </c>
      <c r="G259" s="5" t="str">
        <f t="shared" si="88"/>
        <v xml:space="preserve"> (L/m2)</v>
      </c>
      <c r="H259" s="5">
        <f t="shared" si="89"/>
        <v>71911.03764745321</v>
      </c>
      <c r="I259" s="5">
        <f t="shared" si="90"/>
        <v>57528.830117962571</v>
      </c>
      <c r="J259" s="5">
        <f t="shared" si="91"/>
        <v>57.528830117962571</v>
      </c>
    </row>
    <row r="261" spans="2:10" x14ac:dyDescent="0.3">
      <c r="B261" s="283" t="s">
        <v>266</v>
      </c>
      <c r="C261" s="283"/>
      <c r="D261" s="283"/>
      <c r="E261" s="283"/>
      <c r="F261" s="283"/>
      <c r="G261" s="283"/>
      <c r="H261" s="283"/>
      <c r="I261" s="283"/>
      <c r="J261" s="283"/>
    </row>
    <row r="262" spans="2:10" x14ac:dyDescent="0.3">
      <c r="B262" s="343" t="s">
        <v>98</v>
      </c>
      <c r="C262" s="342" t="s">
        <v>235</v>
      </c>
      <c r="D262" s="342" t="s">
        <v>246</v>
      </c>
      <c r="E262" s="342" t="s">
        <v>247</v>
      </c>
      <c r="F262" s="342" t="s">
        <v>241</v>
      </c>
      <c r="G262" s="345" t="s">
        <v>240</v>
      </c>
      <c r="H262" s="347" t="s">
        <v>238</v>
      </c>
      <c r="I262" s="347" t="s">
        <v>239</v>
      </c>
      <c r="J262" s="347" t="s">
        <v>250</v>
      </c>
    </row>
    <row r="263" spans="2:10" x14ac:dyDescent="0.3">
      <c r="B263" s="344"/>
      <c r="C263" s="342"/>
      <c r="D263" s="342"/>
      <c r="E263" s="342"/>
      <c r="F263" s="342"/>
      <c r="G263" s="346"/>
      <c r="H263" s="347"/>
      <c r="I263" s="347"/>
      <c r="J263" s="347"/>
    </row>
    <row r="264" spans="2:10" x14ac:dyDescent="0.3">
      <c r="B264" s="60">
        <f>'[1]Proyeksi Fasum'!AC49</f>
        <v>2023</v>
      </c>
      <c r="C264" s="60">
        <f>'[1]Proyeksi Fasum'!G51</f>
        <v>8527.8128868821532</v>
      </c>
      <c r="D264" s="60">
        <f>D19</f>
        <v>25</v>
      </c>
      <c r="E264" s="60">
        <f>D264*C264</f>
        <v>213195.32217205383</v>
      </c>
      <c r="F264" s="60">
        <f>$F$18</f>
        <v>5</v>
      </c>
      <c r="G264" s="5" t="str">
        <f>$G$18</f>
        <v xml:space="preserve"> (L/m2)</v>
      </c>
      <c r="H264" s="5">
        <f>F264*E264</f>
        <v>1065976.6108602691</v>
      </c>
      <c r="I264" s="5">
        <f>80%*H264</f>
        <v>852781.28868821531</v>
      </c>
      <c r="J264" s="5">
        <f>I264/1000</f>
        <v>852.78128868821534</v>
      </c>
    </row>
    <row r="265" spans="2:10" x14ac:dyDescent="0.3">
      <c r="B265" s="60">
        <f>'[1]Proyeksi Fasum'!AC50</f>
        <v>2024</v>
      </c>
      <c r="C265" s="60">
        <f>'[1]Proyeksi Fasum'!H51</f>
        <v>8699.8084368245036</v>
      </c>
      <c r="D265" s="60">
        <v>25</v>
      </c>
      <c r="E265" s="60">
        <f>D265*C265</f>
        <v>217495.21092061259</v>
      </c>
      <c r="F265" s="60">
        <f t="shared" ref="F265:F284" si="93">$F$18</f>
        <v>5</v>
      </c>
      <c r="G265" s="5" t="str">
        <f t="shared" ref="G265:G284" si="94">$G$18</f>
        <v xml:space="preserve"> (L/m2)</v>
      </c>
      <c r="H265" s="5">
        <f t="shared" ref="H265:H284" si="95">F265*E265</f>
        <v>1087476.054603063</v>
      </c>
      <c r="I265" s="5">
        <f t="shared" ref="I265:I284" si="96">80%*H265</f>
        <v>869980.84368245048</v>
      </c>
      <c r="J265" s="5">
        <f t="shared" ref="J265:J284" si="97">I265/1000</f>
        <v>869.98084368245043</v>
      </c>
    </row>
    <row r="266" spans="2:10" x14ac:dyDescent="0.3">
      <c r="B266" s="60">
        <f>'[1]Proyeksi Fasum'!AC51</f>
        <v>2025</v>
      </c>
      <c r="C266" s="60">
        <f>'[1]Proyeksi Fasum'!I51</f>
        <v>8875.2729265281196</v>
      </c>
      <c r="D266" s="60">
        <v>25</v>
      </c>
      <c r="E266" s="60">
        <f t="shared" ref="E266:E284" si="98">D266*C266</f>
        <v>221881.82316320299</v>
      </c>
      <c r="F266" s="60">
        <f t="shared" si="93"/>
        <v>5</v>
      </c>
      <c r="G266" s="5" t="str">
        <f t="shared" si="94"/>
        <v xml:space="preserve"> (L/m2)</v>
      </c>
      <c r="H266" s="5">
        <f t="shared" si="95"/>
        <v>1109409.1158160151</v>
      </c>
      <c r="I266" s="5">
        <f t="shared" si="96"/>
        <v>887527.29265281209</v>
      </c>
      <c r="J266" s="5">
        <f t="shared" si="97"/>
        <v>887.52729265281209</v>
      </c>
    </row>
    <row r="267" spans="2:10" x14ac:dyDescent="0.3">
      <c r="B267" s="60">
        <f>'[1]Proyeksi Fasum'!AC52</f>
        <v>2026</v>
      </c>
      <c r="C267" s="60">
        <f>'[1]Proyeksi Fasum'!J51</f>
        <v>9054.2763202628503</v>
      </c>
      <c r="D267" s="60">
        <v>25</v>
      </c>
      <c r="E267" s="60">
        <f t="shared" si="98"/>
        <v>226356.90800657126</v>
      </c>
      <c r="F267" s="60">
        <f t="shared" si="93"/>
        <v>5</v>
      </c>
      <c r="G267" s="5" t="str">
        <f t="shared" si="94"/>
        <v xml:space="preserve"> (L/m2)</v>
      </c>
      <c r="H267" s="5">
        <f t="shared" si="95"/>
        <v>1131784.5400328564</v>
      </c>
      <c r="I267" s="5">
        <f t="shared" si="96"/>
        <v>905427.63202628517</v>
      </c>
      <c r="J267" s="5">
        <f t="shared" si="97"/>
        <v>905.42763202628521</v>
      </c>
    </row>
    <row r="268" spans="2:10" x14ac:dyDescent="0.3">
      <c r="B268" s="60">
        <f>'[1]Proyeksi Fasum'!AC53</f>
        <v>2027</v>
      </c>
      <c r="C268" s="60">
        <f>'[1]Proyeksi Fasum'!K51</f>
        <v>9236.8899933922276</v>
      </c>
      <c r="D268" s="60">
        <v>25</v>
      </c>
      <c r="E268" s="60">
        <f t="shared" si="98"/>
        <v>230922.2498348057</v>
      </c>
      <c r="F268" s="60">
        <f t="shared" si="93"/>
        <v>5</v>
      </c>
      <c r="G268" s="5" t="str">
        <f t="shared" si="94"/>
        <v xml:space="preserve"> (L/m2)</v>
      </c>
      <c r="H268" s="5">
        <f t="shared" si="95"/>
        <v>1154611.2491740284</v>
      </c>
      <c r="I268" s="5">
        <f t="shared" si="96"/>
        <v>923688.99933922279</v>
      </c>
      <c r="J268" s="5">
        <f t="shared" si="97"/>
        <v>923.68899933922285</v>
      </c>
    </row>
    <row r="269" spans="2:10" x14ac:dyDescent="0.3">
      <c r="B269" s="60">
        <f>'[1]Proyeksi Fasum'!AC54</f>
        <v>2028</v>
      </c>
      <c r="C269" s="60">
        <f>'[1]Proyeksi Fasum'!L51</f>
        <v>9423.186760833536</v>
      </c>
      <c r="D269" s="60">
        <v>25</v>
      </c>
      <c r="E269" s="60">
        <f t="shared" si="98"/>
        <v>235579.6690208384</v>
      </c>
      <c r="F269" s="60">
        <f t="shared" si="93"/>
        <v>5</v>
      </c>
      <c r="G269" s="5" t="str">
        <f t="shared" si="94"/>
        <v xml:space="preserve"> (L/m2)</v>
      </c>
      <c r="H269" s="5">
        <f t="shared" si="95"/>
        <v>1177898.3451041919</v>
      </c>
      <c r="I269" s="5">
        <f t="shared" si="96"/>
        <v>942318.67608335358</v>
      </c>
      <c r="J269" s="5">
        <f t="shared" si="97"/>
        <v>942.31867608335358</v>
      </c>
    </row>
    <row r="270" spans="2:10" x14ac:dyDescent="0.3">
      <c r="B270" s="60">
        <f>'[1]Proyeksi Fasum'!AC55</f>
        <v>2029</v>
      </c>
      <c r="C270" s="60">
        <f>'[1]Proyeksi Fasum'!M51</f>
        <v>9613.2409060918235</v>
      </c>
      <c r="D270" s="60">
        <v>25</v>
      </c>
      <c r="E270" s="60">
        <f t="shared" si="98"/>
        <v>240331.02265229559</v>
      </c>
      <c r="F270" s="60">
        <f t="shared" si="93"/>
        <v>5</v>
      </c>
      <c r="G270" s="5" t="str">
        <f t="shared" si="94"/>
        <v xml:space="preserve"> (L/m2)</v>
      </c>
      <c r="H270" s="5">
        <f t="shared" si="95"/>
        <v>1201655.113261478</v>
      </c>
      <c r="I270" s="5">
        <f t="shared" si="96"/>
        <v>961324.09060918249</v>
      </c>
      <c r="J270" s="5">
        <f t="shared" si="97"/>
        <v>961.32409060918246</v>
      </c>
    </row>
    <row r="271" spans="2:10" x14ac:dyDescent="0.3">
      <c r="B271" s="60">
        <f>'[1]Proyeksi Fasum'!AC56</f>
        <v>2030</v>
      </c>
      <c r="C271" s="60">
        <f>'[1]Proyeksi Fasum'!N51</f>
        <v>9807.1282108795458</v>
      </c>
      <c r="D271" s="60">
        <v>25</v>
      </c>
      <c r="E271" s="60">
        <f t="shared" si="98"/>
        <v>245178.20527198864</v>
      </c>
      <c r="F271" s="60">
        <f t="shared" si="93"/>
        <v>5</v>
      </c>
      <c r="G271" s="5" t="str">
        <f t="shared" si="94"/>
        <v xml:space="preserve"> (L/m2)</v>
      </c>
      <c r="H271" s="5">
        <f t="shared" si="95"/>
        <v>1225891.0263599432</v>
      </c>
      <c r="I271" s="5">
        <f t="shared" si="96"/>
        <v>980712.82108795457</v>
      </c>
      <c r="J271" s="5">
        <f t="shared" si="97"/>
        <v>980.71282108795458</v>
      </c>
    </row>
    <row r="272" spans="2:10" x14ac:dyDescent="0.3">
      <c r="B272" s="60">
        <f>'[1]Proyeksi Fasum'!AC57</f>
        <v>2031</v>
      </c>
      <c r="C272" s="60">
        <f>'[1]Proyeksi Fasum'!O51</f>
        <v>10004.925985333535</v>
      </c>
      <c r="D272" s="60">
        <v>25</v>
      </c>
      <c r="E272" s="60">
        <f t="shared" si="98"/>
        <v>250123.14963333838</v>
      </c>
      <c r="F272" s="60">
        <f t="shared" si="93"/>
        <v>5</v>
      </c>
      <c r="G272" s="5" t="str">
        <f t="shared" si="94"/>
        <v xml:space="preserve"> (L/m2)</v>
      </c>
      <c r="H272" s="5">
        <f t="shared" si="95"/>
        <v>1250615.748166692</v>
      </c>
      <c r="I272" s="5">
        <f t="shared" si="96"/>
        <v>1000492.5985333537</v>
      </c>
      <c r="J272" s="5">
        <f t="shared" si="97"/>
        <v>1000.4925985333537</v>
      </c>
    </row>
    <row r="273" spans="2:10" x14ac:dyDescent="0.3">
      <c r="B273" s="60">
        <f>'[1]Proyeksi Fasum'!AC58</f>
        <v>2032</v>
      </c>
      <c r="C273" s="60">
        <f>'[1]Proyeksi Fasum'!P51</f>
        <v>10206.713098841492</v>
      </c>
      <c r="D273" s="60">
        <v>25</v>
      </c>
      <c r="E273" s="60">
        <f t="shared" si="98"/>
        <v>255167.82747103731</v>
      </c>
      <c r="F273" s="60">
        <f t="shared" si="93"/>
        <v>5</v>
      </c>
      <c r="G273" s="5" t="str">
        <f t="shared" si="94"/>
        <v xml:space="preserve"> (L/m2)</v>
      </c>
      <c r="H273" s="5">
        <f t="shared" si="95"/>
        <v>1275839.1373551865</v>
      </c>
      <c r="I273" s="5">
        <f t="shared" si="96"/>
        <v>1020671.3098841492</v>
      </c>
      <c r="J273" s="5">
        <f t="shared" si="97"/>
        <v>1020.6713098841492</v>
      </c>
    </row>
    <row r="274" spans="2:10" x14ac:dyDescent="0.3">
      <c r="B274" s="60">
        <f>'[1]Proyeksi Fasum'!AC59</f>
        <v>2033</v>
      </c>
      <c r="C274" s="60">
        <f>'[1]Proyeksi Fasum'!Q51</f>
        <v>10412.570011490156</v>
      </c>
      <c r="D274" s="60">
        <v>25</v>
      </c>
      <c r="E274" s="60">
        <f t="shared" si="98"/>
        <v>260314.25028725388</v>
      </c>
      <c r="F274" s="60">
        <f t="shared" si="93"/>
        <v>5</v>
      </c>
      <c r="G274" s="5" t="str">
        <f t="shared" si="94"/>
        <v xml:space="preserve"> (L/m2)</v>
      </c>
      <c r="H274" s="5">
        <f t="shared" si="95"/>
        <v>1301571.2514362694</v>
      </c>
      <c r="I274" s="5">
        <f t="shared" si="96"/>
        <v>1041257.0011490155</v>
      </c>
      <c r="J274" s="5">
        <f t="shared" si="97"/>
        <v>1041.2570011490154</v>
      </c>
    </row>
    <row r="275" spans="2:10" x14ac:dyDescent="0.3">
      <c r="B275" s="60">
        <f>'[1]Proyeksi Fasum'!AC60</f>
        <v>2034</v>
      </c>
      <c r="C275" s="60">
        <f>'[1]Proyeksi Fasum'!R51</f>
        <v>10622.578806147732</v>
      </c>
      <c r="D275" s="60">
        <v>25</v>
      </c>
      <c r="E275" s="60">
        <f t="shared" si="98"/>
        <v>265564.47015369328</v>
      </c>
      <c r="F275" s="60">
        <f t="shared" si="93"/>
        <v>5</v>
      </c>
      <c r="G275" s="5" t="str">
        <f t="shared" si="94"/>
        <v xml:space="preserve"> (L/m2)</v>
      </c>
      <c r="H275" s="5">
        <f t="shared" si="95"/>
        <v>1327822.3507684665</v>
      </c>
      <c r="I275" s="5">
        <f t="shared" si="96"/>
        <v>1062257.8806147731</v>
      </c>
      <c r="J275" s="5">
        <f t="shared" si="97"/>
        <v>1062.2578806147731</v>
      </c>
    </row>
    <row r="276" spans="2:10" x14ac:dyDescent="0.3">
      <c r="B276" s="60">
        <f>'[1]Proyeksi Fasum'!AC61</f>
        <v>2035</v>
      </c>
      <c r="C276" s="60">
        <f>'[1]Proyeksi Fasum'!S51</f>
        <v>10622.578806147732</v>
      </c>
      <c r="D276" s="60">
        <v>25</v>
      </c>
      <c r="E276" s="60">
        <f t="shared" si="98"/>
        <v>265564.47015369328</v>
      </c>
      <c r="F276" s="60">
        <f t="shared" si="93"/>
        <v>5</v>
      </c>
      <c r="G276" s="5" t="str">
        <f t="shared" si="94"/>
        <v xml:space="preserve"> (L/m2)</v>
      </c>
      <c r="H276" s="5">
        <f t="shared" si="95"/>
        <v>1327822.3507684665</v>
      </c>
      <c r="I276" s="5">
        <f t="shared" si="96"/>
        <v>1062257.8806147731</v>
      </c>
      <c r="J276" s="5">
        <f t="shared" si="97"/>
        <v>1062.2578806147731</v>
      </c>
    </row>
    <row r="277" spans="2:10" x14ac:dyDescent="0.3">
      <c r="B277" s="60">
        <f>'[1]Proyeksi Fasum'!AC62</f>
        <v>2036</v>
      </c>
      <c r="C277" s="60">
        <f>'[1]Proyeksi Fasum'!T51</f>
        <v>10836.823221193443</v>
      </c>
      <c r="D277" s="60">
        <v>25</v>
      </c>
      <c r="E277" s="60">
        <f t="shared" si="98"/>
        <v>270920.58052983606</v>
      </c>
      <c r="F277" s="60">
        <f t="shared" si="93"/>
        <v>5</v>
      </c>
      <c r="G277" s="5" t="str">
        <f t="shared" si="94"/>
        <v xml:space="preserve"> (L/m2)</v>
      </c>
      <c r="H277" s="5">
        <f t="shared" si="95"/>
        <v>1354602.9026491803</v>
      </c>
      <c r="I277" s="5">
        <f t="shared" si="96"/>
        <v>1083682.3221193443</v>
      </c>
      <c r="J277" s="5">
        <f t="shared" si="97"/>
        <v>1083.6823221193442</v>
      </c>
    </row>
    <row r="278" spans="2:10" x14ac:dyDescent="0.3">
      <c r="B278" s="60">
        <f>'[1]Proyeksi Fasum'!AC63</f>
        <v>2037</v>
      </c>
      <c r="C278" s="60">
        <f>'[1]Proyeksi Fasum'!U51</f>
        <v>11055.388683907131</v>
      </c>
      <c r="D278" s="60">
        <v>25</v>
      </c>
      <c r="E278" s="60">
        <f t="shared" si="98"/>
        <v>276384.71709767828</v>
      </c>
      <c r="F278" s="60">
        <f t="shared" si="93"/>
        <v>5</v>
      </c>
      <c r="G278" s="5" t="str">
        <f t="shared" si="94"/>
        <v xml:space="preserve"> (L/m2)</v>
      </c>
      <c r="H278" s="5">
        <f t="shared" si="95"/>
        <v>1381923.5854883913</v>
      </c>
      <c r="I278" s="5">
        <f t="shared" si="96"/>
        <v>1105538.8683907131</v>
      </c>
      <c r="J278" s="5">
        <f t="shared" si="97"/>
        <v>1105.5388683907131</v>
      </c>
    </row>
    <row r="279" spans="2:10" x14ac:dyDescent="0.3">
      <c r="B279" s="60">
        <f>'[1]Proyeksi Fasum'!AC64</f>
        <v>2038</v>
      </c>
      <c r="C279" s="60">
        <f>'[1]Proyeksi Fasum'!V51</f>
        <v>11278.362344532352</v>
      </c>
      <c r="D279" s="60">
        <v>25</v>
      </c>
      <c r="E279" s="60">
        <f t="shared" si="98"/>
        <v>281959.05861330882</v>
      </c>
      <c r="F279" s="60">
        <f t="shared" si="93"/>
        <v>5</v>
      </c>
      <c r="G279" s="5" t="str">
        <f t="shared" si="94"/>
        <v xml:space="preserve"> (L/m2)</v>
      </c>
      <c r="H279" s="5">
        <f t="shared" si="95"/>
        <v>1409795.293066544</v>
      </c>
      <c r="I279" s="5">
        <f t="shared" si="96"/>
        <v>1127836.2344532353</v>
      </c>
      <c r="J279" s="5">
        <f t="shared" si="97"/>
        <v>1127.8362344532352</v>
      </c>
    </row>
    <row r="280" spans="2:10" x14ac:dyDescent="0.3">
      <c r="B280" s="60">
        <f>'[1]Proyeksi Fasum'!AC65</f>
        <v>2039</v>
      </c>
      <c r="C280" s="60">
        <f>'[1]Proyeksi Fasum'!W51</f>
        <v>11505.833111026403</v>
      </c>
      <c r="D280" s="60">
        <v>25</v>
      </c>
      <c r="E280" s="60">
        <f t="shared" si="98"/>
        <v>287645.82777566009</v>
      </c>
      <c r="F280" s="60">
        <f t="shared" si="93"/>
        <v>5</v>
      </c>
      <c r="G280" s="5" t="str">
        <f t="shared" si="94"/>
        <v xml:space="preserve"> (L/m2)</v>
      </c>
      <c r="H280" s="5">
        <f t="shared" si="95"/>
        <v>1438229.1388783003</v>
      </c>
      <c r="I280" s="5">
        <f t="shared" si="96"/>
        <v>1150583.3111026403</v>
      </c>
      <c r="J280" s="5">
        <f t="shared" si="97"/>
        <v>1150.5833111026404</v>
      </c>
    </row>
    <row r="281" spans="2:10" x14ac:dyDescent="0.3">
      <c r="B281" s="60">
        <f>'[1]Proyeksi Fasum'!AC66</f>
        <v>2040</v>
      </c>
      <c r="C281" s="60">
        <f>'[1]Proyeksi Fasum'!X51</f>
        <v>11737.891684511285</v>
      </c>
      <c r="D281" s="60">
        <v>25</v>
      </c>
      <c r="E281" s="60">
        <f t="shared" si="98"/>
        <v>293447.29211278213</v>
      </c>
      <c r="F281" s="60">
        <f t="shared" si="93"/>
        <v>5</v>
      </c>
      <c r="G281" s="5" t="str">
        <f t="shared" si="94"/>
        <v xml:space="preserve"> (L/m2)</v>
      </c>
      <c r="H281" s="5">
        <f t="shared" si="95"/>
        <v>1467236.4605639107</v>
      </c>
      <c r="I281" s="5">
        <f t="shared" si="96"/>
        <v>1173789.1684511285</v>
      </c>
      <c r="J281" s="5">
        <f t="shared" si="97"/>
        <v>1173.7891684511285</v>
      </c>
    </row>
    <row r="282" spans="2:10" x14ac:dyDescent="0.3">
      <c r="B282" s="60">
        <f>'[1]Proyeksi Fasum'!AC67</f>
        <v>2041</v>
      </c>
      <c r="C282" s="60">
        <f>'[1]Proyeksi Fasum'!Y51</f>
        <v>11974.630595439638</v>
      </c>
      <c r="D282" s="60">
        <v>25</v>
      </c>
      <c r="E282" s="60">
        <f t="shared" si="98"/>
        <v>299365.76488599094</v>
      </c>
      <c r="F282" s="60">
        <f t="shared" si="93"/>
        <v>5</v>
      </c>
      <c r="G282" s="5" t="str">
        <f t="shared" si="94"/>
        <v xml:space="preserve"> (L/m2)</v>
      </c>
      <c r="H282" s="5">
        <f t="shared" si="95"/>
        <v>1496828.8244299546</v>
      </c>
      <c r="I282" s="5">
        <f t="shared" si="96"/>
        <v>1197463.0595439638</v>
      </c>
      <c r="J282" s="5">
        <f t="shared" si="97"/>
        <v>1197.4630595439637</v>
      </c>
    </row>
    <row r="283" spans="2:10" x14ac:dyDescent="0.3">
      <c r="B283" s="60">
        <f>'[1]Proyeksi Fasum'!AC68</f>
        <v>2042</v>
      </c>
      <c r="C283" s="60">
        <f>'[1]Proyeksi Fasum'!Z51</f>
        <v>12216.144240490086</v>
      </c>
      <c r="D283" s="60">
        <v>25</v>
      </c>
      <c r="E283" s="60">
        <f t="shared" si="98"/>
        <v>305403.60601225216</v>
      </c>
      <c r="F283" s="60">
        <f t="shared" si="93"/>
        <v>5</v>
      </c>
      <c r="G283" s="5" t="str">
        <f t="shared" si="94"/>
        <v xml:space="preserve"> (L/m2)</v>
      </c>
      <c r="H283" s="5">
        <f t="shared" si="95"/>
        <v>1527018.0300612608</v>
      </c>
      <c r="I283" s="5">
        <f t="shared" si="96"/>
        <v>1221614.4240490086</v>
      </c>
      <c r="J283" s="5">
        <f t="shared" si="97"/>
        <v>1221.6144240490087</v>
      </c>
    </row>
    <row r="284" spans="2:10" x14ac:dyDescent="0.3">
      <c r="B284" s="60">
        <f>'[1]Proyeksi Fasum'!AC69</f>
        <v>2043</v>
      </c>
      <c r="C284" s="60">
        <f>'[1]Proyeksi Fasum'!AA51</f>
        <v>12462.52892020676</v>
      </c>
      <c r="D284" s="60">
        <v>25</v>
      </c>
      <c r="E284" s="60">
        <f t="shared" si="98"/>
        <v>311563.22300516901</v>
      </c>
      <c r="F284" s="60">
        <f t="shared" si="93"/>
        <v>5</v>
      </c>
      <c r="G284" s="5" t="str">
        <f t="shared" si="94"/>
        <v xml:space="preserve"> (L/m2)</v>
      </c>
      <c r="H284" s="5">
        <f t="shared" si="95"/>
        <v>1557816.1150258451</v>
      </c>
      <c r="I284" s="5">
        <f t="shared" si="96"/>
        <v>1246252.8920206761</v>
      </c>
      <c r="J284" s="5">
        <f t="shared" si="97"/>
        <v>1246.252892020676</v>
      </c>
    </row>
  </sheetData>
  <mergeCells count="215">
    <mergeCell ref="T187:T188"/>
    <mergeCell ref="G262:G263"/>
    <mergeCell ref="H262:H263"/>
    <mergeCell ref="I262:I263"/>
    <mergeCell ref="J262:J263"/>
    <mergeCell ref="L186:T186"/>
    <mergeCell ref="L187:L188"/>
    <mergeCell ref="M187:M188"/>
    <mergeCell ref="N187:N188"/>
    <mergeCell ref="O187:O188"/>
    <mergeCell ref="P187:P188"/>
    <mergeCell ref="G237:G238"/>
    <mergeCell ref="H237:H238"/>
    <mergeCell ref="I237:I238"/>
    <mergeCell ref="J237:J238"/>
    <mergeCell ref="B261:J261"/>
    <mergeCell ref="B262:B263"/>
    <mergeCell ref="C262:C263"/>
    <mergeCell ref="D262:D263"/>
    <mergeCell ref="E262:E263"/>
    <mergeCell ref="F262:F263"/>
    <mergeCell ref="B236:J236"/>
    <mergeCell ref="B237:B238"/>
    <mergeCell ref="C237:C238"/>
    <mergeCell ref="D237:D238"/>
    <mergeCell ref="E237:E238"/>
    <mergeCell ref="F237:F238"/>
    <mergeCell ref="Q187:Q188"/>
    <mergeCell ref="R187:R188"/>
    <mergeCell ref="S187:S188"/>
    <mergeCell ref="B211:J211"/>
    <mergeCell ref="B212:B213"/>
    <mergeCell ref="C212:C213"/>
    <mergeCell ref="D212:D213"/>
    <mergeCell ref="E212:E213"/>
    <mergeCell ref="F212:F213"/>
    <mergeCell ref="G212:G213"/>
    <mergeCell ref="H212:H213"/>
    <mergeCell ref="I212:I213"/>
    <mergeCell ref="J212:J213"/>
    <mergeCell ref="B186:J186"/>
    <mergeCell ref="B187:B188"/>
    <mergeCell ref="C187:C188"/>
    <mergeCell ref="D187:D188"/>
    <mergeCell ref="E187:E188"/>
    <mergeCell ref="F187:F188"/>
    <mergeCell ref="J162:J163"/>
    <mergeCell ref="L162:L163"/>
    <mergeCell ref="M162:M163"/>
    <mergeCell ref="G187:G188"/>
    <mergeCell ref="H187:H188"/>
    <mergeCell ref="I187:I188"/>
    <mergeCell ref="J187:J188"/>
    <mergeCell ref="I137:I138"/>
    <mergeCell ref="J137:J138"/>
    <mergeCell ref="L137:L138"/>
    <mergeCell ref="M137:M138"/>
    <mergeCell ref="N137:N138"/>
    <mergeCell ref="B161:J161"/>
    <mergeCell ref="L161:T161"/>
    <mergeCell ref="B162:B163"/>
    <mergeCell ref="C162:C163"/>
    <mergeCell ref="D162:D163"/>
    <mergeCell ref="E162:E163"/>
    <mergeCell ref="F162:F163"/>
    <mergeCell ref="G162:G163"/>
    <mergeCell ref="H162:H163"/>
    <mergeCell ref="I162:I163"/>
    <mergeCell ref="Q162:Q163"/>
    <mergeCell ref="R162:R163"/>
    <mergeCell ref="S162:S163"/>
    <mergeCell ref="T162:T163"/>
    <mergeCell ref="N162:N163"/>
    <mergeCell ref="O162:O163"/>
    <mergeCell ref="P162:P163"/>
    <mergeCell ref="B136:J136"/>
    <mergeCell ref="L136:T136"/>
    <mergeCell ref="J112:J113"/>
    <mergeCell ref="L112:L113"/>
    <mergeCell ref="M112:M113"/>
    <mergeCell ref="N112:N113"/>
    <mergeCell ref="O112:O113"/>
    <mergeCell ref="P112:P113"/>
    <mergeCell ref="B137:B138"/>
    <mergeCell ref="C137:C138"/>
    <mergeCell ref="D137:D138"/>
    <mergeCell ref="E137:E138"/>
    <mergeCell ref="F137:F138"/>
    <mergeCell ref="G137:G138"/>
    <mergeCell ref="Q112:Q113"/>
    <mergeCell ref="R112:R113"/>
    <mergeCell ref="S112:S113"/>
    <mergeCell ref="O137:O138"/>
    <mergeCell ref="P137:P138"/>
    <mergeCell ref="Q137:Q138"/>
    <mergeCell ref="R137:R138"/>
    <mergeCell ref="S137:S138"/>
    <mergeCell ref="T137:T138"/>
    <mergeCell ref="H137:H138"/>
    <mergeCell ref="B111:J111"/>
    <mergeCell ref="L111:T111"/>
    <mergeCell ref="B87:B88"/>
    <mergeCell ref="C87:C88"/>
    <mergeCell ref="D87:D88"/>
    <mergeCell ref="E87:E88"/>
    <mergeCell ref="F87:F88"/>
    <mergeCell ref="G87:G88"/>
    <mergeCell ref="B112:B113"/>
    <mergeCell ref="C112:C113"/>
    <mergeCell ref="D112:D113"/>
    <mergeCell ref="E112:E113"/>
    <mergeCell ref="F112:F113"/>
    <mergeCell ref="G112:G113"/>
    <mergeCell ref="H112:H113"/>
    <mergeCell ref="I112:I113"/>
    <mergeCell ref="T112:T113"/>
    <mergeCell ref="O87:O88"/>
    <mergeCell ref="P87:P88"/>
    <mergeCell ref="Q87:Q88"/>
    <mergeCell ref="R87:R88"/>
    <mergeCell ref="B61:J61"/>
    <mergeCell ref="L61:T61"/>
    <mergeCell ref="S87:S88"/>
    <mergeCell ref="T87:T88"/>
    <mergeCell ref="H87:H88"/>
    <mergeCell ref="I87:I88"/>
    <mergeCell ref="J87:J88"/>
    <mergeCell ref="L87:L88"/>
    <mergeCell ref="M87:M88"/>
    <mergeCell ref="N87:N88"/>
    <mergeCell ref="S62:S63"/>
    <mergeCell ref="T62:T63"/>
    <mergeCell ref="B86:J86"/>
    <mergeCell ref="L86:T86"/>
    <mergeCell ref="I62:I63"/>
    <mergeCell ref="J62:J63"/>
    <mergeCell ref="L62:L63"/>
    <mergeCell ref="M62:M63"/>
    <mergeCell ref="N62:N63"/>
    <mergeCell ref="O62:O63"/>
    <mergeCell ref="B62:B63"/>
    <mergeCell ref="C62:C63"/>
    <mergeCell ref="D62:D63"/>
    <mergeCell ref="E62:E63"/>
    <mergeCell ref="F62:F63"/>
    <mergeCell ref="G62:G63"/>
    <mergeCell ref="H62:H63"/>
    <mergeCell ref="P62:P63"/>
    <mergeCell ref="Q62:Q63"/>
    <mergeCell ref="R62:R63"/>
    <mergeCell ref="H31:H32"/>
    <mergeCell ref="I31:I32"/>
    <mergeCell ref="J31:J32"/>
    <mergeCell ref="B36:J36"/>
    <mergeCell ref="L36:T36"/>
    <mergeCell ref="B37:B38"/>
    <mergeCell ref="C37:C38"/>
    <mergeCell ref="D37:D38"/>
    <mergeCell ref="E37:E38"/>
    <mergeCell ref="F37:F38"/>
    <mergeCell ref="B31:B32"/>
    <mergeCell ref="C31:C32"/>
    <mergeCell ref="D31:D32"/>
    <mergeCell ref="E31:E32"/>
    <mergeCell ref="F31:F32"/>
    <mergeCell ref="G31:G32"/>
    <mergeCell ref="T37:T38"/>
    <mergeCell ref="N37:N38"/>
    <mergeCell ref="O37:O38"/>
    <mergeCell ref="P37:P38"/>
    <mergeCell ref="Q37:Q38"/>
    <mergeCell ref="R37:R38"/>
    <mergeCell ref="S37:S38"/>
    <mergeCell ref="G37:G38"/>
    <mergeCell ref="B26:B27"/>
    <mergeCell ref="C26:C27"/>
    <mergeCell ref="D26:D27"/>
    <mergeCell ref="E26:E27"/>
    <mergeCell ref="F26:F27"/>
    <mergeCell ref="G26:G27"/>
    <mergeCell ref="H26:H27"/>
    <mergeCell ref="I26:I27"/>
    <mergeCell ref="J26:J27"/>
    <mergeCell ref="H37:H38"/>
    <mergeCell ref="I37:I38"/>
    <mergeCell ref="J37:J38"/>
    <mergeCell ref="L37:L38"/>
    <mergeCell ref="M37:M38"/>
    <mergeCell ref="B22:B23"/>
    <mergeCell ref="C22:C23"/>
    <mergeCell ref="D22:D23"/>
    <mergeCell ref="E22:E23"/>
    <mergeCell ref="F22:F23"/>
    <mergeCell ref="G22:G23"/>
    <mergeCell ref="H22:H23"/>
    <mergeCell ref="I22:I23"/>
    <mergeCell ref="J22:J23"/>
    <mergeCell ref="H3:H4"/>
    <mergeCell ref="I3:I4"/>
    <mergeCell ref="J3:J4"/>
    <mergeCell ref="B15:B16"/>
    <mergeCell ref="C15:C16"/>
    <mergeCell ref="D15:D16"/>
    <mergeCell ref="E15:E16"/>
    <mergeCell ref="F15:F16"/>
    <mergeCell ref="G15:G16"/>
    <mergeCell ref="H15:H16"/>
    <mergeCell ref="B3:B4"/>
    <mergeCell ref="C3:C4"/>
    <mergeCell ref="D3:D4"/>
    <mergeCell ref="E3:E4"/>
    <mergeCell ref="F3:F4"/>
    <mergeCell ref="G3:G4"/>
    <mergeCell ref="I15:I16"/>
    <mergeCell ref="J15:J1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D45-52C2-4789-BD4C-CEFCED2AD62E}">
  <dimension ref="B3:R28"/>
  <sheetViews>
    <sheetView topLeftCell="A6" workbookViewId="0">
      <selection activeCell="I27" sqref="I27"/>
    </sheetView>
  </sheetViews>
  <sheetFormatPr defaultRowHeight="14.4" x14ac:dyDescent="0.3"/>
  <sheetData>
    <row r="3" spans="4:18" x14ac:dyDescent="0.3">
      <c r="R3">
        <f>(53.72+9+80)/3</f>
        <v>47.573333333333331</v>
      </c>
    </row>
    <row r="12" spans="4:18" x14ac:dyDescent="0.3">
      <c r="J12" s="48" t="s">
        <v>319</v>
      </c>
      <c r="K12" s="48"/>
      <c r="L12" s="48"/>
      <c r="M12" s="48"/>
      <c r="N12" s="48"/>
      <c r="O12" s="48"/>
      <c r="P12" s="48" t="s">
        <v>318</v>
      </c>
    </row>
    <row r="15" spans="4:18" x14ac:dyDescent="0.3">
      <c r="D15" s="48">
        <v>2023</v>
      </c>
      <c r="E15" s="48"/>
      <c r="F15" s="48"/>
      <c r="G15" s="48"/>
      <c r="H15" s="48"/>
      <c r="I15" s="48"/>
      <c r="J15" s="48">
        <v>2033</v>
      </c>
      <c r="K15" s="48"/>
      <c r="L15" s="48"/>
      <c r="M15" s="48"/>
      <c r="N15" s="48"/>
      <c r="O15" s="48"/>
      <c r="P15" s="48">
        <v>2043</v>
      </c>
    </row>
    <row r="17" spans="2:16" x14ac:dyDescent="0.3">
      <c r="B17" t="s">
        <v>316</v>
      </c>
      <c r="D17" s="65">
        <v>0.8</v>
      </c>
      <c r="E17" s="48"/>
      <c r="F17" s="48"/>
      <c r="G17" s="48"/>
      <c r="H17" s="48"/>
      <c r="I17" s="48"/>
      <c r="J17" s="65">
        <v>0.5</v>
      </c>
      <c r="K17" s="66"/>
      <c r="L17" s="48"/>
      <c r="M17" s="48"/>
      <c r="N17" s="48"/>
      <c r="O17" s="48"/>
      <c r="P17" s="67">
        <v>0.2</v>
      </c>
    </row>
    <row r="18" spans="2:16" x14ac:dyDescent="0.3">
      <c r="B18" t="s">
        <v>317</v>
      </c>
      <c r="D18" s="65">
        <v>0.2</v>
      </c>
      <c r="E18" s="48"/>
      <c r="F18" s="48"/>
      <c r="G18" s="48"/>
      <c r="H18" s="48"/>
      <c r="I18" s="48"/>
      <c r="J18" s="65">
        <v>0.5</v>
      </c>
      <c r="K18" s="48"/>
      <c r="L18" s="48"/>
      <c r="M18" s="48"/>
      <c r="N18" s="48"/>
      <c r="O18" s="48"/>
      <c r="P18" s="67">
        <v>0.8</v>
      </c>
    </row>
    <row r="22" spans="2:16" x14ac:dyDescent="0.3">
      <c r="B22" t="s">
        <v>326</v>
      </c>
    </row>
    <row r="23" spans="2:16" x14ac:dyDescent="0.3">
      <c r="B23" s="30" t="s">
        <v>320</v>
      </c>
    </row>
    <row r="24" spans="2:16" x14ac:dyDescent="0.3">
      <c r="B24" s="30" t="s">
        <v>321</v>
      </c>
    </row>
    <row r="25" spans="2:16" x14ac:dyDescent="0.3">
      <c r="B25" s="30" t="s">
        <v>322</v>
      </c>
    </row>
    <row r="26" spans="2:16" x14ac:dyDescent="0.3">
      <c r="B26" s="30" t="s">
        <v>323</v>
      </c>
    </row>
    <row r="27" spans="2:16" x14ac:dyDescent="0.3">
      <c r="B27" s="30" t="s">
        <v>324</v>
      </c>
    </row>
    <row r="28" spans="2:16" x14ac:dyDescent="0.3">
      <c r="B28" s="30" t="s">
        <v>325</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7EC3A-FE5A-4E2C-BAB8-BD2E62D1AC8F}">
  <dimension ref="C4:AC63"/>
  <sheetViews>
    <sheetView topLeftCell="A27" workbookViewId="0">
      <selection activeCell="C31" sqref="C31:Q56"/>
    </sheetView>
  </sheetViews>
  <sheetFormatPr defaultRowHeight="14.4" x14ac:dyDescent="0.3"/>
  <cols>
    <col min="3" max="5" width="8.88671875" style="48"/>
    <col min="6" max="6" width="11.109375" style="48" customWidth="1"/>
    <col min="7" max="7" width="9" style="48" customWidth="1"/>
    <col min="8" max="8" width="11.33203125" style="48" customWidth="1"/>
    <col min="9" max="9" width="14" style="48" customWidth="1"/>
    <col min="10" max="10" width="13.5546875" style="48" customWidth="1"/>
    <col min="11" max="12" width="8.88671875" style="48"/>
    <col min="13" max="13" width="13.21875" style="48" customWidth="1"/>
    <col min="14" max="14" width="11.33203125" style="48" customWidth="1"/>
    <col min="15" max="15" width="20.109375" style="48" customWidth="1"/>
    <col min="16" max="16" width="13.33203125" style="48" customWidth="1"/>
    <col min="17" max="17" width="13.6640625" style="48" customWidth="1"/>
    <col min="18" max="18" width="11.6640625" style="48" customWidth="1"/>
    <col min="19" max="19" width="12.6640625" style="48" customWidth="1"/>
    <col min="20" max="20" width="11.21875" style="48" customWidth="1"/>
    <col min="21" max="25" width="8.88671875" style="48"/>
    <col min="26" max="26" width="20.33203125" style="48" customWidth="1"/>
    <col min="27" max="29" width="8.88671875" style="48"/>
  </cols>
  <sheetData>
    <row r="4" spans="3:29" x14ac:dyDescent="0.3">
      <c r="C4" s="352" t="s">
        <v>98</v>
      </c>
      <c r="D4" s="353" t="s">
        <v>223</v>
      </c>
      <c r="E4" s="353"/>
      <c r="F4" s="351" t="s">
        <v>272</v>
      </c>
      <c r="G4" s="351"/>
      <c r="H4" s="351"/>
      <c r="I4" s="351" t="s">
        <v>276</v>
      </c>
      <c r="J4" s="351"/>
      <c r="K4" s="351"/>
      <c r="L4" s="351"/>
      <c r="M4" s="351"/>
      <c r="N4" s="351"/>
      <c r="O4" s="351"/>
      <c r="P4" s="351"/>
      <c r="Q4" s="351"/>
      <c r="R4" s="351"/>
      <c r="S4" s="351"/>
      <c r="T4" s="351"/>
      <c r="U4" s="351"/>
      <c r="V4" s="351"/>
      <c r="W4" s="351"/>
      <c r="X4" s="351"/>
      <c r="Y4" s="351"/>
      <c r="Z4" s="351"/>
      <c r="AA4" s="351" t="s">
        <v>277</v>
      </c>
      <c r="AB4" s="351"/>
      <c r="AC4" s="351"/>
    </row>
    <row r="5" spans="3:29" x14ac:dyDescent="0.3">
      <c r="C5" s="352"/>
      <c r="D5" s="353"/>
      <c r="E5" s="353"/>
      <c r="F5" s="351" t="s">
        <v>329</v>
      </c>
      <c r="G5" s="351"/>
      <c r="H5" s="351"/>
      <c r="I5" s="64" t="s">
        <v>188</v>
      </c>
      <c r="J5" s="64" t="s">
        <v>190</v>
      </c>
      <c r="K5" s="64" t="s">
        <v>204</v>
      </c>
      <c r="L5" s="64" t="s">
        <v>205</v>
      </c>
      <c r="M5" s="64" t="s">
        <v>206</v>
      </c>
      <c r="N5" s="64" t="s">
        <v>191</v>
      </c>
      <c r="O5" s="64" t="s">
        <v>192</v>
      </c>
      <c r="P5" s="64" t="s">
        <v>207</v>
      </c>
      <c r="Q5" s="64" t="s">
        <v>195</v>
      </c>
      <c r="R5" s="64" t="s">
        <v>208</v>
      </c>
      <c r="S5" s="64" t="s">
        <v>210</v>
      </c>
      <c r="T5" s="64" t="s">
        <v>209</v>
      </c>
      <c r="U5" s="64" t="s">
        <v>273</v>
      </c>
      <c r="V5" s="64" t="s">
        <v>198</v>
      </c>
      <c r="W5" s="64" t="s">
        <v>274</v>
      </c>
      <c r="X5" s="64" t="s">
        <v>199</v>
      </c>
      <c r="Y5" s="64" t="s">
        <v>275</v>
      </c>
      <c r="Z5" s="64" t="s">
        <v>327</v>
      </c>
      <c r="AA5" s="351" t="s">
        <v>328</v>
      </c>
      <c r="AB5" s="351"/>
      <c r="AC5" s="351"/>
    </row>
    <row r="6" spans="3:29" x14ac:dyDescent="0.3">
      <c r="C6" s="354" t="s">
        <v>319</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6"/>
    </row>
    <row r="7" spans="3:29" x14ac:dyDescent="0.3">
      <c r="C7" s="4">
        <v>2023</v>
      </c>
      <c r="D7" s="333">
        <f>'Proyeksi Penduduk'!C74</f>
        <v>353546.68827355222</v>
      </c>
      <c r="E7" s="350"/>
      <c r="F7" s="349">
        <f>'Debit AL Domestik'!L14</f>
        <v>51334.979137319788</v>
      </c>
      <c r="G7" s="349"/>
      <c r="H7" s="349"/>
      <c r="I7" s="6">
        <f>'Debit AL Non Domestik'!J39</f>
        <v>1054.9142418845677</v>
      </c>
      <c r="J7" s="6">
        <f>'Debit AL Non Domestik'!J64</f>
        <v>2263.4175304802989</v>
      </c>
      <c r="K7" s="6">
        <f>'Debit AL Non Domestik'!J89</f>
        <v>333.44990404397259</v>
      </c>
      <c r="L7" s="6">
        <f>'Debit AL Non Domestik'!J114</f>
        <v>1932.4937620730232</v>
      </c>
      <c r="M7" s="6">
        <f>'Debit AL Non Domestik'!J139</f>
        <v>1114.0258157832723</v>
      </c>
      <c r="N7" s="6">
        <f>'Debit AL Non Domestik'!J164</f>
        <v>1600.559539411069</v>
      </c>
      <c r="O7" s="6">
        <f>'Debit AL Non Domestik'!J189</f>
        <v>2958.610057699248</v>
      </c>
      <c r="P7" s="6">
        <f>'Debit AL Non Domestik'!J214</f>
        <v>776.02886759324542</v>
      </c>
      <c r="Q7" s="6">
        <f>'Debit AL Non Domestik'!J239</f>
        <v>39.365613671857879</v>
      </c>
      <c r="R7" s="6">
        <f>'Debit AL Non Domestik'!J264</f>
        <v>852.78128868821534</v>
      </c>
      <c r="S7" s="6">
        <f>'Debit AL Non Domestik'!T39</f>
        <v>85.257077738515719</v>
      </c>
      <c r="T7" s="6">
        <f>'Debit AL Non Domestik'!T64</f>
        <v>332.18683622562418</v>
      </c>
      <c r="U7" s="6">
        <f>'Debit AL Non Domestik'!T89</f>
        <v>315.76695458709531</v>
      </c>
      <c r="V7" s="6">
        <f>'Debit AL Non Domestik'!T114</f>
        <v>1889.5494562491779</v>
      </c>
      <c r="W7" s="6">
        <f>'Debit AL Non Domestik'!T139</f>
        <v>5560.0245363695731</v>
      </c>
      <c r="X7" s="6">
        <f>'Debit AL Non Domestik'!T164</f>
        <v>5.4587352888697218</v>
      </c>
      <c r="Y7" s="6">
        <f>'Debit AL Non Domestik'!T189</f>
        <v>1.5596386539627776</v>
      </c>
      <c r="Z7" s="6">
        <f>SUM(I7:Y7)</f>
        <v>21115.449856441592</v>
      </c>
      <c r="AA7" s="349">
        <f>SUM(F7,Z7)</f>
        <v>72450.428993761379</v>
      </c>
      <c r="AB7" s="350"/>
      <c r="AC7" s="350"/>
    </row>
    <row r="8" spans="3:29" x14ac:dyDescent="0.3">
      <c r="C8" s="4">
        <v>2024</v>
      </c>
      <c r="D8" s="333">
        <f>'Proyeksi Penduduk'!C75</f>
        <v>359910.91374536429</v>
      </c>
      <c r="E8" s="350"/>
      <c r="F8" s="349">
        <f>'Debit AL Domestik'!L15</f>
        <v>52259.064675826899</v>
      </c>
      <c r="G8" s="349"/>
      <c r="H8" s="349"/>
      <c r="I8" s="6">
        <f>'Debit AL Non Domestik'!J40</f>
        <v>1076.1905711827933</v>
      </c>
      <c r="J8" s="6">
        <f>'Debit AL Non Domestik'!J65</f>
        <v>2309.0678921929657</v>
      </c>
      <c r="K8" s="6">
        <f>'Debit AL Non Domestik'!J90</f>
        <v>340.17518054628516</v>
      </c>
      <c r="L8" s="6">
        <f>'Debit AL Non Domestik'!J115</f>
        <v>1971.4697963477893</v>
      </c>
      <c r="M8" s="6">
        <f>'Debit AL Non Domestik'!J140</f>
        <v>1136.4943531887257</v>
      </c>
      <c r="N8" s="6">
        <f>'Debit AL Non Domestik'!J165</f>
        <v>1632.840866622169</v>
      </c>
      <c r="O8" s="6">
        <f>'Debit AL Non Domestik'!J190</f>
        <v>3018.2816019379493</v>
      </c>
      <c r="P8" s="6">
        <f>'Debit AL Non Domestik'!J215</f>
        <v>791.68042018044548</v>
      </c>
      <c r="Q8" s="6">
        <f>'Debit AL Non Domestik'!J240</f>
        <v>40.159569925603115</v>
      </c>
      <c r="R8" s="6">
        <f>'Debit AL Non Domestik'!J265</f>
        <v>869.98084368245043</v>
      </c>
      <c r="S8" s="6">
        <f>'Debit AL Non Domestik'!T40</f>
        <v>86.976608662402469</v>
      </c>
      <c r="T8" s="6">
        <f>'Debit AL Non Domestik'!T65</f>
        <v>338.88663819573117</v>
      </c>
      <c r="U8" s="6">
        <f>'Debit AL Non Domestik'!T90</f>
        <v>322.13558763852762</v>
      </c>
      <c r="V8" s="6">
        <f>'Debit AL Non Domestik'!T115</f>
        <v>1927.6593564289496</v>
      </c>
      <c r="W8" s="6">
        <f>'Debit AL Non Domestik'!T140</f>
        <v>5672.1634271391949</v>
      </c>
      <c r="X8" s="6">
        <f>'Debit AL Non Domestik'!T165</f>
        <v>5.5569984697213091</v>
      </c>
      <c r="Y8" s="6">
        <f>'Debit AL Non Domestik'!T190</f>
        <v>1.587713848491803</v>
      </c>
      <c r="Z8" s="6">
        <f t="shared" ref="Z8:Z28" si="0">SUM(I8:Y8)</f>
        <v>21541.307426190193</v>
      </c>
      <c r="AA8" s="349">
        <f t="shared" ref="AA8:AA16" si="1">SUM(F8,Z8)</f>
        <v>73800.372102017092</v>
      </c>
      <c r="AB8" s="350"/>
      <c r="AC8" s="350"/>
    </row>
    <row r="9" spans="3:29" x14ac:dyDescent="0.3">
      <c r="C9" s="4">
        <v>2025</v>
      </c>
      <c r="D9" s="333">
        <f>'Proyeksi Penduduk'!C76</f>
        <v>366389.70220758044</v>
      </c>
      <c r="E9" s="350"/>
      <c r="F9" s="349">
        <f>'Debit AL Domestik'!L16</f>
        <v>53199.784760540679</v>
      </c>
      <c r="G9" s="349"/>
      <c r="H9" s="349"/>
      <c r="I9" s="6">
        <f>'Debit AL Non Domestik'!J41</f>
        <v>1097.8960180058682</v>
      </c>
      <c r="J9" s="6">
        <f>'Debit AL Non Domestik'!J66</f>
        <v>2355.6389658363455</v>
      </c>
      <c r="K9" s="6">
        <f>'Debit AL Non Domestik'!J91</f>
        <v>347.03609764553306</v>
      </c>
      <c r="L9" s="6">
        <f>'Debit AL Non Domestik'!J116</f>
        <v>2011.2319295366117</v>
      </c>
      <c r="M9" s="6">
        <f>'Debit AL Non Domestik'!J141</f>
        <v>1159.4160534975761</v>
      </c>
      <c r="N9" s="6">
        <f>'Debit AL Non Domestik'!J166</f>
        <v>1665.7732686985585</v>
      </c>
      <c r="O9" s="6">
        <f>'Debit AL Non Domestik'!J191</f>
        <v>3079.1566482003664</v>
      </c>
      <c r="P9" s="6">
        <f>'Debit AL Non Domestik'!J216</f>
        <v>807.64764542960427</v>
      </c>
      <c r="Q9" s="6">
        <f>'Debit AL Non Domestik'!J241</f>
        <v>40.96953930537542</v>
      </c>
      <c r="R9" s="6">
        <f>'Debit AL Non Domestik'!J266</f>
        <v>887.52729265281209</v>
      </c>
      <c r="S9" s="6">
        <f>'Debit AL Non Domestik'!T41</f>
        <v>88.730820420732869</v>
      </c>
      <c r="T9" s="6">
        <f>'Debit AL Non Domestik'!T66</f>
        <v>345.7215669726333</v>
      </c>
      <c r="U9" s="6">
        <f>'Debit AL Non Domestik'!T91</f>
        <v>328.63266822493659</v>
      </c>
      <c r="V9" s="6">
        <f>'Debit AL Non Domestik'!T116</f>
        <v>1966.5378866580209</v>
      </c>
      <c r="W9" s="6">
        <f>'Debit AL Non Domestik'!T141</f>
        <v>5786.5640221046842</v>
      </c>
      <c r="X9" s="6">
        <f>'Debit AL Non Domestik'!T166</f>
        <v>5.6570304948564374</v>
      </c>
      <c r="Y9" s="6">
        <f>'Debit AL Non Domestik'!T191</f>
        <v>1.6162944271018396</v>
      </c>
      <c r="Z9" s="6">
        <f t="shared" si="0"/>
        <v>21975.75374811162</v>
      </c>
      <c r="AA9" s="349">
        <f t="shared" si="1"/>
        <v>75175.538508652302</v>
      </c>
      <c r="AB9" s="350"/>
      <c r="AC9" s="350"/>
    </row>
    <row r="10" spans="3:29" x14ac:dyDescent="0.3">
      <c r="C10" s="4">
        <v>2026</v>
      </c>
      <c r="D10" s="333">
        <f>'Proyeksi Penduduk'!C77</f>
        <v>372985.1159188099</v>
      </c>
      <c r="E10" s="350"/>
      <c r="F10" s="349">
        <f>'Debit AL Domestik'!L17</f>
        <v>54157.438831411208</v>
      </c>
      <c r="G10" s="349"/>
      <c r="H10" s="349"/>
      <c r="I10" s="6">
        <f>'Debit AL Non Domestik'!J42</f>
        <v>1120.0392371291334</v>
      </c>
      <c r="J10" s="6">
        <f>'Debit AL Non Domestik'!J67</f>
        <v>2403.1493210433514</v>
      </c>
      <c r="K10" s="6">
        <f>'Debit AL Non Domestik'!J92</f>
        <v>354.03539104656517</v>
      </c>
      <c r="L10" s="6">
        <f>'Debit AL Non Domestik'!J117</f>
        <v>2051.7960162925938</v>
      </c>
      <c r="M10" s="6">
        <f>'Debit AL Non Domestik'!J142</f>
        <v>1182.8000564510241</v>
      </c>
      <c r="N10" s="6">
        <f>'Debit AL Non Domestik'!J167</f>
        <v>1699.369877023513</v>
      </c>
      <c r="O10" s="6">
        <f>'Debit AL Non Domestik'!J192</f>
        <v>3141.2594696495235</v>
      </c>
      <c r="P10" s="6">
        <f>'Debit AL Non Domestik'!J217</f>
        <v>823.9369100720063</v>
      </c>
      <c r="Q10" s="6">
        <f>'Debit AL Non Domestik'!J242</f>
        <v>41.795844776330611</v>
      </c>
      <c r="R10" s="6">
        <f>'Debit AL Non Domestik'!J267</f>
        <v>905.42763202628521</v>
      </c>
      <c r="S10" s="6">
        <f>'Debit AL Non Domestik'!T42</f>
        <v>90.52041248349677</v>
      </c>
      <c r="T10" s="6">
        <f>'Debit AL Non Domestik'!T67</f>
        <v>352.69434789866148</v>
      </c>
      <c r="U10" s="6">
        <f>'Debit AL Non Domestik'!T92</f>
        <v>335.2607869759139</v>
      </c>
      <c r="V10" s="6">
        <f>'Debit AL Non Domestik'!T117</f>
        <v>2006.2005492638693</v>
      </c>
      <c r="W10" s="6">
        <f>'Debit AL Non Domestik'!T142</f>
        <v>5903.2719370718933</v>
      </c>
      <c r="X10" s="6">
        <f>'Debit AL Non Domestik'!T167</f>
        <v>5.7588632053988338</v>
      </c>
      <c r="Y10" s="6">
        <f>'Debit AL Non Domestik'!T192</f>
        <v>1.6453894872568098</v>
      </c>
      <c r="Z10" s="6">
        <f t="shared" si="0"/>
        <v>22418.962041896819</v>
      </c>
      <c r="AA10" s="349">
        <f t="shared" si="1"/>
        <v>76576.400873308026</v>
      </c>
      <c r="AB10" s="350"/>
      <c r="AC10" s="350"/>
    </row>
    <row r="11" spans="3:29" x14ac:dyDescent="0.3">
      <c r="C11" s="4">
        <v>2027</v>
      </c>
      <c r="D11" s="333">
        <f>'Proyeksi Penduduk'!C78</f>
        <v>379699.25426056294</v>
      </c>
      <c r="E11" s="350"/>
      <c r="F11" s="349">
        <f>'Debit AL Domestik'!L18</f>
        <v>55132.331718633737</v>
      </c>
      <c r="G11" s="349"/>
      <c r="H11" s="349"/>
      <c r="I11" s="6">
        <f>'Debit AL Non Domestik'!J43</f>
        <v>1142.6290578841554</v>
      </c>
      <c r="J11" s="6">
        <f>'Debit AL Non Domestik'!J68</f>
        <v>2451.617901973666</v>
      </c>
      <c r="K11" s="6">
        <f>'Debit AL Non Domestik'!J93</f>
        <v>361.17585163004907</v>
      </c>
      <c r="L11" s="6">
        <f>'Debit AL Non Domestik'!J118</f>
        <v>2093.1782310377844</v>
      </c>
      <c r="M11" s="6">
        <f>'Debit AL Non Domestik'!J143</f>
        <v>1206.655686127664</v>
      </c>
      <c r="N11" s="6">
        <f>'Debit AL Non Domestik'!J168</f>
        <v>1733.6440878242356</v>
      </c>
      <c r="O11" s="6">
        <f>'Debit AL Non Domestik'!J193</f>
        <v>3204.6148290084357</v>
      </c>
      <c r="P11" s="6">
        <f>'Debit AL Non Domestik'!J218</f>
        <v>840.55470924811425</v>
      </c>
      <c r="Q11" s="6">
        <f>'Debit AL Non Domestik'!J243</f>
        <v>42.638815817436345</v>
      </c>
      <c r="R11" s="6">
        <f>'Debit AL Non Domestik'!J268</f>
        <v>923.68899933922285</v>
      </c>
      <c r="S11" s="6">
        <f>'Debit AL Non Domestik'!T43</f>
        <v>92.346098428137537</v>
      </c>
      <c r="T11" s="6">
        <f>'Debit AL Non Domestik'!T68</f>
        <v>359.80776128296554</v>
      </c>
      <c r="U11" s="6">
        <f>'Debit AL Non Domestik'!T93</f>
        <v>342.0225867708798</v>
      </c>
      <c r="V11" s="6">
        <f>'Debit AL Non Domestik'!T118</f>
        <v>2046.6631592369445</v>
      </c>
      <c r="W11" s="6">
        <f>'Debit AL Non Domestik'!T143</f>
        <v>6022.3337078616505</v>
      </c>
      <c r="X11" s="6">
        <f>'Debit AL Non Domestik'!T168</f>
        <v>5.8625290156471319</v>
      </c>
      <c r="Y11" s="6">
        <f>'Debit AL Non Domestik'!T193</f>
        <v>1.6750082901848951</v>
      </c>
      <c r="Z11" s="6">
        <f t="shared" si="0"/>
        <v>22871.109020777174</v>
      </c>
      <c r="AA11" s="349">
        <f t="shared" si="1"/>
        <v>78003.440739410915</v>
      </c>
      <c r="AB11" s="350"/>
      <c r="AC11" s="350"/>
    </row>
    <row r="12" spans="3:29" x14ac:dyDescent="0.3">
      <c r="C12" s="4">
        <v>2028</v>
      </c>
      <c r="D12" s="333">
        <f>'Proyeksi Penduduk'!C79</f>
        <v>386534.25440550392</v>
      </c>
      <c r="E12" s="350"/>
      <c r="F12" s="349">
        <f>'Debit AL Domestik'!L19</f>
        <v>56124.773739679178</v>
      </c>
      <c r="G12" s="349"/>
      <c r="H12" s="349"/>
      <c r="I12" s="6">
        <f>'Debit AL Non Domestik'!J44</f>
        <v>1165.6744876793141</v>
      </c>
      <c r="J12" s="6">
        <f>'Debit AL Non Domestik'!J69</f>
        <v>2501.0640348674938</v>
      </c>
      <c r="K12" s="6">
        <f>'Debit AL Non Domestik'!J94</f>
        <v>368.46032656530053</v>
      </c>
      <c r="L12" s="6">
        <f>'Debit AL Non Domestik'!J119</f>
        <v>2135.3950744125364</v>
      </c>
      <c r="M12" s="6">
        <f>'Debit AL Non Domestik'!J144</f>
        <v>1230.9924546613447</v>
      </c>
      <c r="N12" s="6">
        <f>'Debit AL Non Domestik'!J169</f>
        <v>1768.6095675134422</v>
      </c>
      <c r="O12" s="6">
        <f>'Debit AL Non Domestik'!J194</f>
        <v>3269.2479884339386</v>
      </c>
      <c r="P12" s="6">
        <f>'Debit AL Non Domestik'!J219</f>
        <v>857.50766909742663</v>
      </c>
      <c r="Q12" s="6">
        <f>'Debit AL Non Domestik'!J244</f>
        <v>43.498788552847977</v>
      </c>
      <c r="R12" s="6">
        <f>'Debit AL Non Domestik'!J269</f>
        <v>942.31867608335358</v>
      </c>
      <c r="S12" s="6">
        <f>'Debit AL Non Domestik'!T44</f>
        <v>94.208606224082516</v>
      </c>
      <c r="T12" s="6">
        <f>'Debit AL Non Domestik'!T69</f>
        <v>367.06464351012886</v>
      </c>
      <c r="U12" s="6">
        <f>'Debit AL Non Domestik'!T94</f>
        <v>348.92076379289807</v>
      </c>
      <c r="V12" s="6">
        <f>'Debit AL Non Domestik'!T119</f>
        <v>2087.9418505367025</v>
      </c>
      <c r="W12" s="6">
        <f>'Debit AL Non Domestik'!T144</f>
        <v>6143.7968088653506</v>
      </c>
      <c r="X12" s="6">
        <f>'Debit AL Non Domestik'!T169</f>
        <v>5.9680609233926534</v>
      </c>
      <c r="Y12" s="6">
        <f>'Debit AL Non Domestik'!T194</f>
        <v>1.7051602638264727</v>
      </c>
      <c r="Z12" s="6">
        <f t="shared" si="0"/>
        <v>23332.37496198338</v>
      </c>
      <c r="AA12" s="349">
        <f t="shared" si="1"/>
        <v>79457.148701662562</v>
      </c>
      <c r="AB12" s="350"/>
      <c r="AC12" s="350"/>
    </row>
    <row r="13" spans="3:29" x14ac:dyDescent="0.3">
      <c r="C13" s="4">
        <v>2029</v>
      </c>
      <c r="D13" s="333">
        <f>'Proyeksi Penduduk'!C80</f>
        <v>393492.29199773283</v>
      </c>
      <c r="E13" s="350"/>
      <c r="F13" s="349">
        <f>'Debit AL Domestik'!L20</f>
        <v>57135.080798070805</v>
      </c>
      <c r="G13" s="349"/>
      <c r="H13" s="349"/>
      <c r="I13" s="6">
        <f>'Debit AL Non Domestik'!J45</f>
        <v>1189.1847155913933</v>
      </c>
      <c r="J13" s="6">
        <f>'Debit AL Non Domestik'!J70</f>
        <v>2551.5074357516487</v>
      </c>
      <c r="K13" s="6">
        <f>'Debit AL Non Domestik'!J95</f>
        <v>375.89172044555539</v>
      </c>
      <c r="L13" s="6">
        <f>'Debit AL Non Domestik'!J120</f>
        <v>2178.463379854923</v>
      </c>
      <c r="M13" s="6">
        <f>'Debit AL Non Domestik'!J145</f>
        <v>1255.8200660340146</v>
      </c>
      <c r="N13" s="6">
        <f>'Debit AL Non Domestik'!J170</f>
        <v>1804.2802581386659</v>
      </c>
      <c r="O13" s="6">
        <f>'Debit AL Non Domestik'!J195</f>
        <v>3335.1847195896553</v>
      </c>
      <c r="P13" s="6">
        <f>'Debit AL Non Domestik'!J220</f>
        <v>874.80254940056545</v>
      </c>
      <c r="Q13" s="6">
        <f>'Debit AL Non Domestik'!J245</f>
        <v>44.376105885933626</v>
      </c>
      <c r="R13" s="6">
        <f>'Debit AL Non Domestik'!J270</f>
        <v>961.32409060918246</v>
      </c>
      <c r="S13" s="6">
        <f>'Debit AL Non Domestik'!T45</f>
        <v>96.108678523011335</v>
      </c>
      <c r="T13" s="6">
        <f>'Debit AL Non Domestik'!T70</f>
        <v>374.46788817114049</v>
      </c>
      <c r="U13" s="6">
        <f>'Debit AL Non Domestik'!T95</f>
        <v>355.95806860374569</v>
      </c>
      <c r="V13" s="6">
        <f>'Debit AL Non Domestik'!T120</f>
        <v>2130.0530825248143</v>
      </c>
      <c r="W13" s="6">
        <f>'Debit AL Non Domestik'!T145</f>
        <v>6267.7096719747542</v>
      </c>
      <c r="X13" s="6">
        <f>'Debit AL Non Domestik'!T170</f>
        <v>6.0754925204229</v>
      </c>
      <c r="Y13" s="6">
        <f>'Debit AL Non Domestik'!T195</f>
        <v>1.7358550058351143</v>
      </c>
      <c r="Z13" s="6">
        <f t="shared" si="0"/>
        <v>23802.943778625264</v>
      </c>
      <c r="AA13" s="349">
        <f t="shared" si="1"/>
        <v>80938.024576696072</v>
      </c>
      <c r="AB13" s="350"/>
      <c r="AC13" s="350"/>
    </row>
    <row r="14" spans="3:29" x14ac:dyDescent="0.3">
      <c r="C14" s="4">
        <v>2030</v>
      </c>
      <c r="D14" s="333">
        <f>'Proyeksi Penduduk'!C81</f>
        <v>400575.58184531319</v>
      </c>
      <c r="E14" s="350"/>
      <c r="F14" s="349">
        <f>'Debit AL Domestik'!L21</f>
        <v>58163.574483939476</v>
      </c>
      <c r="G14" s="349"/>
      <c r="H14" s="349"/>
      <c r="I14" s="6">
        <f>'Debit AL Non Domestik'!J46</f>
        <v>1213.1691160296118</v>
      </c>
      <c r="J14" s="6">
        <f>'Debit AL Non Domestik'!J71</f>
        <v>2602.9682183010837</v>
      </c>
      <c r="K14" s="6">
        <f>'Debit AL Non Domestik'!J96</f>
        <v>383.47299644614174</v>
      </c>
      <c r="L14" s="6">
        <f>'Debit AL Non Domestik'!J121</f>
        <v>2222.4003203128664</v>
      </c>
      <c r="M14" s="6">
        <f>'Debit AL Non Domestik'!J146</f>
        <v>1281.1484199450642</v>
      </c>
      <c r="N14" s="6">
        <f>'Debit AL Non Domestik'!J171</f>
        <v>1840.6703829414801</v>
      </c>
      <c r="O14" s="6">
        <f>'Debit AL Non Domestik'!J196</f>
        <v>3402.4513139221294</v>
      </c>
      <c r="P14" s="6">
        <f>'Debit AL Non Domestik'!J221</f>
        <v>892.44624627465703</v>
      </c>
      <c r="Q14" s="6">
        <f>'Debit AL Non Domestik'!J246</f>
        <v>45.271117636002835</v>
      </c>
      <c r="R14" s="6">
        <f>'Debit AL Non Domestik'!J271</f>
        <v>980.71282108795458</v>
      </c>
      <c r="S14" s="6">
        <f>'Debit AL Non Domestik'!T46</f>
        <v>98.047072954979399</v>
      </c>
      <c r="T14" s="6">
        <f>'Debit AL Non Domestik'!T71</f>
        <v>382.02044721717897</v>
      </c>
      <c r="U14" s="6">
        <f>'Debit AL Non Domestik'!T96</f>
        <v>363.13730724066448</v>
      </c>
      <c r="V14" s="6">
        <f>'Debit AL Non Domestik'!T121</f>
        <v>2173.0136465281366</v>
      </c>
      <c r="W14" s="6">
        <f>'Debit AL Non Domestik'!T146</f>
        <v>6394.1217058936209</v>
      </c>
      <c r="X14" s="6">
        <f>'Debit AL Non Domestik'!T171</f>
        <v>6.184858003214134</v>
      </c>
      <c r="Y14" s="6">
        <f>'Debit AL Non Domestik'!T196</f>
        <v>1.7671022866326103</v>
      </c>
      <c r="Z14" s="6">
        <f t="shared" si="0"/>
        <v>24283.00309302142</v>
      </c>
      <c r="AA14" s="349">
        <f t="shared" si="1"/>
        <v>82446.577576960903</v>
      </c>
      <c r="AB14" s="350"/>
      <c r="AC14" s="350"/>
    </row>
    <row r="15" spans="3:29" x14ac:dyDescent="0.3">
      <c r="C15" s="4">
        <v>2031</v>
      </c>
      <c r="D15" s="333">
        <f>'Proyeksi Penduduk'!C82</f>
        <v>407786.3786252659</v>
      </c>
      <c r="E15" s="350"/>
      <c r="F15" s="349">
        <f>'Debit AL Domestik'!L22</f>
        <v>59210.58217638862</v>
      </c>
      <c r="G15" s="349"/>
      <c r="H15" s="349"/>
      <c r="I15" s="6">
        <f>'Debit AL Non Domestik'!J47</f>
        <v>1237.6372524735477</v>
      </c>
      <c r="J15" s="6">
        <f>'Debit AL Non Domestik'!J72</f>
        <v>2655.4669018589525</v>
      </c>
      <c r="K15" s="6">
        <f>'Debit AL Non Domestik'!J97</f>
        <v>391.20717750600636</v>
      </c>
      <c r="L15" s="6">
        <f>'Debit AL Non Domestik'!J122</f>
        <v>2267.2234150916279</v>
      </c>
      <c r="M15" s="6">
        <f>'Debit AL Non Domestik'!J147</f>
        <v>1306.987615758703</v>
      </c>
      <c r="N15" s="6">
        <f>'Debit AL Non Domestik'!J172</f>
        <v>1877.7944520288308</v>
      </c>
      <c r="O15" s="6">
        <f>'Debit AL Non Domestik'!J197</f>
        <v>3471.0745931442025</v>
      </c>
      <c r="P15" s="6">
        <f>'Debit AL Non Domestik'!J222</f>
        <v>910.44579492306946</v>
      </c>
      <c r="Q15" s="6">
        <f>'Debit AL Non Domestik'!J247</f>
        <v>46.184180677792419</v>
      </c>
      <c r="R15" s="6">
        <f>'Debit AL Non Domestik'!J272</f>
        <v>1000.4925985333537</v>
      </c>
      <c r="S15" s="6">
        <f>'Debit AL Non Domestik'!T47</f>
        <v>100.024562430513</v>
      </c>
      <c r="T15" s="6">
        <f>'Debit AL Non Domestik'!T72</f>
        <v>389.72533213666549</v>
      </c>
      <c r="U15" s="6">
        <f>'Debit AL Non Domestik'!T97</f>
        <v>370.46134233523338</v>
      </c>
      <c r="V15" s="6">
        <f>'Debit AL Non Domestik'!T122</f>
        <v>2216.8406725340365</v>
      </c>
      <c r="W15" s="6">
        <f>'Debit AL Non Domestik'!T147</f>
        <v>6523.0833158387886</v>
      </c>
      <c r="X15" s="6">
        <f>'Debit AL Non Domestik'!T172</f>
        <v>6.2961921838164452</v>
      </c>
      <c r="Y15" s="6">
        <f>'Debit AL Non Domestik'!T197</f>
        <v>1.7989120525189843</v>
      </c>
      <c r="Z15" s="6">
        <f t="shared" si="0"/>
        <v>24772.74431150766</v>
      </c>
      <c r="AA15" s="349">
        <f>SUM(F15,Z15)</f>
        <v>83983.32648789628</v>
      </c>
      <c r="AB15" s="350"/>
      <c r="AC15" s="350"/>
    </row>
    <row r="16" spans="3:29" x14ac:dyDescent="0.3">
      <c r="C16" s="4">
        <v>2032</v>
      </c>
      <c r="D16" s="333">
        <f>'Proyeksi Penduduk'!C83</f>
        <v>415126.97760125442</v>
      </c>
      <c r="E16" s="350"/>
      <c r="F16" s="349">
        <f>'Debit AL Domestik'!L23</f>
        <v>60276.437147702156</v>
      </c>
      <c r="G16" s="349"/>
      <c r="H16" s="349"/>
      <c r="I16" s="6">
        <f>'Debit AL Non Domestik'!J48</f>
        <v>1262.59888128646</v>
      </c>
      <c r="J16" s="6">
        <f>'Debit AL Non Domestik'!J73</f>
        <v>2709.0244196184581</v>
      </c>
      <c r="K16" s="6">
        <f>'Debit AL Non Domestik'!J98</f>
        <v>399.09734753307646</v>
      </c>
      <c r="L16" s="6">
        <f>'Debit AL Non Domestik'!J123</f>
        <v>2312.9505368394198</v>
      </c>
      <c r="M16" s="6">
        <f>'Debit AL Non Domestik'!J148</f>
        <v>1333.3479565309601</v>
      </c>
      <c r="N16" s="6">
        <f>'Debit AL Non Domestik'!J173</f>
        <v>1915.6672681587668</v>
      </c>
      <c r="O16" s="6">
        <f>'Debit AL Non Domestik'!J198</f>
        <v>3541.0819199298417</v>
      </c>
      <c r="P16" s="6">
        <f>'Debit AL Non Domestik'!J223</f>
        <v>928.80837244061422</v>
      </c>
      <c r="Q16" s="6">
        <f>'Debit AL Non Domestik'!J248</f>
        <v>47.115659083765962</v>
      </c>
      <c r="R16" s="6">
        <f>'Debit AL Non Domestik'!J273</f>
        <v>1020.6713098841492</v>
      </c>
      <c r="S16" s="6">
        <f>'Debit AL Non Domestik'!T48</f>
        <v>102.04193544879794</v>
      </c>
      <c r="T16" s="6">
        <f>'Debit AL Non Domestik'!T73</f>
        <v>397.58561515605726</v>
      </c>
      <c r="U16" s="6">
        <f>'Debit AL Non Domestik'!T98</f>
        <v>377.9330942548072</v>
      </c>
      <c r="V16" s="6">
        <f>'Debit AL Non Domestik'!T123</f>
        <v>2261.5516360207662</v>
      </c>
      <c r="W16" s="6">
        <f>'Debit AL Non Domestik'!T148</f>
        <v>6654.6459236386454</v>
      </c>
      <c r="X16" s="6">
        <f>'Debit AL Non Domestik'!T173</f>
        <v>6.4095305009347356</v>
      </c>
      <c r="Y16" s="6">
        <f>'Debit AL Non Domestik'!T198</f>
        <v>1.831294428838496</v>
      </c>
      <c r="Z16" s="6">
        <f t="shared" si="0"/>
        <v>25272.362700754362</v>
      </c>
      <c r="AA16" s="349">
        <f t="shared" si="1"/>
        <v>85548.799848456518</v>
      </c>
      <c r="AB16" s="350"/>
      <c r="AC16" s="350"/>
    </row>
    <row r="17" spans="3:29" x14ac:dyDescent="0.3">
      <c r="C17" s="4">
        <v>2033</v>
      </c>
      <c r="D17" s="333">
        <f>'Proyeksi Penduduk'!C84</f>
        <v>422599.71535418753</v>
      </c>
      <c r="E17" s="350"/>
      <c r="F17" s="349">
        <f>'Debit AL Domestik'!L24</f>
        <v>61361.478669428041</v>
      </c>
      <c r="G17" s="349"/>
      <c r="H17" s="349"/>
      <c r="I17" s="6">
        <f>'Debit AL Non Domestik'!J49</f>
        <v>1288.0639556055162</v>
      </c>
      <c r="J17" s="6">
        <f>'Debit AL Non Domestik'!J74</f>
        <v>2763.6621269696907</v>
      </c>
      <c r="K17" s="6">
        <f>'Debit AL Non Domestik'!J99</f>
        <v>407.14665263392754</v>
      </c>
      <c r="L17" s="6">
        <f>'Debit AL Non Domestik'!J124</f>
        <v>2359.5999186738986</v>
      </c>
      <c r="M17" s="6">
        <f>'Debit AL Non Domestik'!J149</f>
        <v>1360.2399531178944</v>
      </c>
      <c r="N17" s="6">
        <f>'Debit AL Non Domestik'!J174</f>
        <v>1954.3039326428523</v>
      </c>
      <c r="O17" s="6">
        <f>'Debit AL Non Domestik'!J199</f>
        <v>3612.5012088246667</v>
      </c>
      <c r="P17" s="6">
        <f>'Debit AL Non Domestik'!J224</f>
        <v>947.5413006753223</v>
      </c>
      <c r="Q17" s="6">
        <f>'Debit AL Non Domestik'!J249</f>
        <v>48.065924269283123</v>
      </c>
      <c r="R17" s="6">
        <f>'Debit AL Non Domestik'!J274</f>
        <v>1041.2570011490154</v>
      </c>
      <c r="S17" s="6">
        <f>'Debit AL Non Domestik'!T49</f>
        <v>104.09999641208375</v>
      </c>
      <c r="T17" s="6">
        <f>'Debit AL Non Domestik'!T74</f>
        <v>405.60443046485966</v>
      </c>
      <c r="U17" s="6">
        <f>'Debit AL Non Domestik'!T99</f>
        <v>385.55554226697683</v>
      </c>
      <c r="V17" s="6">
        <f>'Debit AL Non Domestik'!T124</f>
        <v>2307.1643649255893</v>
      </c>
      <c r="W17" s="6">
        <f>'Debit AL Non Domestik'!T149</f>
        <v>6788.8619882369303</v>
      </c>
      <c r="X17" s="6">
        <f>'Debit AL Non Domestik'!T174</f>
        <v>6.5249090312091962</v>
      </c>
      <c r="Y17" s="6">
        <f>'Debit AL Non Domestik'!T199</f>
        <v>1.8642597232026272</v>
      </c>
      <c r="Z17" s="6">
        <f t="shared" si="0"/>
        <v>25782.057465622922</v>
      </c>
      <c r="AA17" s="349">
        <f>SUM(F17,Z17)</f>
        <v>87143.536135050963</v>
      </c>
      <c r="AB17" s="350"/>
      <c r="AC17" s="350"/>
    </row>
    <row r="18" spans="3:29" x14ac:dyDescent="0.3">
      <c r="C18" s="357" t="s">
        <v>318</v>
      </c>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9"/>
    </row>
    <row r="19" spans="3:29" x14ac:dyDescent="0.3">
      <c r="C19" s="4">
        <v>2034</v>
      </c>
      <c r="D19" s="333">
        <f>'Proyeksi Penduduk'!C85</f>
        <v>430206.9705259761</v>
      </c>
      <c r="E19" s="350"/>
      <c r="F19" s="349">
        <f>'Debit AL Domestik'!L25</f>
        <v>62466.052120371736</v>
      </c>
      <c r="G19" s="349"/>
      <c r="H19" s="349"/>
      <c r="I19" s="6">
        <f>'Debit AL Non Domestik'!J50</f>
        <v>1314.0426293104795</v>
      </c>
      <c r="J19" s="6">
        <f>'Debit AL Non Domestik'!J75</f>
        <v>2819.4018100148214</v>
      </c>
      <c r="K19" s="6">
        <f>'Debit AL Non Domestik'!J100</f>
        <v>415.35830236825501</v>
      </c>
      <c r="L19" s="6">
        <f>'Debit AL Non Domestik'!J125</f>
        <v>2407.1901614523867</v>
      </c>
      <c r="M19" s="6">
        <f>'Debit AL Non Domestik'!J150</f>
        <v>1387.6743283666701</v>
      </c>
      <c r="N19" s="6">
        <f>'Debit AL Non Domestik'!J175</f>
        <v>1993.7198513676237</v>
      </c>
      <c r="O19" s="6">
        <f>'Debit AL Non Domestik'!J200</f>
        <v>3685.3609373765175</v>
      </c>
      <c r="P19" s="6">
        <f>'Debit AL Non Domestik'!J225</f>
        <v>966.6520491479389</v>
      </c>
      <c r="Q19" s="6">
        <f>'Debit AL Non Domestik'!J250</f>
        <v>49.035355140696772</v>
      </c>
      <c r="R19" s="6">
        <f>'Debit AL Non Domestik'!J275</f>
        <v>1062.2578806147731</v>
      </c>
      <c r="S19" s="6">
        <f>'Debit AL Non Domestik'!T50</f>
        <v>106.19956594642881</v>
      </c>
      <c r="T19" s="6">
        <f>'Debit AL Non Domestik'!T75</f>
        <v>413.78497546534498</v>
      </c>
      <c r="U19" s="6">
        <f>'Debit AL Non Domestik'!T100</f>
        <v>393.33172572751414</v>
      </c>
      <c r="V19" s="6">
        <f>'Debit AL Non Domestik'!T125</f>
        <v>2353.6970467534447</v>
      </c>
      <c r="W19" s="6">
        <f>'Debit AL Non Domestik'!T150</f>
        <v>6925.7850266100686</v>
      </c>
      <c r="X19" s="6">
        <f>'Debit AL Non Domestik'!T175</f>
        <v>6.6423645006988394</v>
      </c>
      <c r="Y19" s="6">
        <f>'Debit AL Non Domestik'!T200</f>
        <v>1.8978184287710966</v>
      </c>
      <c r="Z19" s="6">
        <f t="shared" si="0"/>
        <v>26302.031828592433</v>
      </c>
      <c r="AA19" s="349">
        <f t="shared" ref="AA19:AA28" si="2">SUM(F19,Z19)</f>
        <v>88768.083948964166</v>
      </c>
      <c r="AB19" s="350"/>
      <c r="AC19" s="350"/>
    </row>
    <row r="20" spans="3:29" x14ac:dyDescent="0.3">
      <c r="C20" s="4">
        <v>2035</v>
      </c>
      <c r="D20" s="333">
        <f>'Proyeksi Penduduk'!C86</f>
        <v>430206.9705259761</v>
      </c>
      <c r="E20" s="350"/>
      <c r="F20" s="349">
        <f>'Debit AL Domestik'!L26</f>
        <v>62466.052120371736</v>
      </c>
      <c r="G20" s="349"/>
      <c r="H20" s="349"/>
      <c r="I20" s="6">
        <f>'Debit AL Non Domestik'!J51</f>
        <v>1314.0426293104795</v>
      </c>
      <c r="J20" s="6">
        <f>'Debit AL Non Domestik'!J76</f>
        <v>2819.4018100148214</v>
      </c>
      <c r="K20" s="6">
        <f>'Debit AL Non Domestik'!J101</f>
        <v>415.35830236825501</v>
      </c>
      <c r="L20" s="6">
        <f>'Debit AL Non Domestik'!J126</f>
        <v>2407.1901614523867</v>
      </c>
      <c r="M20" s="6">
        <f>'Debit AL Non Domestik'!J151</f>
        <v>1387.6743283666701</v>
      </c>
      <c r="N20" s="6">
        <f>'Debit AL Non Domestik'!J176</f>
        <v>1993.7198513676237</v>
      </c>
      <c r="O20" s="6">
        <f>'Debit AL Non Domestik'!J201</f>
        <v>3685.3609373765175</v>
      </c>
      <c r="P20" s="6">
        <f>'Debit AL Non Domestik'!J226</f>
        <v>966.6520491479389</v>
      </c>
      <c r="Q20" s="6">
        <f>'Debit AL Non Domestik'!J251</f>
        <v>49.035355140696772</v>
      </c>
      <c r="R20" s="6">
        <f>'Debit AL Non Domestik'!J276</f>
        <v>1062.2578806147731</v>
      </c>
      <c r="S20" s="6">
        <f>'Debit AL Non Domestik'!T51</f>
        <v>106.19956594642881</v>
      </c>
      <c r="T20" s="6">
        <f>'Debit AL Non Domestik'!T76</f>
        <v>413.78497546534498</v>
      </c>
      <c r="U20" s="6">
        <f>'Debit AL Non Domestik'!T101</f>
        <v>393.33172572751414</v>
      </c>
      <c r="V20" s="6">
        <f>'Debit AL Non Domestik'!T126</f>
        <v>2353.6970467534447</v>
      </c>
      <c r="W20" s="6">
        <f>'Debit AL Non Domestik'!T151</f>
        <v>6925.7850266100686</v>
      </c>
      <c r="X20" s="6">
        <f>'Debit AL Non Domestik'!T176</f>
        <v>6.6423645006988394</v>
      </c>
      <c r="Y20" s="6">
        <f>'Debit AL Non Domestik'!T201</f>
        <v>1.8978184287710966</v>
      </c>
      <c r="Z20" s="6">
        <f t="shared" si="0"/>
        <v>26302.031828592433</v>
      </c>
      <c r="AA20" s="349">
        <f t="shared" si="2"/>
        <v>88768.083948964166</v>
      </c>
      <c r="AB20" s="350"/>
      <c r="AC20" s="350"/>
    </row>
    <row r="21" spans="3:29" x14ac:dyDescent="0.3">
      <c r="C21" s="4">
        <v>2036</v>
      </c>
      <c r="D21" s="333">
        <f>'Proyeksi Penduduk'!C87</f>
        <v>437951.16457667551</v>
      </c>
      <c r="E21" s="350"/>
      <c r="F21" s="349">
        <f>'Debit AL Domestik'!L27</f>
        <v>63590.509096533278</v>
      </c>
      <c r="G21" s="349"/>
      <c r="H21" s="349"/>
      <c r="I21" s="6">
        <f>'Debit AL Non Domestik'!J52</f>
        <v>1340.545261072441</v>
      </c>
      <c r="J21" s="6">
        <f>'Debit AL Non Domestik'!J77</f>
        <v>2876.2656942550461</v>
      </c>
      <c r="K21" s="6">
        <f>'Debit AL Non Domestik'!J102</f>
        <v>423.73557102864515</v>
      </c>
      <c r="L21" s="6">
        <f>'Debit AL Non Domestik'!J127</f>
        <v>2455.7402411887388</v>
      </c>
      <c r="M21" s="6">
        <f>'Debit AL Non Domestik'!J152</f>
        <v>1415.6620213911553</v>
      </c>
      <c r="N21" s="6">
        <f>'Debit AL Non Domestik'!J177</f>
        <v>2033.9307409374967</v>
      </c>
      <c r="O21" s="6">
        <f>'Debit AL Non Domestik'!J202</f>
        <v>3759.6901574905237</v>
      </c>
      <c r="P21" s="6">
        <f>'Debit AL Non Domestik'!J227</f>
        <v>986.14823803030129</v>
      </c>
      <c r="Q21" s="6">
        <f>'Debit AL Non Domestik'!J252</f>
        <v>50.024338246437267</v>
      </c>
      <c r="R21" s="6">
        <f>'Debit AL Non Domestik'!J277</f>
        <v>1083.6823221193442</v>
      </c>
      <c r="S21" s="6">
        <f>'Debit AL Non Domestik'!T52</f>
        <v>108.34148122891493</v>
      </c>
      <c r="T21" s="6">
        <f>'Debit AL Non Domestik'!T77</f>
        <v>422.13051204747597</v>
      </c>
      <c r="U21" s="6">
        <f>'Debit AL Non Domestik'!T102</f>
        <v>401.26474529227767</v>
      </c>
      <c r="V21" s="6">
        <f>'Debit AL Non Domestik'!T127</f>
        <v>2401.1682358289891</v>
      </c>
      <c r="W21" s="6">
        <f>'Debit AL Non Domestik'!T152</f>
        <v>7065.469635106424</v>
      </c>
      <c r="X21" s="6">
        <f>'Debit AL Non Domestik'!T177</f>
        <v>6.7619342965717371</v>
      </c>
      <c r="Y21" s="6">
        <f>'Debit AL Non Domestik'!T202</f>
        <v>1.9319812275919248</v>
      </c>
      <c r="Z21" s="6">
        <f t="shared" si="0"/>
        <v>26832.493110788371</v>
      </c>
      <c r="AA21" s="349">
        <f t="shared" si="2"/>
        <v>90423.002207321653</v>
      </c>
      <c r="AB21" s="350"/>
      <c r="AC21" s="350"/>
    </row>
    <row r="22" spans="3:29" x14ac:dyDescent="0.3">
      <c r="C22" s="4">
        <v>2037</v>
      </c>
      <c r="D22" s="333">
        <f>'Proyeksi Penduduk'!C88</f>
        <v>445834.76255526009</v>
      </c>
      <c r="E22" s="350"/>
      <c r="F22" s="349">
        <f>'Debit AL Domestik'!L28</f>
        <v>64735.207523023768</v>
      </c>
      <c r="G22" s="349"/>
      <c r="H22" s="349"/>
      <c r="I22" s="6">
        <f>'Debit AL Non Domestik'!J53</f>
        <v>1367.582418484212</v>
      </c>
      <c r="J22" s="6">
        <f>'Debit AL Non Domestik'!J78</f>
        <v>2934.2764534527155</v>
      </c>
      <c r="K22" s="6">
        <f>'Debit AL Non Domestik'!J103</f>
        <v>432.28179894615891</v>
      </c>
      <c r="L22" s="6">
        <f>'Debit AL Non Domestik'!J128</f>
        <v>2505.2695166197841</v>
      </c>
      <c r="M22" s="6">
        <f>'Debit AL Non Domestik'!J153</f>
        <v>1444.2141919337582</v>
      </c>
      <c r="N22" s="6">
        <f>'Debit AL Non Domestik'!J178</f>
        <v>2074.9526349415628</v>
      </c>
      <c r="O22" s="6">
        <f>'Debit AL Non Domestik'!J203</f>
        <v>3835.5185070131924</v>
      </c>
      <c r="P22" s="6">
        <f>'Debit AL Non Domestik'!J228</f>
        <v>1006.037641183788</v>
      </c>
      <c r="Q22" s="6">
        <f>'Debit AL Non Domestik'!J253</f>
        <v>51.033267931143762</v>
      </c>
      <c r="R22" s="6">
        <f>'Debit AL Non Domestik'!J278</f>
        <v>1105.5388683907131</v>
      </c>
      <c r="S22" s="6">
        <f>'Debit AL Non Domestik'!T53</f>
        <v>110.52659632146108</v>
      </c>
      <c r="T22" s="6">
        <f>'Debit AL Non Domestik'!T78</f>
        <v>430.6443678895447</v>
      </c>
      <c r="U22" s="6">
        <f>'Debit AL Non Domestik'!T103</f>
        <v>409.35776415355963</v>
      </c>
      <c r="V22" s="6">
        <f>'Debit AL Non Domestik'!T128</f>
        <v>2449.5968606949004</v>
      </c>
      <c r="W22" s="6">
        <f>'Debit AL Non Domestik'!T153</f>
        <v>7207.9715112158774</v>
      </c>
      <c r="X22" s="6">
        <f>'Debit AL Non Domestik'!T178</f>
        <v>6.8836564790057153</v>
      </c>
      <c r="Y22" s="6">
        <f>'Debit AL Non Domestik'!T203</f>
        <v>1.966758994001633</v>
      </c>
      <c r="Z22" s="6">
        <f t="shared" si="0"/>
        <v>27373.652814645375</v>
      </c>
      <c r="AA22" s="349">
        <f t="shared" si="2"/>
        <v>92108.860337669146</v>
      </c>
      <c r="AB22" s="350"/>
      <c r="AC22" s="350"/>
    </row>
    <row r="23" spans="3:29" x14ac:dyDescent="0.3">
      <c r="C23" s="4">
        <v>2038</v>
      </c>
      <c r="D23" s="333">
        <f>'Proyeksi Penduduk'!C89</f>
        <v>453860.2738842704</v>
      </c>
      <c r="E23" s="350"/>
      <c r="F23" s="349">
        <f>'Debit AL Domestik'!L29</f>
        <v>65900.511767996068</v>
      </c>
      <c r="G23" s="349"/>
      <c r="H23" s="349"/>
      <c r="I23" s="6">
        <f>'Debit AL Non Domestik'!J54</f>
        <v>1395.1648822740194</v>
      </c>
      <c r="J23" s="6">
        <f>'Debit AL Non Domestik'!J79</f>
        <v>2993.4572186722257</v>
      </c>
      <c r="K23" s="6">
        <f>'Debit AL Non Domestik'!J104</f>
        <v>441.00039382224747</v>
      </c>
      <c r="L23" s="6">
        <f>'Debit AL Non Domestik'!J129</f>
        <v>2555.7977369243895</v>
      </c>
      <c r="M23" s="6">
        <f>'Debit AL Non Domestik'!J154</f>
        <v>1473.342224815236</v>
      </c>
      <c r="N23" s="6">
        <f>'Debit AL Non Domestik'!J179</f>
        <v>2116.8018903467878</v>
      </c>
      <c r="O23" s="6">
        <f>'Debit AL Non Domestik'!J204</f>
        <v>3912.8762215501229</v>
      </c>
      <c r="P23" s="6">
        <f>'Debit AL Non Domestik'!J229</f>
        <v>1026.3281892590487</v>
      </c>
      <c r="Q23" s="6">
        <f>'Debit AL Non Domestik'!J254</f>
        <v>52.062546492904218</v>
      </c>
      <c r="R23" s="6">
        <f>'Debit AL Non Domestik'!J279</f>
        <v>1127.8362344532352</v>
      </c>
      <c r="S23" s="6">
        <f>'Debit AL Non Domestik'!T54</f>
        <v>112.7557825113701</v>
      </c>
      <c r="T23" s="6">
        <f>'Debit AL Non Domestik'!T79</f>
        <v>439.32993778504209</v>
      </c>
      <c r="U23" s="6">
        <f>'Debit AL Non Domestik'!T104</f>
        <v>417.61400930137069</v>
      </c>
      <c r="V23" s="6">
        <f>'Debit AL Non Domestik'!T129</f>
        <v>2499.0022316594027</v>
      </c>
      <c r="W23" s="6">
        <f>'Debit AL Non Domestik'!T154</f>
        <v>7353.347475778537</v>
      </c>
      <c r="X23" s="6">
        <f>'Debit AL Non Domestik'!T179</f>
        <v>7.0075697933032473</v>
      </c>
      <c r="Y23" s="6">
        <f>'Debit AL Non Domestik'!T204</f>
        <v>2.0021627980866419</v>
      </c>
      <c r="Z23" s="6">
        <f t="shared" si="0"/>
        <v>27925.726708237329</v>
      </c>
      <c r="AA23" s="349">
        <f t="shared" si="2"/>
        <v>93826.238476233397</v>
      </c>
      <c r="AB23" s="350"/>
      <c r="AC23" s="350"/>
    </row>
    <row r="24" spans="3:29" x14ac:dyDescent="0.3">
      <c r="C24" s="4">
        <v>2039</v>
      </c>
      <c r="D24" s="333">
        <f>'Proyeksi Penduduk'!C90</f>
        <v>462030.25315858622</v>
      </c>
      <c r="E24" s="350"/>
      <c r="F24" s="349">
        <f>'Debit AL Domestik'!L30</f>
        <v>67086.792758626718</v>
      </c>
      <c r="G24" s="349"/>
      <c r="H24" s="349"/>
      <c r="I24" s="6">
        <f>'Debit AL Non Domestik'!J55</f>
        <v>1423.3036506041844</v>
      </c>
      <c r="J24" s="6">
        <f>'Debit AL Non Domestik'!J80</f>
        <v>3053.8315875032308</v>
      </c>
      <c r="K24" s="6">
        <f>'Debit AL Non Domestik'!J105</f>
        <v>449.89483208752961</v>
      </c>
      <c r="L24" s="6">
        <f>'Debit AL Non Domestik'!J130</f>
        <v>2607.3450495981824</v>
      </c>
      <c r="M24" s="6">
        <f>'Debit AL Non Domestik'!J155</f>
        <v>1503.0577344742464</v>
      </c>
      <c r="N24" s="6">
        <f>'Debit AL Non Domestik'!J180</f>
        <v>2159.4951940201418</v>
      </c>
      <c r="O24" s="6">
        <f>'Debit AL Non Domestik'!J205</f>
        <v>3991.7941465220811</v>
      </c>
      <c r="P24" s="6">
        <f>'Debit AL Non Domestik'!J230</f>
        <v>1047.0279728582507</v>
      </c>
      <c r="Q24" s="6">
        <f>'Debit AL Non Domestik'!J255</f>
        <v>53.11258434366669</v>
      </c>
      <c r="R24" s="6">
        <f>'Debit AL Non Domestik'!J280</f>
        <v>1150.5833111026404</v>
      </c>
      <c r="S24" s="6">
        <f>'Debit AL Non Domestik'!T55</f>
        <v>115.02992865874337</v>
      </c>
      <c r="T24" s="6">
        <f>'Debit AL Non Domestik'!T80</f>
        <v>448.19068499628895</v>
      </c>
      <c r="U24" s="6">
        <f>'Debit AL Non Domestik'!T105</f>
        <v>426.03677281016058</v>
      </c>
      <c r="V24" s="6">
        <f>'Debit AL Non Domestik'!T130</f>
        <v>2549.404048496001</v>
      </c>
      <c r="W24" s="6">
        <f>'Debit AL Non Domestik'!T155</f>
        <v>7501.6554956413056</v>
      </c>
      <c r="X24" s="6">
        <f>'Debit AL Non Domestik'!T180</f>
        <v>7.1337136822244611</v>
      </c>
      <c r="Y24" s="6">
        <f>'Debit AL Non Domestik'!T205</f>
        <v>2.0382039092069886</v>
      </c>
      <c r="Z24" s="6">
        <f t="shared" si="0"/>
        <v>28488.93491130809</v>
      </c>
      <c r="AA24" s="349">
        <f t="shared" si="2"/>
        <v>95575.7276699348</v>
      </c>
      <c r="AB24" s="350"/>
      <c r="AC24" s="350"/>
    </row>
    <row r="25" spans="3:29" x14ac:dyDescent="0.3">
      <c r="C25" s="4">
        <v>2040</v>
      </c>
      <c r="D25" s="333">
        <f>'Proyeksi Penduduk'!C91</f>
        <v>470347.30095857731</v>
      </c>
      <c r="E25" s="350"/>
      <c r="F25" s="349">
        <f>'Debit AL Domestik'!L31</f>
        <v>68294.428099185432</v>
      </c>
      <c r="G25" s="349"/>
      <c r="H25" s="349"/>
      <c r="I25" s="6">
        <f>'Debit AL Non Domestik'!J56</f>
        <v>1452.0099434565036</v>
      </c>
      <c r="J25" s="6">
        <f>'Debit AL Non Domestik'!J81</f>
        <v>3115.4236334698926</v>
      </c>
      <c r="K25" s="6">
        <f>'Debit AL Non Domestik'!J106</f>
        <v>458.9686602879753</v>
      </c>
      <c r="L25" s="6">
        <f>'Debit AL Non Domestik'!J131</f>
        <v>2659.9320084871297</v>
      </c>
      <c r="M25" s="6">
        <f>'Debit AL Non Domestik'!J156</f>
        <v>1533.3725695984629</v>
      </c>
      <c r="N25" s="6">
        <f>'Debit AL Non Domestik'!J181</f>
        <v>2203.0495693822809</v>
      </c>
      <c r="O25" s="6">
        <f>'Debit AL Non Domestik'!J206</f>
        <v>4072.3037494642163</v>
      </c>
      <c r="P25" s="6">
        <f>'Debit AL Non Domestik'!J231</f>
        <v>1068.145245761106</v>
      </c>
      <c r="Q25" s="6">
        <f>'Debit AL Non Domestik'!J256</f>
        <v>54.183800172885974</v>
      </c>
      <c r="R25" s="6">
        <f>'Debit AL Non Domestik'!J281</f>
        <v>1173.7891684511285</v>
      </c>
      <c r="S25" s="6">
        <f>'Debit AL Non Domestik'!T56</f>
        <v>117.34994155090274</v>
      </c>
      <c r="T25" s="6">
        <f>'Debit AL Non Domestik'!T81</f>
        <v>457.2301426353693</v>
      </c>
      <c r="U25" s="6">
        <f>'Debit AL Non Domestik'!T106</f>
        <v>434.62941315149169</v>
      </c>
      <c r="V25" s="6">
        <f>'Debit AL Non Domestik'!T131</f>
        <v>2600.8224082985271</v>
      </c>
      <c r="W25" s="6">
        <f>'Debit AL Non Domestik'!T156</f>
        <v>7652.9547067714666</v>
      </c>
      <c r="X25" s="6">
        <f>'Debit AL Non Domestik'!T181</f>
        <v>7.2621282985421205</v>
      </c>
      <c r="Y25" s="6">
        <f>'Debit AL Non Domestik'!T206</f>
        <v>2.0748937995834633</v>
      </c>
      <c r="Z25" s="6">
        <f t="shared" si="0"/>
        <v>29063.501983037462</v>
      </c>
      <c r="AA25" s="349">
        <f t="shared" si="2"/>
        <v>97357.930082222898</v>
      </c>
      <c r="AB25" s="350"/>
      <c r="AC25" s="350"/>
    </row>
    <row r="26" spans="3:29" x14ac:dyDescent="0.3">
      <c r="C26" s="4">
        <v>2041</v>
      </c>
      <c r="D26" s="333">
        <f>'Proyeksi Penduduk'!C92</f>
        <v>478814.06467789278</v>
      </c>
      <c r="E26" s="350"/>
      <c r="F26" s="349">
        <f>'Debit AL Domestik'!L32</f>
        <v>69523.802191230032</v>
      </c>
      <c r="G26" s="349"/>
      <c r="H26" s="349"/>
      <c r="I26" s="6">
        <f>'Debit AL Non Domestik'!J57</f>
        <v>1481.2952071060754</v>
      </c>
      <c r="J26" s="6">
        <f>'Debit AL Non Domestik'!J82</f>
        <v>3178.2579156298934</v>
      </c>
      <c r="K26" s="6">
        <f>'Debit AL Non Domestik'!J107</f>
        <v>468.22549649904681</v>
      </c>
      <c r="L26" s="6">
        <f>'Debit AL Non Domestik'!J132</f>
        <v>2713.5795819831123</v>
      </c>
      <c r="M26" s="6">
        <f>'Debit AL Non Domestik'!J157</f>
        <v>1564.2988178490884</v>
      </c>
      <c r="N26" s="6">
        <f>'Debit AL Non Domestik'!J182</f>
        <v>2247.482383195425</v>
      </c>
      <c r="O26" s="6">
        <f>'Debit AL Non Domestik'!J207</f>
        <v>4154.4371325733609</v>
      </c>
      <c r="P26" s="6">
        <f>'Debit AL Non Domestik'!J232</f>
        <v>1089.6884282159635</v>
      </c>
      <c r="Q26" s="6">
        <f>'Debit AL Non Domestik'!J257</f>
        <v>55.2766211144708</v>
      </c>
      <c r="R26" s="6">
        <f>'Debit AL Non Domestik'!J282</f>
        <v>1197.4630595439637</v>
      </c>
      <c r="S26" s="6">
        <f>'Debit AL Non Domestik'!T57</f>
        <v>119.71674626396083</v>
      </c>
      <c r="T26" s="6">
        <f>'Debit AL Non Domestik'!T82</f>
        <v>466.45191507291406</v>
      </c>
      <c r="U26" s="6">
        <f>'Debit AL Non Domestik'!T107</f>
        <v>443.39535653318831</v>
      </c>
      <c r="V26" s="6">
        <f>'Debit AL Non Domestik'!T132</f>
        <v>2653.2778134945984</v>
      </c>
      <c r="W26" s="6">
        <f>'Debit AL Non Domestik'!T157</f>
        <v>7807.3054378363786</v>
      </c>
      <c r="X26" s="6">
        <f>'Debit AL Non Domestik'!T182</f>
        <v>7.3928545178226379</v>
      </c>
      <c r="Y26" s="6">
        <f>'Debit AL Non Domestik'!T207</f>
        <v>2.1122441479493248</v>
      </c>
      <c r="Z26" s="6">
        <f t="shared" si="0"/>
        <v>29649.657011577208</v>
      </c>
      <c r="AA26" s="349">
        <f t="shared" si="2"/>
        <v>99173.459202807237</v>
      </c>
      <c r="AB26" s="350"/>
      <c r="AC26" s="350"/>
    </row>
    <row r="27" spans="3:29" x14ac:dyDescent="0.3">
      <c r="C27" s="4">
        <v>2042</v>
      </c>
      <c r="D27" s="333">
        <f>'Proyeksi Penduduk'!C93</f>
        <v>487433.23936615099</v>
      </c>
      <c r="E27" s="350"/>
      <c r="F27" s="349">
        <f>'Debit AL Domestik'!L33</f>
        <v>70775.30635596512</v>
      </c>
      <c r="G27" s="349"/>
      <c r="H27" s="349"/>
      <c r="I27" s="6">
        <f>'Debit AL Non Domestik'!J58</f>
        <v>1511.1711186853595</v>
      </c>
      <c r="J27" s="6">
        <f>'Debit AL Non Domestik'!J83</f>
        <v>3242.3594883670553</v>
      </c>
      <c r="K27" s="6">
        <f>'Debit AL Non Domestik'!J108</f>
        <v>477.66903176836087</v>
      </c>
      <c r="L27" s="6">
        <f>'Debit AL Non Domestik'!J133</f>
        <v>2768.3091613848192</v>
      </c>
      <c r="M27" s="6">
        <f>'Debit AL Non Domestik'!J158</f>
        <v>1595.8488106806599</v>
      </c>
      <c r="N27" s="6">
        <f>'Debit AL Non Domestik'!J183</f>
        <v>2292.8113524881323</v>
      </c>
      <c r="O27" s="6">
        <f>'Debit AL Non Domestik'!J208</f>
        <v>4238.2270455083653</v>
      </c>
      <c r="P27" s="6">
        <f>'Debit AL Non Domestik'!J233</f>
        <v>1111.6661102972762</v>
      </c>
      <c r="Q27" s="6">
        <f>'Debit AL Non Domestik'!J258</f>
        <v>56.391482917098145</v>
      </c>
      <c r="R27" s="6">
        <f>'Debit AL Non Domestik'!J283</f>
        <v>1221.6144240490087</v>
      </c>
      <c r="S27" s="6">
        <f>'Debit AL Non Domestik'!T58</f>
        <v>122.13128653168317</v>
      </c>
      <c r="T27" s="6">
        <f>'Debit AL Non Domestik'!T83</f>
        <v>475.85967937529892</v>
      </c>
      <c r="U27" s="6">
        <f>'Debit AL Non Domestik'!T108</f>
        <v>452.33809826549322</v>
      </c>
      <c r="V27" s="6">
        <f>'Debit AL Non Domestik'!T133</f>
        <v>2706.7911800207112</v>
      </c>
      <c r="W27" s="6">
        <f>'Debit AL Non Domestik'!T158</f>
        <v>7964.7692342588052</v>
      </c>
      <c r="X27" s="6">
        <f>'Debit AL Non Domestik'!T183</f>
        <v>7.5259339514371426</v>
      </c>
      <c r="Y27" s="6">
        <f>'Debit AL Non Domestik'!T208</f>
        <v>2.1502668432677545</v>
      </c>
      <c r="Z27" s="6">
        <f t="shared" si="0"/>
        <v>30247.633705392833</v>
      </c>
      <c r="AA27" s="349">
        <f t="shared" si="2"/>
        <v>101022.94006135795</v>
      </c>
      <c r="AB27" s="350"/>
      <c r="AC27" s="350"/>
    </row>
    <row r="28" spans="3:29" x14ac:dyDescent="0.3">
      <c r="C28" s="4">
        <v>2043</v>
      </c>
      <c r="D28" s="333">
        <f>'Proyeksi Penduduk'!C94</f>
        <v>496207.56858679897</v>
      </c>
      <c r="E28" s="350"/>
      <c r="F28" s="349">
        <f>'Debit AL Domestik'!L34</f>
        <v>72049.338958803215</v>
      </c>
      <c r="G28" s="349"/>
      <c r="H28" s="349"/>
      <c r="I28" s="6">
        <f>'Debit AL Non Domestik'!J59</f>
        <v>1541.6495908402894</v>
      </c>
      <c r="J28" s="6">
        <f>'Debit AL Non Domestik'!J84</f>
        <v>3307.7539113814632</v>
      </c>
      <c r="K28" s="6">
        <f>'Debit AL Non Domestik'!J109</f>
        <v>487.30303158744772</v>
      </c>
      <c r="L28" s="6">
        <f>'Debit AL Non Domestik'!J134</f>
        <v>2824.1425694272543</v>
      </c>
      <c r="M28" s="6">
        <f>'Debit AL Non Domestik'!J159</f>
        <v>1628.0351282580641</v>
      </c>
      <c r="N28" s="6">
        <f>'Debit AL Non Domestik'!J184</f>
        <v>2339.054551619749</v>
      </c>
      <c r="O28" s="6">
        <f>'Debit AL Non Domestik'!J209</f>
        <v>4323.7068984486268</v>
      </c>
      <c r="P28" s="6">
        <f>'Debit AL Non Domestik'!J234</f>
        <v>1134.0870553307873</v>
      </c>
      <c r="Q28" s="6">
        <f>'Debit AL Non Domestik'!J259</f>
        <v>57.528830117962571</v>
      </c>
      <c r="R28" s="6">
        <f>'Debit AL Non Domestik'!J284</f>
        <v>1246.252892020676</v>
      </c>
      <c r="S28" s="6">
        <f>'Debit AL Non Domestik'!T59</f>
        <v>124.59452512179062</v>
      </c>
      <c r="T28" s="6">
        <f>'Debit AL Non Domestik'!T84</f>
        <v>485.45718677082868</v>
      </c>
      <c r="U28" s="6">
        <f>'Debit AL Non Domestik'!T109</f>
        <v>461.46120415477998</v>
      </c>
      <c r="V28" s="6">
        <f>'Debit AL Non Domestik'!T134</f>
        <v>2761.3838456622043</v>
      </c>
      <c r="W28" s="6">
        <f>'Debit AL Non Domestik'!T159</f>
        <v>8125.4088827573678</v>
      </c>
      <c r="X28" s="6">
        <f>'Debit AL Non Domestik'!T184</f>
        <v>7.6614089598067645</v>
      </c>
      <c r="Y28" s="6">
        <f>'Debit AL Non Domestik'!T209</f>
        <v>2.1889739885162185</v>
      </c>
      <c r="Z28" s="6">
        <f t="shared" si="0"/>
        <v>30857.670486447612</v>
      </c>
      <c r="AA28" s="349">
        <f t="shared" si="2"/>
        <v>102907.00944525082</v>
      </c>
      <c r="AB28" s="350"/>
      <c r="AC28" s="350"/>
    </row>
    <row r="31" spans="3:29" x14ac:dyDescent="0.3">
      <c r="C31" s="330" t="s">
        <v>98</v>
      </c>
      <c r="D31" s="327" t="s">
        <v>223</v>
      </c>
      <c r="E31" s="327"/>
      <c r="F31" s="360" t="s">
        <v>330</v>
      </c>
      <c r="G31" s="360" t="s">
        <v>332</v>
      </c>
      <c r="H31" s="360" t="s">
        <v>333</v>
      </c>
      <c r="I31" s="360" t="s">
        <v>334</v>
      </c>
      <c r="J31" s="360" t="s">
        <v>335</v>
      </c>
      <c r="K31" s="360" t="s">
        <v>331</v>
      </c>
      <c r="L31" s="360" t="s">
        <v>336</v>
      </c>
      <c r="M31" s="360" t="s">
        <v>337</v>
      </c>
      <c r="N31" s="360" t="s">
        <v>338</v>
      </c>
      <c r="O31" s="360" t="s">
        <v>336</v>
      </c>
      <c r="P31" s="360" t="s">
        <v>337</v>
      </c>
      <c r="Q31" s="360" t="s">
        <v>338</v>
      </c>
    </row>
    <row r="32" spans="3:29" x14ac:dyDescent="0.3">
      <c r="C32" s="330"/>
      <c r="D32" s="327"/>
      <c r="E32" s="327"/>
      <c r="F32" s="360"/>
      <c r="G32" s="360"/>
      <c r="H32" s="360"/>
      <c r="I32" s="360"/>
      <c r="J32" s="360"/>
      <c r="K32" s="360"/>
      <c r="L32" s="360"/>
      <c r="M32" s="360"/>
      <c r="N32" s="360"/>
      <c r="O32" s="360"/>
      <c r="P32" s="360"/>
      <c r="Q32" s="360"/>
    </row>
    <row r="33" spans="3:17" x14ac:dyDescent="0.3">
      <c r="C33" s="330"/>
      <c r="D33" s="327"/>
      <c r="E33" s="327"/>
      <c r="F33" s="360"/>
      <c r="G33" s="360"/>
      <c r="H33" s="157" t="s">
        <v>328</v>
      </c>
      <c r="I33" s="157" t="s">
        <v>328</v>
      </c>
      <c r="J33" s="157" t="s">
        <v>328</v>
      </c>
      <c r="K33" s="360"/>
      <c r="L33" s="157" t="s">
        <v>328</v>
      </c>
      <c r="M33" s="157" t="s">
        <v>328</v>
      </c>
      <c r="N33" s="157" t="s">
        <v>328</v>
      </c>
      <c r="O33" s="157" t="s">
        <v>451</v>
      </c>
      <c r="P33" s="157" t="s">
        <v>451</v>
      </c>
      <c r="Q33" s="157" t="s">
        <v>451</v>
      </c>
    </row>
    <row r="34" spans="3:17" x14ac:dyDescent="0.3">
      <c r="C34" s="361" t="s">
        <v>319</v>
      </c>
      <c r="D34" s="361"/>
      <c r="E34" s="361"/>
      <c r="F34" s="361"/>
      <c r="G34" s="361"/>
      <c r="H34" s="361"/>
      <c r="I34" s="361"/>
      <c r="J34" s="361"/>
      <c r="K34" s="361"/>
      <c r="L34" s="361"/>
      <c r="M34" s="361"/>
      <c r="N34" s="361"/>
      <c r="O34" s="361"/>
      <c r="P34" s="361"/>
      <c r="Q34" s="361"/>
    </row>
    <row r="35" spans="3:17" x14ac:dyDescent="0.3">
      <c r="C35" s="14">
        <v>2023</v>
      </c>
      <c r="D35" s="309">
        <f>'Proyeksi Penduduk'!C74</f>
        <v>353546.68827355222</v>
      </c>
      <c r="E35" s="247"/>
      <c r="F35" s="112">
        <f>AA7</f>
        <v>72450.428993761379</v>
      </c>
      <c r="G35" s="144">
        <f>'Rencana Pengembangan'!D17</f>
        <v>0.8</v>
      </c>
      <c r="H35" s="112">
        <f>F35*G35</f>
        <v>57960.343195009104</v>
      </c>
      <c r="I35" s="112">
        <f t="shared" ref="I35:I56" si="3">F35*G35*$C$62</f>
        <v>104328.61775101638</v>
      </c>
      <c r="J35" s="112">
        <f>F35*G35*$D$62</f>
        <v>17388.102958502732</v>
      </c>
      <c r="K35" s="144">
        <f>'Rencana Pengembangan'!D18</f>
        <v>0.2</v>
      </c>
      <c r="L35" s="14">
        <f>F35*K35</f>
        <v>14490.085798752276</v>
      </c>
      <c r="M35" s="112">
        <f>F35*K35*$C$62</f>
        <v>26082.154437754096</v>
      </c>
      <c r="N35" s="112">
        <f>F35*K35*$D$62</f>
        <v>4347.0257396256829</v>
      </c>
      <c r="O35" s="165">
        <f>L35/86400</f>
        <v>0.16770932637444763</v>
      </c>
      <c r="P35" s="165">
        <f>M35/86400</f>
        <v>0.30187678747400576</v>
      </c>
      <c r="Q35" s="165">
        <f>N35/86400</f>
        <v>5.0312797912334291E-2</v>
      </c>
    </row>
    <row r="36" spans="3:17" x14ac:dyDescent="0.3">
      <c r="C36" s="14">
        <v>2024</v>
      </c>
      <c r="D36" s="309">
        <f>'Proyeksi Penduduk'!C75</f>
        <v>359910.91374536429</v>
      </c>
      <c r="E36" s="247"/>
      <c r="F36" s="112">
        <f t="shared" ref="F36:F45" si="4">AA8</f>
        <v>73800.372102017092</v>
      </c>
      <c r="G36" s="144">
        <v>0.78</v>
      </c>
      <c r="H36" s="112">
        <f t="shared" ref="H36:H56" si="5">F36*G36</f>
        <v>57564.290239573333</v>
      </c>
      <c r="I36" s="112">
        <f t="shared" si="3"/>
        <v>103615.722431232</v>
      </c>
      <c r="J36" s="112">
        <f t="shared" ref="J36:J56" si="6">F36*G36*$D$62</f>
        <v>17269.287071872001</v>
      </c>
      <c r="K36" s="144">
        <v>0.22</v>
      </c>
      <c r="L36" s="14">
        <f t="shared" ref="L36:L56" si="7">F36*K36</f>
        <v>16236.08186244376</v>
      </c>
      <c r="M36" s="112">
        <f t="shared" ref="M36:M56" si="8">F36*K36*$C$62</f>
        <v>29224.947352398769</v>
      </c>
      <c r="N36" s="112">
        <f t="shared" ref="N36:N56" si="9">F36*K36*$D$62</f>
        <v>4870.8245587331276</v>
      </c>
      <c r="O36" s="165">
        <f t="shared" ref="O36:O45" si="10">L36/86400</f>
        <v>0.18791761414865463</v>
      </c>
      <c r="P36" s="165">
        <f t="shared" ref="P36:P45" si="11">M36/86400</f>
        <v>0.33825170546757832</v>
      </c>
      <c r="Q36" s="165">
        <f t="shared" ref="Q36:Q45" si="12">N36/86400</f>
        <v>5.6375284244596383E-2</v>
      </c>
    </row>
    <row r="37" spans="3:17" x14ac:dyDescent="0.3">
      <c r="C37" s="14">
        <v>2025</v>
      </c>
      <c r="D37" s="309">
        <f>'Proyeksi Penduduk'!C76</f>
        <v>366389.70220758044</v>
      </c>
      <c r="E37" s="247"/>
      <c r="F37" s="112">
        <f t="shared" si="4"/>
        <v>75175.538508652302</v>
      </c>
      <c r="G37" s="144">
        <v>0.76</v>
      </c>
      <c r="H37" s="112">
        <f t="shared" si="5"/>
        <v>57133.409266575749</v>
      </c>
      <c r="I37" s="112">
        <f t="shared" si="3"/>
        <v>102840.13667983635</v>
      </c>
      <c r="J37" s="112">
        <f t="shared" si="6"/>
        <v>17140.022779972725</v>
      </c>
      <c r="K37" s="144">
        <v>0.24</v>
      </c>
      <c r="L37" s="14">
        <f t="shared" si="7"/>
        <v>18042.129242076553</v>
      </c>
      <c r="M37" s="112">
        <f t="shared" si="8"/>
        <v>32475.832635737795</v>
      </c>
      <c r="N37" s="112">
        <f t="shared" si="9"/>
        <v>5412.6387726229659</v>
      </c>
      <c r="O37" s="165">
        <f t="shared" si="10"/>
        <v>0.20882094030181195</v>
      </c>
      <c r="P37" s="165">
        <f t="shared" si="11"/>
        <v>0.37587769254326153</v>
      </c>
      <c r="Q37" s="165">
        <f t="shared" si="12"/>
        <v>6.2646282090543584E-2</v>
      </c>
    </row>
    <row r="38" spans="3:17" x14ac:dyDescent="0.3">
      <c r="C38" s="14">
        <v>2026</v>
      </c>
      <c r="D38" s="309">
        <f>'Proyeksi Penduduk'!C77</f>
        <v>372985.1159188099</v>
      </c>
      <c r="E38" s="247"/>
      <c r="F38" s="112">
        <f t="shared" si="4"/>
        <v>76576.400873308026</v>
      </c>
      <c r="G38" s="144">
        <v>0.74</v>
      </c>
      <c r="H38" s="112">
        <f t="shared" si="5"/>
        <v>56666.536646247936</v>
      </c>
      <c r="I38" s="112">
        <f t="shared" si="3"/>
        <v>101999.76596324629</v>
      </c>
      <c r="J38" s="112">
        <f t="shared" si="6"/>
        <v>16999.960993874382</v>
      </c>
      <c r="K38" s="144">
        <v>0.26</v>
      </c>
      <c r="L38" s="14">
        <f t="shared" si="7"/>
        <v>19909.864227060087</v>
      </c>
      <c r="M38" s="112">
        <f t="shared" si="8"/>
        <v>35837.755608708154</v>
      </c>
      <c r="N38" s="112">
        <f t="shared" si="9"/>
        <v>5972.9592681180256</v>
      </c>
      <c r="O38" s="165">
        <f t="shared" si="10"/>
        <v>0.23043824336875102</v>
      </c>
      <c r="P38" s="165">
        <f t="shared" si="11"/>
        <v>0.41478883806375177</v>
      </c>
      <c r="Q38" s="165">
        <f t="shared" si="12"/>
        <v>6.9131473010625291E-2</v>
      </c>
    </row>
    <row r="39" spans="3:17" x14ac:dyDescent="0.3">
      <c r="C39" s="14">
        <v>2027</v>
      </c>
      <c r="D39" s="309">
        <f>'Proyeksi Penduduk'!C78</f>
        <v>379699.25426056294</v>
      </c>
      <c r="E39" s="247"/>
      <c r="F39" s="112">
        <f t="shared" si="4"/>
        <v>78003.440739410915</v>
      </c>
      <c r="G39" s="144">
        <v>0.7</v>
      </c>
      <c r="H39" s="112">
        <f t="shared" si="5"/>
        <v>54602.408517587639</v>
      </c>
      <c r="I39" s="112">
        <f t="shared" si="3"/>
        <v>98284.335331657756</v>
      </c>
      <c r="J39" s="112">
        <f t="shared" si="6"/>
        <v>16380.72255527629</v>
      </c>
      <c r="K39" s="144">
        <v>0.3</v>
      </c>
      <c r="L39" s="14">
        <f t="shared" si="7"/>
        <v>23401.032221823272</v>
      </c>
      <c r="M39" s="112">
        <f t="shared" si="8"/>
        <v>42121.857999281892</v>
      </c>
      <c r="N39" s="112">
        <f t="shared" si="9"/>
        <v>7020.3096665469811</v>
      </c>
      <c r="O39" s="165">
        <f t="shared" si="10"/>
        <v>0.27084528034517674</v>
      </c>
      <c r="P39" s="165">
        <f t="shared" si="11"/>
        <v>0.48752150462131821</v>
      </c>
      <c r="Q39" s="165">
        <f t="shared" si="12"/>
        <v>8.1253584103553017E-2</v>
      </c>
    </row>
    <row r="40" spans="3:17" x14ac:dyDescent="0.3">
      <c r="C40" s="14">
        <v>2028</v>
      </c>
      <c r="D40" s="309">
        <f>'Proyeksi Penduduk'!C79</f>
        <v>386534.25440550392</v>
      </c>
      <c r="E40" s="247"/>
      <c r="F40" s="112">
        <f t="shared" si="4"/>
        <v>79457.148701662562</v>
      </c>
      <c r="G40" s="144">
        <v>0.65</v>
      </c>
      <c r="H40" s="112">
        <f t="shared" si="5"/>
        <v>51647.146656080666</v>
      </c>
      <c r="I40" s="112">
        <f t="shared" si="3"/>
        <v>92964.8639809452</v>
      </c>
      <c r="J40" s="112">
        <f t="shared" si="6"/>
        <v>15494.143996824199</v>
      </c>
      <c r="K40" s="144">
        <v>0.35</v>
      </c>
      <c r="L40" s="14">
        <f t="shared" si="7"/>
        <v>27810.002045581896</v>
      </c>
      <c r="M40" s="112">
        <f t="shared" si="8"/>
        <v>50058.003682047412</v>
      </c>
      <c r="N40" s="112">
        <f t="shared" si="9"/>
        <v>8343.0006136745687</v>
      </c>
      <c r="O40" s="165">
        <f t="shared" si="10"/>
        <v>0.32187502367571641</v>
      </c>
      <c r="P40" s="165">
        <f t="shared" si="11"/>
        <v>0.57937504261628947</v>
      </c>
      <c r="Q40" s="165">
        <f t="shared" si="12"/>
        <v>9.6562507102714912E-2</v>
      </c>
    </row>
    <row r="41" spans="3:17" x14ac:dyDescent="0.3">
      <c r="C41" s="14">
        <v>2029</v>
      </c>
      <c r="D41" s="309">
        <f>'Proyeksi Penduduk'!C80</f>
        <v>393492.29199773283</v>
      </c>
      <c r="E41" s="247"/>
      <c r="F41" s="112">
        <f t="shared" si="4"/>
        <v>80938.024576696072</v>
      </c>
      <c r="G41" s="144">
        <v>0.63</v>
      </c>
      <c r="H41" s="112">
        <f t="shared" si="5"/>
        <v>50990.955483318525</v>
      </c>
      <c r="I41" s="112">
        <f t="shared" si="3"/>
        <v>91783.719869973342</v>
      </c>
      <c r="J41" s="112">
        <f t="shared" si="6"/>
        <v>15297.286644995556</v>
      </c>
      <c r="K41" s="144">
        <v>0.37</v>
      </c>
      <c r="L41" s="14">
        <f t="shared" si="7"/>
        <v>29947.069093377548</v>
      </c>
      <c r="M41" s="112">
        <f>F41*K41*$C$62</f>
        <v>53904.724368079587</v>
      </c>
      <c r="N41" s="112">
        <f t="shared" si="9"/>
        <v>8984.1207280132639</v>
      </c>
      <c r="O41" s="165">
        <f t="shared" si="10"/>
        <v>0.34660959598816604</v>
      </c>
      <c r="P41" s="165">
        <f t="shared" si="11"/>
        <v>0.62389727277869889</v>
      </c>
      <c r="Q41" s="165">
        <f t="shared" si="12"/>
        <v>0.10398287879644981</v>
      </c>
    </row>
    <row r="42" spans="3:17" x14ac:dyDescent="0.3">
      <c r="C42" s="14">
        <v>2030</v>
      </c>
      <c r="D42" s="309">
        <f>'Proyeksi Penduduk'!C81</f>
        <v>400575.58184531319</v>
      </c>
      <c r="E42" s="247"/>
      <c r="F42" s="112">
        <f t="shared" si="4"/>
        <v>82446.577576960903</v>
      </c>
      <c r="G42" s="144">
        <v>0.6</v>
      </c>
      <c r="H42" s="112">
        <f t="shared" si="5"/>
        <v>49467.946546176543</v>
      </c>
      <c r="I42" s="112">
        <f t="shared" si="3"/>
        <v>89042.303783117779</v>
      </c>
      <c r="J42" s="112">
        <f t="shared" si="6"/>
        <v>14840.383963852963</v>
      </c>
      <c r="K42" s="144">
        <v>0.4</v>
      </c>
      <c r="L42" s="14">
        <f t="shared" si="7"/>
        <v>32978.63103078436</v>
      </c>
      <c r="M42" s="112">
        <f t="shared" si="8"/>
        <v>59361.53585541185</v>
      </c>
      <c r="N42" s="112">
        <f t="shared" si="9"/>
        <v>9893.5893092353072</v>
      </c>
      <c r="O42" s="165">
        <f t="shared" si="10"/>
        <v>0.381697118411856</v>
      </c>
      <c r="P42" s="165">
        <f t="shared" si="11"/>
        <v>0.68705481314134087</v>
      </c>
      <c r="Q42" s="165">
        <f t="shared" si="12"/>
        <v>0.11450913552355679</v>
      </c>
    </row>
    <row r="43" spans="3:17" x14ac:dyDescent="0.3">
      <c r="C43" s="14">
        <v>2031</v>
      </c>
      <c r="D43" s="309">
        <f>'Proyeksi Penduduk'!C82</f>
        <v>407786.3786252659</v>
      </c>
      <c r="E43" s="247"/>
      <c r="F43" s="112">
        <f t="shared" si="4"/>
        <v>83983.32648789628</v>
      </c>
      <c r="G43" s="144">
        <v>0.56000000000000005</v>
      </c>
      <c r="H43" s="112">
        <f t="shared" si="5"/>
        <v>47030.662833221919</v>
      </c>
      <c r="I43" s="112">
        <f t="shared" si="3"/>
        <v>84655.19309979945</v>
      </c>
      <c r="J43" s="112">
        <f t="shared" si="6"/>
        <v>14109.198849966575</v>
      </c>
      <c r="K43" s="144">
        <v>0.44</v>
      </c>
      <c r="L43" s="14">
        <f t="shared" si="7"/>
        <v>36952.663654674361</v>
      </c>
      <c r="M43" s="112">
        <f t="shared" si="8"/>
        <v>66514.794578413857</v>
      </c>
      <c r="N43" s="112">
        <f t="shared" si="9"/>
        <v>11085.799096402308</v>
      </c>
      <c r="O43" s="165">
        <f t="shared" si="10"/>
        <v>0.42769286637354587</v>
      </c>
      <c r="P43" s="165">
        <f t="shared" si="11"/>
        <v>0.76984715947238258</v>
      </c>
      <c r="Q43" s="165">
        <f t="shared" si="12"/>
        <v>0.12830785991206375</v>
      </c>
    </row>
    <row r="44" spans="3:17" x14ac:dyDescent="0.3">
      <c r="C44" s="14">
        <v>2032</v>
      </c>
      <c r="D44" s="309">
        <f>'Proyeksi Penduduk'!C83</f>
        <v>415126.97760125442</v>
      </c>
      <c r="E44" s="247"/>
      <c r="F44" s="112">
        <f t="shared" si="4"/>
        <v>85548.799848456518</v>
      </c>
      <c r="G44" s="144">
        <v>0.52</v>
      </c>
      <c r="H44" s="112">
        <f t="shared" si="5"/>
        <v>44485.375921197388</v>
      </c>
      <c r="I44" s="112">
        <f t="shared" si="3"/>
        <v>80073.676658155295</v>
      </c>
      <c r="J44" s="112">
        <f t="shared" si="6"/>
        <v>13345.612776359216</v>
      </c>
      <c r="K44" s="144">
        <v>0.48</v>
      </c>
      <c r="L44" s="14">
        <f t="shared" si="7"/>
        <v>41063.423927259129</v>
      </c>
      <c r="M44" s="112">
        <f t="shared" si="8"/>
        <v>73914.163069066431</v>
      </c>
      <c r="N44" s="112">
        <f t="shared" si="9"/>
        <v>12319.027178177739</v>
      </c>
      <c r="O44" s="165">
        <f t="shared" si="10"/>
        <v>0.47527111026920288</v>
      </c>
      <c r="P44" s="165">
        <f t="shared" si="11"/>
        <v>0.85548799848456514</v>
      </c>
      <c r="Q44" s="165">
        <f t="shared" si="12"/>
        <v>0.14258133308076087</v>
      </c>
    </row>
    <row r="45" spans="3:17" x14ac:dyDescent="0.3">
      <c r="C45" s="14">
        <v>2033</v>
      </c>
      <c r="D45" s="309">
        <f>'Proyeksi Penduduk'!C84</f>
        <v>422599.71535418753</v>
      </c>
      <c r="E45" s="247"/>
      <c r="F45" s="112">
        <f t="shared" si="4"/>
        <v>87143.536135050963</v>
      </c>
      <c r="G45" s="144">
        <f>'Rencana Pengembangan'!J17</f>
        <v>0.5</v>
      </c>
      <c r="H45" s="112">
        <f t="shared" si="5"/>
        <v>43571.768067525481</v>
      </c>
      <c r="I45" s="112">
        <f t="shared" si="3"/>
        <v>78429.182521545867</v>
      </c>
      <c r="J45" s="112">
        <f t="shared" si="6"/>
        <v>13071.530420257644</v>
      </c>
      <c r="K45" s="144">
        <v>0.5</v>
      </c>
      <c r="L45" s="14">
        <f t="shared" si="7"/>
        <v>43571.768067525481</v>
      </c>
      <c r="M45" s="112">
        <f t="shared" si="8"/>
        <v>78429.182521545867</v>
      </c>
      <c r="N45" s="112">
        <f t="shared" si="9"/>
        <v>13071.530420257644</v>
      </c>
      <c r="O45" s="166">
        <f t="shared" si="10"/>
        <v>0.5043028711519153</v>
      </c>
      <c r="P45" s="166">
        <f t="shared" si="11"/>
        <v>0.90774516807344752</v>
      </c>
      <c r="Q45" s="166">
        <f t="shared" si="12"/>
        <v>0.1512908613455746</v>
      </c>
    </row>
    <row r="46" spans="3:17" x14ac:dyDescent="0.3">
      <c r="C46" s="362" t="s">
        <v>318</v>
      </c>
      <c r="D46" s="362"/>
      <c r="E46" s="362"/>
      <c r="F46" s="362"/>
      <c r="G46" s="362"/>
      <c r="H46" s="362"/>
      <c r="I46" s="362"/>
      <c r="J46" s="362"/>
      <c r="K46" s="362"/>
      <c r="L46" s="362"/>
      <c r="M46" s="362"/>
      <c r="N46" s="362"/>
      <c r="O46" s="362"/>
      <c r="P46" s="362"/>
      <c r="Q46" s="362"/>
    </row>
    <row r="47" spans="3:17" x14ac:dyDescent="0.3">
      <c r="C47" s="14">
        <v>2034</v>
      </c>
      <c r="D47" s="309">
        <f>'Proyeksi Penduduk'!C85</f>
        <v>430206.9705259761</v>
      </c>
      <c r="E47" s="247"/>
      <c r="F47" s="112">
        <f t="shared" ref="F47:F56" si="13">AA19</f>
        <v>88768.083948964166</v>
      </c>
      <c r="G47" s="144">
        <v>0.45</v>
      </c>
      <c r="H47" s="112">
        <f t="shared" si="5"/>
        <v>39945.637777033873</v>
      </c>
      <c r="I47" s="112">
        <f t="shared" si="3"/>
        <v>71902.147998660977</v>
      </c>
      <c r="J47" s="112">
        <f t="shared" si="6"/>
        <v>11983.691333110162</v>
      </c>
      <c r="K47" s="144">
        <v>0.55000000000000004</v>
      </c>
      <c r="L47" s="14">
        <f t="shared" si="7"/>
        <v>48822.446171930293</v>
      </c>
      <c r="M47" s="112">
        <f t="shared" si="8"/>
        <v>87880.40310947453</v>
      </c>
      <c r="N47" s="112">
        <f t="shared" si="9"/>
        <v>14646.733851579087</v>
      </c>
      <c r="O47" s="165">
        <f>L47/86400</f>
        <v>0.56507460847141544</v>
      </c>
      <c r="P47" s="165">
        <f>M47/86400</f>
        <v>1.0171342952485478</v>
      </c>
      <c r="Q47" s="165">
        <f>N47/86400</f>
        <v>0.16952238254142463</v>
      </c>
    </row>
    <row r="48" spans="3:17" x14ac:dyDescent="0.3">
      <c r="C48" s="14">
        <v>2035</v>
      </c>
      <c r="D48" s="309">
        <f>'Proyeksi Penduduk'!C86</f>
        <v>430206.9705259761</v>
      </c>
      <c r="E48" s="247"/>
      <c r="F48" s="112">
        <f t="shared" si="13"/>
        <v>88768.083948964166</v>
      </c>
      <c r="G48" s="144">
        <v>0.43</v>
      </c>
      <c r="H48" s="112">
        <f t="shared" si="5"/>
        <v>38170.276098054594</v>
      </c>
      <c r="I48" s="112">
        <f t="shared" si="3"/>
        <v>68706.496976498267</v>
      </c>
      <c r="J48" s="112">
        <f t="shared" si="6"/>
        <v>11451.082829416378</v>
      </c>
      <c r="K48" s="144">
        <v>0.56999999999999995</v>
      </c>
      <c r="L48" s="14">
        <f t="shared" si="7"/>
        <v>50597.807850909572</v>
      </c>
      <c r="M48" s="112">
        <f t="shared" si="8"/>
        <v>91076.054131637226</v>
      </c>
      <c r="N48" s="112">
        <f t="shared" si="9"/>
        <v>15179.342355272871</v>
      </c>
      <c r="O48" s="165">
        <f t="shared" ref="O48:O55" si="14">L48/86400</f>
        <v>0.58562277605219415</v>
      </c>
      <c r="P48" s="165">
        <f t="shared" ref="P48:P56" si="15">M48/86400</f>
        <v>1.0541209968939493</v>
      </c>
      <c r="Q48" s="165">
        <f t="shared" ref="Q48:Q56" si="16">N48/86400</f>
        <v>0.17568683281565822</v>
      </c>
    </row>
    <row r="49" spans="3:17" x14ac:dyDescent="0.3">
      <c r="C49" s="14">
        <v>2036</v>
      </c>
      <c r="D49" s="309">
        <f>'Proyeksi Penduduk'!C87</f>
        <v>437951.16457667551</v>
      </c>
      <c r="E49" s="247"/>
      <c r="F49" s="112">
        <f t="shared" si="13"/>
        <v>90423.002207321653</v>
      </c>
      <c r="G49" s="144">
        <v>0.4</v>
      </c>
      <c r="H49" s="112">
        <f t="shared" si="5"/>
        <v>36169.200882928664</v>
      </c>
      <c r="I49" s="112">
        <f t="shared" si="3"/>
        <v>65104.561589271594</v>
      </c>
      <c r="J49" s="112">
        <f t="shared" si="6"/>
        <v>10850.7602648786</v>
      </c>
      <c r="K49" s="144">
        <v>0.6</v>
      </c>
      <c r="L49" s="14">
        <f t="shared" si="7"/>
        <v>54253.801324392989</v>
      </c>
      <c r="M49" s="112">
        <f t="shared" si="8"/>
        <v>97656.84238390738</v>
      </c>
      <c r="N49" s="112">
        <f t="shared" si="9"/>
        <v>16276.140397317897</v>
      </c>
      <c r="O49" s="165">
        <f t="shared" si="14"/>
        <v>0.62793751532862252</v>
      </c>
      <c r="P49" s="165">
        <f t="shared" si="15"/>
        <v>1.1302875275915205</v>
      </c>
      <c r="Q49" s="165">
        <f t="shared" si="16"/>
        <v>0.18838125459858676</v>
      </c>
    </row>
    <row r="50" spans="3:17" x14ac:dyDescent="0.3">
      <c r="C50" s="14">
        <v>2037</v>
      </c>
      <c r="D50" s="309">
        <f>'Proyeksi Penduduk'!C88</f>
        <v>445834.76255526009</v>
      </c>
      <c r="E50" s="247"/>
      <c r="F50" s="112">
        <f t="shared" si="13"/>
        <v>92108.860337669146</v>
      </c>
      <c r="G50" s="144">
        <v>0.37</v>
      </c>
      <c r="H50" s="112">
        <f t="shared" si="5"/>
        <v>34080.278324937586</v>
      </c>
      <c r="I50" s="112">
        <f t="shared" si="3"/>
        <v>61344.500984887658</v>
      </c>
      <c r="J50" s="112">
        <f t="shared" si="6"/>
        <v>10224.083497481275</v>
      </c>
      <c r="K50" s="144">
        <v>0.63</v>
      </c>
      <c r="L50" s="14">
        <f>F50*K50</f>
        <v>58028.58201273156</v>
      </c>
      <c r="M50" s="112">
        <f t="shared" si="8"/>
        <v>104451.44762291681</v>
      </c>
      <c r="N50" s="112">
        <f t="shared" si="9"/>
        <v>17408.574603819467</v>
      </c>
      <c r="O50" s="165">
        <f t="shared" si="14"/>
        <v>0.67162710662883751</v>
      </c>
      <c r="P50" s="165">
        <f t="shared" si="15"/>
        <v>1.2089287919319074</v>
      </c>
      <c r="Q50" s="165">
        <f t="shared" si="16"/>
        <v>0.20148813198865123</v>
      </c>
    </row>
    <row r="51" spans="3:17" x14ac:dyDescent="0.3">
      <c r="C51" s="14">
        <v>2038</v>
      </c>
      <c r="D51" s="309">
        <f>'Proyeksi Penduduk'!C89</f>
        <v>453860.2738842704</v>
      </c>
      <c r="E51" s="247"/>
      <c r="F51" s="112">
        <f t="shared" si="13"/>
        <v>93826.238476233397</v>
      </c>
      <c r="G51" s="144">
        <v>0.35</v>
      </c>
      <c r="H51" s="112">
        <f t="shared" si="5"/>
        <v>32839.183466681687</v>
      </c>
      <c r="I51" s="112">
        <f t="shared" si="3"/>
        <v>59110.530240027038</v>
      </c>
      <c r="J51" s="112">
        <f t="shared" si="6"/>
        <v>9851.7550400045056</v>
      </c>
      <c r="K51" s="144">
        <v>0.65</v>
      </c>
      <c r="L51" s="14">
        <f t="shared" si="7"/>
        <v>60987.05500955171</v>
      </c>
      <c r="M51" s="112">
        <f t="shared" si="8"/>
        <v>109776.69901719308</v>
      </c>
      <c r="N51" s="112">
        <f t="shared" si="9"/>
        <v>18296.116502865512</v>
      </c>
      <c r="O51" s="165">
        <f t="shared" si="14"/>
        <v>0.70586869224018178</v>
      </c>
      <c r="P51" s="165">
        <f t="shared" si="15"/>
        <v>1.2705636460323273</v>
      </c>
      <c r="Q51" s="165">
        <f t="shared" si="16"/>
        <v>0.21176060767205454</v>
      </c>
    </row>
    <row r="52" spans="3:17" x14ac:dyDescent="0.3">
      <c r="C52" s="14">
        <v>2039</v>
      </c>
      <c r="D52" s="309">
        <f>'Proyeksi Penduduk'!C90</f>
        <v>462030.25315858622</v>
      </c>
      <c r="E52" s="247"/>
      <c r="F52" s="112">
        <f t="shared" si="13"/>
        <v>95575.7276699348</v>
      </c>
      <c r="G52" s="144">
        <v>0.32</v>
      </c>
      <c r="H52" s="112">
        <f t="shared" si="5"/>
        <v>30584.232854379137</v>
      </c>
      <c r="I52" s="112">
        <f t="shared" si="3"/>
        <v>55051.619137882451</v>
      </c>
      <c r="J52" s="112">
        <f t="shared" si="6"/>
        <v>9175.2698563137401</v>
      </c>
      <c r="K52" s="144">
        <v>0.68</v>
      </c>
      <c r="L52" s="14">
        <f t="shared" si="7"/>
        <v>64991.49481555567</v>
      </c>
      <c r="M52" s="112">
        <f t="shared" si="8"/>
        <v>116984.69066800021</v>
      </c>
      <c r="N52" s="112">
        <f t="shared" si="9"/>
        <v>19497.448444666701</v>
      </c>
      <c r="O52" s="165">
        <f t="shared" si="14"/>
        <v>0.75221637518004247</v>
      </c>
      <c r="P52" s="165">
        <f t="shared" si="15"/>
        <v>1.3539894753240767</v>
      </c>
      <c r="Q52" s="165">
        <f t="shared" si="16"/>
        <v>0.22566491255401275</v>
      </c>
    </row>
    <row r="53" spans="3:17" x14ac:dyDescent="0.3">
      <c r="C53" s="14">
        <v>2040</v>
      </c>
      <c r="D53" s="309">
        <f>'Proyeksi Penduduk'!C91</f>
        <v>470347.30095857731</v>
      </c>
      <c r="E53" s="247"/>
      <c r="F53" s="112">
        <f t="shared" si="13"/>
        <v>97357.930082222898</v>
      </c>
      <c r="G53" s="144">
        <v>0.27</v>
      </c>
      <c r="H53" s="112">
        <f t="shared" si="5"/>
        <v>26286.641122200184</v>
      </c>
      <c r="I53" s="112">
        <f t="shared" si="3"/>
        <v>47315.954019960336</v>
      </c>
      <c r="J53" s="112">
        <f t="shared" si="6"/>
        <v>7885.9923366600551</v>
      </c>
      <c r="K53" s="144">
        <v>0.73</v>
      </c>
      <c r="L53" s="14">
        <f t="shared" si="7"/>
        <v>71071.288960022721</v>
      </c>
      <c r="M53" s="112">
        <f t="shared" si="8"/>
        <v>127928.3201280409</v>
      </c>
      <c r="N53" s="112">
        <f t="shared" si="9"/>
        <v>21321.386688006816</v>
      </c>
      <c r="O53" s="165">
        <f t="shared" si="14"/>
        <v>0.8225843629632259</v>
      </c>
      <c r="P53" s="165">
        <f t="shared" si="15"/>
        <v>1.4806518533338067</v>
      </c>
      <c r="Q53" s="165">
        <f t="shared" si="16"/>
        <v>0.24677530888896779</v>
      </c>
    </row>
    <row r="54" spans="3:17" x14ac:dyDescent="0.3">
      <c r="C54" s="14">
        <v>2041</v>
      </c>
      <c r="D54" s="309">
        <f>'Proyeksi Penduduk'!C92</f>
        <v>478814.06467789278</v>
      </c>
      <c r="E54" s="247"/>
      <c r="F54" s="112">
        <f t="shared" si="13"/>
        <v>99173.459202807237</v>
      </c>
      <c r="G54" s="144">
        <v>0.25</v>
      </c>
      <c r="H54" s="112">
        <f t="shared" si="5"/>
        <v>24793.364800701809</v>
      </c>
      <c r="I54" s="112">
        <f t="shared" si="3"/>
        <v>44628.056641263254</v>
      </c>
      <c r="J54" s="112">
        <f t="shared" si="6"/>
        <v>7438.0094402105424</v>
      </c>
      <c r="K54" s="144">
        <v>0.75</v>
      </c>
      <c r="L54" s="14">
        <f t="shared" si="7"/>
        <v>74380.094402105431</v>
      </c>
      <c r="M54" s="112">
        <f t="shared" si="8"/>
        <v>133884.16992378977</v>
      </c>
      <c r="N54" s="112">
        <f t="shared" si="9"/>
        <v>22314.028320631627</v>
      </c>
      <c r="O54" s="165">
        <f t="shared" si="14"/>
        <v>0.86088072224659062</v>
      </c>
      <c r="P54" s="165">
        <f t="shared" si="15"/>
        <v>1.5495853000438631</v>
      </c>
      <c r="Q54" s="165">
        <f t="shared" si="16"/>
        <v>0.25826421667397714</v>
      </c>
    </row>
    <row r="55" spans="3:17" x14ac:dyDescent="0.3">
      <c r="C55" s="14">
        <v>2042</v>
      </c>
      <c r="D55" s="309">
        <f>'Proyeksi Penduduk'!C93</f>
        <v>487433.23936615099</v>
      </c>
      <c r="E55" s="247"/>
      <c r="F55" s="112">
        <f t="shared" si="13"/>
        <v>101022.94006135795</v>
      </c>
      <c r="G55" s="144">
        <v>0.23</v>
      </c>
      <c r="H55" s="112">
        <f t="shared" si="5"/>
        <v>23235.276214112328</v>
      </c>
      <c r="I55" s="112">
        <f t="shared" si="3"/>
        <v>41823.497185402193</v>
      </c>
      <c r="J55" s="112">
        <f t="shared" si="6"/>
        <v>6970.5828642336983</v>
      </c>
      <c r="K55" s="144">
        <v>0.77</v>
      </c>
      <c r="L55" s="14">
        <f t="shared" si="7"/>
        <v>77787.663847245625</v>
      </c>
      <c r="M55" s="112">
        <f t="shared" si="8"/>
        <v>140017.79492504214</v>
      </c>
      <c r="N55" s="112">
        <f t="shared" si="9"/>
        <v>23336.299154173688</v>
      </c>
      <c r="O55" s="165">
        <f t="shared" si="14"/>
        <v>0.90032018341719477</v>
      </c>
      <c r="P55" s="165">
        <f t="shared" si="15"/>
        <v>1.6205763301509506</v>
      </c>
      <c r="Q55" s="165">
        <f t="shared" si="16"/>
        <v>0.27009605502515843</v>
      </c>
    </row>
    <row r="56" spans="3:17" x14ac:dyDescent="0.3">
      <c r="C56" s="14">
        <v>2043</v>
      </c>
      <c r="D56" s="309">
        <f>'Proyeksi Penduduk'!C94</f>
        <v>496207.56858679897</v>
      </c>
      <c r="E56" s="247"/>
      <c r="F56" s="112">
        <f t="shared" si="13"/>
        <v>102907.00944525082</v>
      </c>
      <c r="G56" s="144">
        <f>'Rencana Pengembangan'!P17</f>
        <v>0.2</v>
      </c>
      <c r="H56" s="112">
        <f t="shared" si="5"/>
        <v>20581.401889050165</v>
      </c>
      <c r="I56" s="112">
        <f t="shared" si="3"/>
        <v>37046.523400290294</v>
      </c>
      <c r="J56" s="112">
        <f t="shared" si="6"/>
        <v>6174.4205667150491</v>
      </c>
      <c r="K56" s="144">
        <f>'Rencana Pengembangan'!P18</f>
        <v>0.8</v>
      </c>
      <c r="L56" s="14">
        <f t="shared" si="7"/>
        <v>82325.607556200659</v>
      </c>
      <c r="M56" s="112">
        <f t="shared" si="8"/>
        <v>148186.09360116118</v>
      </c>
      <c r="N56" s="112">
        <f t="shared" si="9"/>
        <v>24697.682266860196</v>
      </c>
      <c r="O56" s="165">
        <f>L56/86400</f>
        <v>0.95284268004861872</v>
      </c>
      <c r="P56" s="165">
        <f t="shared" si="15"/>
        <v>1.7151168240875136</v>
      </c>
      <c r="Q56" s="165">
        <f t="shared" si="16"/>
        <v>0.28585280401458563</v>
      </c>
    </row>
    <row r="60" spans="3:17" x14ac:dyDescent="0.3">
      <c r="C60" t="s">
        <v>226</v>
      </c>
      <c r="D60"/>
      <c r="E60"/>
      <c r="F60"/>
      <c r="G60"/>
    </row>
    <row r="61" spans="3:17" x14ac:dyDescent="0.3">
      <c r="C61" s="52" t="s">
        <v>228</v>
      </c>
      <c r="D61" s="52" t="s">
        <v>229</v>
      </c>
      <c r="E61"/>
      <c r="F61"/>
      <c r="G61"/>
    </row>
    <row r="62" spans="3:17" x14ac:dyDescent="0.3">
      <c r="C62" s="51">
        <v>1.8</v>
      </c>
      <c r="D62" s="51">
        <v>0.3</v>
      </c>
      <c r="E62"/>
      <c r="F62"/>
      <c r="G62"/>
    </row>
    <row r="63" spans="3:17" x14ac:dyDescent="0.3">
      <c r="C63"/>
      <c r="D63"/>
      <c r="E63"/>
      <c r="F63"/>
      <c r="G63"/>
    </row>
  </sheetData>
  <mergeCells count="109">
    <mergeCell ref="D56:E56"/>
    <mergeCell ref="F31:F33"/>
    <mergeCell ref="D48:E48"/>
    <mergeCell ref="D49:E49"/>
    <mergeCell ref="D50:E50"/>
    <mergeCell ref="D51:E51"/>
    <mergeCell ref="D52:E52"/>
    <mergeCell ref="D42:E42"/>
    <mergeCell ref="D43:E43"/>
    <mergeCell ref="D44:E44"/>
    <mergeCell ref="D45:E45"/>
    <mergeCell ref="D47:E47"/>
    <mergeCell ref="D37:E37"/>
    <mergeCell ref="D38:E38"/>
    <mergeCell ref="D39:E39"/>
    <mergeCell ref="D40:E40"/>
    <mergeCell ref="D41:E41"/>
    <mergeCell ref="D35:E35"/>
    <mergeCell ref="D36:E36"/>
    <mergeCell ref="D53:E53"/>
    <mergeCell ref="D54:E54"/>
    <mergeCell ref="D55:E55"/>
    <mergeCell ref="C31:C33"/>
    <mergeCell ref="D31:E33"/>
    <mergeCell ref="O31:O32"/>
    <mergeCell ref="P31:P32"/>
    <mergeCell ref="Q31:Q32"/>
    <mergeCell ref="C34:Q34"/>
    <mergeCell ref="C46:Q46"/>
    <mergeCell ref="D28:E28"/>
    <mergeCell ref="F28:H28"/>
    <mergeCell ref="L31:L32"/>
    <mergeCell ref="M31:M32"/>
    <mergeCell ref="N31:N32"/>
    <mergeCell ref="K31:K33"/>
    <mergeCell ref="AA21:AC21"/>
    <mergeCell ref="AA22:AC22"/>
    <mergeCell ref="AA25:AC25"/>
    <mergeCell ref="F25:H25"/>
    <mergeCell ref="D26:E26"/>
    <mergeCell ref="D27:E27"/>
    <mergeCell ref="F26:H26"/>
    <mergeCell ref="F27:H27"/>
    <mergeCell ref="G31:G33"/>
    <mergeCell ref="H31:H32"/>
    <mergeCell ref="I31:I32"/>
    <mergeCell ref="J31:J32"/>
    <mergeCell ref="D25:E25"/>
    <mergeCell ref="AA26:AC26"/>
    <mergeCell ref="AA27:AC27"/>
    <mergeCell ref="AA28:AC28"/>
    <mergeCell ref="C18:AC18"/>
    <mergeCell ref="AA16:AC16"/>
    <mergeCell ref="AA17:AC17"/>
    <mergeCell ref="AA13:AC13"/>
    <mergeCell ref="AA14:AC14"/>
    <mergeCell ref="F16:H16"/>
    <mergeCell ref="F17:H17"/>
    <mergeCell ref="AA23:AC23"/>
    <mergeCell ref="AA24:AC24"/>
    <mergeCell ref="D19:E19"/>
    <mergeCell ref="D20:E20"/>
    <mergeCell ref="D21:E21"/>
    <mergeCell ref="D22:E22"/>
    <mergeCell ref="D23:E23"/>
    <mergeCell ref="F24:H24"/>
    <mergeCell ref="D17:E17"/>
    <mergeCell ref="F23:H23"/>
    <mergeCell ref="F19:H19"/>
    <mergeCell ref="F20:H20"/>
    <mergeCell ref="F21:H21"/>
    <mergeCell ref="F22:H22"/>
    <mergeCell ref="D24:E24"/>
    <mergeCell ref="AA19:AC19"/>
    <mergeCell ref="AA20:AC20"/>
    <mergeCell ref="C4:C5"/>
    <mergeCell ref="D4:E5"/>
    <mergeCell ref="D7:E7"/>
    <mergeCell ref="D8:E8"/>
    <mergeCell ref="D9:E9"/>
    <mergeCell ref="C6:AC6"/>
    <mergeCell ref="I4:Z4"/>
    <mergeCell ref="AA4:AC4"/>
    <mergeCell ref="AA5:AC5"/>
    <mergeCell ref="AA7:AC7"/>
    <mergeCell ref="AA8:AC8"/>
    <mergeCell ref="AA9:AC9"/>
    <mergeCell ref="AA11:AC11"/>
    <mergeCell ref="AA12:AC12"/>
    <mergeCell ref="F4:H4"/>
    <mergeCell ref="D11:E11"/>
    <mergeCell ref="D12:E12"/>
    <mergeCell ref="D13:E13"/>
    <mergeCell ref="D14:E14"/>
    <mergeCell ref="D15:E15"/>
    <mergeCell ref="D16:E16"/>
    <mergeCell ref="F7:H7"/>
    <mergeCell ref="F8:H8"/>
    <mergeCell ref="F9:H9"/>
    <mergeCell ref="F10:H10"/>
    <mergeCell ref="F11:H11"/>
    <mergeCell ref="F5:H5"/>
    <mergeCell ref="F12:H12"/>
    <mergeCell ref="F14:H14"/>
    <mergeCell ref="F15:H15"/>
    <mergeCell ref="AA15:AC15"/>
    <mergeCell ref="F13:H13"/>
    <mergeCell ref="D10:E10"/>
    <mergeCell ref="AA10:AC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2B88-4583-4664-9D97-4FAA708E4545}">
  <sheetPr>
    <pageSetUpPr fitToPage="1"/>
  </sheetPr>
  <dimension ref="B5:S67"/>
  <sheetViews>
    <sheetView topLeftCell="A19" workbookViewId="0">
      <selection activeCell="B6" sqref="B6:S64"/>
    </sheetView>
  </sheetViews>
  <sheetFormatPr defaultRowHeight="14.4" x14ac:dyDescent="0.3"/>
  <sheetData>
    <row r="5" spans="2:19" x14ac:dyDescent="0.3">
      <c r="B5" s="70"/>
      <c r="C5" s="70"/>
      <c r="D5" s="70"/>
      <c r="E5" s="70"/>
      <c r="F5" s="70"/>
      <c r="G5" s="70"/>
      <c r="H5" s="70"/>
      <c r="I5" s="70"/>
      <c r="J5" s="70"/>
      <c r="K5" s="70"/>
      <c r="L5" s="70"/>
      <c r="M5" s="70"/>
      <c r="N5" s="70"/>
      <c r="O5" s="70"/>
      <c r="P5" s="70"/>
      <c r="Q5" s="70"/>
      <c r="R5" s="70"/>
      <c r="S5" s="70"/>
    </row>
    <row r="6" spans="2:19" x14ac:dyDescent="0.3">
      <c r="B6" s="147"/>
      <c r="C6" s="147"/>
      <c r="D6" s="147"/>
      <c r="E6" s="147"/>
      <c r="F6" s="147"/>
      <c r="G6" s="147"/>
      <c r="H6" s="147"/>
      <c r="I6" s="147"/>
      <c r="J6" s="147"/>
      <c r="K6" s="147"/>
      <c r="L6" s="147"/>
      <c r="M6" s="147"/>
      <c r="N6" s="147"/>
      <c r="O6" s="147"/>
      <c r="P6" s="147"/>
      <c r="Q6" s="147"/>
      <c r="R6" s="147"/>
      <c r="S6" s="147"/>
    </row>
    <row r="7" spans="2:19" x14ac:dyDescent="0.3">
      <c r="B7" s="147"/>
      <c r="C7" s="364" t="s">
        <v>252</v>
      </c>
      <c r="D7" s="364"/>
      <c r="E7" s="364"/>
      <c r="F7" s="364"/>
      <c r="G7" s="147"/>
      <c r="H7" s="147"/>
      <c r="I7" s="364" t="s">
        <v>253</v>
      </c>
      <c r="J7" s="364"/>
      <c r="K7" s="364"/>
      <c r="L7" s="364"/>
      <c r="M7" s="147"/>
      <c r="N7" s="147"/>
      <c r="O7" s="364" t="s">
        <v>264</v>
      </c>
      <c r="P7" s="364"/>
      <c r="Q7" s="364"/>
      <c r="R7" s="364"/>
      <c r="S7" s="147"/>
    </row>
    <row r="8" spans="2:19" x14ac:dyDescent="0.3">
      <c r="B8" s="147"/>
      <c r="C8" s="364"/>
      <c r="D8" s="364"/>
      <c r="E8" s="364"/>
      <c r="F8" s="364"/>
      <c r="G8" s="147"/>
      <c r="H8" s="147"/>
      <c r="I8" s="364"/>
      <c r="J8" s="364"/>
      <c r="K8" s="364"/>
      <c r="L8" s="364"/>
      <c r="M8" s="147"/>
      <c r="N8" s="147"/>
      <c r="O8" s="364"/>
      <c r="P8" s="364"/>
      <c r="Q8" s="364"/>
      <c r="R8" s="364"/>
      <c r="S8" s="147"/>
    </row>
    <row r="9" spans="2:19" x14ac:dyDescent="0.3">
      <c r="B9" s="147"/>
      <c r="C9" s="147"/>
      <c r="D9" s="147"/>
      <c r="E9" s="147"/>
      <c r="F9" s="147"/>
      <c r="G9" s="147"/>
      <c r="H9" s="147"/>
      <c r="I9" s="147"/>
      <c r="J9" s="147"/>
      <c r="K9" s="147"/>
      <c r="L9" s="147"/>
      <c r="M9" s="147"/>
      <c r="N9" s="147"/>
      <c r="O9" s="147"/>
      <c r="P9" s="147"/>
      <c r="Q9" s="147"/>
      <c r="R9" s="147"/>
      <c r="S9" s="147"/>
    </row>
    <row r="10" spans="2:19" x14ac:dyDescent="0.3">
      <c r="B10" s="147"/>
      <c r="C10" s="365" t="s">
        <v>448</v>
      </c>
      <c r="D10" s="366"/>
      <c r="E10" s="366"/>
      <c r="F10" s="367"/>
      <c r="G10" s="147"/>
      <c r="H10" s="147"/>
      <c r="I10" s="365" t="s">
        <v>448</v>
      </c>
      <c r="J10" s="366"/>
      <c r="K10" s="366"/>
      <c r="L10" s="367"/>
      <c r="M10" s="147"/>
      <c r="N10" s="147"/>
      <c r="O10" s="365" t="s">
        <v>448</v>
      </c>
      <c r="P10" s="366"/>
      <c r="Q10" s="366"/>
      <c r="R10" s="367"/>
      <c r="S10" s="147"/>
    </row>
    <row r="11" spans="2:19" x14ac:dyDescent="0.3">
      <c r="B11" s="147"/>
      <c r="C11" s="368"/>
      <c r="D11" s="369"/>
      <c r="E11" s="369"/>
      <c r="F11" s="370"/>
      <c r="G11" s="147"/>
      <c r="H11" s="147"/>
      <c r="I11" s="368"/>
      <c r="J11" s="369"/>
      <c r="K11" s="369"/>
      <c r="L11" s="370"/>
      <c r="M11" s="147"/>
      <c r="N11" s="147"/>
      <c r="O11" s="368"/>
      <c r="P11" s="369"/>
      <c r="Q11" s="369"/>
      <c r="R11" s="370"/>
      <c r="S11" s="147"/>
    </row>
    <row r="12" spans="2:19" x14ac:dyDescent="0.3">
      <c r="B12" s="147"/>
      <c r="C12" s="147"/>
      <c r="D12" s="147"/>
      <c r="E12" s="147"/>
      <c r="F12" s="147"/>
      <c r="G12" s="147"/>
      <c r="H12" s="147"/>
      <c r="I12" s="147"/>
      <c r="J12" s="147"/>
      <c r="K12" s="147"/>
      <c r="L12" s="147"/>
      <c r="M12" s="147"/>
      <c r="N12" s="147"/>
      <c r="O12" s="147"/>
      <c r="P12" s="147"/>
      <c r="Q12" s="147"/>
      <c r="R12" s="147"/>
      <c r="S12" s="147"/>
    </row>
    <row r="13" spans="2:19" x14ac:dyDescent="0.3">
      <c r="B13" s="147"/>
      <c r="C13" s="147"/>
      <c r="D13" s="147"/>
      <c r="E13" s="147"/>
      <c r="F13" s="147"/>
      <c r="G13" s="147"/>
      <c r="H13" s="147"/>
      <c r="I13" s="147"/>
      <c r="J13" s="147"/>
      <c r="K13" s="147"/>
      <c r="L13" s="147"/>
      <c r="M13" s="147"/>
      <c r="N13" s="147"/>
      <c r="O13" s="147"/>
      <c r="P13" s="147"/>
      <c r="Q13" s="147"/>
      <c r="R13" s="147"/>
      <c r="S13" s="147"/>
    </row>
    <row r="14" spans="2:19" x14ac:dyDescent="0.3">
      <c r="B14" s="147"/>
      <c r="C14" s="365" t="s">
        <v>449</v>
      </c>
      <c r="D14" s="366"/>
      <c r="E14" s="366"/>
      <c r="F14" s="367"/>
      <c r="G14" s="147"/>
      <c r="H14" s="147"/>
      <c r="I14" s="365" t="s">
        <v>449</v>
      </c>
      <c r="J14" s="366"/>
      <c r="K14" s="366"/>
      <c r="L14" s="367"/>
      <c r="M14" s="147"/>
      <c r="N14" s="147"/>
      <c r="O14" s="365" t="s">
        <v>449</v>
      </c>
      <c r="P14" s="366"/>
      <c r="Q14" s="366"/>
      <c r="R14" s="367"/>
      <c r="S14" s="147"/>
    </row>
    <row r="15" spans="2:19" x14ac:dyDescent="0.3">
      <c r="B15" s="147"/>
      <c r="C15" s="368"/>
      <c r="D15" s="369"/>
      <c r="E15" s="369"/>
      <c r="F15" s="370"/>
      <c r="G15" s="147"/>
      <c r="H15" s="147"/>
      <c r="I15" s="368"/>
      <c r="J15" s="369"/>
      <c r="K15" s="369"/>
      <c r="L15" s="370"/>
      <c r="M15" s="147"/>
      <c r="N15" s="147"/>
      <c r="O15" s="368"/>
      <c r="P15" s="369"/>
      <c r="Q15" s="369"/>
      <c r="R15" s="370"/>
      <c r="S15" s="147"/>
    </row>
    <row r="16" spans="2:19" x14ac:dyDescent="0.3">
      <c r="B16" s="147"/>
      <c r="C16" s="147"/>
      <c r="D16" s="147"/>
      <c r="E16" s="147"/>
      <c r="F16" s="147"/>
      <c r="G16" s="147"/>
      <c r="H16" s="147"/>
      <c r="I16" s="147"/>
      <c r="J16" s="147"/>
      <c r="K16" s="147"/>
      <c r="L16" s="147"/>
      <c r="M16" s="147"/>
      <c r="N16" s="147"/>
      <c r="O16" s="147"/>
      <c r="P16" s="147"/>
      <c r="Q16" s="147"/>
      <c r="R16" s="147"/>
      <c r="S16" s="147"/>
    </row>
    <row r="17" spans="2:19" x14ac:dyDescent="0.3">
      <c r="B17" s="147"/>
      <c r="C17" s="147"/>
      <c r="D17" s="147"/>
      <c r="E17" s="147"/>
      <c r="F17" s="147"/>
      <c r="G17" s="147"/>
      <c r="H17" s="147"/>
      <c r="I17" s="147"/>
      <c r="J17" s="147"/>
      <c r="K17" s="147"/>
      <c r="L17" s="147"/>
      <c r="M17" s="147"/>
      <c r="N17" s="147"/>
      <c r="O17" s="147"/>
      <c r="P17" s="147"/>
      <c r="Q17" s="147"/>
      <c r="R17" s="147"/>
      <c r="S17" s="147"/>
    </row>
    <row r="18" spans="2:19" x14ac:dyDescent="0.3">
      <c r="B18" s="147"/>
      <c r="C18" s="363" t="s">
        <v>450</v>
      </c>
      <c r="D18" s="363"/>
      <c r="E18" s="363"/>
      <c r="F18" s="363"/>
      <c r="G18" s="147"/>
      <c r="H18" s="147"/>
      <c r="I18" s="363" t="s">
        <v>450</v>
      </c>
      <c r="J18" s="363"/>
      <c r="K18" s="363"/>
      <c r="L18" s="363"/>
      <c r="M18" s="147"/>
      <c r="N18" s="147"/>
      <c r="O18" s="363" t="s">
        <v>450</v>
      </c>
      <c r="P18" s="363"/>
      <c r="Q18" s="363"/>
      <c r="R18" s="363"/>
      <c r="S18" s="147"/>
    </row>
    <row r="19" spans="2:19" x14ac:dyDescent="0.3">
      <c r="B19" s="147"/>
      <c r="C19" s="363"/>
      <c r="D19" s="363"/>
      <c r="E19" s="363"/>
      <c r="F19" s="363"/>
      <c r="G19" s="147"/>
      <c r="H19" s="147"/>
      <c r="I19" s="363"/>
      <c r="J19" s="363"/>
      <c r="K19" s="363"/>
      <c r="L19" s="363"/>
      <c r="M19" s="147"/>
      <c r="N19" s="147"/>
      <c r="O19" s="363"/>
      <c r="P19" s="363"/>
      <c r="Q19" s="363"/>
      <c r="R19" s="363"/>
      <c r="S19" s="147"/>
    </row>
    <row r="20" spans="2:19" x14ac:dyDescent="0.3">
      <c r="B20" s="147"/>
      <c r="C20" s="147"/>
      <c r="D20" s="147"/>
      <c r="E20" s="147"/>
      <c r="F20" s="147"/>
      <c r="G20" s="147"/>
      <c r="H20" s="147"/>
      <c r="I20" s="147"/>
      <c r="J20" s="147"/>
      <c r="K20" s="147"/>
      <c r="L20" s="147"/>
      <c r="M20" s="147"/>
      <c r="N20" s="147"/>
      <c r="O20" s="147"/>
      <c r="P20" s="147"/>
      <c r="Q20" s="147"/>
      <c r="R20" s="147"/>
      <c r="S20" s="147"/>
    </row>
    <row r="21" spans="2:19" x14ac:dyDescent="0.3">
      <c r="B21" s="147"/>
      <c r="C21" s="147"/>
      <c r="D21" s="147"/>
      <c r="E21" s="147"/>
      <c r="F21" s="147"/>
      <c r="G21" s="147"/>
      <c r="H21" s="147"/>
      <c r="I21" s="147"/>
      <c r="J21" s="147"/>
      <c r="K21" s="147"/>
      <c r="L21" s="147"/>
      <c r="M21" s="147"/>
      <c r="N21" s="147"/>
      <c r="O21" s="147"/>
      <c r="P21" s="147"/>
      <c r="Q21" s="147"/>
      <c r="R21" s="147"/>
      <c r="S21" s="147"/>
    </row>
    <row r="22" spans="2:19" x14ac:dyDescent="0.3">
      <c r="B22" s="147"/>
      <c r="C22" s="363" t="s">
        <v>365</v>
      </c>
      <c r="D22" s="363"/>
      <c r="E22" s="363"/>
      <c r="F22" s="363"/>
      <c r="G22" s="147"/>
      <c r="H22" s="147"/>
      <c r="I22" s="363" t="s">
        <v>365</v>
      </c>
      <c r="J22" s="363"/>
      <c r="K22" s="363"/>
      <c r="L22" s="363"/>
      <c r="M22" s="147"/>
      <c r="N22" s="147"/>
      <c r="O22" s="363" t="s">
        <v>365</v>
      </c>
      <c r="P22" s="363"/>
      <c r="Q22" s="363"/>
      <c r="R22" s="363"/>
      <c r="S22" s="147"/>
    </row>
    <row r="23" spans="2:19" x14ac:dyDescent="0.3">
      <c r="B23" s="147"/>
      <c r="C23" s="363"/>
      <c r="D23" s="363"/>
      <c r="E23" s="363"/>
      <c r="F23" s="363"/>
      <c r="G23" s="147"/>
      <c r="H23" s="147"/>
      <c r="I23" s="363"/>
      <c r="J23" s="363"/>
      <c r="K23" s="363"/>
      <c r="L23" s="363"/>
      <c r="M23" s="147"/>
      <c r="N23" s="147"/>
      <c r="O23" s="363"/>
      <c r="P23" s="363"/>
      <c r="Q23" s="363"/>
      <c r="R23" s="363"/>
      <c r="S23" s="147"/>
    </row>
    <row r="24" spans="2:19" x14ac:dyDescent="0.3">
      <c r="B24" s="147"/>
      <c r="C24" s="147"/>
      <c r="D24" s="147"/>
      <c r="E24" s="147"/>
      <c r="F24" s="147"/>
      <c r="G24" s="147"/>
      <c r="H24" s="147"/>
      <c r="I24" s="147"/>
      <c r="J24" s="147"/>
      <c r="K24" s="147"/>
      <c r="L24" s="147"/>
      <c r="M24" s="147"/>
      <c r="N24" s="147"/>
      <c r="O24" s="147"/>
      <c r="P24" s="147"/>
      <c r="Q24" s="147"/>
      <c r="R24" s="147"/>
      <c r="S24" s="147"/>
    </row>
    <row r="25" spans="2:19" x14ac:dyDescent="0.3">
      <c r="B25" s="147"/>
      <c r="C25" s="147"/>
      <c r="D25" s="147"/>
      <c r="E25" s="147"/>
      <c r="F25" s="147"/>
      <c r="G25" s="147"/>
      <c r="H25" s="147"/>
      <c r="I25" s="147"/>
      <c r="J25" s="147"/>
      <c r="K25" s="147"/>
      <c r="L25" s="147"/>
      <c r="M25" s="147"/>
      <c r="N25" s="147"/>
      <c r="O25" s="147"/>
      <c r="P25" s="147"/>
      <c r="Q25" s="147"/>
      <c r="R25" s="147"/>
      <c r="S25" s="147"/>
    </row>
    <row r="26" spans="2:19" x14ac:dyDescent="0.3">
      <c r="B26" s="147"/>
      <c r="C26" s="363" t="s">
        <v>367</v>
      </c>
      <c r="D26" s="363"/>
      <c r="E26" s="363"/>
      <c r="F26" s="363"/>
      <c r="G26" s="147"/>
      <c r="H26" s="147"/>
      <c r="I26" s="363" t="s">
        <v>367</v>
      </c>
      <c r="J26" s="363"/>
      <c r="K26" s="363"/>
      <c r="L26" s="363"/>
      <c r="M26" s="147"/>
      <c r="N26" s="147"/>
      <c r="O26" s="363" t="s">
        <v>367</v>
      </c>
      <c r="P26" s="363"/>
      <c r="Q26" s="363"/>
      <c r="R26" s="363"/>
      <c r="S26" s="147"/>
    </row>
    <row r="27" spans="2:19" x14ac:dyDescent="0.3">
      <c r="B27" s="147"/>
      <c r="C27" s="363"/>
      <c r="D27" s="363"/>
      <c r="E27" s="363"/>
      <c r="F27" s="363"/>
      <c r="G27" s="147"/>
      <c r="H27" s="147"/>
      <c r="I27" s="363"/>
      <c r="J27" s="363"/>
      <c r="K27" s="363"/>
      <c r="L27" s="363"/>
      <c r="M27" s="147"/>
      <c r="N27" s="147"/>
      <c r="O27" s="363"/>
      <c r="P27" s="363"/>
      <c r="Q27" s="363"/>
      <c r="R27" s="363"/>
      <c r="S27" s="147"/>
    </row>
    <row r="28" spans="2:19" x14ac:dyDescent="0.3">
      <c r="B28" s="147"/>
      <c r="C28" s="147"/>
      <c r="D28" s="147"/>
      <c r="E28" s="147"/>
      <c r="F28" s="147"/>
      <c r="G28" s="147"/>
      <c r="H28" s="147"/>
      <c r="I28" s="147"/>
      <c r="J28" s="147"/>
      <c r="K28" s="147"/>
      <c r="L28" s="147"/>
      <c r="M28" s="147"/>
      <c r="N28" s="147"/>
      <c r="O28" s="147"/>
      <c r="P28" s="147"/>
      <c r="Q28" s="147"/>
      <c r="R28" s="147"/>
      <c r="S28" s="147"/>
    </row>
    <row r="29" spans="2:19" x14ac:dyDescent="0.3">
      <c r="B29" s="147"/>
      <c r="C29" s="147"/>
      <c r="D29" s="147"/>
      <c r="E29" s="147"/>
      <c r="F29" s="147"/>
      <c r="G29" s="147"/>
      <c r="H29" s="147"/>
      <c r="I29" s="147"/>
      <c r="J29" s="147"/>
      <c r="K29" s="147"/>
      <c r="L29" s="147"/>
      <c r="M29" s="147"/>
      <c r="N29" s="147"/>
      <c r="O29" s="147"/>
      <c r="P29" s="147"/>
      <c r="Q29" s="147"/>
      <c r="R29" s="147"/>
      <c r="S29" s="147"/>
    </row>
    <row r="30" spans="2:19" x14ac:dyDescent="0.3">
      <c r="B30" s="147"/>
      <c r="C30" s="363" t="s">
        <v>254</v>
      </c>
      <c r="D30" s="363"/>
      <c r="E30" s="363"/>
      <c r="F30" s="363"/>
      <c r="G30" s="147"/>
      <c r="H30" s="147"/>
      <c r="I30" s="363" t="s">
        <v>254</v>
      </c>
      <c r="J30" s="363"/>
      <c r="K30" s="363"/>
      <c r="L30" s="363"/>
      <c r="M30" s="147"/>
      <c r="N30" s="147"/>
      <c r="O30" s="363" t="s">
        <v>254</v>
      </c>
      <c r="P30" s="363"/>
      <c r="Q30" s="363"/>
      <c r="R30" s="363"/>
      <c r="S30" s="147"/>
    </row>
    <row r="31" spans="2:19" x14ac:dyDescent="0.3">
      <c r="B31" s="147"/>
      <c r="C31" s="363"/>
      <c r="D31" s="363"/>
      <c r="E31" s="363"/>
      <c r="F31" s="363"/>
      <c r="G31" s="147"/>
      <c r="H31" s="147"/>
      <c r="I31" s="363"/>
      <c r="J31" s="363"/>
      <c r="K31" s="363"/>
      <c r="L31" s="363"/>
      <c r="M31" s="147"/>
      <c r="N31" s="147"/>
      <c r="O31" s="363"/>
      <c r="P31" s="363"/>
      <c r="Q31" s="363"/>
      <c r="R31" s="363"/>
      <c r="S31" s="147"/>
    </row>
    <row r="32" spans="2:19" x14ac:dyDescent="0.3">
      <c r="B32" s="147"/>
      <c r="C32" s="147"/>
      <c r="D32" s="147"/>
      <c r="E32" s="147"/>
      <c r="F32" s="147"/>
      <c r="G32" s="147"/>
      <c r="H32" s="147"/>
      <c r="I32" s="147"/>
      <c r="J32" s="147"/>
      <c r="K32" s="147"/>
      <c r="L32" s="147"/>
      <c r="M32" s="147"/>
      <c r="N32" s="147"/>
      <c r="O32" s="147"/>
      <c r="P32" s="147"/>
      <c r="Q32" s="147"/>
      <c r="R32" s="147"/>
      <c r="S32" s="147"/>
    </row>
    <row r="33" spans="2:19" x14ac:dyDescent="0.3">
      <c r="B33" s="147"/>
      <c r="C33" s="147"/>
      <c r="D33" s="147"/>
      <c r="E33" s="147"/>
      <c r="F33" s="147"/>
      <c r="G33" s="147"/>
      <c r="H33" s="147"/>
      <c r="I33" s="147"/>
      <c r="J33" s="147"/>
      <c r="K33" s="147"/>
      <c r="L33" s="147"/>
      <c r="M33" s="147"/>
      <c r="N33" s="147"/>
      <c r="O33" s="147"/>
      <c r="P33" s="147"/>
      <c r="Q33" s="147"/>
      <c r="R33" s="147"/>
      <c r="S33" s="147"/>
    </row>
    <row r="34" spans="2:19" x14ac:dyDescent="0.3">
      <c r="B34" s="147"/>
      <c r="C34" s="363" t="s">
        <v>255</v>
      </c>
      <c r="D34" s="363"/>
      <c r="E34" s="363"/>
      <c r="F34" s="363"/>
      <c r="G34" s="147"/>
      <c r="H34" s="147"/>
      <c r="I34" s="363" t="s">
        <v>255</v>
      </c>
      <c r="J34" s="363"/>
      <c r="K34" s="363"/>
      <c r="L34" s="363"/>
      <c r="M34" s="147"/>
      <c r="N34" s="147"/>
      <c r="O34" s="363" t="s">
        <v>255</v>
      </c>
      <c r="P34" s="363"/>
      <c r="Q34" s="363"/>
      <c r="R34" s="363"/>
      <c r="S34" s="147"/>
    </row>
    <row r="35" spans="2:19" x14ac:dyDescent="0.3">
      <c r="B35" s="147"/>
      <c r="C35" s="363"/>
      <c r="D35" s="363"/>
      <c r="E35" s="363"/>
      <c r="F35" s="363"/>
      <c r="G35" s="147"/>
      <c r="H35" s="147"/>
      <c r="I35" s="363"/>
      <c r="J35" s="363"/>
      <c r="K35" s="363"/>
      <c r="L35" s="363"/>
      <c r="M35" s="147"/>
      <c r="N35" s="147"/>
      <c r="O35" s="363"/>
      <c r="P35" s="363"/>
      <c r="Q35" s="363"/>
      <c r="R35" s="363"/>
      <c r="S35" s="147"/>
    </row>
    <row r="36" spans="2:19" x14ac:dyDescent="0.3">
      <c r="B36" s="147"/>
      <c r="C36" s="147"/>
      <c r="D36" s="147"/>
      <c r="E36" s="147"/>
      <c r="F36" s="147"/>
      <c r="G36" s="147"/>
      <c r="H36" s="147"/>
      <c r="I36" s="147"/>
      <c r="J36" s="147"/>
      <c r="K36" s="147"/>
      <c r="L36" s="147"/>
      <c r="M36" s="147"/>
      <c r="N36" s="147"/>
      <c r="O36" s="147"/>
      <c r="P36" s="147"/>
      <c r="Q36" s="147"/>
      <c r="R36" s="147"/>
      <c r="S36" s="147"/>
    </row>
    <row r="37" spans="2:19" x14ac:dyDescent="0.3">
      <c r="B37" s="147"/>
      <c r="C37" s="147"/>
      <c r="D37" s="147"/>
      <c r="E37" s="147"/>
      <c r="F37" s="147"/>
      <c r="G37" s="147"/>
      <c r="H37" s="147"/>
      <c r="I37" s="147"/>
      <c r="J37" s="147"/>
      <c r="K37" s="147"/>
      <c r="L37" s="147"/>
      <c r="M37" s="147"/>
      <c r="N37" s="147"/>
      <c r="O37" s="147"/>
      <c r="P37" s="147"/>
      <c r="Q37" s="147"/>
      <c r="R37" s="147"/>
      <c r="S37" s="147"/>
    </row>
    <row r="38" spans="2:19" x14ac:dyDescent="0.3">
      <c r="B38" s="147"/>
      <c r="C38" s="363" t="s">
        <v>256</v>
      </c>
      <c r="D38" s="363"/>
      <c r="E38" s="363"/>
      <c r="F38" s="363"/>
      <c r="G38" s="147"/>
      <c r="H38" s="147"/>
      <c r="I38" s="363" t="s">
        <v>262</v>
      </c>
      <c r="J38" s="363"/>
      <c r="K38" s="363"/>
      <c r="L38" s="363"/>
      <c r="M38" s="147"/>
      <c r="N38" s="147"/>
      <c r="O38" s="363" t="s">
        <v>263</v>
      </c>
      <c r="P38" s="363"/>
      <c r="Q38" s="363"/>
      <c r="R38" s="363"/>
      <c r="S38" s="147"/>
    </row>
    <row r="39" spans="2:19" x14ac:dyDescent="0.3">
      <c r="B39" s="147"/>
      <c r="C39" s="363"/>
      <c r="D39" s="363"/>
      <c r="E39" s="363"/>
      <c r="F39" s="363"/>
      <c r="G39" s="147"/>
      <c r="H39" s="147"/>
      <c r="I39" s="363"/>
      <c r="J39" s="363"/>
      <c r="K39" s="363"/>
      <c r="L39" s="363"/>
      <c r="M39" s="147"/>
      <c r="N39" s="147"/>
      <c r="O39" s="363"/>
      <c r="P39" s="363"/>
      <c r="Q39" s="363"/>
      <c r="R39" s="363"/>
      <c r="S39" s="147"/>
    </row>
    <row r="40" spans="2:19" x14ac:dyDescent="0.3">
      <c r="B40" s="147"/>
      <c r="C40" s="147"/>
      <c r="D40" s="147"/>
      <c r="E40" s="147"/>
      <c r="F40" s="147"/>
      <c r="G40" s="147"/>
      <c r="H40" s="147"/>
      <c r="I40" s="147"/>
      <c r="J40" s="147"/>
      <c r="K40" s="147"/>
      <c r="L40" s="147"/>
      <c r="M40" s="147"/>
      <c r="N40" s="147"/>
      <c r="O40" s="147"/>
      <c r="P40" s="147"/>
      <c r="Q40" s="147"/>
      <c r="R40" s="147"/>
      <c r="S40" s="147"/>
    </row>
    <row r="41" spans="2:19" x14ac:dyDescent="0.3">
      <c r="B41" s="147"/>
      <c r="C41" s="147"/>
      <c r="D41" s="147"/>
      <c r="E41" s="147"/>
      <c r="F41" s="147"/>
      <c r="G41" s="147"/>
      <c r="H41" s="147"/>
      <c r="I41" s="147"/>
      <c r="J41" s="147"/>
      <c r="K41" s="147"/>
      <c r="L41" s="147"/>
      <c r="M41" s="147"/>
      <c r="N41" s="147"/>
      <c r="O41" s="147"/>
      <c r="P41" s="147"/>
      <c r="Q41" s="147"/>
      <c r="R41" s="147"/>
      <c r="S41" s="147"/>
    </row>
    <row r="42" spans="2:19" x14ac:dyDescent="0.3">
      <c r="B42" s="147"/>
      <c r="C42" s="363" t="s">
        <v>257</v>
      </c>
      <c r="D42" s="363"/>
      <c r="E42" s="363"/>
      <c r="F42" s="363"/>
      <c r="G42" s="147"/>
      <c r="H42" s="147"/>
      <c r="I42" s="363" t="s">
        <v>257</v>
      </c>
      <c r="J42" s="363"/>
      <c r="K42" s="363"/>
      <c r="L42" s="363"/>
      <c r="M42" s="147"/>
      <c r="N42" s="147"/>
      <c r="O42" s="363" t="s">
        <v>257</v>
      </c>
      <c r="P42" s="363"/>
      <c r="Q42" s="363"/>
      <c r="R42" s="363"/>
      <c r="S42" s="147"/>
    </row>
    <row r="43" spans="2:19" x14ac:dyDescent="0.3">
      <c r="B43" s="147"/>
      <c r="C43" s="363"/>
      <c r="D43" s="363"/>
      <c r="E43" s="363"/>
      <c r="F43" s="363"/>
      <c r="G43" s="147"/>
      <c r="H43" s="147"/>
      <c r="I43" s="363"/>
      <c r="J43" s="363"/>
      <c r="K43" s="363"/>
      <c r="L43" s="363"/>
      <c r="M43" s="147"/>
      <c r="N43" s="147"/>
      <c r="O43" s="363"/>
      <c r="P43" s="363"/>
      <c r="Q43" s="363"/>
      <c r="R43" s="363"/>
      <c r="S43" s="147"/>
    </row>
    <row r="44" spans="2:19" x14ac:dyDescent="0.3">
      <c r="B44" s="147"/>
      <c r="C44" s="147"/>
      <c r="D44" s="147"/>
      <c r="E44" s="147"/>
      <c r="F44" s="147"/>
      <c r="G44" s="147"/>
      <c r="H44" s="147"/>
      <c r="I44" s="147"/>
      <c r="J44" s="147"/>
      <c r="K44" s="147"/>
      <c r="L44" s="147"/>
      <c r="M44" s="147"/>
      <c r="N44" s="147"/>
      <c r="O44" s="147"/>
      <c r="P44" s="147"/>
      <c r="Q44" s="147"/>
      <c r="R44" s="147"/>
      <c r="S44" s="147"/>
    </row>
    <row r="45" spans="2:19" x14ac:dyDescent="0.3">
      <c r="B45" s="147"/>
      <c r="C45" s="147"/>
      <c r="D45" s="147"/>
      <c r="E45" s="147"/>
      <c r="F45" s="147"/>
      <c r="G45" s="147"/>
      <c r="H45" s="147"/>
      <c r="I45" s="147"/>
      <c r="J45" s="147"/>
      <c r="K45" s="147"/>
      <c r="L45" s="147"/>
      <c r="M45" s="147"/>
      <c r="N45" s="147"/>
      <c r="O45" s="147"/>
      <c r="P45" s="147"/>
      <c r="Q45" s="147"/>
      <c r="R45" s="147"/>
      <c r="S45" s="147"/>
    </row>
    <row r="46" spans="2:19" x14ac:dyDescent="0.3">
      <c r="B46" s="147"/>
      <c r="C46" s="363" t="s">
        <v>258</v>
      </c>
      <c r="D46" s="363"/>
      <c r="E46" s="363"/>
      <c r="F46" s="363"/>
      <c r="G46" s="147"/>
      <c r="H46" s="147"/>
      <c r="I46" s="363" t="s">
        <v>258</v>
      </c>
      <c r="J46" s="363"/>
      <c r="K46" s="363"/>
      <c r="L46" s="363"/>
      <c r="M46" s="147"/>
      <c r="N46" s="147"/>
      <c r="O46" s="363" t="s">
        <v>258</v>
      </c>
      <c r="P46" s="363"/>
      <c r="Q46" s="363"/>
      <c r="R46" s="363"/>
      <c r="S46" s="147"/>
    </row>
    <row r="47" spans="2:19" x14ac:dyDescent="0.3">
      <c r="B47" s="147"/>
      <c r="C47" s="363"/>
      <c r="D47" s="363"/>
      <c r="E47" s="363"/>
      <c r="F47" s="363"/>
      <c r="G47" s="147"/>
      <c r="H47" s="147"/>
      <c r="I47" s="363"/>
      <c r="J47" s="363"/>
      <c r="K47" s="363"/>
      <c r="L47" s="363"/>
      <c r="M47" s="147"/>
      <c r="N47" s="147"/>
      <c r="O47" s="363"/>
      <c r="P47" s="363"/>
      <c r="Q47" s="363"/>
      <c r="R47" s="363"/>
      <c r="S47" s="147"/>
    </row>
    <row r="48" spans="2:19" x14ac:dyDescent="0.3">
      <c r="B48" s="147"/>
      <c r="C48" s="147"/>
      <c r="D48" s="147"/>
      <c r="E48" s="147"/>
      <c r="F48" s="147"/>
      <c r="G48" s="147"/>
      <c r="H48" s="147"/>
      <c r="I48" s="147"/>
      <c r="J48" s="147"/>
      <c r="K48" s="147"/>
      <c r="L48" s="147"/>
      <c r="M48" s="147"/>
      <c r="N48" s="147"/>
      <c r="O48" s="147"/>
      <c r="P48" s="147"/>
      <c r="Q48" s="147"/>
      <c r="R48" s="147"/>
      <c r="S48" s="147"/>
    </row>
    <row r="49" spans="2:19" x14ac:dyDescent="0.3">
      <c r="B49" s="147"/>
      <c r="C49" s="147"/>
      <c r="D49" s="147"/>
      <c r="E49" s="147"/>
      <c r="F49" s="147"/>
      <c r="G49" s="147"/>
      <c r="H49" s="147"/>
      <c r="I49" s="147"/>
      <c r="J49" s="147"/>
      <c r="K49" s="147"/>
      <c r="L49" s="147"/>
      <c r="M49" s="147"/>
      <c r="N49" s="147"/>
      <c r="O49" s="147"/>
      <c r="P49" s="147"/>
      <c r="Q49" s="147"/>
      <c r="R49" s="147"/>
      <c r="S49" s="147"/>
    </row>
    <row r="50" spans="2:19" x14ac:dyDescent="0.3">
      <c r="B50" s="147"/>
      <c r="C50" s="363" t="s">
        <v>259</v>
      </c>
      <c r="D50" s="363"/>
      <c r="E50" s="363"/>
      <c r="F50" s="363"/>
      <c r="G50" s="147"/>
      <c r="H50" s="147"/>
      <c r="I50" s="363" t="s">
        <v>259</v>
      </c>
      <c r="J50" s="363"/>
      <c r="K50" s="363"/>
      <c r="L50" s="363"/>
      <c r="M50" s="147"/>
      <c r="N50" s="147"/>
      <c r="O50" s="363" t="s">
        <v>259</v>
      </c>
      <c r="P50" s="363"/>
      <c r="Q50" s="363"/>
      <c r="R50" s="363"/>
      <c r="S50" s="147"/>
    </row>
    <row r="51" spans="2:19" x14ac:dyDescent="0.3">
      <c r="B51" s="147"/>
      <c r="C51" s="363"/>
      <c r="D51" s="363"/>
      <c r="E51" s="363"/>
      <c r="F51" s="363"/>
      <c r="G51" s="147"/>
      <c r="H51" s="147"/>
      <c r="I51" s="363"/>
      <c r="J51" s="363"/>
      <c r="K51" s="363"/>
      <c r="L51" s="363"/>
      <c r="M51" s="147"/>
      <c r="N51" s="147"/>
      <c r="O51" s="363"/>
      <c r="P51" s="363"/>
      <c r="Q51" s="363"/>
      <c r="R51" s="363"/>
      <c r="S51" s="147"/>
    </row>
    <row r="52" spans="2:19" x14ac:dyDescent="0.3">
      <c r="B52" s="147"/>
      <c r="C52" s="147"/>
      <c r="D52" s="147"/>
      <c r="E52" s="147"/>
      <c r="F52" s="147"/>
      <c r="G52" s="147"/>
      <c r="H52" s="147"/>
      <c r="I52" s="147"/>
      <c r="J52" s="147"/>
      <c r="K52" s="147"/>
      <c r="L52" s="147"/>
      <c r="M52" s="147"/>
      <c r="N52" s="147"/>
      <c r="O52" s="147"/>
      <c r="P52" s="147"/>
      <c r="Q52" s="147"/>
      <c r="R52" s="147"/>
      <c r="S52" s="147"/>
    </row>
    <row r="53" spans="2:19" x14ac:dyDescent="0.3">
      <c r="B53" s="147"/>
      <c r="C53" s="147"/>
      <c r="D53" s="147"/>
      <c r="E53" s="147"/>
      <c r="F53" s="147"/>
      <c r="G53" s="147"/>
      <c r="H53" s="147"/>
      <c r="I53" s="147"/>
      <c r="J53" s="147"/>
      <c r="K53" s="147"/>
      <c r="L53" s="147"/>
      <c r="M53" s="147"/>
      <c r="N53" s="147"/>
      <c r="O53" s="147"/>
      <c r="P53" s="147"/>
      <c r="Q53" s="147"/>
      <c r="R53" s="147"/>
      <c r="S53" s="147"/>
    </row>
    <row r="54" spans="2:19" x14ac:dyDescent="0.3">
      <c r="B54" s="147"/>
      <c r="C54" s="363" t="s">
        <v>260</v>
      </c>
      <c r="D54" s="363"/>
      <c r="E54" s="363"/>
      <c r="F54" s="363"/>
      <c r="G54" s="147"/>
      <c r="H54" s="147"/>
      <c r="I54" s="363" t="s">
        <v>260</v>
      </c>
      <c r="J54" s="363"/>
      <c r="K54" s="363"/>
      <c r="L54" s="363"/>
      <c r="M54" s="147"/>
      <c r="N54" s="147"/>
      <c r="O54" s="363" t="s">
        <v>260</v>
      </c>
      <c r="P54" s="363"/>
      <c r="Q54" s="363"/>
      <c r="R54" s="363"/>
      <c r="S54" s="147"/>
    </row>
    <row r="55" spans="2:19" x14ac:dyDescent="0.3">
      <c r="B55" s="147"/>
      <c r="C55" s="363"/>
      <c r="D55" s="363"/>
      <c r="E55" s="363"/>
      <c r="F55" s="363"/>
      <c r="G55" s="147"/>
      <c r="H55" s="147"/>
      <c r="I55" s="363"/>
      <c r="J55" s="363"/>
      <c r="K55" s="363"/>
      <c r="L55" s="363"/>
      <c r="M55" s="147"/>
      <c r="N55" s="147"/>
      <c r="O55" s="363"/>
      <c r="P55" s="363"/>
      <c r="Q55" s="363"/>
      <c r="R55" s="363"/>
      <c r="S55" s="147"/>
    </row>
    <row r="56" spans="2:19" x14ac:dyDescent="0.3">
      <c r="B56" s="147"/>
      <c r="C56" s="147"/>
      <c r="D56" s="147"/>
      <c r="E56" s="147"/>
      <c r="F56" s="147"/>
      <c r="G56" s="147"/>
      <c r="H56" s="147"/>
      <c r="I56" s="147"/>
      <c r="J56" s="147"/>
      <c r="K56" s="147"/>
      <c r="L56" s="147"/>
      <c r="M56" s="147"/>
      <c r="N56" s="147"/>
      <c r="O56" s="147"/>
      <c r="P56" s="147"/>
      <c r="Q56" s="147"/>
      <c r="R56" s="147"/>
      <c r="S56" s="147"/>
    </row>
    <row r="57" spans="2:19" x14ac:dyDescent="0.3">
      <c r="B57" s="147"/>
      <c r="C57" s="147"/>
      <c r="D57" s="147"/>
      <c r="E57" s="147"/>
      <c r="F57" s="147"/>
      <c r="G57" s="147"/>
      <c r="H57" s="147"/>
      <c r="I57" s="147"/>
      <c r="J57" s="147"/>
      <c r="K57" s="147"/>
      <c r="L57" s="147"/>
      <c r="M57" s="147"/>
      <c r="N57" s="147"/>
      <c r="O57" s="147"/>
      <c r="P57" s="147"/>
      <c r="Q57" s="147"/>
      <c r="R57" s="147"/>
      <c r="S57" s="147"/>
    </row>
    <row r="58" spans="2:19" x14ac:dyDescent="0.3">
      <c r="B58" s="147"/>
      <c r="C58" s="363" t="s">
        <v>261</v>
      </c>
      <c r="D58" s="363"/>
      <c r="E58" s="363"/>
      <c r="F58" s="363"/>
      <c r="G58" s="147"/>
      <c r="H58" s="147"/>
      <c r="I58" s="363" t="s">
        <v>261</v>
      </c>
      <c r="J58" s="363"/>
      <c r="K58" s="363"/>
      <c r="L58" s="363"/>
      <c r="M58" s="147"/>
      <c r="N58" s="147"/>
      <c r="O58" s="363" t="s">
        <v>261</v>
      </c>
      <c r="P58" s="363"/>
      <c r="Q58" s="363"/>
      <c r="R58" s="363"/>
      <c r="S58" s="147"/>
    </row>
    <row r="59" spans="2:19" x14ac:dyDescent="0.3">
      <c r="B59" s="147"/>
      <c r="C59" s="363"/>
      <c r="D59" s="363"/>
      <c r="E59" s="363"/>
      <c r="F59" s="363"/>
      <c r="G59" s="147"/>
      <c r="H59" s="147"/>
      <c r="I59" s="363"/>
      <c r="J59" s="363"/>
      <c r="K59" s="363"/>
      <c r="L59" s="363"/>
      <c r="M59" s="147"/>
      <c r="N59" s="147"/>
      <c r="O59" s="363"/>
      <c r="P59" s="363"/>
      <c r="Q59" s="363"/>
      <c r="R59" s="363"/>
      <c r="S59" s="147"/>
    </row>
    <row r="60" spans="2:19" x14ac:dyDescent="0.3">
      <c r="B60" s="147"/>
      <c r="C60" s="147"/>
      <c r="D60" s="147"/>
      <c r="E60" s="147"/>
      <c r="F60" s="147"/>
      <c r="G60" s="147"/>
      <c r="H60" s="147"/>
      <c r="I60" s="147"/>
      <c r="J60" s="147"/>
      <c r="K60" s="147"/>
      <c r="L60" s="147"/>
      <c r="M60" s="147"/>
      <c r="N60" s="147"/>
      <c r="O60" s="147"/>
      <c r="P60" s="147"/>
      <c r="Q60" s="147"/>
      <c r="R60" s="147"/>
      <c r="S60" s="147"/>
    </row>
    <row r="61" spans="2:19" x14ac:dyDescent="0.3">
      <c r="B61" s="147"/>
      <c r="C61" s="147"/>
      <c r="D61" s="147"/>
      <c r="E61" s="147"/>
      <c r="F61" s="147"/>
      <c r="G61" s="147"/>
      <c r="H61" s="147"/>
      <c r="I61" s="147"/>
      <c r="J61" s="147"/>
      <c r="K61" s="147"/>
      <c r="L61" s="147"/>
      <c r="M61" s="147"/>
      <c r="N61" s="147"/>
      <c r="O61" s="147"/>
      <c r="P61" s="147"/>
      <c r="Q61" s="147"/>
      <c r="R61" s="147"/>
      <c r="S61" s="147"/>
    </row>
    <row r="62" spans="2:19" x14ac:dyDescent="0.3">
      <c r="B62" s="147"/>
      <c r="C62" s="363" t="s">
        <v>357</v>
      </c>
      <c r="D62" s="363"/>
      <c r="E62" s="363"/>
      <c r="F62" s="363"/>
      <c r="G62" s="147"/>
      <c r="H62" s="147"/>
      <c r="I62" s="363" t="s">
        <v>357</v>
      </c>
      <c r="J62" s="363"/>
      <c r="K62" s="363"/>
      <c r="L62" s="363"/>
      <c r="M62" s="147"/>
      <c r="N62" s="147"/>
      <c r="O62" s="363" t="s">
        <v>357</v>
      </c>
      <c r="P62" s="363"/>
      <c r="Q62" s="363"/>
      <c r="R62" s="363"/>
      <c r="S62" s="147"/>
    </row>
    <row r="63" spans="2:19" x14ac:dyDescent="0.3">
      <c r="B63" s="147"/>
      <c r="C63" s="363"/>
      <c r="D63" s="363"/>
      <c r="E63" s="363"/>
      <c r="F63" s="363"/>
      <c r="G63" s="147"/>
      <c r="H63" s="147"/>
      <c r="I63" s="363"/>
      <c r="J63" s="363"/>
      <c r="K63" s="363"/>
      <c r="L63" s="363"/>
      <c r="M63" s="147"/>
      <c r="N63" s="147"/>
      <c r="O63" s="363"/>
      <c r="P63" s="363"/>
      <c r="Q63" s="363"/>
      <c r="R63" s="363"/>
      <c r="S63" s="147"/>
    </row>
    <row r="64" spans="2:19" x14ac:dyDescent="0.3">
      <c r="B64" s="147"/>
      <c r="C64" s="147"/>
      <c r="D64" s="147"/>
      <c r="E64" s="147"/>
      <c r="F64" s="147"/>
      <c r="G64" s="147"/>
      <c r="H64" s="147"/>
      <c r="I64" s="147"/>
      <c r="J64" s="147"/>
      <c r="K64" s="147"/>
      <c r="L64" s="147"/>
      <c r="M64" s="147"/>
      <c r="N64" s="147"/>
      <c r="O64" s="147"/>
      <c r="P64" s="147"/>
      <c r="Q64" s="147"/>
      <c r="R64" s="147"/>
      <c r="S64" s="147"/>
    </row>
    <row r="65" spans="2:19" x14ac:dyDescent="0.3">
      <c r="B65" s="70"/>
      <c r="C65" s="70"/>
      <c r="D65" s="70"/>
      <c r="E65" s="70"/>
      <c r="F65" s="70"/>
      <c r="G65" s="70"/>
      <c r="H65" s="70"/>
      <c r="I65" s="70"/>
      <c r="J65" s="70"/>
      <c r="K65" s="70"/>
      <c r="L65" s="70"/>
      <c r="M65" s="70"/>
      <c r="N65" s="70"/>
      <c r="O65" s="70"/>
      <c r="P65" s="70"/>
      <c r="Q65" s="70"/>
      <c r="R65" s="70"/>
      <c r="S65" s="70"/>
    </row>
    <row r="66" spans="2:19" x14ac:dyDescent="0.3">
      <c r="B66" s="70"/>
      <c r="C66" s="70"/>
      <c r="D66" s="70"/>
      <c r="E66" s="70"/>
      <c r="F66" s="70"/>
      <c r="G66" s="70"/>
      <c r="H66" s="70"/>
      <c r="I66" s="70"/>
      <c r="J66" s="70"/>
      <c r="K66" s="70"/>
      <c r="L66" s="70"/>
      <c r="M66" s="70"/>
      <c r="N66" s="70"/>
      <c r="O66" s="70"/>
      <c r="P66" s="70"/>
      <c r="Q66" s="70"/>
      <c r="R66" s="70"/>
      <c r="S66" s="70"/>
    </row>
    <row r="67" spans="2:19" x14ac:dyDescent="0.3">
      <c r="B67" s="70"/>
      <c r="C67" s="70"/>
      <c r="D67" s="70"/>
      <c r="E67" s="70"/>
      <c r="F67" s="70"/>
      <c r="G67" s="70"/>
      <c r="H67" s="70"/>
      <c r="I67" s="70"/>
      <c r="J67" s="70"/>
      <c r="K67" s="70"/>
      <c r="L67" s="70"/>
      <c r="M67" s="70"/>
      <c r="N67" s="70"/>
      <c r="O67" s="70"/>
      <c r="P67" s="70"/>
      <c r="Q67" s="70"/>
      <c r="R67" s="70"/>
      <c r="S67" s="70"/>
    </row>
  </sheetData>
  <mergeCells count="45">
    <mergeCell ref="O46:R47"/>
    <mergeCell ref="C26:F27"/>
    <mergeCell ref="O38:R39"/>
    <mergeCell ref="O42:R43"/>
    <mergeCell ref="O18:R19"/>
    <mergeCell ref="O22:R23"/>
    <mergeCell ref="O26:R27"/>
    <mergeCell ref="O30:R31"/>
    <mergeCell ref="O34:R35"/>
    <mergeCell ref="I38:L39"/>
    <mergeCell ref="I42:L43"/>
    <mergeCell ref="I46:L47"/>
    <mergeCell ref="C30:F31"/>
    <mergeCell ref="C34:F35"/>
    <mergeCell ref="C38:F39"/>
    <mergeCell ref="C42:F43"/>
    <mergeCell ref="C7:F8"/>
    <mergeCell ref="I7:L8"/>
    <mergeCell ref="O7:R8"/>
    <mergeCell ref="C18:F19"/>
    <mergeCell ref="C22:F23"/>
    <mergeCell ref="C14:F15"/>
    <mergeCell ref="I14:L15"/>
    <mergeCell ref="O14:R15"/>
    <mergeCell ref="C10:F11"/>
    <mergeCell ref="I10:L11"/>
    <mergeCell ref="O10:R11"/>
    <mergeCell ref="C46:F47"/>
    <mergeCell ref="I18:L19"/>
    <mergeCell ref="I22:L23"/>
    <mergeCell ref="I26:L27"/>
    <mergeCell ref="I30:L31"/>
    <mergeCell ref="I34:L35"/>
    <mergeCell ref="C62:F63"/>
    <mergeCell ref="I62:L63"/>
    <mergeCell ref="O62:R63"/>
    <mergeCell ref="O50:R51"/>
    <mergeCell ref="O54:R55"/>
    <mergeCell ref="O58:R59"/>
    <mergeCell ref="I50:L51"/>
    <mergeCell ref="I54:L55"/>
    <mergeCell ref="I58:L59"/>
    <mergeCell ref="C54:F55"/>
    <mergeCell ref="C58:F59"/>
    <mergeCell ref="C50:F51"/>
  </mergeCells>
  <pageMargins left="0.7" right="0.7" top="0.75" bottom="0.75" header="0.3" footer="0.3"/>
  <pageSetup scale="6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95A74-1387-4113-97E9-5E3C9306BFCF}">
  <dimension ref="B3:AD37"/>
  <sheetViews>
    <sheetView topLeftCell="N1" workbookViewId="0">
      <selection activeCell="Z3" sqref="Z3:Z4"/>
    </sheetView>
  </sheetViews>
  <sheetFormatPr defaultRowHeight="14.4" x14ac:dyDescent="0.3"/>
  <cols>
    <col min="22" max="22" width="6.109375" customWidth="1"/>
    <col min="23" max="23" width="3.6640625" customWidth="1"/>
    <col min="24" max="24" width="14.21875" customWidth="1"/>
    <col min="26" max="26" width="14.77734375" customWidth="1"/>
    <col min="29" max="29" width="11.5546875" customWidth="1"/>
  </cols>
  <sheetData>
    <row r="3" spans="2:30" x14ac:dyDescent="0.3">
      <c r="B3" s="377" t="s">
        <v>279</v>
      </c>
      <c r="C3" s="377"/>
      <c r="D3" s="377"/>
      <c r="E3" s="377"/>
      <c r="F3" s="377"/>
      <c r="G3" s="377" t="s">
        <v>313</v>
      </c>
      <c r="H3" s="377"/>
      <c r="I3" s="377"/>
      <c r="J3" s="377"/>
      <c r="K3" s="377"/>
      <c r="L3" s="377"/>
      <c r="M3" s="377"/>
      <c r="N3" s="377"/>
      <c r="O3" s="377"/>
      <c r="S3" s="265" t="s">
        <v>279</v>
      </c>
      <c r="T3" s="265"/>
      <c r="U3" s="265"/>
      <c r="V3" s="265"/>
      <c r="W3" s="265"/>
      <c r="X3" s="301" t="s">
        <v>348</v>
      </c>
      <c r="Y3" s="265" t="s">
        <v>256</v>
      </c>
      <c r="Z3" s="301" t="s">
        <v>262</v>
      </c>
      <c r="AA3" s="301" t="s">
        <v>263</v>
      </c>
      <c r="AB3" s="265" t="s">
        <v>349</v>
      </c>
      <c r="AC3" s="265"/>
      <c r="AD3" s="265"/>
    </row>
    <row r="4" spans="2:30" x14ac:dyDescent="0.3">
      <c r="B4" s="377"/>
      <c r="C4" s="377"/>
      <c r="D4" s="377"/>
      <c r="E4" s="377"/>
      <c r="F4" s="377"/>
      <c r="G4" s="377"/>
      <c r="H4" s="377"/>
      <c r="I4" s="377"/>
      <c r="J4" s="377"/>
      <c r="K4" s="377"/>
      <c r="L4" s="377"/>
      <c r="M4" s="377"/>
      <c r="N4" s="377"/>
      <c r="O4" s="377"/>
      <c r="S4" s="265"/>
      <c r="T4" s="265"/>
      <c r="U4" s="265"/>
      <c r="V4" s="265"/>
      <c r="W4" s="265"/>
      <c r="X4" s="301"/>
      <c r="Y4" s="265"/>
      <c r="Z4" s="301"/>
      <c r="AA4" s="301"/>
      <c r="AB4" s="11" t="s">
        <v>256</v>
      </c>
      <c r="AC4" s="11" t="s">
        <v>1280</v>
      </c>
      <c r="AD4" s="11" t="s">
        <v>263</v>
      </c>
    </row>
    <row r="5" spans="2:30" x14ac:dyDescent="0.3">
      <c r="B5" s="391" t="s">
        <v>280</v>
      </c>
      <c r="C5" s="391"/>
      <c r="D5" s="391"/>
      <c r="E5" s="391"/>
      <c r="F5" s="391"/>
      <c r="G5" s="391"/>
      <c r="H5" s="391"/>
      <c r="I5" s="391"/>
      <c r="J5" s="391"/>
      <c r="K5" s="391"/>
      <c r="L5" s="391"/>
      <c r="M5" s="391"/>
      <c r="N5" s="391"/>
      <c r="O5" s="391"/>
      <c r="S5" s="362" t="s">
        <v>280</v>
      </c>
      <c r="T5" s="362"/>
      <c r="U5" s="362"/>
      <c r="V5" s="362"/>
      <c r="W5" s="362"/>
      <c r="X5" s="362"/>
      <c r="Y5" s="362"/>
      <c r="Z5" s="362"/>
      <c r="AA5" s="362"/>
      <c r="AB5" s="362"/>
      <c r="AC5" s="362"/>
      <c r="AD5" s="362"/>
    </row>
    <row r="6" spans="2:30" x14ac:dyDescent="0.3">
      <c r="B6" s="389" t="s">
        <v>281</v>
      </c>
      <c r="C6" s="390"/>
      <c r="D6" s="390"/>
      <c r="E6" s="390"/>
      <c r="F6" s="390"/>
      <c r="G6" s="215" t="s">
        <v>282</v>
      </c>
      <c r="H6" s="216"/>
      <c r="I6" s="216"/>
      <c r="J6" s="216"/>
      <c r="K6" s="216"/>
      <c r="L6" s="216"/>
      <c r="M6" s="216"/>
      <c r="N6" s="216"/>
      <c r="O6" s="217"/>
      <c r="S6" s="239" t="s">
        <v>339</v>
      </c>
      <c r="T6" s="239"/>
      <c r="U6" s="239"/>
      <c r="V6" s="239"/>
      <c r="W6" s="239"/>
      <c r="X6" s="14">
        <v>3</v>
      </c>
      <c r="Y6" s="14">
        <v>5</v>
      </c>
      <c r="Z6" s="14">
        <v>3</v>
      </c>
      <c r="AA6" s="14">
        <v>2</v>
      </c>
      <c r="AB6" s="14">
        <f>X6*Y6</f>
        <v>15</v>
      </c>
      <c r="AC6" s="14">
        <f>X6*Z6</f>
        <v>9</v>
      </c>
      <c r="AD6" s="14">
        <f>X6*AA6</f>
        <v>6</v>
      </c>
    </row>
    <row r="7" spans="2:30" x14ac:dyDescent="0.3">
      <c r="B7" s="384"/>
      <c r="C7" s="385"/>
      <c r="D7" s="385"/>
      <c r="E7" s="385"/>
      <c r="F7" s="385"/>
      <c r="G7" s="218"/>
      <c r="H7" s="219"/>
      <c r="I7" s="219"/>
      <c r="J7" s="219"/>
      <c r="K7" s="219"/>
      <c r="L7" s="219"/>
      <c r="M7" s="219"/>
      <c r="N7" s="219"/>
      <c r="O7" s="220"/>
      <c r="S7" s="239" t="s">
        <v>283</v>
      </c>
      <c r="T7" s="239"/>
      <c r="U7" s="239"/>
      <c r="V7" s="239"/>
      <c r="W7" s="239"/>
      <c r="X7" s="14">
        <v>2</v>
      </c>
      <c r="Y7" s="14">
        <v>2</v>
      </c>
      <c r="Z7" s="14">
        <v>3</v>
      </c>
      <c r="AA7" s="14">
        <v>3</v>
      </c>
      <c r="AB7" s="14">
        <f>X7*Y7</f>
        <v>4</v>
      </c>
      <c r="AC7" s="14">
        <f>X7*Z7</f>
        <v>6</v>
      </c>
      <c r="AD7" s="14">
        <f>X7*AA7</f>
        <v>6</v>
      </c>
    </row>
    <row r="8" spans="2:30" x14ac:dyDescent="0.3">
      <c r="B8" s="384" t="s">
        <v>283</v>
      </c>
      <c r="C8" s="385"/>
      <c r="D8" s="385"/>
      <c r="E8" s="385"/>
      <c r="F8" s="385"/>
      <c r="G8" s="218" t="s">
        <v>284</v>
      </c>
      <c r="H8" s="219"/>
      <c r="I8" s="219"/>
      <c r="J8" s="219"/>
      <c r="K8" s="219"/>
      <c r="L8" s="219"/>
      <c r="M8" s="219"/>
      <c r="N8" s="219"/>
      <c r="O8" s="220"/>
      <c r="S8" s="362" t="s">
        <v>340</v>
      </c>
      <c r="T8" s="362"/>
      <c r="U8" s="362"/>
      <c r="V8" s="362"/>
      <c r="W8" s="362"/>
      <c r="X8" s="362"/>
      <c r="Y8" s="362"/>
      <c r="Z8" s="362"/>
      <c r="AA8" s="362"/>
      <c r="AB8" s="362"/>
      <c r="AC8" s="362"/>
      <c r="AD8" s="362"/>
    </row>
    <row r="9" spans="2:30" ht="14.4" customHeight="1" x14ac:dyDescent="0.3">
      <c r="B9" s="386"/>
      <c r="C9" s="387"/>
      <c r="D9" s="387"/>
      <c r="E9" s="387"/>
      <c r="F9" s="387"/>
      <c r="G9" s="393"/>
      <c r="H9" s="394"/>
      <c r="I9" s="394"/>
      <c r="J9" s="394"/>
      <c r="K9" s="394"/>
      <c r="L9" s="394"/>
      <c r="M9" s="394"/>
      <c r="N9" s="394"/>
      <c r="O9" s="395"/>
      <c r="S9" s="381" t="s">
        <v>350</v>
      </c>
      <c r="T9" s="382"/>
      <c r="U9" s="382"/>
      <c r="V9" s="382"/>
      <c r="W9" s="383"/>
      <c r="X9" s="14">
        <v>3</v>
      </c>
      <c r="Y9" s="14">
        <v>3</v>
      </c>
      <c r="Z9" s="14">
        <v>3</v>
      </c>
      <c r="AA9" s="14">
        <v>3</v>
      </c>
      <c r="AB9" s="14">
        <f>X9*Y9</f>
        <v>9</v>
      </c>
      <c r="AC9" s="14">
        <f>X9*Z9</f>
        <v>9</v>
      </c>
      <c r="AD9" s="14">
        <f>X9*AA9</f>
        <v>9</v>
      </c>
    </row>
    <row r="10" spans="2:30" x14ac:dyDescent="0.3">
      <c r="B10" s="392" t="s">
        <v>285</v>
      </c>
      <c r="C10" s="392"/>
      <c r="D10" s="392"/>
      <c r="E10" s="392"/>
      <c r="F10" s="392"/>
      <c r="G10" s="392"/>
      <c r="H10" s="392"/>
      <c r="I10" s="392"/>
      <c r="J10" s="392"/>
      <c r="K10" s="392"/>
      <c r="L10" s="392"/>
      <c r="M10" s="392"/>
      <c r="N10" s="392"/>
      <c r="O10" s="392"/>
      <c r="S10" s="378" t="s">
        <v>351</v>
      </c>
      <c r="T10" s="379"/>
      <c r="U10" s="379"/>
      <c r="V10" s="379"/>
      <c r="W10" s="380"/>
      <c r="X10" s="14">
        <v>4</v>
      </c>
      <c r="Y10" s="14">
        <v>4</v>
      </c>
      <c r="Z10" s="14">
        <v>3</v>
      </c>
      <c r="AA10" s="14">
        <v>3</v>
      </c>
      <c r="AB10" s="14">
        <f>X10*Y10</f>
        <v>16</v>
      </c>
      <c r="AC10" s="14">
        <f t="shared" ref="AC10:AC11" si="0">X10*Z10</f>
        <v>12</v>
      </c>
      <c r="AD10" s="14">
        <f t="shared" ref="AD10:AD11" si="1">X10*AA10</f>
        <v>12</v>
      </c>
    </row>
    <row r="11" spans="2:30" x14ac:dyDescent="0.3">
      <c r="B11" s="389" t="s">
        <v>286</v>
      </c>
      <c r="C11" s="390"/>
      <c r="D11" s="390"/>
      <c r="E11" s="390"/>
      <c r="F11" s="390"/>
      <c r="G11" s="215" t="s">
        <v>287</v>
      </c>
      <c r="H11" s="216"/>
      <c r="I11" s="216"/>
      <c r="J11" s="216"/>
      <c r="K11" s="216"/>
      <c r="L11" s="216"/>
      <c r="M11" s="216"/>
      <c r="N11" s="216"/>
      <c r="O11" s="217"/>
      <c r="S11" s="239" t="s">
        <v>341</v>
      </c>
      <c r="T11" s="239"/>
      <c r="U11" s="239"/>
      <c r="V11" s="239"/>
      <c r="W11" s="239"/>
      <c r="X11" s="14">
        <v>4</v>
      </c>
      <c r="Y11" s="14">
        <v>5</v>
      </c>
      <c r="Z11" s="14">
        <v>4</v>
      </c>
      <c r="AA11" s="14">
        <v>4</v>
      </c>
      <c r="AB11" s="14">
        <f>X11*Y11</f>
        <v>20</v>
      </c>
      <c r="AC11" s="14">
        <f t="shared" si="0"/>
        <v>16</v>
      </c>
      <c r="AD11" s="14">
        <f t="shared" si="1"/>
        <v>16</v>
      </c>
    </row>
    <row r="12" spans="2:30" x14ac:dyDescent="0.3">
      <c r="B12" s="384"/>
      <c r="C12" s="385"/>
      <c r="D12" s="385"/>
      <c r="E12" s="385"/>
      <c r="F12" s="385"/>
      <c r="G12" s="218"/>
      <c r="H12" s="219"/>
      <c r="I12" s="219"/>
      <c r="J12" s="219"/>
      <c r="K12" s="219"/>
      <c r="L12" s="219"/>
      <c r="M12" s="219"/>
      <c r="N12" s="219"/>
      <c r="O12" s="220"/>
      <c r="S12" s="362" t="s">
        <v>342</v>
      </c>
      <c r="T12" s="362"/>
      <c r="U12" s="362"/>
      <c r="V12" s="362"/>
      <c r="W12" s="362"/>
      <c r="X12" s="362"/>
      <c r="Y12" s="362"/>
      <c r="Z12" s="362"/>
      <c r="AA12" s="362"/>
      <c r="AB12" s="362"/>
      <c r="AC12" s="362"/>
      <c r="AD12" s="362"/>
    </row>
    <row r="13" spans="2:30" x14ac:dyDescent="0.3">
      <c r="B13" s="384" t="s">
        <v>288</v>
      </c>
      <c r="C13" s="385"/>
      <c r="D13" s="385"/>
      <c r="E13" s="385"/>
      <c r="F13" s="385"/>
      <c r="G13" s="218" t="s">
        <v>289</v>
      </c>
      <c r="H13" s="219"/>
      <c r="I13" s="219"/>
      <c r="J13" s="219"/>
      <c r="K13" s="219"/>
      <c r="L13" s="219"/>
      <c r="M13" s="219"/>
      <c r="N13" s="219"/>
      <c r="O13" s="220"/>
      <c r="S13" s="239" t="s">
        <v>293</v>
      </c>
      <c r="T13" s="239"/>
      <c r="U13" s="239"/>
      <c r="V13" s="239"/>
      <c r="W13" s="239"/>
      <c r="X13" s="14">
        <v>5</v>
      </c>
      <c r="Y13" s="14">
        <v>1</v>
      </c>
      <c r="Z13" s="14">
        <v>3</v>
      </c>
      <c r="AA13" s="14">
        <v>3</v>
      </c>
      <c r="AB13" s="14">
        <f>X13*Y13</f>
        <v>5</v>
      </c>
      <c r="AC13" s="14">
        <f>X13*Z13</f>
        <v>15</v>
      </c>
      <c r="AD13" s="14">
        <f>X13*AA13</f>
        <v>15</v>
      </c>
    </row>
    <row r="14" spans="2:30" x14ac:dyDescent="0.3">
      <c r="B14" s="384"/>
      <c r="C14" s="385"/>
      <c r="D14" s="385"/>
      <c r="E14" s="385"/>
      <c r="F14" s="385"/>
      <c r="G14" s="218"/>
      <c r="H14" s="219"/>
      <c r="I14" s="219"/>
      <c r="J14" s="219"/>
      <c r="K14" s="219"/>
      <c r="L14" s="219"/>
      <c r="M14" s="219"/>
      <c r="N14" s="219"/>
      <c r="O14" s="220"/>
      <c r="S14" s="239" t="s">
        <v>295</v>
      </c>
      <c r="T14" s="239"/>
      <c r="U14" s="239"/>
      <c r="V14" s="239"/>
      <c r="W14" s="239"/>
      <c r="X14" s="14">
        <v>5</v>
      </c>
      <c r="Y14" s="14">
        <v>3</v>
      </c>
      <c r="Z14" s="14">
        <v>3</v>
      </c>
      <c r="AA14" s="14">
        <v>3</v>
      </c>
      <c r="AB14" s="14">
        <f>X14*Y14</f>
        <v>15</v>
      </c>
      <c r="AC14" s="14">
        <f>X14*Z14</f>
        <v>15</v>
      </c>
      <c r="AD14" s="14">
        <f>X14*AA14</f>
        <v>15</v>
      </c>
    </row>
    <row r="15" spans="2:30" x14ac:dyDescent="0.3">
      <c r="B15" s="384"/>
      <c r="C15" s="385"/>
      <c r="D15" s="385"/>
      <c r="E15" s="385"/>
      <c r="F15" s="385"/>
      <c r="G15" s="218"/>
      <c r="H15" s="219"/>
      <c r="I15" s="219"/>
      <c r="J15" s="219"/>
      <c r="K15" s="219"/>
      <c r="L15" s="219"/>
      <c r="M15" s="219"/>
      <c r="N15" s="219"/>
      <c r="O15" s="220"/>
      <c r="S15" s="362" t="s">
        <v>297</v>
      </c>
      <c r="T15" s="362"/>
      <c r="U15" s="362"/>
      <c r="V15" s="362"/>
      <c r="W15" s="362"/>
      <c r="X15" s="362"/>
      <c r="Y15" s="362"/>
      <c r="Z15" s="362"/>
      <c r="AA15" s="362"/>
      <c r="AB15" s="362"/>
      <c r="AC15" s="362"/>
      <c r="AD15" s="362"/>
    </row>
    <row r="16" spans="2:30" x14ac:dyDescent="0.3">
      <c r="B16" s="384" t="s">
        <v>290</v>
      </c>
      <c r="C16" s="385"/>
      <c r="D16" s="385"/>
      <c r="E16" s="385"/>
      <c r="F16" s="385"/>
      <c r="G16" s="218" t="s">
        <v>291</v>
      </c>
      <c r="H16" s="219"/>
      <c r="I16" s="219"/>
      <c r="J16" s="219"/>
      <c r="K16" s="219"/>
      <c r="L16" s="219"/>
      <c r="M16" s="219"/>
      <c r="N16" s="219"/>
      <c r="O16" s="220"/>
      <c r="S16" s="239" t="s">
        <v>298</v>
      </c>
      <c r="T16" s="239"/>
      <c r="U16" s="239"/>
      <c r="V16" s="239"/>
      <c r="W16" s="239"/>
      <c r="X16" s="14">
        <v>4</v>
      </c>
      <c r="Y16" s="14">
        <v>4</v>
      </c>
      <c r="Z16" s="14">
        <v>4</v>
      </c>
      <c r="AA16" s="14">
        <v>4</v>
      </c>
      <c r="AB16" s="14">
        <f>Y16*X16</f>
        <v>16</v>
      </c>
      <c r="AC16" s="14">
        <f>X16*Z16</f>
        <v>16</v>
      </c>
      <c r="AD16" s="14">
        <f>X16*AA16</f>
        <v>16</v>
      </c>
    </row>
    <row r="17" spans="2:30" x14ac:dyDescent="0.3">
      <c r="B17" s="386"/>
      <c r="C17" s="387"/>
      <c r="D17" s="387"/>
      <c r="E17" s="387"/>
      <c r="F17" s="387"/>
      <c r="G17" s="393"/>
      <c r="H17" s="394"/>
      <c r="I17" s="394"/>
      <c r="J17" s="394"/>
      <c r="K17" s="394"/>
      <c r="L17" s="394"/>
      <c r="M17" s="394"/>
      <c r="N17" s="394"/>
      <c r="O17" s="395"/>
      <c r="S17" s="239" t="s">
        <v>300</v>
      </c>
      <c r="T17" s="239"/>
      <c r="U17" s="239"/>
      <c r="V17" s="239"/>
      <c r="W17" s="239"/>
      <c r="X17" s="14">
        <v>4</v>
      </c>
      <c r="Y17" s="14">
        <v>4</v>
      </c>
      <c r="Z17" s="14">
        <v>4</v>
      </c>
      <c r="AA17" s="14">
        <v>4</v>
      </c>
      <c r="AB17" s="14">
        <f>Y17*X17</f>
        <v>16</v>
      </c>
      <c r="AC17" s="14">
        <f>X17*Z17</f>
        <v>16</v>
      </c>
      <c r="AD17" s="14">
        <f>X17*AA17</f>
        <v>16</v>
      </c>
    </row>
    <row r="18" spans="2:30" x14ac:dyDescent="0.3">
      <c r="B18" s="392" t="s">
        <v>292</v>
      </c>
      <c r="C18" s="392"/>
      <c r="D18" s="392"/>
      <c r="E18" s="392"/>
      <c r="F18" s="392"/>
      <c r="G18" s="392"/>
      <c r="H18" s="392"/>
      <c r="I18" s="392"/>
      <c r="J18" s="392"/>
      <c r="K18" s="392"/>
      <c r="L18" s="392"/>
      <c r="M18" s="392"/>
      <c r="N18" s="392"/>
      <c r="O18" s="392"/>
      <c r="S18" s="362" t="s">
        <v>302</v>
      </c>
      <c r="T18" s="362"/>
      <c r="U18" s="362"/>
      <c r="V18" s="362"/>
      <c r="W18" s="362"/>
      <c r="X18" s="362"/>
      <c r="Y18" s="362"/>
      <c r="Z18" s="362"/>
      <c r="AA18" s="362"/>
      <c r="AB18" s="362"/>
      <c r="AC18" s="362"/>
      <c r="AD18" s="362"/>
    </row>
    <row r="19" spans="2:30" x14ac:dyDescent="0.3">
      <c r="B19" s="389" t="s">
        <v>293</v>
      </c>
      <c r="C19" s="390"/>
      <c r="D19" s="390"/>
      <c r="E19" s="390"/>
      <c r="F19" s="390"/>
      <c r="G19" s="215" t="s">
        <v>294</v>
      </c>
      <c r="H19" s="216"/>
      <c r="I19" s="216"/>
      <c r="J19" s="216"/>
      <c r="K19" s="216"/>
      <c r="L19" s="216"/>
      <c r="M19" s="216"/>
      <c r="N19" s="216"/>
      <c r="O19" s="217"/>
      <c r="S19" s="239" t="s">
        <v>343</v>
      </c>
      <c r="T19" s="239"/>
      <c r="U19" s="239"/>
      <c r="V19" s="239"/>
      <c r="W19" s="239"/>
      <c r="X19" s="14">
        <v>4</v>
      </c>
      <c r="Y19" s="14">
        <v>4</v>
      </c>
      <c r="Z19" s="14">
        <v>4</v>
      </c>
      <c r="AA19" s="14">
        <v>4</v>
      </c>
      <c r="AB19" s="14">
        <f>X19*Y19</f>
        <v>16</v>
      </c>
      <c r="AC19" s="14">
        <f>X19*Z19</f>
        <v>16</v>
      </c>
      <c r="AD19" s="14">
        <f>X19*AA19</f>
        <v>16</v>
      </c>
    </row>
    <row r="20" spans="2:30" x14ac:dyDescent="0.3">
      <c r="B20" s="384"/>
      <c r="C20" s="385"/>
      <c r="D20" s="385"/>
      <c r="E20" s="385"/>
      <c r="F20" s="385"/>
      <c r="G20" s="218"/>
      <c r="H20" s="219"/>
      <c r="I20" s="219"/>
      <c r="J20" s="219"/>
      <c r="K20" s="219"/>
      <c r="L20" s="219"/>
      <c r="M20" s="219"/>
      <c r="N20" s="219"/>
      <c r="O20" s="220"/>
      <c r="S20" s="239" t="s">
        <v>344</v>
      </c>
      <c r="T20" s="239"/>
      <c r="U20" s="239"/>
      <c r="V20" s="239"/>
      <c r="W20" s="239"/>
      <c r="X20" s="14">
        <v>5</v>
      </c>
      <c r="Y20" s="14">
        <v>4</v>
      </c>
      <c r="Z20" s="14">
        <v>4</v>
      </c>
      <c r="AA20" s="14">
        <v>4</v>
      </c>
      <c r="AB20" s="14">
        <f t="shared" ref="AB20:AB22" si="2">X20*Y20</f>
        <v>20</v>
      </c>
      <c r="AC20" s="14">
        <f t="shared" ref="AC20:AC22" si="3">X20*Z20</f>
        <v>20</v>
      </c>
      <c r="AD20" s="14">
        <f t="shared" ref="AD20:AD22" si="4">X20*AA20</f>
        <v>20</v>
      </c>
    </row>
    <row r="21" spans="2:30" x14ac:dyDescent="0.3">
      <c r="B21" s="384" t="s">
        <v>295</v>
      </c>
      <c r="C21" s="385"/>
      <c r="D21" s="385"/>
      <c r="E21" s="385"/>
      <c r="F21" s="385"/>
      <c r="G21" s="218" t="s">
        <v>296</v>
      </c>
      <c r="H21" s="219"/>
      <c r="I21" s="219"/>
      <c r="J21" s="219"/>
      <c r="K21" s="219"/>
      <c r="L21" s="219"/>
      <c r="M21" s="219"/>
      <c r="N21" s="219"/>
      <c r="O21" s="220"/>
      <c r="S21" s="239" t="s">
        <v>345</v>
      </c>
      <c r="T21" s="239"/>
      <c r="U21" s="239"/>
      <c r="V21" s="239"/>
      <c r="W21" s="239"/>
      <c r="X21" s="14">
        <v>4</v>
      </c>
      <c r="Y21" s="14">
        <v>3</v>
      </c>
      <c r="Z21" s="14">
        <v>3</v>
      </c>
      <c r="AA21" s="14">
        <v>3</v>
      </c>
      <c r="AB21" s="14">
        <f t="shared" si="2"/>
        <v>12</v>
      </c>
      <c r="AC21" s="14">
        <f t="shared" si="3"/>
        <v>12</v>
      </c>
      <c r="AD21" s="14">
        <f t="shared" si="4"/>
        <v>12</v>
      </c>
    </row>
    <row r="22" spans="2:30" x14ac:dyDescent="0.3">
      <c r="B22" s="384"/>
      <c r="C22" s="385"/>
      <c r="D22" s="385"/>
      <c r="E22" s="385"/>
      <c r="F22" s="385"/>
      <c r="G22" s="218"/>
      <c r="H22" s="219"/>
      <c r="I22" s="219"/>
      <c r="J22" s="219"/>
      <c r="K22" s="219"/>
      <c r="L22" s="219"/>
      <c r="M22" s="219"/>
      <c r="N22" s="219"/>
      <c r="O22" s="220"/>
      <c r="S22" s="374" t="s">
        <v>346</v>
      </c>
      <c r="T22" s="374"/>
      <c r="U22" s="374"/>
      <c r="V22" s="374"/>
      <c r="W22" s="374"/>
      <c r="X22" s="169">
        <v>3</v>
      </c>
      <c r="Y22" s="169">
        <v>3</v>
      </c>
      <c r="Z22" s="169">
        <v>3</v>
      </c>
      <c r="AA22" s="169">
        <v>3</v>
      </c>
      <c r="AB22" s="14">
        <f t="shared" si="2"/>
        <v>9</v>
      </c>
      <c r="AC22" s="14">
        <f t="shared" si="3"/>
        <v>9</v>
      </c>
      <c r="AD22" s="14">
        <f t="shared" si="4"/>
        <v>9</v>
      </c>
    </row>
    <row r="23" spans="2:30" x14ac:dyDescent="0.3">
      <c r="B23" s="386"/>
      <c r="C23" s="387"/>
      <c r="D23" s="387"/>
      <c r="E23" s="387"/>
      <c r="F23" s="387"/>
      <c r="G23" s="393"/>
      <c r="H23" s="394"/>
      <c r="I23" s="394"/>
      <c r="J23" s="394"/>
      <c r="K23" s="394"/>
      <c r="L23" s="394"/>
      <c r="M23" s="394"/>
      <c r="N23" s="394"/>
      <c r="O23" s="395"/>
      <c r="S23" s="375" t="s">
        <v>347</v>
      </c>
      <c r="T23" s="376"/>
      <c r="U23" s="376"/>
      <c r="V23" s="376"/>
      <c r="W23" s="376"/>
      <c r="X23" s="135">
        <f>SUM(X6:X7,X9:X11,X13:X14,X16:X17,X19:X22)</f>
        <v>50</v>
      </c>
      <c r="Y23" s="170"/>
      <c r="Z23" s="170"/>
      <c r="AA23" s="170"/>
      <c r="AB23" s="135">
        <f>SUM(AB6:AB7,AB9:AB11,AB13:AB14,AB16:AB17,AB19:AB22)</f>
        <v>173</v>
      </c>
      <c r="AC23" s="135">
        <f>SUM(AC6:AC7,AC9:AC11,AC13:AC14,AC16:AC17,AC19:AC22)</f>
        <v>171</v>
      </c>
      <c r="AD23" s="134">
        <f>SUM(AD6:AD7,AD9:AD11,AD13:AD14,AD16:AD17,AD19:AD22)</f>
        <v>168</v>
      </c>
    </row>
    <row r="24" spans="2:30" x14ac:dyDescent="0.3">
      <c r="B24" s="392" t="s">
        <v>297</v>
      </c>
      <c r="C24" s="392"/>
      <c r="D24" s="392"/>
      <c r="E24" s="392"/>
      <c r="F24" s="392"/>
      <c r="G24" s="392"/>
      <c r="H24" s="392"/>
      <c r="I24" s="392"/>
      <c r="J24" s="392"/>
      <c r="K24" s="392"/>
      <c r="L24" s="392"/>
      <c r="M24" s="392"/>
      <c r="N24" s="392"/>
      <c r="O24" s="392"/>
      <c r="S24" s="371" t="s">
        <v>352</v>
      </c>
      <c r="T24" s="372"/>
      <c r="U24" s="372"/>
      <c r="V24" s="372"/>
      <c r="W24" s="372"/>
      <c r="X24" s="171"/>
      <c r="Y24" s="171"/>
      <c r="Z24" s="171"/>
      <c r="AA24" s="171"/>
      <c r="AB24" s="163">
        <f>(AB23/$X$23)*20</f>
        <v>69.2</v>
      </c>
      <c r="AC24" s="163">
        <f t="shared" ref="AC24:AD24" si="5">(AC23/$X$23)*20</f>
        <v>68.400000000000006</v>
      </c>
      <c r="AD24" s="134">
        <f t="shared" si="5"/>
        <v>67.2</v>
      </c>
    </row>
    <row r="25" spans="2:30" x14ac:dyDescent="0.3">
      <c r="B25" s="389" t="s">
        <v>298</v>
      </c>
      <c r="C25" s="390"/>
      <c r="D25" s="390"/>
      <c r="E25" s="390"/>
      <c r="F25" s="390"/>
      <c r="G25" s="215" t="s">
        <v>299</v>
      </c>
      <c r="H25" s="216"/>
      <c r="I25" s="216"/>
      <c r="J25" s="216"/>
      <c r="K25" s="216"/>
      <c r="L25" s="216"/>
      <c r="M25" s="216"/>
      <c r="N25" s="216"/>
      <c r="O25" s="217"/>
    </row>
    <row r="26" spans="2:30" x14ac:dyDescent="0.3">
      <c r="B26" s="384"/>
      <c r="C26" s="385"/>
      <c r="D26" s="385"/>
      <c r="E26" s="385"/>
      <c r="F26" s="385"/>
      <c r="G26" s="218"/>
      <c r="H26" s="219"/>
      <c r="I26" s="219"/>
      <c r="J26" s="219"/>
      <c r="K26" s="219"/>
      <c r="L26" s="219"/>
      <c r="M26" s="219"/>
      <c r="N26" s="219"/>
      <c r="O26" s="220"/>
      <c r="S26" s="373" t="s">
        <v>354</v>
      </c>
      <c r="T26" s="373"/>
      <c r="U26" s="373"/>
      <c r="V26" s="373"/>
      <c r="W26" s="373"/>
      <c r="X26" s="373"/>
      <c r="Y26" s="373"/>
    </row>
    <row r="27" spans="2:30" x14ac:dyDescent="0.3">
      <c r="B27" s="384" t="s">
        <v>300</v>
      </c>
      <c r="C27" s="385"/>
      <c r="D27" s="385"/>
      <c r="E27" s="385"/>
      <c r="F27" s="385"/>
      <c r="G27" s="218" t="s">
        <v>301</v>
      </c>
      <c r="H27" s="219"/>
      <c r="I27" s="219"/>
      <c r="J27" s="219"/>
      <c r="K27" s="219"/>
      <c r="L27" s="219"/>
      <c r="M27" s="219"/>
      <c r="N27" s="219"/>
      <c r="O27" s="220"/>
      <c r="S27" s="222" t="s">
        <v>353</v>
      </c>
      <c r="T27" s="222"/>
      <c r="U27" s="222"/>
      <c r="V27" s="222"/>
      <c r="W27" s="222"/>
      <c r="X27" s="222"/>
      <c r="Y27" s="222"/>
    </row>
    <row r="28" spans="2:30" x14ac:dyDescent="0.3">
      <c r="B28" s="386"/>
      <c r="C28" s="387"/>
      <c r="D28" s="387"/>
      <c r="E28" s="387"/>
      <c r="F28" s="387"/>
      <c r="G28" s="393"/>
      <c r="H28" s="394"/>
      <c r="I28" s="394"/>
      <c r="J28" s="394"/>
      <c r="K28" s="394"/>
      <c r="L28" s="394"/>
      <c r="M28" s="394"/>
      <c r="N28" s="394"/>
      <c r="O28" s="395"/>
    </row>
    <row r="29" spans="2:30" x14ac:dyDescent="0.3">
      <c r="B29" s="392" t="s">
        <v>302</v>
      </c>
      <c r="C29" s="392"/>
      <c r="D29" s="392"/>
      <c r="E29" s="392"/>
      <c r="F29" s="392"/>
      <c r="G29" s="392"/>
      <c r="H29" s="392"/>
      <c r="I29" s="392"/>
      <c r="J29" s="392"/>
      <c r="K29" s="392"/>
      <c r="L29" s="392"/>
      <c r="M29" s="392"/>
      <c r="N29" s="392"/>
      <c r="O29" s="392"/>
    </row>
    <row r="30" spans="2:30" x14ac:dyDescent="0.3">
      <c r="B30" s="389" t="s">
        <v>303</v>
      </c>
      <c r="C30" s="390"/>
      <c r="D30" s="390"/>
      <c r="E30" s="390"/>
      <c r="F30" s="390"/>
      <c r="G30" s="215" t="s">
        <v>304</v>
      </c>
      <c r="H30" s="216"/>
      <c r="I30" s="216"/>
      <c r="J30" s="216"/>
      <c r="K30" s="216"/>
      <c r="L30" s="216"/>
      <c r="M30" s="216"/>
      <c r="N30" s="216"/>
      <c r="O30" s="217"/>
    </row>
    <row r="31" spans="2:30" x14ac:dyDescent="0.3">
      <c r="B31" s="384"/>
      <c r="C31" s="385"/>
      <c r="D31" s="385"/>
      <c r="E31" s="385"/>
      <c r="F31" s="385"/>
      <c r="G31" s="218"/>
      <c r="H31" s="219"/>
      <c r="I31" s="219"/>
      <c r="J31" s="219"/>
      <c r="K31" s="219"/>
      <c r="L31" s="219"/>
      <c r="M31" s="219"/>
      <c r="N31" s="219"/>
      <c r="O31" s="220"/>
    </row>
    <row r="32" spans="2:30" x14ac:dyDescent="0.3">
      <c r="B32" s="384" t="s">
        <v>305</v>
      </c>
      <c r="C32" s="385"/>
      <c r="D32" s="385"/>
      <c r="E32" s="385"/>
      <c r="F32" s="385"/>
      <c r="G32" s="384" t="s">
        <v>306</v>
      </c>
      <c r="H32" s="385"/>
      <c r="I32" s="385"/>
      <c r="J32" s="385"/>
      <c r="K32" s="385"/>
      <c r="L32" s="385"/>
      <c r="M32" s="385"/>
      <c r="N32" s="385"/>
      <c r="O32" s="396"/>
    </row>
    <row r="33" spans="2:15" ht="14.4" customHeight="1" x14ac:dyDescent="0.3">
      <c r="B33" s="218" t="s">
        <v>307</v>
      </c>
      <c r="C33" s="219"/>
      <c r="D33" s="219"/>
      <c r="E33" s="219"/>
      <c r="F33" s="219"/>
      <c r="G33" s="218" t="s">
        <v>308</v>
      </c>
      <c r="H33" s="219"/>
      <c r="I33" s="219"/>
      <c r="J33" s="219"/>
      <c r="K33" s="219"/>
      <c r="L33" s="219"/>
      <c r="M33" s="219"/>
      <c r="N33" s="219"/>
      <c r="O33" s="220"/>
    </row>
    <row r="34" spans="2:15" x14ac:dyDescent="0.3">
      <c r="B34" s="218"/>
      <c r="C34" s="219"/>
      <c r="D34" s="219"/>
      <c r="E34" s="219"/>
      <c r="F34" s="219"/>
      <c r="G34" s="218"/>
      <c r="H34" s="219"/>
      <c r="I34" s="219"/>
      <c r="J34" s="219"/>
      <c r="K34" s="219"/>
      <c r="L34" s="219"/>
      <c r="M34" s="219"/>
      <c r="N34" s="219"/>
      <c r="O34" s="220"/>
    </row>
    <row r="35" spans="2:15" x14ac:dyDescent="0.3">
      <c r="B35" s="218"/>
      <c r="C35" s="219"/>
      <c r="D35" s="219"/>
      <c r="E35" s="219"/>
      <c r="F35" s="219"/>
      <c r="G35" s="218"/>
      <c r="H35" s="219"/>
      <c r="I35" s="219"/>
      <c r="J35" s="219"/>
      <c r="K35" s="219"/>
      <c r="L35" s="219"/>
      <c r="M35" s="219"/>
      <c r="N35" s="219"/>
      <c r="O35" s="220"/>
    </row>
    <row r="36" spans="2:15" x14ac:dyDescent="0.3">
      <c r="B36" s="384" t="s">
        <v>309</v>
      </c>
      <c r="C36" s="385"/>
      <c r="D36" s="385"/>
      <c r="E36" s="385"/>
      <c r="F36" s="385"/>
      <c r="G36" s="384" t="s">
        <v>310</v>
      </c>
      <c r="H36" s="385"/>
      <c r="I36" s="385"/>
      <c r="J36" s="385"/>
      <c r="K36" s="385"/>
      <c r="L36" s="385"/>
      <c r="M36" s="385"/>
      <c r="N36" s="385"/>
      <c r="O36" s="396"/>
    </row>
    <row r="37" spans="2:15" x14ac:dyDescent="0.3">
      <c r="B37" s="386" t="s">
        <v>311</v>
      </c>
      <c r="C37" s="387"/>
      <c r="D37" s="387"/>
      <c r="E37" s="387"/>
      <c r="F37" s="387"/>
      <c r="G37" s="386" t="s">
        <v>312</v>
      </c>
      <c r="H37" s="387"/>
      <c r="I37" s="387"/>
      <c r="J37" s="387"/>
      <c r="K37" s="387"/>
      <c r="L37" s="387"/>
      <c r="M37" s="387"/>
      <c r="N37" s="387"/>
      <c r="O37" s="388"/>
    </row>
  </sheetData>
  <mergeCells count="63">
    <mergeCell ref="B29:O29"/>
    <mergeCell ref="G36:O36"/>
    <mergeCell ref="B21:F23"/>
    <mergeCell ref="B19:F20"/>
    <mergeCell ref="B16:F17"/>
    <mergeCell ref="G21:O23"/>
    <mergeCell ref="G25:O26"/>
    <mergeCell ref="G27:O28"/>
    <mergeCell ref="G30:O31"/>
    <mergeCell ref="G32:O32"/>
    <mergeCell ref="G33:O35"/>
    <mergeCell ref="B33:F35"/>
    <mergeCell ref="G16:O17"/>
    <mergeCell ref="G19:O20"/>
    <mergeCell ref="B27:F28"/>
    <mergeCell ref="B25:F26"/>
    <mergeCell ref="B5:O5"/>
    <mergeCell ref="B10:O10"/>
    <mergeCell ref="B18:O18"/>
    <mergeCell ref="B24:O24"/>
    <mergeCell ref="B13:F15"/>
    <mergeCell ref="G6:O7"/>
    <mergeCell ref="G8:O9"/>
    <mergeCell ref="G11:O12"/>
    <mergeCell ref="G13:O15"/>
    <mergeCell ref="B11:F12"/>
    <mergeCell ref="B8:F9"/>
    <mergeCell ref="B6:F7"/>
    <mergeCell ref="B32:F32"/>
    <mergeCell ref="G37:O37"/>
    <mergeCell ref="B36:F36"/>
    <mergeCell ref="B37:F37"/>
    <mergeCell ref="B30:F31"/>
    <mergeCell ref="AA3:AA4"/>
    <mergeCell ref="AB3:AD3"/>
    <mergeCell ref="S5:AD5"/>
    <mergeCell ref="S23:W23"/>
    <mergeCell ref="B3:F4"/>
    <mergeCell ref="G3:O4"/>
    <mergeCell ref="S3:W4"/>
    <mergeCell ref="X3:X4"/>
    <mergeCell ref="S18:AD18"/>
    <mergeCell ref="S15:AD15"/>
    <mergeCell ref="S12:AD12"/>
    <mergeCell ref="S8:AD8"/>
    <mergeCell ref="S10:W10"/>
    <mergeCell ref="S9:W9"/>
    <mergeCell ref="S17:W17"/>
    <mergeCell ref="S19:W19"/>
    <mergeCell ref="S24:W24"/>
    <mergeCell ref="S26:Y26"/>
    <mergeCell ref="S27:Y27"/>
    <mergeCell ref="Y3:Y4"/>
    <mergeCell ref="Z3:Z4"/>
    <mergeCell ref="S20:W20"/>
    <mergeCell ref="S21:W21"/>
    <mergeCell ref="S22:W22"/>
    <mergeCell ref="S11:W11"/>
    <mergeCell ref="S13:W13"/>
    <mergeCell ref="S14:W14"/>
    <mergeCell ref="S16:W16"/>
    <mergeCell ref="S6:W6"/>
    <mergeCell ref="S7:W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5CA2-6476-405A-935E-06D758E8D69D}">
  <dimension ref="A4:AA19"/>
  <sheetViews>
    <sheetView zoomScale="95" zoomScaleNormal="95" workbookViewId="0">
      <pane xSplit="1" topLeftCell="T1" activePane="topRight" state="frozen"/>
      <selection pane="topRight" activeCell="O4" activeCellId="1" sqref="A4:A10 O4:AA10"/>
    </sheetView>
  </sheetViews>
  <sheetFormatPr defaultRowHeight="14.4" x14ac:dyDescent="0.3"/>
  <cols>
    <col min="1" max="1" width="29.21875" customWidth="1"/>
    <col min="2" max="2" width="14.88671875" customWidth="1"/>
    <col min="3" max="3" width="23.77734375" customWidth="1"/>
    <col min="4" max="4" width="18.88671875" customWidth="1"/>
    <col min="5" max="5" width="21.6640625" customWidth="1"/>
    <col min="6" max="6" width="18.88671875" customWidth="1"/>
    <col min="7" max="7" width="28.33203125" customWidth="1"/>
    <col min="8" max="8" width="18.88671875" customWidth="1"/>
    <col min="9" max="9" width="28.77734375" customWidth="1"/>
    <col min="10" max="10" width="18.88671875" customWidth="1"/>
    <col min="11" max="11" width="25.6640625" customWidth="1"/>
    <col min="12" max="12" width="18.88671875" customWidth="1"/>
    <col min="13" max="13" width="30.44140625" customWidth="1"/>
    <col min="14" max="14" width="18.88671875" customWidth="1"/>
    <col min="15" max="15" width="20.33203125" customWidth="1"/>
    <col min="16" max="16" width="18.88671875" customWidth="1"/>
    <col min="17" max="17" width="36.21875" customWidth="1"/>
    <col min="18" max="18" width="18.88671875" customWidth="1"/>
    <col min="19" max="19" width="23.44140625" customWidth="1"/>
    <col min="20" max="20" width="18.88671875" customWidth="1"/>
    <col min="21" max="21" width="27.109375" customWidth="1"/>
    <col min="22" max="22" width="18.88671875" customWidth="1"/>
    <col min="23" max="23" width="26.44140625" customWidth="1"/>
    <col min="24" max="24" width="18.88671875" customWidth="1"/>
    <col min="25" max="25" width="27.88671875" customWidth="1"/>
    <col min="26" max="26" width="18.88671875" customWidth="1"/>
    <col min="27" max="27" width="18.5546875" customWidth="1"/>
  </cols>
  <sheetData>
    <row r="4" spans="1:27" ht="15" thickBot="1" x14ac:dyDescent="0.35">
      <c r="A4" s="68" t="s">
        <v>355</v>
      </c>
      <c r="B4" s="68" t="s">
        <v>356</v>
      </c>
      <c r="C4" s="68" t="s">
        <v>368</v>
      </c>
      <c r="D4" s="68" t="s">
        <v>357</v>
      </c>
      <c r="E4" s="68" t="s">
        <v>369</v>
      </c>
      <c r="F4" s="68" t="s">
        <v>357</v>
      </c>
      <c r="G4" s="68" t="s">
        <v>372</v>
      </c>
      <c r="H4" s="68" t="s">
        <v>357</v>
      </c>
      <c r="I4" s="68" t="s">
        <v>375</v>
      </c>
      <c r="J4" s="68" t="s">
        <v>357</v>
      </c>
      <c r="K4" s="68" t="s">
        <v>370</v>
      </c>
      <c r="L4" s="68" t="s">
        <v>357</v>
      </c>
      <c r="M4" s="68" t="s">
        <v>373</v>
      </c>
      <c r="N4" s="68" t="s">
        <v>357</v>
      </c>
      <c r="O4" s="68" t="s">
        <v>374</v>
      </c>
      <c r="P4" s="68" t="s">
        <v>357</v>
      </c>
      <c r="Q4" s="68" t="s">
        <v>377</v>
      </c>
      <c r="R4" s="68" t="s">
        <v>357</v>
      </c>
      <c r="S4" s="68" t="s">
        <v>447</v>
      </c>
      <c r="T4" s="68" t="s">
        <v>357</v>
      </c>
      <c r="U4" s="68" t="s">
        <v>378</v>
      </c>
      <c r="V4" s="68" t="s">
        <v>357</v>
      </c>
      <c r="W4" s="68" t="s">
        <v>379</v>
      </c>
      <c r="X4" s="68" t="s">
        <v>357</v>
      </c>
      <c r="Y4" s="68" t="s">
        <v>380</v>
      </c>
      <c r="Z4" s="68" t="s">
        <v>357</v>
      </c>
      <c r="AA4" s="68" t="s">
        <v>364</v>
      </c>
    </row>
    <row r="5" spans="1:27" x14ac:dyDescent="0.3">
      <c r="A5" s="69" t="s">
        <v>358</v>
      </c>
      <c r="B5" s="48">
        <v>200</v>
      </c>
      <c r="C5" s="65">
        <v>0</v>
      </c>
      <c r="D5" s="48">
        <f>B5-(B5*C5)</f>
        <v>200</v>
      </c>
      <c r="E5" s="65">
        <v>0.25</v>
      </c>
      <c r="F5" s="48">
        <f t="shared" ref="F5:F10" si="0">D5-(D5*E5)</f>
        <v>150</v>
      </c>
      <c r="G5" s="65">
        <v>0</v>
      </c>
      <c r="H5" s="48">
        <f t="shared" ref="H5:H10" si="1">F5-(F5*G5)</f>
        <v>150</v>
      </c>
      <c r="I5" s="65">
        <v>0</v>
      </c>
      <c r="J5" s="48">
        <f t="shared" ref="J5:J10" si="2">F5-(F5*I5)</f>
        <v>150</v>
      </c>
      <c r="K5" s="65">
        <v>0</v>
      </c>
      <c r="L5" s="48">
        <f>J5-(J5*K5)</f>
        <v>150</v>
      </c>
      <c r="M5" s="65">
        <v>0.35</v>
      </c>
      <c r="N5" s="48">
        <f>L5-(L5*M5)</f>
        <v>97.5</v>
      </c>
      <c r="O5" s="65">
        <v>0.85</v>
      </c>
      <c r="P5" s="48">
        <f t="shared" ref="P5:P10" si="3">N5-(N5*O5)</f>
        <v>14.625</v>
      </c>
      <c r="Q5" s="65">
        <v>0.5</v>
      </c>
      <c r="R5" s="48">
        <f t="shared" ref="R5:R10" si="4">P5-(P5*Q5)</f>
        <v>7.3125</v>
      </c>
      <c r="S5" s="65">
        <v>0</v>
      </c>
      <c r="T5" s="48">
        <f>R5-(R5*S5)</f>
        <v>7.3125</v>
      </c>
      <c r="U5" s="65">
        <v>0</v>
      </c>
      <c r="V5" s="48">
        <f>T5-(T5*U5)</f>
        <v>7.3125</v>
      </c>
      <c r="W5" s="65">
        <v>0</v>
      </c>
      <c r="X5" s="48">
        <f>V5-(V5*W5)</f>
        <v>7.3125</v>
      </c>
      <c r="Y5" s="65">
        <v>0</v>
      </c>
      <c r="Z5" s="48">
        <f>X5-(X5*Y5)</f>
        <v>7.3125</v>
      </c>
      <c r="AA5" s="48">
        <v>30</v>
      </c>
    </row>
    <row r="6" spans="1:27" x14ac:dyDescent="0.3">
      <c r="A6" s="69" t="s">
        <v>359</v>
      </c>
      <c r="B6" s="48">
        <v>508</v>
      </c>
      <c r="C6" s="65">
        <v>0</v>
      </c>
      <c r="D6" s="48">
        <f>B6-(B6*C6)</f>
        <v>508</v>
      </c>
      <c r="E6" s="65">
        <v>0</v>
      </c>
      <c r="F6" s="48">
        <f t="shared" si="0"/>
        <v>508</v>
      </c>
      <c r="G6" s="65">
        <v>0</v>
      </c>
      <c r="H6" s="48">
        <f t="shared" si="1"/>
        <v>508</v>
      </c>
      <c r="I6" s="65">
        <v>0</v>
      </c>
      <c r="J6" s="48">
        <f t="shared" si="2"/>
        <v>508</v>
      </c>
      <c r="K6" s="65">
        <v>0</v>
      </c>
      <c r="L6" s="48">
        <f t="shared" ref="D6:Z10" si="5">J6-(J6*K6)</f>
        <v>508</v>
      </c>
      <c r="M6" s="65">
        <v>0.45</v>
      </c>
      <c r="N6" s="48">
        <f t="shared" si="5"/>
        <v>279.39999999999998</v>
      </c>
      <c r="O6" s="65">
        <v>0.85</v>
      </c>
      <c r="P6" s="48">
        <f t="shared" si="3"/>
        <v>41.91</v>
      </c>
      <c r="Q6" s="65">
        <v>0.5</v>
      </c>
      <c r="R6" s="48">
        <f t="shared" si="4"/>
        <v>20.954999999999998</v>
      </c>
      <c r="S6" s="65">
        <v>0</v>
      </c>
      <c r="T6" s="48">
        <f t="shared" si="5"/>
        <v>20.954999999999998</v>
      </c>
      <c r="U6" s="65">
        <v>0</v>
      </c>
      <c r="V6" s="48">
        <f t="shared" si="5"/>
        <v>20.954999999999998</v>
      </c>
      <c r="W6" s="65">
        <v>0</v>
      </c>
      <c r="X6" s="48">
        <f t="shared" si="5"/>
        <v>20.954999999999998</v>
      </c>
      <c r="Y6" s="65">
        <v>0</v>
      </c>
      <c r="Z6" s="48">
        <f t="shared" si="5"/>
        <v>20.954999999999998</v>
      </c>
      <c r="AA6" s="48">
        <v>100</v>
      </c>
    </row>
    <row r="7" spans="1:27" x14ac:dyDescent="0.3">
      <c r="A7" s="69" t="s">
        <v>360</v>
      </c>
      <c r="B7" s="48">
        <v>195</v>
      </c>
      <c r="C7" s="65">
        <v>0</v>
      </c>
      <c r="D7" s="48">
        <f t="shared" si="5"/>
        <v>195</v>
      </c>
      <c r="E7" s="65">
        <v>0.3</v>
      </c>
      <c r="F7" s="48">
        <f t="shared" si="0"/>
        <v>136.5</v>
      </c>
      <c r="G7" s="65">
        <v>0</v>
      </c>
      <c r="H7" s="48">
        <f t="shared" si="1"/>
        <v>136.5</v>
      </c>
      <c r="I7" s="65">
        <v>0</v>
      </c>
      <c r="J7" s="48">
        <f t="shared" si="2"/>
        <v>136.5</v>
      </c>
      <c r="K7" s="65">
        <v>0</v>
      </c>
      <c r="L7" s="48">
        <f t="shared" si="5"/>
        <v>136.5</v>
      </c>
      <c r="M7" s="65">
        <v>0.6</v>
      </c>
      <c r="N7" s="48">
        <f t="shared" si="5"/>
        <v>54.600000000000009</v>
      </c>
      <c r="O7" s="65">
        <v>0.7</v>
      </c>
      <c r="P7" s="48">
        <f t="shared" si="3"/>
        <v>16.380000000000003</v>
      </c>
      <c r="Q7" s="65">
        <v>0.5</v>
      </c>
      <c r="R7" s="48">
        <f t="shared" si="4"/>
        <v>8.1900000000000013</v>
      </c>
      <c r="S7" s="65">
        <v>0</v>
      </c>
      <c r="T7" s="48">
        <f t="shared" si="5"/>
        <v>8.1900000000000013</v>
      </c>
      <c r="U7" s="65">
        <v>0</v>
      </c>
      <c r="V7" s="48">
        <f t="shared" si="5"/>
        <v>8.1900000000000013</v>
      </c>
      <c r="W7" s="65">
        <v>0</v>
      </c>
      <c r="X7" s="48">
        <f t="shared" si="5"/>
        <v>8.1900000000000013</v>
      </c>
      <c r="Y7" s="65">
        <v>0</v>
      </c>
      <c r="Z7" s="48">
        <f t="shared" si="5"/>
        <v>8.1900000000000013</v>
      </c>
      <c r="AA7" s="48">
        <v>30</v>
      </c>
    </row>
    <row r="8" spans="1:27" x14ac:dyDescent="0.3">
      <c r="A8" s="69" t="s">
        <v>361</v>
      </c>
      <c r="B8" s="48">
        <v>76</v>
      </c>
      <c r="C8" s="65">
        <v>0</v>
      </c>
      <c r="D8" s="48">
        <f t="shared" si="5"/>
        <v>76</v>
      </c>
      <c r="E8" s="65">
        <v>0.35</v>
      </c>
      <c r="F8" s="48">
        <f t="shared" si="0"/>
        <v>49.400000000000006</v>
      </c>
      <c r="G8" s="65">
        <v>0</v>
      </c>
      <c r="H8" s="48">
        <f t="shared" si="1"/>
        <v>49.400000000000006</v>
      </c>
      <c r="I8" s="65">
        <v>0.9</v>
      </c>
      <c r="J8" s="48">
        <f t="shared" si="2"/>
        <v>4.9399999999999977</v>
      </c>
      <c r="K8" s="65">
        <v>0</v>
      </c>
      <c r="L8" s="48">
        <f t="shared" si="5"/>
        <v>4.9399999999999977</v>
      </c>
      <c r="M8" s="65">
        <v>0</v>
      </c>
      <c r="N8" s="48">
        <f t="shared" si="5"/>
        <v>4.9399999999999977</v>
      </c>
      <c r="O8" s="65">
        <v>0</v>
      </c>
      <c r="P8" s="48">
        <f t="shared" si="3"/>
        <v>4.9399999999999977</v>
      </c>
      <c r="Q8" s="65">
        <v>0</v>
      </c>
      <c r="R8" s="48">
        <f t="shared" si="4"/>
        <v>4.9399999999999977</v>
      </c>
      <c r="S8" s="65">
        <v>0</v>
      </c>
      <c r="T8" s="48">
        <f t="shared" si="5"/>
        <v>4.9399999999999977</v>
      </c>
      <c r="U8" s="65">
        <v>0</v>
      </c>
      <c r="V8" s="48">
        <f t="shared" si="5"/>
        <v>4.9399999999999977</v>
      </c>
      <c r="W8" s="65">
        <v>0</v>
      </c>
      <c r="X8" s="48">
        <f t="shared" si="5"/>
        <v>4.9399999999999977</v>
      </c>
      <c r="Y8" s="65">
        <v>0</v>
      </c>
      <c r="Z8" s="48">
        <f t="shared" si="5"/>
        <v>4.9399999999999977</v>
      </c>
      <c r="AA8" s="48">
        <v>5</v>
      </c>
    </row>
    <row r="9" spans="1:27" x14ac:dyDescent="0.3">
      <c r="A9" s="69" t="s">
        <v>362</v>
      </c>
      <c r="B9" s="48">
        <v>35</v>
      </c>
      <c r="C9" s="65">
        <v>0</v>
      </c>
      <c r="D9" s="48">
        <f t="shared" si="5"/>
        <v>35</v>
      </c>
      <c r="E9" s="65">
        <v>0</v>
      </c>
      <c r="F9" s="48">
        <f t="shared" si="0"/>
        <v>35</v>
      </c>
      <c r="G9" s="65">
        <v>0</v>
      </c>
      <c r="H9" s="48">
        <f t="shared" si="1"/>
        <v>35</v>
      </c>
      <c r="I9" s="65">
        <v>0</v>
      </c>
      <c r="J9" s="48">
        <f t="shared" si="2"/>
        <v>35</v>
      </c>
      <c r="K9" s="65">
        <v>0</v>
      </c>
      <c r="L9" s="48">
        <f t="shared" si="5"/>
        <v>35</v>
      </c>
      <c r="M9" s="65">
        <v>0</v>
      </c>
      <c r="N9" s="48">
        <f t="shared" si="5"/>
        <v>35</v>
      </c>
      <c r="O9" s="65">
        <v>0.75</v>
      </c>
      <c r="P9" s="48">
        <f t="shared" si="3"/>
        <v>8.75</v>
      </c>
      <c r="Q9" s="65">
        <v>0</v>
      </c>
      <c r="R9" s="48">
        <f t="shared" si="4"/>
        <v>8.75</v>
      </c>
      <c r="S9" s="65">
        <v>0</v>
      </c>
      <c r="T9" s="48">
        <f t="shared" si="5"/>
        <v>8.75</v>
      </c>
      <c r="U9" s="65">
        <v>0</v>
      </c>
      <c r="V9" s="48">
        <f t="shared" si="5"/>
        <v>8.75</v>
      </c>
      <c r="W9" s="65">
        <v>0</v>
      </c>
      <c r="X9" s="48">
        <f t="shared" si="5"/>
        <v>8.75</v>
      </c>
      <c r="Y9" s="65">
        <v>0</v>
      </c>
      <c r="Z9" s="48">
        <f t="shared" si="5"/>
        <v>8.75</v>
      </c>
      <c r="AA9" s="48">
        <v>10</v>
      </c>
    </row>
    <row r="10" spans="1:27" x14ac:dyDescent="0.3">
      <c r="A10" s="69" t="s">
        <v>363</v>
      </c>
      <c r="B10" s="48">
        <v>100000000</v>
      </c>
      <c r="C10" s="65">
        <v>0</v>
      </c>
      <c r="D10" s="48">
        <f t="shared" si="5"/>
        <v>100000000</v>
      </c>
      <c r="E10" s="65">
        <v>0</v>
      </c>
      <c r="F10" s="48">
        <f t="shared" si="0"/>
        <v>100000000</v>
      </c>
      <c r="G10" s="65">
        <v>0</v>
      </c>
      <c r="H10" s="48">
        <f t="shared" si="1"/>
        <v>100000000</v>
      </c>
      <c r="I10" s="65">
        <v>0</v>
      </c>
      <c r="J10" s="48">
        <f t="shared" si="2"/>
        <v>100000000</v>
      </c>
      <c r="K10" s="65">
        <v>0</v>
      </c>
      <c r="L10" s="48">
        <f t="shared" si="5"/>
        <v>100000000</v>
      </c>
      <c r="M10" s="65">
        <v>0.6</v>
      </c>
      <c r="N10" s="48">
        <f t="shared" si="5"/>
        <v>40000000</v>
      </c>
      <c r="O10" s="65">
        <v>0.97</v>
      </c>
      <c r="P10" s="48">
        <f t="shared" si="3"/>
        <v>1200000</v>
      </c>
      <c r="Q10" s="65">
        <v>0</v>
      </c>
      <c r="R10" s="48">
        <f t="shared" si="4"/>
        <v>1200000</v>
      </c>
      <c r="S10" s="65">
        <v>0.999</v>
      </c>
      <c r="T10" s="48">
        <f t="shared" si="5"/>
        <v>1200</v>
      </c>
      <c r="U10" s="65">
        <v>0</v>
      </c>
      <c r="V10" s="48">
        <f t="shared" si="5"/>
        <v>1200</v>
      </c>
      <c r="W10" s="65">
        <v>0</v>
      </c>
      <c r="X10" s="48">
        <f t="shared" si="5"/>
        <v>1200</v>
      </c>
      <c r="Y10" s="65">
        <v>0</v>
      </c>
      <c r="Z10" s="48">
        <f t="shared" si="5"/>
        <v>1200</v>
      </c>
      <c r="AA10" s="48">
        <v>3000</v>
      </c>
    </row>
    <row r="19" spans="11:11" x14ac:dyDescent="0.3">
      <c r="K19" t="s">
        <v>381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86E0-F6B4-43A7-B6E8-3B944409D7B8}">
  <dimension ref="A1:X49"/>
  <sheetViews>
    <sheetView topLeftCell="A12" zoomScale="75" zoomScaleNormal="75" workbookViewId="0">
      <selection activeCell="J41" sqref="J41"/>
    </sheetView>
  </sheetViews>
  <sheetFormatPr defaultRowHeight="14.4" x14ac:dyDescent="0.3"/>
  <cols>
    <col min="22" max="22" width="12.21875" customWidth="1"/>
  </cols>
  <sheetData>
    <row r="1" spans="1:24" x14ac:dyDescent="0.3">
      <c r="A1" s="70"/>
      <c r="B1" s="70"/>
      <c r="C1" s="70"/>
      <c r="D1" s="70"/>
      <c r="E1" s="70"/>
      <c r="F1" s="70"/>
      <c r="G1" s="70"/>
      <c r="H1" s="70"/>
      <c r="I1" s="70"/>
      <c r="J1" s="70"/>
      <c r="K1" s="70"/>
      <c r="L1" s="70"/>
      <c r="M1" s="70"/>
      <c r="N1" s="70"/>
      <c r="O1" s="70"/>
      <c r="P1" s="70"/>
      <c r="Q1" s="70"/>
      <c r="R1" s="70"/>
      <c r="S1" s="70"/>
      <c r="T1" s="70"/>
      <c r="U1" s="70"/>
      <c r="V1" s="70"/>
      <c r="W1" s="70"/>
      <c r="X1" s="70"/>
    </row>
    <row r="2" spans="1:24" x14ac:dyDescent="0.3">
      <c r="A2" s="70"/>
      <c r="B2" s="70"/>
      <c r="C2" s="70"/>
      <c r="D2" s="70"/>
      <c r="E2" s="70"/>
      <c r="F2" s="70"/>
      <c r="G2" s="70"/>
      <c r="H2" s="70"/>
      <c r="I2" s="70"/>
      <c r="J2" s="70"/>
      <c r="K2" s="70"/>
      <c r="L2" s="70"/>
      <c r="M2" s="70"/>
      <c r="N2" s="70"/>
      <c r="O2" s="70"/>
      <c r="P2" s="70"/>
      <c r="Q2" s="70"/>
      <c r="R2" s="70"/>
      <c r="S2" s="70"/>
      <c r="T2" s="70"/>
      <c r="U2" s="70"/>
      <c r="V2" s="70"/>
      <c r="W2" s="70"/>
      <c r="X2" s="70"/>
    </row>
    <row r="3" spans="1:24" ht="15" thickBot="1" x14ac:dyDescent="0.35">
      <c r="A3" s="70"/>
      <c r="B3" s="70"/>
      <c r="C3" s="70"/>
      <c r="D3" s="70"/>
      <c r="E3" s="70"/>
      <c r="F3" s="70"/>
      <c r="G3" s="70"/>
      <c r="H3" s="70"/>
      <c r="I3" s="70"/>
      <c r="J3" s="70"/>
      <c r="K3" s="70"/>
      <c r="L3" s="70"/>
      <c r="M3" s="70"/>
      <c r="N3" s="70"/>
      <c r="O3" s="70"/>
      <c r="P3" s="70"/>
      <c r="Q3" s="70"/>
      <c r="R3" s="70"/>
      <c r="S3" s="70"/>
      <c r="T3" s="70"/>
      <c r="U3" s="70"/>
      <c r="V3" s="70"/>
      <c r="W3" s="70"/>
      <c r="X3" s="70"/>
    </row>
    <row r="4" spans="1:24" x14ac:dyDescent="0.3">
      <c r="A4" s="70"/>
      <c r="B4" s="70"/>
      <c r="C4" s="403" t="s">
        <v>382</v>
      </c>
      <c r="D4" s="404"/>
      <c r="E4" s="70"/>
      <c r="F4" s="71" t="s">
        <v>382</v>
      </c>
      <c r="G4" s="72"/>
      <c r="H4" s="70"/>
      <c r="I4" s="71" t="s">
        <v>387</v>
      </c>
      <c r="J4" s="72"/>
      <c r="K4" s="70"/>
      <c r="L4" s="71" t="s">
        <v>387</v>
      </c>
      <c r="M4" s="72"/>
      <c r="N4" s="70"/>
      <c r="O4" s="71" t="s">
        <v>387</v>
      </c>
      <c r="P4" s="72"/>
      <c r="Q4" s="70"/>
      <c r="R4" s="71" t="s">
        <v>387</v>
      </c>
      <c r="S4" s="72"/>
      <c r="T4" s="70"/>
      <c r="U4" s="71" t="s">
        <v>395</v>
      </c>
      <c r="V4" s="72"/>
      <c r="W4" s="70"/>
      <c r="X4" s="70"/>
    </row>
    <row r="5" spans="1:24" x14ac:dyDescent="0.3">
      <c r="A5" s="70"/>
      <c r="B5" s="70"/>
      <c r="C5" s="399" t="s">
        <v>383</v>
      </c>
      <c r="D5" s="400"/>
      <c r="E5" s="70"/>
      <c r="F5" s="73" t="s">
        <v>383</v>
      </c>
      <c r="G5" s="74"/>
      <c r="H5" s="70"/>
      <c r="I5" s="73" t="s">
        <v>383</v>
      </c>
      <c r="J5" s="74"/>
      <c r="K5" s="70"/>
      <c r="L5" s="73" t="s">
        <v>383</v>
      </c>
      <c r="M5" s="74"/>
      <c r="N5" s="70"/>
      <c r="O5" s="73" t="s">
        <v>383</v>
      </c>
      <c r="P5" s="74"/>
      <c r="Q5" s="70"/>
      <c r="R5" s="73" t="s">
        <v>383</v>
      </c>
      <c r="S5" s="74"/>
      <c r="T5" s="70"/>
      <c r="U5" s="73" t="s">
        <v>396</v>
      </c>
      <c r="V5" s="74"/>
      <c r="W5" s="70"/>
      <c r="X5" s="70"/>
    </row>
    <row r="6" spans="1:24" x14ac:dyDescent="0.3">
      <c r="A6" s="70"/>
      <c r="B6" s="70"/>
      <c r="C6" s="399" t="s">
        <v>384</v>
      </c>
      <c r="D6" s="400"/>
      <c r="E6" s="70"/>
      <c r="F6" s="73" t="s">
        <v>384</v>
      </c>
      <c r="G6" s="74"/>
      <c r="H6" s="70"/>
      <c r="I6" s="73" t="s">
        <v>388</v>
      </c>
      <c r="J6" s="74"/>
      <c r="K6" s="70"/>
      <c r="L6" s="73" t="s">
        <v>388</v>
      </c>
      <c r="M6" s="74"/>
      <c r="N6" s="70"/>
      <c r="O6" s="73" t="s">
        <v>388</v>
      </c>
      <c r="P6" s="74"/>
      <c r="Q6" s="70"/>
      <c r="R6" s="73" t="s">
        <v>388</v>
      </c>
      <c r="S6" s="74"/>
      <c r="T6" s="70"/>
      <c r="U6" s="73" t="s">
        <v>397</v>
      </c>
      <c r="V6" s="74"/>
      <c r="W6" s="70"/>
      <c r="X6" s="70"/>
    </row>
    <row r="7" spans="1:24" x14ac:dyDescent="0.3">
      <c r="A7" s="70"/>
      <c r="B7" s="70"/>
      <c r="C7" s="399" t="s">
        <v>385</v>
      </c>
      <c r="D7" s="400"/>
      <c r="E7" s="70"/>
      <c r="F7" s="73" t="s">
        <v>385</v>
      </c>
      <c r="G7" s="74"/>
      <c r="H7" s="70"/>
      <c r="I7" s="73" t="s">
        <v>389</v>
      </c>
      <c r="J7" s="74"/>
      <c r="K7" s="70"/>
      <c r="L7" s="73" t="s">
        <v>389</v>
      </c>
      <c r="M7" s="74"/>
      <c r="N7" s="70"/>
      <c r="O7" s="73" t="s">
        <v>392</v>
      </c>
      <c r="P7" s="74"/>
      <c r="Q7" s="70"/>
      <c r="R7" s="73" t="s">
        <v>389</v>
      </c>
      <c r="S7" s="74"/>
      <c r="T7" s="70"/>
      <c r="U7" s="73" t="s">
        <v>392</v>
      </c>
      <c r="V7" s="74"/>
      <c r="W7" s="70"/>
      <c r="X7" s="70"/>
    </row>
    <row r="8" spans="1:24" x14ac:dyDescent="0.3">
      <c r="A8" s="70"/>
      <c r="B8" s="70"/>
      <c r="C8" s="399" t="s">
        <v>386</v>
      </c>
      <c r="D8" s="400"/>
      <c r="E8" s="70"/>
      <c r="F8" s="73" t="s">
        <v>386</v>
      </c>
      <c r="G8" s="74"/>
      <c r="H8" s="70"/>
      <c r="I8" s="73" t="s">
        <v>386</v>
      </c>
      <c r="J8" s="74"/>
      <c r="K8" s="70"/>
      <c r="L8" s="73" t="s">
        <v>386</v>
      </c>
      <c r="M8" s="74"/>
      <c r="N8" s="70"/>
      <c r="O8" s="73" t="s">
        <v>386</v>
      </c>
      <c r="P8" s="74"/>
      <c r="Q8" s="70"/>
      <c r="R8" s="73" t="s">
        <v>386</v>
      </c>
      <c r="S8" s="74"/>
      <c r="T8" s="70"/>
      <c r="U8" s="73" t="s">
        <v>386</v>
      </c>
      <c r="V8" s="74"/>
      <c r="W8" s="70"/>
      <c r="X8" s="70"/>
    </row>
    <row r="9" spans="1:24" ht="15" thickBot="1" x14ac:dyDescent="0.35">
      <c r="A9" s="70"/>
      <c r="B9" s="70"/>
      <c r="C9" s="401" t="s">
        <v>405</v>
      </c>
      <c r="D9" s="402"/>
      <c r="E9" s="70"/>
      <c r="F9" s="75" t="s">
        <v>405</v>
      </c>
      <c r="G9" s="76"/>
      <c r="H9" s="70"/>
      <c r="I9" s="75" t="s">
        <v>405</v>
      </c>
      <c r="J9" s="76"/>
      <c r="K9" s="70"/>
      <c r="L9" s="75" t="s">
        <v>405</v>
      </c>
      <c r="M9" s="76"/>
      <c r="N9" s="70"/>
      <c r="O9" s="75" t="s">
        <v>405</v>
      </c>
      <c r="P9" s="76"/>
      <c r="Q9" s="70"/>
      <c r="R9" s="75" t="s">
        <v>404</v>
      </c>
      <c r="S9" s="76"/>
      <c r="T9" s="70"/>
      <c r="U9" s="75" t="s">
        <v>403</v>
      </c>
      <c r="V9" s="76"/>
      <c r="W9" s="70"/>
      <c r="X9" s="70"/>
    </row>
    <row r="10" spans="1:24" x14ac:dyDescent="0.3">
      <c r="A10" s="70"/>
      <c r="B10" s="70"/>
      <c r="C10" s="70"/>
      <c r="D10" s="70"/>
      <c r="E10" s="70"/>
      <c r="F10" s="70"/>
      <c r="G10" s="70"/>
      <c r="H10" s="70"/>
      <c r="I10" s="70"/>
      <c r="J10" s="70"/>
      <c r="K10" s="70"/>
      <c r="L10" s="70"/>
      <c r="M10" s="70"/>
      <c r="N10" s="70"/>
      <c r="O10" s="70"/>
      <c r="P10" s="70"/>
      <c r="Q10" s="70"/>
      <c r="R10" s="70"/>
      <c r="S10" s="70"/>
      <c r="T10" s="70"/>
      <c r="U10" s="70"/>
      <c r="V10" s="70"/>
      <c r="W10" s="70"/>
      <c r="X10" s="70"/>
    </row>
    <row r="11" spans="1:24" x14ac:dyDescent="0.3">
      <c r="A11" s="70"/>
      <c r="B11" s="70"/>
      <c r="C11" s="70"/>
      <c r="D11" s="70"/>
      <c r="E11" s="70"/>
      <c r="F11" s="70"/>
      <c r="G11" s="70"/>
      <c r="H11" s="70"/>
      <c r="I11" s="70"/>
      <c r="J11" s="70"/>
      <c r="K11" s="70"/>
      <c r="L11" s="70"/>
      <c r="M11" s="70"/>
      <c r="N11" s="70"/>
      <c r="O11" s="70"/>
      <c r="P11" s="70"/>
      <c r="Q11" s="70"/>
      <c r="R11" s="70"/>
      <c r="S11" s="70"/>
      <c r="T11" s="70"/>
      <c r="U11" s="70"/>
      <c r="V11" s="70"/>
      <c r="W11" s="70"/>
      <c r="X11" s="70"/>
    </row>
    <row r="12" spans="1:24" x14ac:dyDescent="0.3">
      <c r="A12" s="70"/>
      <c r="B12" s="70"/>
      <c r="C12" s="70"/>
      <c r="D12" s="70"/>
      <c r="E12" s="70"/>
      <c r="F12" s="70"/>
      <c r="G12" s="70"/>
      <c r="H12" s="70"/>
      <c r="I12" s="70"/>
      <c r="J12" s="70"/>
      <c r="K12" s="70"/>
      <c r="L12" s="70"/>
      <c r="M12" s="70"/>
      <c r="N12" s="70"/>
      <c r="O12" s="70"/>
      <c r="P12" s="70"/>
      <c r="Q12" s="70"/>
      <c r="R12" s="70"/>
      <c r="S12" s="70"/>
      <c r="T12" s="70"/>
      <c r="U12" s="70"/>
      <c r="V12" s="70"/>
      <c r="W12" s="70"/>
      <c r="X12" s="70"/>
    </row>
    <row r="13" spans="1:24" x14ac:dyDescent="0.3">
      <c r="A13" s="70"/>
      <c r="B13" s="70"/>
      <c r="C13" s="70"/>
      <c r="D13" s="70"/>
      <c r="E13" s="70"/>
      <c r="F13" s="70"/>
      <c r="G13" s="70"/>
      <c r="H13" s="70"/>
      <c r="I13" s="70"/>
      <c r="J13" s="70"/>
      <c r="K13" s="70"/>
      <c r="L13" s="70"/>
      <c r="M13" s="70"/>
      <c r="N13" s="70"/>
      <c r="O13" s="70"/>
      <c r="P13" s="70"/>
      <c r="Q13" s="70"/>
      <c r="R13" s="70"/>
      <c r="S13" s="70"/>
      <c r="T13" s="70"/>
      <c r="U13" s="70"/>
      <c r="V13" s="70"/>
      <c r="W13" s="70"/>
      <c r="X13" s="70"/>
    </row>
    <row r="14" spans="1:24" x14ac:dyDescent="0.3">
      <c r="A14" s="70"/>
      <c r="B14" s="70"/>
      <c r="C14" s="398" t="s">
        <v>356</v>
      </c>
      <c r="D14" s="398"/>
      <c r="E14" s="70"/>
      <c r="F14" s="70"/>
      <c r="G14" s="70"/>
      <c r="H14" s="70"/>
      <c r="I14" s="70"/>
      <c r="J14" s="70"/>
      <c r="K14" s="70"/>
      <c r="L14" s="397" t="s">
        <v>390</v>
      </c>
      <c r="M14" s="397"/>
      <c r="N14" s="70"/>
      <c r="O14" s="397" t="s">
        <v>391</v>
      </c>
      <c r="P14" s="397"/>
      <c r="Q14" s="70"/>
      <c r="R14" s="397" t="s">
        <v>393</v>
      </c>
      <c r="S14" s="397"/>
      <c r="T14" s="70"/>
      <c r="U14" s="397" t="s">
        <v>394</v>
      </c>
      <c r="V14" s="397"/>
      <c r="W14" s="70"/>
      <c r="X14" s="70"/>
    </row>
    <row r="15" spans="1:24" x14ac:dyDescent="0.3">
      <c r="A15" s="70"/>
      <c r="B15" s="70"/>
      <c r="C15" s="70"/>
      <c r="D15" s="70"/>
      <c r="E15" s="70"/>
      <c r="F15" s="70"/>
      <c r="G15" s="70"/>
      <c r="H15" s="70"/>
      <c r="I15" s="70"/>
      <c r="J15" s="70"/>
      <c r="K15" s="70"/>
      <c r="L15" s="70"/>
      <c r="M15" s="70"/>
      <c r="N15" s="70"/>
      <c r="O15" s="70"/>
      <c r="P15" s="70"/>
      <c r="Q15" s="70"/>
      <c r="R15" s="70"/>
      <c r="S15" s="70"/>
      <c r="T15" s="70"/>
      <c r="U15" s="70"/>
      <c r="V15" s="70"/>
      <c r="W15" s="70"/>
      <c r="X15" s="70"/>
    </row>
    <row r="16" spans="1:24" x14ac:dyDescent="0.3">
      <c r="A16" s="70"/>
      <c r="B16" s="70"/>
      <c r="C16" s="70"/>
      <c r="D16" s="70"/>
      <c r="E16" s="70"/>
      <c r="F16" s="70"/>
      <c r="G16" s="70"/>
      <c r="H16" s="70"/>
      <c r="I16" s="70"/>
      <c r="J16" s="70"/>
      <c r="K16" s="70"/>
      <c r="L16" s="70"/>
      <c r="M16" s="70"/>
      <c r="N16" s="70"/>
      <c r="O16" s="70"/>
      <c r="P16" s="70"/>
      <c r="Q16" s="70"/>
      <c r="R16" s="70"/>
      <c r="S16" s="70"/>
      <c r="T16" s="70"/>
      <c r="U16" s="70"/>
      <c r="V16" s="70"/>
      <c r="W16" s="70"/>
      <c r="X16" s="70"/>
    </row>
    <row r="17" spans="1:24" x14ac:dyDescent="0.3">
      <c r="A17" s="70"/>
      <c r="B17" s="70"/>
      <c r="C17" s="70"/>
      <c r="D17" s="70"/>
      <c r="E17" s="70"/>
      <c r="F17" s="70"/>
      <c r="G17" s="70"/>
      <c r="H17" s="70"/>
      <c r="I17" s="77" t="s">
        <v>413</v>
      </c>
      <c r="J17" s="70"/>
      <c r="K17" s="70"/>
      <c r="L17" s="70"/>
      <c r="M17" s="70"/>
      <c r="N17" s="70"/>
      <c r="O17" s="70"/>
      <c r="P17" s="70"/>
      <c r="Q17" s="70"/>
      <c r="R17" s="70"/>
      <c r="S17" s="70"/>
      <c r="T17" s="70"/>
      <c r="U17" s="70"/>
      <c r="V17" s="70"/>
      <c r="W17" s="70"/>
      <c r="X17" s="70"/>
    </row>
    <row r="18" spans="1:24"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row>
    <row r="19" spans="1:24" ht="15" thickBot="1" x14ac:dyDescent="0.35">
      <c r="A19" s="70"/>
      <c r="B19" s="70"/>
      <c r="C19" s="70"/>
      <c r="D19" s="70"/>
      <c r="E19" s="70"/>
      <c r="F19" s="70"/>
      <c r="G19" s="70"/>
      <c r="H19" s="70"/>
      <c r="I19" s="70"/>
      <c r="J19" s="70"/>
      <c r="K19" s="70"/>
      <c r="L19" s="70"/>
      <c r="M19" s="70"/>
      <c r="N19" s="70"/>
      <c r="O19" s="70"/>
      <c r="P19" s="70"/>
      <c r="Q19" s="70"/>
      <c r="R19" s="70"/>
      <c r="S19" s="70"/>
      <c r="T19" s="70"/>
      <c r="U19" s="70"/>
      <c r="V19" s="70"/>
      <c r="W19" s="70"/>
      <c r="X19" s="70"/>
    </row>
    <row r="20" spans="1:24" x14ac:dyDescent="0.3">
      <c r="A20" s="70"/>
      <c r="B20" s="70"/>
      <c r="C20" s="70"/>
      <c r="D20" s="70"/>
      <c r="E20" s="70"/>
      <c r="F20" s="70"/>
      <c r="G20" s="70"/>
      <c r="H20" s="70"/>
      <c r="I20" s="70"/>
      <c r="J20" s="70"/>
      <c r="K20" s="70"/>
      <c r="L20" s="70"/>
      <c r="M20" s="70"/>
      <c r="N20" s="70"/>
      <c r="O20" s="71" t="s">
        <v>407</v>
      </c>
      <c r="P20" s="72"/>
      <c r="Q20" s="70"/>
      <c r="R20" s="71" t="s">
        <v>407</v>
      </c>
      <c r="S20" s="72"/>
      <c r="T20" s="70"/>
      <c r="U20" s="71" t="s">
        <v>398</v>
      </c>
      <c r="V20" s="72"/>
      <c r="W20" s="70"/>
      <c r="X20" s="70"/>
    </row>
    <row r="21" spans="1:24" x14ac:dyDescent="0.3">
      <c r="A21" s="70"/>
      <c r="B21" s="70"/>
      <c r="C21" s="70"/>
      <c r="D21" s="70"/>
      <c r="E21" s="70"/>
      <c r="F21" s="70"/>
      <c r="G21" s="70"/>
      <c r="H21" s="70"/>
      <c r="I21" s="70"/>
      <c r="J21" s="70"/>
      <c r="K21" s="70"/>
      <c r="L21" s="70"/>
      <c r="M21" s="70"/>
      <c r="N21" s="70"/>
      <c r="O21" s="73" t="s">
        <v>408</v>
      </c>
      <c r="P21" s="74"/>
      <c r="Q21" s="70"/>
      <c r="R21" s="73" t="s">
        <v>408</v>
      </c>
      <c r="S21" s="74"/>
      <c r="T21" s="70"/>
      <c r="U21" s="73" t="s">
        <v>399</v>
      </c>
      <c r="V21" s="74"/>
      <c r="W21" s="70"/>
      <c r="X21" s="70"/>
    </row>
    <row r="22" spans="1:24" x14ac:dyDescent="0.3">
      <c r="A22" s="70"/>
      <c r="B22" s="70"/>
      <c r="C22" s="70"/>
      <c r="D22" s="70"/>
      <c r="E22" s="70"/>
      <c r="F22" s="70"/>
      <c r="G22" s="70"/>
      <c r="H22" s="70"/>
      <c r="I22" s="70"/>
      <c r="J22" s="70"/>
      <c r="K22" s="70"/>
      <c r="L22" s="70"/>
      <c r="M22" s="70"/>
      <c r="N22" s="70"/>
      <c r="O22" s="73" t="s">
        <v>409</v>
      </c>
      <c r="P22" s="74"/>
      <c r="Q22" s="70"/>
      <c r="R22" s="73" t="s">
        <v>409</v>
      </c>
      <c r="S22" s="74"/>
      <c r="T22" s="70"/>
      <c r="U22" s="73" t="s">
        <v>400</v>
      </c>
      <c r="V22" s="74"/>
      <c r="W22" s="70"/>
      <c r="X22" s="70"/>
    </row>
    <row r="23" spans="1:24" x14ac:dyDescent="0.3">
      <c r="A23" s="70"/>
      <c r="B23" s="70"/>
      <c r="C23" s="70"/>
      <c r="D23" s="70"/>
      <c r="E23" s="70"/>
      <c r="F23" s="70"/>
      <c r="G23" s="70"/>
      <c r="H23" s="70"/>
      <c r="I23" s="70"/>
      <c r="J23" s="70"/>
      <c r="K23" s="70"/>
      <c r="L23" s="70"/>
      <c r="M23" s="70"/>
      <c r="N23" s="70"/>
      <c r="O23" s="73" t="s">
        <v>392</v>
      </c>
      <c r="P23" s="74"/>
      <c r="Q23" s="70"/>
      <c r="R23" s="73" t="s">
        <v>392</v>
      </c>
      <c r="S23" s="74"/>
      <c r="T23" s="70"/>
      <c r="U23" s="73" t="s">
        <v>392</v>
      </c>
      <c r="V23" s="74"/>
      <c r="W23" s="70"/>
      <c r="X23" s="70"/>
    </row>
    <row r="24" spans="1:24" x14ac:dyDescent="0.3">
      <c r="A24" s="70"/>
      <c r="B24" s="70"/>
      <c r="C24" s="70"/>
      <c r="D24" s="70"/>
      <c r="E24" s="70"/>
      <c r="F24" s="70"/>
      <c r="G24" s="70"/>
      <c r="H24" s="70"/>
      <c r="I24" s="77" t="s">
        <v>413</v>
      </c>
      <c r="J24" s="70"/>
      <c r="K24" s="70"/>
      <c r="L24" s="70"/>
      <c r="M24" s="70"/>
      <c r="N24" s="70"/>
      <c r="O24" s="73" t="s">
        <v>401</v>
      </c>
      <c r="P24" s="74"/>
      <c r="Q24" s="70"/>
      <c r="R24" s="73" t="s">
        <v>401</v>
      </c>
      <c r="S24" s="74"/>
      <c r="T24" s="70"/>
      <c r="U24" s="73" t="s">
        <v>401</v>
      </c>
      <c r="V24" s="74"/>
      <c r="W24" s="70"/>
      <c r="X24" s="70"/>
    </row>
    <row r="25" spans="1:24" ht="15" thickBot="1" x14ac:dyDescent="0.35">
      <c r="A25" s="70"/>
      <c r="B25" s="70"/>
      <c r="C25" s="70"/>
      <c r="D25" s="70"/>
      <c r="E25" s="70"/>
      <c r="F25" s="70"/>
      <c r="G25" s="70"/>
      <c r="H25" s="70"/>
      <c r="I25" s="70"/>
      <c r="J25" s="70"/>
      <c r="K25" s="70"/>
      <c r="L25" s="70"/>
      <c r="M25" s="70"/>
      <c r="N25" s="70"/>
      <c r="O25" s="75" t="s">
        <v>412</v>
      </c>
      <c r="P25" s="76"/>
      <c r="Q25" s="70"/>
      <c r="R25" s="75" t="s">
        <v>410</v>
      </c>
      <c r="S25" s="76"/>
      <c r="T25" s="70"/>
      <c r="U25" s="75" t="s">
        <v>402</v>
      </c>
      <c r="V25" s="76"/>
      <c r="W25" s="70"/>
      <c r="X25" s="70"/>
    </row>
    <row r="26" spans="1:24" x14ac:dyDescent="0.3">
      <c r="A26" s="70"/>
      <c r="B26" s="70"/>
      <c r="C26" s="70"/>
      <c r="D26" s="70"/>
      <c r="E26" s="70"/>
      <c r="F26" s="70"/>
      <c r="G26" s="70"/>
      <c r="H26" s="70"/>
      <c r="I26" s="70"/>
      <c r="J26" s="70"/>
      <c r="K26" s="70"/>
      <c r="L26" s="70"/>
      <c r="M26" s="70"/>
      <c r="N26" s="70"/>
      <c r="O26" s="70"/>
      <c r="P26" s="70"/>
      <c r="Q26" s="70"/>
      <c r="R26" s="70"/>
      <c r="S26" s="70"/>
      <c r="T26" s="70"/>
      <c r="U26" s="70"/>
      <c r="V26" s="70"/>
      <c r="W26" s="70"/>
      <c r="X26" s="70"/>
    </row>
    <row r="27" spans="1:24" x14ac:dyDescent="0.3">
      <c r="A27" s="70"/>
      <c r="B27" s="70"/>
      <c r="C27" s="70"/>
      <c r="D27" s="70"/>
      <c r="E27" s="70"/>
      <c r="F27" s="70"/>
      <c r="G27" s="70"/>
      <c r="H27" s="70"/>
      <c r="I27" s="70"/>
      <c r="J27" s="70"/>
      <c r="K27" s="70"/>
      <c r="L27" s="70"/>
      <c r="M27" s="70"/>
      <c r="N27" s="70"/>
      <c r="O27" s="70"/>
      <c r="P27" s="70"/>
      <c r="Q27" s="70"/>
      <c r="R27" s="70"/>
      <c r="S27" s="70"/>
      <c r="T27" s="70"/>
      <c r="U27" s="70"/>
      <c r="V27" s="70"/>
      <c r="W27" s="70"/>
      <c r="X27" s="70"/>
    </row>
    <row r="28" spans="1:24" x14ac:dyDescent="0.3">
      <c r="A28" s="70"/>
      <c r="B28" s="70"/>
      <c r="C28" s="70"/>
      <c r="D28" s="70"/>
      <c r="E28" s="70"/>
      <c r="F28" s="70"/>
      <c r="G28" s="70"/>
      <c r="H28" s="70"/>
      <c r="I28" s="70"/>
      <c r="J28" s="70"/>
      <c r="K28" s="70"/>
      <c r="L28" s="70"/>
      <c r="M28" s="70"/>
      <c r="N28" s="70"/>
      <c r="O28" s="70"/>
      <c r="P28" s="70"/>
      <c r="Q28" s="70"/>
      <c r="R28" s="70"/>
      <c r="S28" s="70"/>
      <c r="T28" s="70"/>
      <c r="U28" s="70"/>
      <c r="V28" s="70"/>
      <c r="W28" s="70"/>
      <c r="X28" s="70"/>
    </row>
    <row r="29" spans="1:24" x14ac:dyDescent="0.3">
      <c r="A29" s="70"/>
      <c r="B29" s="77" t="s">
        <v>413</v>
      </c>
      <c r="C29" s="70"/>
      <c r="D29" s="70"/>
      <c r="E29" s="70"/>
      <c r="F29" s="70"/>
      <c r="G29" s="70"/>
      <c r="H29" s="70"/>
      <c r="I29" s="70"/>
      <c r="J29" s="70"/>
      <c r="K29" s="70"/>
      <c r="L29" s="70"/>
      <c r="M29" s="70"/>
      <c r="N29" s="70"/>
      <c r="O29" s="70"/>
      <c r="P29" s="70"/>
      <c r="Q29" s="70"/>
      <c r="R29" s="70"/>
      <c r="S29" s="70"/>
      <c r="T29" s="70"/>
      <c r="U29" s="70"/>
      <c r="V29" s="70"/>
      <c r="W29" s="70"/>
      <c r="X29" s="70"/>
    </row>
    <row r="30" spans="1:24" x14ac:dyDescent="0.3">
      <c r="A30" s="70"/>
      <c r="B30" s="70"/>
      <c r="C30" s="70"/>
      <c r="D30" s="70"/>
      <c r="E30" s="70"/>
      <c r="F30" s="70"/>
      <c r="G30" s="70"/>
      <c r="H30" s="70"/>
      <c r="I30" s="70"/>
      <c r="J30" s="70"/>
      <c r="K30" s="70"/>
      <c r="L30" s="70"/>
      <c r="M30" s="70"/>
      <c r="N30" s="70"/>
      <c r="O30" s="70"/>
      <c r="P30" s="70"/>
      <c r="Q30" s="70"/>
      <c r="R30" s="70"/>
      <c r="S30" s="70"/>
      <c r="T30" s="70"/>
      <c r="U30" s="70"/>
      <c r="V30" s="70"/>
      <c r="W30" s="70"/>
      <c r="X30" s="70"/>
    </row>
    <row r="31" spans="1:24" x14ac:dyDescent="0.3">
      <c r="A31" s="70"/>
      <c r="B31" s="70"/>
      <c r="C31" s="70"/>
      <c r="D31" s="70"/>
      <c r="E31" s="70"/>
      <c r="F31" s="70"/>
      <c r="G31" s="70"/>
      <c r="H31" s="70"/>
      <c r="I31" s="70"/>
      <c r="J31" s="70"/>
      <c r="K31" s="70"/>
      <c r="L31" s="70"/>
      <c r="M31" s="70"/>
      <c r="N31" s="70"/>
      <c r="O31" s="397" t="s">
        <v>411</v>
      </c>
      <c r="P31" s="397"/>
      <c r="Q31" s="70"/>
      <c r="R31" s="397" t="s">
        <v>406</v>
      </c>
      <c r="S31" s="397"/>
      <c r="T31" s="70"/>
      <c r="U31" s="397" t="s">
        <v>256</v>
      </c>
      <c r="V31" s="397"/>
      <c r="W31" s="70"/>
      <c r="X31" s="70"/>
    </row>
    <row r="32" spans="1:24" x14ac:dyDescent="0.3">
      <c r="A32" s="70"/>
      <c r="B32" s="70"/>
      <c r="C32" s="70"/>
      <c r="D32" s="70"/>
      <c r="E32" s="70"/>
      <c r="F32" s="70"/>
      <c r="G32" s="70"/>
      <c r="H32" s="70"/>
      <c r="I32" s="70"/>
      <c r="J32" s="70"/>
      <c r="K32" s="70"/>
      <c r="L32" s="70"/>
      <c r="M32" s="70"/>
      <c r="N32" s="70"/>
      <c r="O32" s="70"/>
      <c r="P32" s="70"/>
      <c r="Q32" s="70"/>
      <c r="R32" s="70"/>
      <c r="S32" s="70"/>
      <c r="T32" s="70"/>
      <c r="U32" s="70"/>
      <c r="V32" s="70"/>
      <c r="W32" s="70"/>
      <c r="X32" s="70"/>
    </row>
    <row r="33" spans="1:24" x14ac:dyDescent="0.3">
      <c r="A33" s="70"/>
      <c r="B33" s="70"/>
      <c r="C33" s="70"/>
      <c r="D33" s="70"/>
      <c r="E33" s="70"/>
      <c r="F33" s="70"/>
      <c r="G33" s="70"/>
      <c r="H33" s="70"/>
      <c r="I33" s="70"/>
      <c r="J33" s="70"/>
      <c r="K33" s="70"/>
      <c r="L33" s="77" t="s">
        <v>413</v>
      </c>
      <c r="M33" s="70"/>
      <c r="N33" s="70"/>
      <c r="O33" s="77" t="s">
        <v>413</v>
      </c>
      <c r="P33" s="70"/>
      <c r="Q33" s="77" t="s">
        <v>413</v>
      </c>
      <c r="R33" s="70"/>
      <c r="S33" s="70"/>
      <c r="T33" s="70"/>
      <c r="U33" s="70"/>
      <c r="V33" s="70"/>
      <c r="W33" s="70"/>
      <c r="X33" s="70"/>
    </row>
    <row r="34" spans="1:24" ht="15" thickBot="1" x14ac:dyDescent="0.35">
      <c r="A34" s="70"/>
      <c r="B34" s="70"/>
      <c r="C34" s="70"/>
      <c r="D34" s="70"/>
      <c r="E34" s="70"/>
      <c r="F34" s="70"/>
      <c r="G34" s="70"/>
      <c r="H34" s="70"/>
      <c r="I34" s="70"/>
      <c r="J34" s="70"/>
      <c r="K34" s="70"/>
      <c r="L34" s="70"/>
      <c r="M34" s="70"/>
      <c r="N34" s="70"/>
      <c r="O34" s="70"/>
      <c r="P34" s="70"/>
      <c r="Q34" s="70"/>
      <c r="R34" s="70"/>
      <c r="S34" s="70"/>
      <c r="T34" s="70"/>
      <c r="U34" s="70"/>
      <c r="V34" s="70"/>
      <c r="W34" s="70"/>
      <c r="X34" s="70"/>
    </row>
    <row r="35" spans="1:24" x14ac:dyDescent="0.3">
      <c r="A35" s="70"/>
      <c r="B35" s="70"/>
      <c r="C35" s="70"/>
      <c r="D35" s="70"/>
      <c r="E35" s="70"/>
      <c r="F35" s="70"/>
      <c r="G35" s="70"/>
      <c r="H35" s="70"/>
      <c r="I35" s="70"/>
      <c r="J35" s="70"/>
      <c r="K35" s="70"/>
      <c r="L35" s="70"/>
      <c r="M35" s="70"/>
      <c r="N35" s="70"/>
      <c r="O35" s="71" t="s">
        <v>407</v>
      </c>
      <c r="P35" s="72"/>
      <c r="Q35" s="70"/>
      <c r="R35" s="70"/>
      <c r="S35" s="70"/>
      <c r="T35" s="70"/>
      <c r="U35" s="70"/>
      <c r="V35" s="70"/>
      <c r="W35" s="70"/>
      <c r="X35" s="70"/>
    </row>
    <row r="36" spans="1:24" x14ac:dyDescent="0.3">
      <c r="A36" s="70"/>
      <c r="B36" s="70"/>
      <c r="C36" s="70"/>
      <c r="D36" s="70"/>
      <c r="E36" s="70"/>
      <c r="F36" s="70"/>
      <c r="G36" s="70"/>
      <c r="H36" s="70"/>
      <c r="I36" s="70"/>
      <c r="J36" s="70"/>
      <c r="K36" s="70"/>
      <c r="L36" s="70"/>
      <c r="M36" s="70"/>
      <c r="N36" s="70"/>
      <c r="O36" s="73" t="s">
        <v>408</v>
      </c>
      <c r="P36" s="74"/>
      <c r="Q36" s="70"/>
      <c r="R36" s="70"/>
      <c r="S36" s="70"/>
      <c r="T36" s="70"/>
      <c r="U36" s="70"/>
      <c r="V36" s="70"/>
      <c r="W36" s="70"/>
      <c r="X36" s="70"/>
    </row>
    <row r="37" spans="1:24" x14ac:dyDescent="0.3">
      <c r="A37" s="70"/>
      <c r="B37" s="70"/>
      <c r="C37" s="70"/>
      <c r="D37" s="70"/>
      <c r="E37" s="70"/>
      <c r="F37" s="70"/>
      <c r="G37" s="70"/>
      <c r="H37" s="70"/>
      <c r="I37" s="70"/>
      <c r="J37" s="70"/>
      <c r="L37" s="70"/>
      <c r="M37" s="70"/>
      <c r="N37" s="70"/>
      <c r="O37" s="73" t="s">
        <v>409</v>
      </c>
      <c r="P37" s="74"/>
      <c r="Q37" s="70"/>
      <c r="R37" s="70"/>
      <c r="S37" s="70"/>
      <c r="T37" s="70"/>
      <c r="U37" s="70"/>
      <c r="V37" s="70"/>
      <c r="W37" s="70"/>
      <c r="X37" s="70"/>
    </row>
    <row r="38" spans="1:24" x14ac:dyDescent="0.3">
      <c r="A38" s="70"/>
      <c r="B38" s="70"/>
      <c r="C38" s="70"/>
      <c r="D38" s="70"/>
      <c r="E38" s="70"/>
      <c r="F38" s="70"/>
      <c r="G38" s="70"/>
      <c r="H38" s="70"/>
      <c r="I38" s="70"/>
      <c r="J38" s="70"/>
      <c r="K38" s="70"/>
      <c r="L38" s="70"/>
      <c r="M38" s="70"/>
      <c r="N38" s="70"/>
      <c r="O38" s="73" t="s">
        <v>392</v>
      </c>
      <c r="P38" s="74"/>
      <c r="Q38" s="70"/>
      <c r="R38" s="70"/>
      <c r="S38" s="70"/>
      <c r="T38" s="70"/>
      <c r="U38" s="70"/>
      <c r="V38" s="70"/>
      <c r="W38" s="70"/>
      <c r="X38" s="70"/>
    </row>
    <row r="39" spans="1:24" x14ac:dyDescent="0.3">
      <c r="A39" s="70"/>
      <c r="B39" s="70"/>
      <c r="C39" s="397" t="s">
        <v>259</v>
      </c>
      <c r="D39" s="397"/>
      <c r="E39" s="70"/>
      <c r="F39" s="397" t="s">
        <v>260</v>
      </c>
      <c r="G39" s="397"/>
      <c r="H39" s="70"/>
      <c r="I39" s="397" t="s">
        <v>261</v>
      </c>
      <c r="J39" s="397"/>
      <c r="K39" s="70"/>
      <c r="L39" s="70"/>
      <c r="M39" s="70"/>
      <c r="N39" s="70"/>
      <c r="O39" s="73" t="s">
        <v>401</v>
      </c>
      <c r="P39" s="74"/>
      <c r="Q39" s="70"/>
      <c r="R39" s="70"/>
      <c r="S39" s="70"/>
      <c r="T39" s="70"/>
      <c r="U39" s="70"/>
      <c r="V39" s="70"/>
      <c r="W39" s="70"/>
      <c r="X39" s="70"/>
    </row>
    <row r="40" spans="1:24" ht="15" thickBot="1" x14ac:dyDescent="0.35">
      <c r="A40" s="70"/>
      <c r="B40" s="70"/>
      <c r="C40" s="70"/>
      <c r="D40" s="70"/>
      <c r="E40" s="70"/>
      <c r="F40" s="70"/>
      <c r="G40" s="70"/>
      <c r="H40" s="70"/>
      <c r="I40" s="70"/>
      <c r="J40" s="70"/>
      <c r="K40" s="70"/>
      <c r="L40" s="70"/>
      <c r="M40" s="70"/>
      <c r="N40" s="70"/>
      <c r="O40" s="75" t="s">
        <v>412</v>
      </c>
      <c r="P40" s="76"/>
      <c r="Q40" s="70"/>
      <c r="R40" s="70"/>
      <c r="S40" s="70"/>
      <c r="T40" s="70"/>
      <c r="U40" s="70"/>
      <c r="V40" s="70"/>
      <c r="W40" s="70"/>
      <c r="X40" s="70"/>
    </row>
    <row r="41" spans="1:24" x14ac:dyDescent="0.3">
      <c r="A41" s="70"/>
      <c r="B41" s="70"/>
      <c r="C41" s="70"/>
      <c r="D41" s="70"/>
      <c r="E41" s="70"/>
      <c r="F41" s="70"/>
      <c r="G41" s="70"/>
      <c r="H41" s="70"/>
      <c r="I41" s="70"/>
      <c r="K41" s="70"/>
      <c r="L41" s="70"/>
      <c r="M41" s="70"/>
      <c r="N41" s="70"/>
      <c r="O41" s="70"/>
      <c r="P41" s="70"/>
      <c r="Q41" s="70"/>
      <c r="R41" s="70"/>
      <c r="S41" s="70"/>
      <c r="T41" s="70"/>
      <c r="U41" s="70"/>
      <c r="V41" s="70"/>
      <c r="W41" s="70"/>
      <c r="X41" s="70"/>
    </row>
    <row r="42" spans="1:24" x14ac:dyDescent="0.3">
      <c r="A42" s="70"/>
      <c r="B42" s="70"/>
      <c r="C42" s="70"/>
      <c r="D42" s="70"/>
      <c r="E42" s="70"/>
      <c r="F42" s="70"/>
      <c r="G42" s="70"/>
      <c r="H42" s="70"/>
      <c r="I42" s="70"/>
      <c r="J42" s="70"/>
      <c r="K42" s="70"/>
      <c r="L42" s="70"/>
      <c r="M42" s="70"/>
      <c r="N42" s="70"/>
      <c r="O42" s="70"/>
      <c r="P42" s="70"/>
      <c r="Q42" s="70"/>
      <c r="R42" s="70"/>
      <c r="S42" s="70"/>
      <c r="T42" s="70"/>
      <c r="U42" s="70"/>
      <c r="V42" s="70"/>
      <c r="W42" s="70"/>
      <c r="X42" s="70"/>
    </row>
    <row r="43" spans="1:24" x14ac:dyDescent="0.3">
      <c r="A43" s="70"/>
      <c r="B43" s="70"/>
      <c r="C43" s="70"/>
      <c r="D43" s="70"/>
      <c r="E43" s="70"/>
      <c r="F43" s="70"/>
      <c r="G43" s="70"/>
      <c r="H43" s="70"/>
      <c r="I43" s="70"/>
      <c r="J43" s="70"/>
      <c r="K43" s="70"/>
      <c r="L43" s="70"/>
      <c r="M43" s="70"/>
      <c r="N43" s="70"/>
      <c r="O43" s="70"/>
      <c r="P43" s="70"/>
      <c r="Q43" s="70"/>
      <c r="R43" s="70"/>
      <c r="S43" s="70"/>
      <c r="T43" s="70"/>
      <c r="U43" s="70"/>
      <c r="V43" s="70"/>
      <c r="W43" s="70"/>
      <c r="X43" s="70"/>
    </row>
    <row r="44" spans="1:24" x14ac:dyDescent="0.3">
      <c r="A44" s="70"/>
      <c r="B44" s="70"/>
      <c r="C44" s="70"/>
      <c r="D44" s="70"/>
      <c r="E44" s="70"/>
      <c r="F44" s="70"/>
      <c r="G44" s="70"/>
      <c r="H44" s="70"/>
      <c r="I44" s="70"/>
      <c r="J44" s="70"/>
      <c r="K44" s="70"/>
      <c r="L44" s="70"/>
      <c r="M44" s="70"/>
      <c r="N44" s="70"/>
      <c r="O44" s="70"/>
      <c r="P44" s="70"/>
      <c r="Q44" s="70"/>
      <c r="R44" s="70"/>
      <c r="S44" s="70"/>
      <c r="T44" s="70"/>
      <c r="U44" s="70"/>
      <c r="V44" s="70"/>
      <c r="W44" s="70"/>
      <c r="X44" s="70"/>
    </row>
    <row r="45" spans="1:24" x14ac:dyDescent="0.3">
      <c r="A45" s="70"/>
      <c r="B45" s="70"/>
      <c r="C45" s="70"/>
      <c r="D45" s="70"/>
      <c r="E45" s="70"/>
      <c r="F45" s="70"/>
      <c r="G45" s="70"/>
      <c r="H45" s="70"/>
      <c r="I45" s="70"/>
      <c r="J45" s="70"/>
      <c r="K45" s="70"/>
      <c r="L45" s="70"/>
      <c r="M45" s="70"/>
      <c r="N45" s="70"/>
      <c r="O45" s="70"/>
      <c r="P45" s="70"/>
      <c r="Q45" s="70"/>
      <c r="R45" s="70"/>
      <c r="S45" s="70"/>
      <c r="T45" s="70"/>
      <c r="U45" s="70"/>
      <c r="V45" s="70"/>
      <c r="W45" s="70"/>
      <c r="X45" s="70"/>
    </row>
    <row r="46" spans="1:24" x14ac:dyDescent="0.3">
      <c r="A46" s="70"/>
      <c r="B46" s="70"/>
      <c r="C46" s="70"/>
      <c r="D46" s="70"/>
      <c r="E46" s="70"/>
      <c r="F46" s="70"/>
      <c r="G46" s="70"/>
      <c r="H46" s="70"/>
      <c r="I46" s="70"/>
      <c r="J46" s="70"/>
      <c r="K46" s="70"/>
      <c r="L46" s="70"/>
      <c r="M46" s="70"/>
      <c r="N46" s="70"/>
      <c r="O46" s="397" t="s">
        <v>357</v>
      </c>
      <c r="P46" s="397"/>
      <c r="Q46" s="70"/>
      <c r="R46" s="70"/>
      <c r="S46" s="70"/>
      <c r="T46" s="70"/>
      <c r="U46" s="70"/>
      <c r="V46" s="70"/>
      <c r="W46" s="70"/>
      <c r="X46" s="70"/>
    </row>
    <row r="47" spans="1:24" x14ac:dyDescent="0.3">
      <c r="A47" s="70"/>
      <c r="B47" s="70"/>
      <c r="C47" s="70"/>
      <c r="D47" s="70"/>
      <c r="E47" s="70"/>
      <c r="F47" s="70"/>
      <c r="G47" s="70"/>
      <c r="H47" s="70"/>
      <c r="I47" s="70"/>
      <c r="J47" s="70"/>
      <c r="K47" s="70"/>
      <c r="L47" s="70"/>
      <c r="M47" s="70"/>
      <c r="N47" s="70"/>
      <c r="O47" s="70"/>
      <c r="P47" s="70"/>
      <c r="Q47" s="70"/>
      <c r="R47" s="70"/>
      <c r="S47" s="70"/>
      <c r="T47" s="70"/>
      <c r="U47" s="70"/>
      <c r="V47" s="70"/>
      <c r="W47" s="70"/>
      <c r="X47" s="70"/>
    </row>
    <row r="48" spans="1:24" x14ac:dyDescent="0.3">
      <c r="A48" s="70"/>
      <c r="B48" s="70"/>
      <c r="C48" s="70"/>
      <c r="D48" s="70"/>
      <c r="E48" s="70"/>
      <c r="F48" s="70"/>
      <c r="G48" s="70"/>
      <c r="H48" s="70"/>
      <c r="I48" s="70"/>
      <c r="J48" s="70"/>
      <c r="K48" s="70"/>
      <c r="L48" s="70"/>
      <c r="M48" s="70"/>
      <c r="N48" s="70"/>
      <c r="O48" s="70"/>
      <c r="P48" s="70"/>
      <c r="Q48" s="70"/>
      <c r="R48" s="70"/>
      <c r="S48" s="70"/>
      <c r="T48" s="70"/>
      <c r="U48" s="70"/>
      <c r="V48" s="70"/>
      <c r="W48" s="70"/>
      <c r="X48" s="70"/>
    </row>
    <row r="49" spans="1:24" x14ac:dyDescent="0.3">
      <c r="A49" s="70"/>
      <c r="B49" s="70"/>
      <c r="C49" s="70"/>
      <c r="D49" s="70"/>
      <c r="E49" s="70"/>
      <c r="F49" s="70"/>
      <c r="G49" s="70"/>
      <c r="H49" s="70"/>
      <c r="I49" s="70"/>
      <c r="J49" s="70"/>
      <c r="K49" s="70"/>
      <c r="L49" s="70"/>
      <c r="M49" s="70"/>
      <c r="N49" s="70"/>
      <c r="O49" s="70"/>
      <c r="P49" s="70"/>
      <c r="Q49" s="70"/>
      <c r="R49" s="70"/>
      <c r="S49" s="70"/>
      <c r="T49" s="70"/>
      <c r="U49" s="70"/>
      <c r="V49" s="70"/>
      <c r="W49" s="70"/>
      <c r="X49" s="70"/>
    </row>
  </sheetData>
  <mergeCells count="18">
    <mergeCell ref="C8:D8"/>
    <mergeCell ref="C9:D9"/>
    <mergeCell ref="C4:D4"/>
    <mergeCell ref="C5:D5"/>
    <mergeCell ref="C6:D6"/>
    <mergeCell ref="C7:D7"/>
    <mergeCell ref="R14:S14"/>
    <mergeCell ref="U14:V14"/>
    <mergeCell ref="U31:V31"/>
    <mergeCell ref="R31:S31"/>
    <mergeCell ref="O31:P31"/>
    <mergeCell ref="C39:D39"/>
    <mergeCell ref="F39:G39"/>
    <mergeCell ref="I39:J39"/>
    <mergeCell ref="O46:P46"/>
    <mergeCell ref="C14:D14"/>
    <mergeCell ref="L14:M14"/>
    <mergeCell ref="O14:P1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4AF24-FDD6-4822-9C89-520900561C9F}">
  <dimension ref="A1"/>
  <sheetViews>
    <sheetView topLeftCell="B1" zoomScale="82" zoomScaleNormal="82" workbookViewId="0">
      <selection activeCell="W23" sqref="W23"/>
    </sheetView>
  </sheetViews>
  <sheetFormatPr defaultRowHeight="14.4" x14ac:dyDescent="0.3"/>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DC54B-7680-493B-BFF2-C464D20F758C}">
  <dimension ref="A1"/>
  <sheetViews>
    <sheetView workbookViewId="0">
      <selection activeCell="M26" sqref="M26"/>
    </sheetView>
  </sheetViews>
  <sheetFormatPr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65F8-1E1C-4B33-AC98-9B5B34BD8C9A}">
  <dimension ref="D4:I63"/>
  <sheetViews>
    <sheetView topLeftCell="A16" zoomScaleNormal="100" zoomScaleSheetLayoutView="96" workbookViewId="0">
      <selection activeCell="K12" sqref="K12"/>
    </sheetView>
  </sheetViews>
  <sheetFormatPr defaultRowHeight="14.4" x14ac:dyDescent="0.3"/>
  <sheetData>
    <row r="4" spans="4:9" x14ac:dyDescent="0.3">
      <c r="D4" s="70"/>
      <c r="E4" s="70"/>
      <c r="F4" s="70"/>
      <c r="G4" s="70"/>
      <c r="H4" s="70"/>
      <c r="I4" s="70"/>
    </row>
    <row r="5" spans="4:9" x14ac:dyDescent="0.3">
      <c r="D5" s="70"/>
      <c r="E5" s="70"/>
      <c r="F5" s="70"/>
      <c r="G5" s="70"/>
      <c r="H5" s="70"/>
      <c r="I5" s="70"/>
    </row>
    <row r="6" spans="4:9" x14ac:dyDescent="0.3">
      <c r="D6" s="70"/>
      <c r="E6" s="406" t="s">
        <v>356</v>
      </c>
      <c r="F6" s="407"/>
      <c r="G6" s="407"/>
      <c r="H6" s="408"/>
      <c r="I6" s="70"/>
    </row>
    <row r="7" spans="4:9" x14ac:dyDescent="0.3">
      <c r="D7" s="70"/>
      <c r="E7" s="409"/>
      <c r="F7" s="410"/>
      <c r="G7" s="410"/>
      <c r="H7" s="411"/>
      <c r="I7" s="70"/>
    </row>
    <row r="8" spans="4:9" x14ac:dyDescent="0.3">
      <c r="D8" s="70"/>
      <c r="E8" s="70"/>
      <c r="F8" s="70"/>
      <c r="G8" s="70"/>
      <c r="H8" s="70"/>
      <c r="I8" s="70"/>
    </row>
    <row r="9" spans="4:9" x14ac:dyDescent="0.3">
      <c r="D9" s="70"/>
      <c r="E9" s="70"/>
      <c r="F9" s="70"/>
      <c r="G9" s="70"/>
      <c r="H9" s="70"/>
      <c r="I9" s="70"/>
    </row>
    <row r="10" spans="4:9" x14ac:dyDescent="0.3">
      <c r="D10" s="70"/>
      <c r="E10" s="406" t="s">
        <v>371</v>
      </c>
      <c r="F10" s="407"/>
      <c r="G10" s="407"/>
      <c r="H10" s="408"/>
      <c r="I10" s="70"/>
    </row>
    <row r="11" spans="4:9" x14ac:dyDescent="0.3">
      <c r="D11" s="70"/>
      <c r="E11" s="409"/>
      <c r="F11" s="410"/>
      <c r="G11" s="410"/>
      <c r="H11" s="411"/>
      <c r="I11" s="70"/>
    </row>
    <row r="12" spans="4:9" x14ac:dyDescent="0.3">
      <c r="D12" s="70"/>
      <c r="E12" s="70"/>
      <c r="F12" s="70"/>
      <c r="G12" s="70"/>
      <c r="H12" s="70"/>
      <c r="I12" s="70"/>
    </row>
    <row r="13" spans="4:9" x14ac:dyDescent="0.3">
      <c r="D13" s="70"/>
      <c r="E13" s="70"/>
      <c r="F13" s="70"/>
      <c r="G13" s="70"/>
      <c r="H13" s="70"/>
      <c r="I13" s="70"/>
    </row>
    <row r="14" spans="4:9" x14ac:dyDescent="0.3">
      <c r="D14" s="70"/>
      <c r="E14" s="405" t="s">
        <v>366</v>
      </c>
      <c r="F14" s="405"/>
      <c r="G14" s="405"/>
      <c r="H14" s="405"/>
      <c r="I14" s="70"/>
    </row>
    <row r="15" spans="4:9" x14ac:dyDescent="0.3">
      <c r="D15" s="70"/>
      <c r="E15" s="405"/>
      <c r="F15" s="405"/>
      <c r="G15" s="405"/>
      <c r="H15" s="405"/>
      <c r="I15" s="70"/>
    </row>
    <row r="16" spans="4:9" x14ac:dyDescent="0.3">
      <c r="D16" s="70"/>
      <c r="E16" s="70"/>
      <c r="F16" s="70"/>
      <c r="G16" s="70"/>
      <c r="H16" s="70"/>
      <c r="I16" s="70"/>
    </row>
    <row r="17" spans="4:9" x14ac:dyDescent="0.3">
      <c r="D17" s="70"/>
      <c r="E17" s="70"/>
      <c r="F17" s="70"/>
      <c r="G17" s="70"/>
      <c r="H17" s="70"/>
      <c r="I17" s="70"/>
    </row>
    <row r="18" spans="4:9" x14ac:dyDescent="0.3">
      <c r="D18" s="70"/>
      <c r="E18" s="405" t="s">
        <v>457</v>
      </c>
      <c r="F18" s="405"/>
      <c r="G18" s="405"/>
      <c r="H18" s="405"/>
      <c r="I18" s="70"/>
    </row>
    <row r="19" spans="4:9" x14ac:dyDescent="0.3">
      <c r="D19" s="70"/>
      <c r="E19" s="405"/>
      <c r="F19" s="405"/>
      <c r="G19" s="405"/>
      <c r="H19" s="405"/>
      <c r="I19" s="70"/>
    </row>
    <row r="20" spans="4:9" x14ac:dyDescent="0.3">
      <c r="D20" s="70"/>
      <c r="E20" s="70"/>
      <c r="F20" s="70"/>
      <c r="G20" s="70"/>
      <c r="H20" s="70"/>
      <c r="I20" s="70"/>
    </row>
    <row r="21" spans="4:9" x14ac:dyDescent="0.3">
      <c r="D21" s="70"/>
      <c r="E21" s="70"/>
      <c r="F21" s="70"/>
      <c r="G21" s="70"/>
      <c r="H21" s="70"/>
      <c r="I21" s="70"/>
    </row>
    <row r="22" spans="4:9" x14ac:dyDescent="0.3">
      <c r="D22" s="70"/>
      <c r="E22" s="405" t="s">
        <v>367</v>
      </c>
      <c r="F22" s="405"/>
      <c r="G22" s="405"/>
      <c r="H22" s="405"/>
      <c r="I22" s="70"/>
    </row>
    <row r="23" spans="4:9" x14ac:dyDescent="0.3">
      <c r="D23" s="70"/>
      <c r="E23" s="405"/>
      <c r="F23" s="405"/>
      <c r="G23" s="405"/>
      <c r="H23" s="405"/>
      <c r="I23" s="70"/>
    </row>
    <row r="24" spans="4:9" x14ac:dyDescent="0.3">
      <c r="D24" s="70"/>
      <c r="E24" s="70"/>
      <c r="F24" s="70"/>
      <c r="G24" s="70"/>
      <c r="H24" s="70"/>
      <c r="I24" s="70"/>
    </row>
    <row r="25" spans="4:9" x14ac:dyDescent="0.3">
      <c r="D25" s="70"/>
      <c r="E25" s="70"/>
      <c r="F25" s="70"/>
      <c r="G25" s="70"/>
      <c r="H25" s="70"/>
      <c r="I25" s="70"/>
    </row>
    <row r="26" spans="4:9" x14ac:dyDescent="0.3">
      <c r="D26" s="70"/>
      <c r="E26" s="405" t="s">
        <v>254</v>
      </c>
      <c r="F26" s="405"/>
      <c r="G26" s="405"/>
      <c r="H26" s="405"/>
      <c r="I26" s="70"/>
    </row>
    <row r="27" spans="4:9" x14ac:dyDescent="0.3">
      <c r="D27" s="70"/>
      <c r="E27" s="405"/>
      <c r="F27" s="405"/>
      <c r="G27" s="405"/>
      <c r="H27" s="405"/>
      <c r="I27" s="70"/>
    </row>
    <row r="28" spans="4:9" x14ac:dyDescent="0.3">
      <c r="D28" s="70"/>
      <c r="E28" s="70"/>
      <c r="F28" s="70"/>
      <c r="G28" s="70"/>
      <c r="H28" s="70"/>
      <c r="I28" s="70"/>
    </row>
    <row r="29" spans="4:9" x14ac:dyDescent="0.3">
      <c r="D29" s="70"/>
      <c r="E29" s="70"/>
      <c r="F29" s="70"/>
      <c r="G29" s="70"/>
      <c r="H29" s="70"/>
      <c r="I29" s="70"/>
    </row>
    <row r="30" spans="4:9" x14ac:dyDescent="0.3">
      <c r="D30" s="70"/>
      <c r="E30" s="405" t="s">
        <v>255</v>
      </c>
      <c r="F30" s="405"/>
      <c r="G30" s="405"/>
      <c r="H30" s="405"/>
      <c r="I30" s="70"/>
    </row>
    <row r="31" spans="4:9" x14ac:dyDescent="0.3">
      <c r="D31" s="70"/>
      <c r="E31" s="405"/>
      <c r="F31" s="405"/>
      <c r="G31" s="405"/>
      <c r="H31" s="405"/>
      <c r="I31" s="70"/>
    </row>
    <row r="32" spans="4:9" x14ac:dyDescent="0.3">
      <c r="D32" s="70"/>
      <c r="E32" s="70"/>
      <c r="F32" s="70"/>
      <c r="G32" s="70"/>
      <c r="H32" s="70"/>
      <c r="I32" s="70"/>
    </row>
    <row r="33" spans="4:9" x14ac:dyDescent="0.3">
      <c r="D33" s="70"/>
      <c r="E33" s="70"/>
      <c r="F33" s="70"/>
      <c r="G33" s="70"/>
      <c r="H33" s="70"/>
      <c r="I33" s="70"/>
    </row>
    <row r="34" spans="4:9" x14ac:dyDescent="0.3">
      <c r="D34" s="70"/>
      <c r="E34" s="405" t="s">
        <v>256</v>
      </c>
      <c r="F34" s="405"/>
      <c r="G34" s="405"/>
      <c r="H34" s="405"/>
      <c r="I34" s="70"/>
    </row>
    <row r="35" spans="4:9" x14ac:dyDescent="0.3">
      <c r="D35" s="70"/>
      <c r="E35" s="405"/>
      <c r="F35" s="405"/>
      <c r="G35" s="405"/>
      <c r="H35" s="405"/>
      <c r="I35" s="70"/>
    </row>
    <row r="36" spans="4:9" x14ac:dyDescent="0.3">
      <c r="D36" s="70"/>
      <c r="E36" s="70"/>
      <c r="F36" s="70"/>
      <c r="G36" s="70"/>
      <c r="H36" s="70"/>
      <c r="I36" s="70"/>
    </row>
    <row r="37" spans="4:9" x14ac:dyDescent="0.3">
      <c r="D37" s="70"/>
      <c r="E37" s="70"/>
      <c r="F37" s="70"/>
      <c r="G37" s="70"/>
      <c r="H37" s="70"/>
      <c r="I37" s="70"/>
    </row>
    <row r="38" spans="4:9" x14ac:dyDescent="0.3">
      <c r="D38" s="70"/>
      <c r="E38" s="405" t="s">
        <v>257</v>
      </c>
      <c r="F38" s="405"/>
      <c r="G38" s="405"/>
      <c r="H38" s="405"/>
      <c r="I38" s="70"/>
    </row>
    <row r="39" spans="4:9" x14ac:dyDescent="0.3">
      <c r="D39" s="70"/>
      <c r="E39" s="405"/>
      <c r="F39" s="405"/>
      <c r="G39" s="405"/>
      <c r="H39" s="405"/>
      <c r="I39" s="70"/>
    </row>
    <row r="40" spans="4:9" x14ac:dyDescent="0.3">
      <c r="D40" s="70"/>
      <c r="E40" s="70"/>
      <c r="F40" s="70"/>
      <c r="G40" s="70"/>
      <c r="H40" s="70"/>
      <c r="I40" s="70"/>
    </row>
    <row r="41" spans="4:9" x14ac:dyDescent="0.3">
      <c r="D41" s="70"/>
      <c r="E41" s="70"/>
      <c r="F41" s="70"/>
      <c r="G41" s="70"/>
      <c r="H41" s="70"/>
      <c r="I41" s="70"/>
    </row>
    <row r="42" spans="4:9" x14ac:dyDescent="0.3">
      <c r="D42" s="70"/>
      <c r="E42" s="405" t="s">
        <v>258</v>
      </c>
      <c r="F42" s="405"/>
      <c r="G42" s="405"/>
      <c r="H42" s="405"/>
      <c r="I42" s="70"/>
    </row>
    <row r="43" spans="4:9" x14ac:dyDescent="0.3">
      <c r="D43" s="70"/>
      <c r="E43" s="405"/>
      <c r="F43" s="405"/>
      <c r="G43" s="405"/>
      <c r="H43" s="405"/>
      <c r="I43" s="70"/>
    </row>
    <row r="44" spans="4:9" x14ac:dyDescent="0.3">
      <c r="D44" s="70"/>
      <c r="E44" s="70"/>
      <c r="F44" s="70"/>
      <c r="G44" s="70"/>
      <c r="H44" s="70"/>
      <c r="I44" s="70"/>
    </row>
    <row r="45" spans="4:9" x14ac:dyDescent="0.3">
      <c r="D45" s="70"/>
      <c r="E45" s="70"/>
      <c r="F45" s="70"/>
      <c r="G45" s="70"/>
      <c r="H45" s="70"/>
      <c r="I45" s="70"/>
    </row>
    <row r="46" spans="4:9" x14ac:dyDescent="0.3">
      <c r="D46" s="70"/>
      <c r="E46" s="405" t="s">
        <v>259</v>
      </c>
      <c r="F46" s="405"/>
      <c r="G46" s="405"/>
      <c r="H46" s="405"/>
      <c r="I46" s="70"/>
    </row>
    <row r="47" spans="4:9" x14ac:dyDescent="0.3">
      <c r="D47" s="70"/>
      <c r="E47" s="405"/>
      <c r="F47" s="405"/>
      <c r="G47" s="405"/>
      <c r="H47" s="405"/>
      <c r="I47" s="70"/>
    </row>
    <row r="48" spans="4:9" x14ac:dyDescent="0.3">
      <c r="D48" s="70"/>
      <c r="E48" s="70"/>
      <c r="F48" s="70"/>
      <c r="G48" s="70"/>
      <c r="H48" s="70"/>
      <c r="I48" s="70"/>
    </row>
    <row r="49" spans="4:9" x14ac:dyDescent="0.3">
      <c r="D49" s="70"/>
      <c r="E49" s="70"/>
      <c r="F49" s="70"/>
      <c r="G49" s="70"/>
      <c r="H49" s="70"/>
      <c r="I49" s="70"/>
    </row>
    <row r="50" spans="4:9" x14ac:dyDescent="0.3">
      <c r="D50" s="70"/>
      <c r="E50" s="405" t="s">
        <v>260</v>
      </c>
      <c r="F50" s="405"/>
      <c r="G50" s="405"/>
      <c r="H50" s="405"/>
      <c r="I50" s="70"/>
    </row>
    <row r="51" spans="4:9" x14ac:dyDescent="0.3">
      <c r="D51" s="70"/>
      <c r="E51" s="405"/>
      <c r="F51" s="405"/>
      <c r="G51" s="405"/>
      <c r="H51" s="405"/>
      <c r="I51" s="70"/>
    </row>
    <row r="52" spans="4:9" x14ac:dyDescent="0.3">
      <c r="D52" s="70"/>
      <c r="E52" s="70"/>
      <c r="F52" s="70"/>
      <c r="G52" s="70"/>
      <c r="H52" s="70"/>
      <c r="I52" s="70"/>
    </row>
    <row r="53" spans="4:9" x14ac:dyDescent="0.3">
      <c r="D53" s="70"/>
      <c r="E53" s="70"/>
      <c r="F53" s="70"/>
      <c r="G53" s="70"/>
      <c r="H53" s="70"/>
      <c r="I53" s="70"/>
    </row>
    <row r="54" spans="4:9" x14ac:dyDescent="0.3">
      <c r="D54" s="70"/>
      <c r="E54" s="405" t="s">
        <v>261</v>
      </c>
      <c r="F54" s="405"/>
      <c r="G54" s="405"/>
      <c r="H54" s="405"/>
      <c r="I54" s="70"/>
    </row>
    <row r="55" spans="4:9" x14ac:dyDescent="0.3">
      <c r="D55" s="70"/>
      <c r="E55" s="405"/>
      <c r="F55" s="405"/>
      <c r="G55" s="405"/>
      <c r="H55" s="405"/>
      <c r="I55" s="70"/>
    </row>
    <row r="56" spans="4:9" x14ac:dyDescent="0.3">
      <c r="D56" s="70"/>
      <c r="E56" s="70"/>
      <c r="F56" s="70"/>
      <c r="G56" s="70"/>
      <c r="H56" s="70"/>
      <c r="I56" s="70"/>
    </row>
    <row r="57" spans="4:9" x14ac:dyDescent="0.3">
      <c r="D57" s="70"/>
      <c r="E57" s="70"/>
      <c r="F57" s="70"/>
      <c r="G57" s="70"/>
      <c r="H57" s="70"/>
      <c r="I57" s="70"/>
    </row>
    <row r="58" spans="4:9" x14ac:dyDescent="0.3">
      <c r="D58" s="70"/>
      <c r="E58" s="405" t="s">
        <v>357</v>
      </c>
      <c r="F58" s="405"/>
      <c r="G58" s="405"/>
      <c r="H58" s="405"/>
      <c r="I58" s="70"/>
    </row>
    <row r="59" spans="4:9" x14ac:dyDescent="0.3">
      <c r="D59" s="70"/>
      <c r="E59" s="405"/>
      <c r="F59" s="405"/>
      <c r="G59" s="405"/>
      <c r="H59" s="405"/>
      <c r="I59" s="70"/>
    </row>
    <row r="60" spans="4:9" x14ac:dyDescent="0.3">
      <c r="D60" s="70"/>
      <c r="E60" s="70"/>
      <c r="F60" s="70"/>
      <c r="G60" s="70"/>
      <c r="H60" s="70"/>
      <c r="I60" s="70"/>
    </row>
    <row r="61" spans="4:9" x14ac:dyDescent="0.3">
      <c r="D61" s="70"/>
      <c r="E61" s="70"/>
      <c r="F61" s="70"/>
      <c r="G61" s="70"/>
      <c r="H61" s="70"/>
      <c r="I61" s="70"/>
    </row>
    <row r="62" spans="4:9" x14ac:dyDescent="0.3">
      <c r="D62" s="70"/>
      <c r="E62" s="70"/>
      <c r="F62" s="70"/>
      <c r="G62" s="70"/>
      <c r="H62" s="70"/>
      <c r="I62" s="70"/>
    </row>
    <row r="63" spans="4:9" x14ac:dyDescent="0.3">
      <c r="D63" s="70"/>
      <c r="E63" s="70"/>
      <c r="F63" s="70"/>
      <c r="G63" s="70"/>
      <c r="H63" s="70"/>
      <c r="I63" s="70"/>
    </row>
  </sheetData>
  <mergeCells count="14">
    <mergeCell ref="E26:H27"/>
    <mergeCell ref="E6:H7"/>
    <mergeCell ref="E10:H11"/>
    <mergeCell ref="E14:H15"/>
    <mergeCell ref="E18:H19"/>
    <mergeCell ref="E22:H23"/>
    <mergeCell ref="E54:H55"/>
    <mergeCell ref="E58:H59"/>
    <mergeCell ref="E30:H31"/>
    <mergeCell ref="E34:H35"/>
    <mergeCell ref="E38:H39"/>
    <mergeCell ref="E42:H43"/>
    <mergeCell ref="E46:H47"/>
    <mergeCell ref="E50:H51"/>
  </mergeCells>
  <pageMargins left="0.7" right="0.7" top="0.75" bottom="0.75" header="0.3" footer="0.3"/>
  <pageSetup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06D3D-DECB-46F9-904A-5770CE029387}">
  <dimension ref="A5:J57"/>
  <sheetViews>
    <sheetView view="pageBreakPreview" topLeftCell="A37" zoomScale="94" zoomScaleNormal="100" zoomScaleSheetLayoutView="94" workbookViewId="0">
      <selection activeCell="C47" sqref="C47:I50"/>
    </sheetView>
  </sheetViews>
  <sheetFormatPr defaultRowHeight="14.4" x14ac:dyDescent="0.3"/>
  <cols>
    <col min="3" max="3" width="8.88671875" customWidth="1"/>
  </cols>
  <sheetData>
    <row r="5" spans="1:10" x14ac:dyDescent="0.3">
      <c r="A5" s="231" t="s">
        <v>0</v>
      </c>
      <c r="B5" s="231"/>
      <c r="C5" s="231"/>
      <c r="D5" s="231"/>
      <c r="E5" s="231"/>
      <c r="F5" s="231"/>
      <c r="G5" s="231"/>
      <c r="H5" s="231"/>
      <c r="I5" s="231"/>
      <c r="J5" s="231"/>
    </row>
    <row r="6" spans="1:10" x14ac:dyDescent="0.3">
      <c r="A6" s="231"/>
      <c r="B6" s="231"/>
      <c r="C6" s="231"/>
      <c r="D6" s="231"/>
      <c r="E6" s="231"/>
      <c r="F6" s="231"/>
      <c r="G6" s="231"/>
      <c r="H6" s="231"/>
      <c r="I6" s="231"/>
      <c r="J6" s="231"/>
    </row>
    <row r="9" spans="1:10" ht="14.4" customHeight="1" x14ac:dyDescent="0.3">
      <c r="B9" s="1" t="s">
        <v>1</v>
      </c>
      <c r="C9" s="232" t="s">
        <v>2</v>
      </c>
      <c r="D9" s="232"/>
      <c r="E9" s="232"/>
      <c r="F9" s="232"/>
      <c r="G9" s="232"/>
      <c r="H9" s="232"/>
      <c r="I9" s="232"/>
    </row>
    <row r="10" spans="1:10" ht="14.4" customHeight="1" x14ac:dyDescent="0.3">
      <c r="B10" s="227">
        <v>1</v>
      </c>
      <c r="C10" s="228" t="s">
        <v>3</v>
      </c>
      <c r="D10" s="228"/>
      <c r="E10" s="228"/>
      <c r="F10" s="228"/>
      <c r="G10" s="228"/>
      <c r="H10" s="228"/>
      <c r="I10" s="228"/>
    </row>
    <row r="11" spans="1:10" x14ac:dyDescent="0.3">
      <c r="B11" s="227"/>
      <c r="C11" s="228"/>
      <c r="D11" s="228"/>
      <c r="E11" s="228"/>
      <c r="F11" s="228"/>
      <c r="G11" s="228"/>
      <c r="H11" s="228"/>
      <c r="I11" s="228"/>
    </row>
    <row r="12" spans="1:10" x14ac:dyDescent="0.3">
      <c r="B12" s="227"/>
      <c r="C12" s="228"/>
      <c r="D12" s="228"/>
      <c r="E12" s="228"/>
      <c r="F12" s="228"/>
      <c r="G12" s="228"/>
      <c r="H12" s="228"/>
      <c r="I12" s="228"/>
    </row>
    <row r="13" spans="1:10" x14ac:dyDescent="0.3">
      <c r="B13" s="227"/>
      <c r="C13" s="228"/>
      <c r="D13" s="228"/>
      <c r="E13" s="228"/>
      <c r="F13" s="228"/>
      <c r="G13" s="228"/>
      <c r="H13" s="228"/>
      <c r="I13" s="228"/>
    </row>
    <row r="14" spans="1:10" x14ac:dyDescent="0.3">
      <c r="B14" s="227"/>
      <c r="C14" s="228"/>
      <c r="D14" s="228"/>
      <c r="E14" s="228"/>
      <c r="F14" s="228"/>
      <c r="G14" s="228"/>
      <c r="H14" s="228"/>
      <c r="I14" s="228"/>
    </row>
    <row r="15" spans="1:10" x14ac:dyDescent="0.3">
      <c r="B15" s="227">
        <v>2</v>
      </c>
      <c r="C15" s="229" t="s">
        <v>4</v>
      </c>
      <c r="D15" s="229"/>
      <c r="E15" s="229"/>
      <c r="F15" s="229"/>
      <c r="G15" s="229"/>
      <c r="H15" s="229"/>
      <c r="I15" s="229"/>
    </row>
    <row r="16" spans="1:10" x14ac:dyDescent="0.3">
      <c r="B16" s="227"/>
      <c r="C16" s="229"/>
      <c r="D16" s="229"/>
      <c r="E16" s="229"/>
      <c r="F16" s="229"/>
      <c r="G16" s="229"/>
      <c r="H16" s="229"/>
      <c r="I16" s="229"/>
    </row>
    <row r="17" spans="2:9" x14ac:dyDescent="0.3">
      <c r="B17" s="227"/>
      <c r="C17" s="229"/>
      <c r="D17" s="229"/>
      <c r="E17" s="229"/>
      <c r="F17" s="229"/>
      <c r="G17" s="229"/>
      <c r="H17" s="229"/>
      <c r="I17" s="229"/>
    </row>
    <row r="18" spans="2:9" ht="14.4" customHeight="1" x14ac:dyDescent="0.3">
      <c r="B18" s="227">
        <v>3</v>
      </c>
      <c r="C18" s="230" t="s">
        <v>5</v>
      </c>
      <c r="D18" s="230"/>
      <c r="E18" s="230"/>
      <c r="F18" s="230"/>
      <c r="G18" s="230"/>
      <c r="H18" s="230"/>
      <c r="I18" s="230"/>
    </row>
    <row r="19" spans="2:9" x14ac:dyDescent="0.3">
      <c r="B19" s="227"/>
      <c r="C19" s="230"/>
      <c r="D19" s="230"/>
      <c r="E19" s="230"/>
      <c r="F19" s="230"/>
      <c r="G19" s="230"/>
      <c r="H19" s="230"/>
      <c r="I19" s="230"/>
    </row>
    <row r="20" spans="2:9" x14ac:dyDescent="0.3">
      <c r="B20" s="227"/>
      <c r="C20" s="230"/>
      <c r="D20" s="230"/>
      <c r="E20" s="230"/>
      <c r="F20" s="230"/>
      <c r="G20" s="230"/>
      <c r="H20" s="230"/>
      <c r="I20" s="230"/>
    </row>
    <row r="21" spans="2:9" x14ac:dyDescent="0.3">
      <c r="B21" s="227"/>
      <c r="C21" s="230"/>
      <c r="D21" s="230"/>
      <c r="E21" s="230"/>
      <c r="F21" s="230"/>
      <c r="G21" s="230"/>
      <c r="H21" s="230"/>
      <c r="I21" s="230"/>
    </row>
    <row r="22" spans="2:9" ht="14.4" customHeight="1" x14ac:dyDescent="0.3">
      <c r="B22" s="227">
        <v>4</v>
      </c>
      <c r="C22" s="230" t="s">
        <v>6</v>
      </c>
      <c r="D22" s="230"/>
      <c r="E22" s="230"/>
      <c r="F22" s="230"/>
      <c r="G22" s="230"/>
      <c r="H22" s="230"/>
      <c r="I22" s="230"/>
    </row>
    <row r="23" spans="2:9" x14ac:dyDescent="0.3">
      <c r="B23" s="227"/>
      <c r="C23" s="230"/>
      <c r="D23" s="230"/>
      <c r="E23" s="230"/>
      <c r="F23" s="230"/>
      <c r="G23" s="230"/>
      <c r="H23" s="230"/>
      <c r="I23" s="230"/>
    </row>
    <row r="24" spans="2:9" ht="14.4" customHeight="1" x14ac:dyDescent="0.3">
      <c r="B24" s="227">
        <v>5</v>
      </c>
      <c r="C24" s="230" t="s">
        <v>7</v>
      </c>
      <c r="D24" s="230"/>
      <c r="E24" s="230"/>
      <c r="F24" s="230"/>
      <c r="G24" s="230"/>
      <c r="H24" s="230"/>
      <c r="I24" s="230"/>
    </row>
    <row r="25" spans="2:9" x14ac:dyDescent="0.3">
      <c r="B25" s="227"/>
      <c r="C25" s="230"/>
      <c r="D25" s="230"/>
      <c r="E25" s="230"/>
      <c r="F25" s="230"/>
      <c r="G25" s="230"/>
      <c r="H25" s="230"/>
      <c r="I25" s="230"/>
    </row>
    <row r="26" spans="2:9" x14ac:dyDescent="0.3">
      <c r="B26" s="227"/>
      <c r="C26" s="230"/>
      <c r="D26" s="230"/>
      <c r="E26" s="230"/>
      <c r="F26" s="230"/>
      <c r="G26" s="230"/>
      <c r="H26" s="230"/>
      <c r="I26" s="230"/>
    </row>
    <row r="27" spans="2:9" x14ac:dyDescent="0.3">
      <c r="B27" s="227"/>
      <c r="C27" s="230"/>
      <c r="D27" s="230"/>
      <c r="E27" s="230"/>
      <c r="F27" s="230"/>
      <c r="G27" s="230"/>
      <c r="H27" s="230"/>
      <c r="I27" s="230"/>
    </row>
    <row r="28" spans="2:9" x14ac:dyDescent="0.3">
      <c r="B28" s="227"/>
      <c r="C28" s="230"/>
      <c r="D28" s="230"/>
      <c r="E28" s="230"/>
      <c r="F28" s="230"/>
      <c r="G28" s="230"/>
      <c r="H28" s="230"/>
      <c r="I28" s="230"/>
    </row>
    <row r="29" spans="2:9" ht="14.4" customHeight="1" x14ac:dyDescent="0.3">
      <c r="B29" s="227">
        <v>6</v>
      </c>
      <c r="C29" s="230" t="s">
        <v>8</v>
      </c>
      <c r="D29" s="230"/>
      <c r="E29" s="230"/>
      <c r="F29" s="230"/>
      <c r="G29" s="230"/>
      <c r="H29" s="230"/>
      <c r="I29" s="230"/>
    </row>
    <row r="30" spans="2:9" x14ac:dyDescent="0.3">
      <c r="B30" s="227"/>
      <c r="C30" s="230"/>
      <c r="D30" s="230"/>
      <c r="E30" s="230"/>
      <c r="F30" s="230"/>
      <c r="G30" s="230"/>
      <c r="H30" s="230"/>
      <c r="I30" s="230"/>
    </row>
    <row r="31" spans="2:9" x14ac:dyDescent="0.3">
      <c r="B31" s="227"/>
      <c r="C31" s="230"/>
      <c r="D31" s="230"/>
      <c r="E31" s="230"/>
      <c r="F31" s="230"/>
      <c r="G31" s="230"/>
      <c r="H31" s="230"/>
      <c r="I31" s="230"/>
    </row>
    <row r="32" spans="2:9" x14ac:dyDescent="0.3">
      <c r="B32" s="227">
        <v>7</v>
      </c>
      <c r="C32" s="230" t="s">
        <v>9</v>
      </c>
      <c r="D32" s="230"/>
      <c r="E32" s="230"/>
      <c r="F32" s="230"/>
      <c r="G32" s="230"/>
      <c r="H32" s="230"/>
      <c r="I32" s="230"/>
    </row>
    <row r="33" spans="2:9" x14ac:dyDescent="0.3">
      <c r="B33" s="227"/>
      <c r="C33" s="230"/>
      <c r="D33" s="230"/>
      <c r="E33" s="230"/>
      <c r="F33" s="230"/>
      <c r="G33" s="230"/>
      <c r="H33" s="230"/>
      <c r="I33" s="230"/>
    </row>
    <row r="34" spans="2:9" x14ac:dyDescent="0.3">
      <c r="B34" s="227"/>
      <c r="C34" s="230"/>
      <c r="D34" s="230"/>
      <c r="E34" s="230"/>
      <c r="F34" s="230"/>
      <c r="G34" s="230"/>
      <c r="H34" s="230"/>
      <c r="I34" s="230"/>
    </row>
    <row r="35" spans="2:9" ht="14.4" customHeight="1" x14ac:dyDescent="0.3">
      <c r="B35" s="227">
        <v>8</v>
      </c>
      <c r="C35" s="215" t="s">
        <v>10</v>
      </c>
      <c r="D35" s="216"/>
      <c r="E35" s="216"/>
      <c r="F35" s="216"/>
      <c r="G35" s="216"/>
      <c r="H35" s="216"/>
      <c r="I35" s="217"/>
    </row>
    <row r="36" spans="2:9" x14ac:dyDescent="0.3">
      <c r="B36" s="227"/>
      <c r="C36" s="218"/>
      <c r="D36" s="219"/>
      <c r="E36" s="219"/>
      <c r="F36" s="219"/>
      <c r="G36" s="219"/>
      <c r="H36" s="219"/>
      <c r="I36" s="220"/>
    </row>
    <row r="37" spans="2:9" x14ac:dyDescent="0.3">
      <c r="B37" s="227"/>
      <c r="C37" s="233"/>
      <c r="D37" s="234"/>
      <c r="E37" s="234"/>
      <c r="F37" s="234"/>
      <c r="G37" s="234"/>
      <c r="H37" s="234"/>
      <c r="I37" s="235"/>
    </row>
    <row r="38" spans="2:9" x14ac:dyDescent="0.3">
      <c r="B38" s="227"/>
      <c r="C38" s="233"/>
      <c r="D38" s="234"/>
      <c r="E38" s="234"/>
      <c r="F38" s="234"/>
      <c r="G38" s="234"/>
      <c r="H38" s="234"/>
      <c r="I38" s="235"/>
    </row>
    <row r="39" spans="2:9" x14ac:dyDescent="0.3">
      <c r="B39" s="227"/>
      <c r="C39" s="233"/>
      <c r="D39" s="234"/>
      <c r="E39" s="234"/>
      <c r="F39" s="234"/>
      <c r="G39" s="234"/>
      <c r="H39" s="234"/>
      <c r="I39" s="235"/>
    </row>
    <row r="40" spans="2:9" x14ac:dyDescent="0.3">
      <c r="B40" s="227"/>
      <c r="C40" s="233"/>
      <c r="D40" s="234"/>
      <c r="E40" s="234"/>
      <c r="F40" s="234"/>
      <c r="G40" s="234"/>
      <c r="H40" s="234"/>
      <c r="I40" s="235"/>
    </row>
    <row r="41" spans="2:9" x14ac:dyDescent="0.3">
      <c r="B41" s="227"/>
      <c r="C41" s="233"/>
      <c r="D41" s="234"/>
      <c r="E41" s="234"/>
      <c r="F41" s="234"/>
      <c r="G41" s="234"/>
      <c r="H41" s="234"/>
      <c r="I41" s="235"/>
    </row>
    <row r="42" spans="2:9" x14ac:dyDescent="0.3">
      <c r="B42" s="227"/>
      <c r="C42" s="233"/>
      <c r="D42" s="234"/>
      <c r="E42" s="234"/>
      <c r="F42" s="234"/>
      <c r="G42" s="234"/>
      <c r="H42" s="234"/>
      <c r="I42" s="235"/>
    </row>
    <row r="43" spans="2:9" x14ac:dyDescent="0.3">
      <c r="B43" s="227"/>
      <c r="C43" s="233"/>
      <c r="D43" s="234"/>
      <c r="E43" s="234"/>
      <c r="F43" s="234"/>
      <c r="G43" s="234"/>
      <c r="H43" s="234"/>
      <c r="I43" s="235"/>
    </row>
    <row r="44" spans="2:9" x14ac:dyDescent="0.3">
      <c r="B44" s="227"/>
      <c r="C44" s="233"/>
      <c r="D44" s="234"/>
      <c r="E44" s="234"/>
      <c r="F44" s="234"/>
      <c r="G44" s="234"/>
      <c r="H44" s="234"/>
      <c r="I44" s="235"/>
    </row>
    <row r="45" spans="2:9" x14ac:dyDescent="0.3">
      <c r="B45" s="227"/>
      <c r="C45" s="233"/>
      <c r="D45" s="234"/>
      <c r="E45" s="234"/>
      <c r="F45" s="234"/>
      <c r="G45" s="234"/>
      <c r="H45" s="234"/>
      <c r="I45" s="235"/>
    </row>
    <row r="46" spans="2:9" x14ac:dyDescent="0.3">
      <c r="B46" s="227"/>
      <c r="C46" s="236"/>
      <c r="D46" s="237"/>
      <c r="E46" s="237"/>
      <c r="F46" s="237"/>
      <c r="G46" s="237"/>
      <c r="H46" s="237"/>
      <c r="I46" s="238"/>
    </row>
    <row r="47" spans="2:9" x14ac:dyDescent="0.3">
      <c r="B47" s="214">
        <v>9</v>
      </c>
      <c r="C47" s="215" t="s">
        <v>11</v>
      </c>
      <c r="D47" s="216"/>
      <c r="E47" s="216"/>
      <c r="F47" s="216"/>
      <c r="G47" s="216"/>
      <c r="H47" s="216"/>
      <c r="I47" s="217"/>
    </row>
    <row r="48" spans="2:9" x14ac:dyDescent="0.3">
      <c r="B48" s="214"/>
      <c r="C48" s="218"/>
      <c r="D48" s="219"/>
      <c r="E48" s="219"/>
      <c r="F48" s="219"/>
      <c r="G48" s="219"/>
      <c r="H48" s="219"/>
      <c r="I48" s="220"/>
    </row>
    <row r="49" spans="2:9" x14ac:dyDescent="0.3">
      <c r="B49" s="214"/>
      <c r="C49" s="218"/>
      <c r="D49" s="219"/>
      <c r="E49" s="219"/>
      <c r="F49" s="219"/>
      <c r="G49" s="219"/>
      <c r="H49" s="219"/>
      <c r="I49" s="220"/>
    </row>
    <row r="50" spans="2:9" x14ac:dyDescent="0.3">
      <c r="B50" s="214"/>
      <c r="C50" s="218"/>
      <c r="D50" s="219"/>
      <c r="E50" s="219"/>
      <c r="F50" s="219"/>
      <c r="G50" s="219"/>
      <c r="H50" s="219"/>
      <c r="I50" s="220"/>
    </row>
    <row r="51" spans="2:9" x14ac:dyDescent="0.3">
      <c r="B51" s="214"/>
      <c r="C51" s="221" t="s">
        <v>12</v>
      </c>
      <c r="D51" s="222"/>
      <c r="E51" s="222"/>
      <c r="F51" s="222"/>
      <c r="G51" s="222"/>
      <c r="H51" s="222"/>
      <c r="I51" s="223"/>
    </row>
    <row r="52" spans="2:9" x14ac:dyDescent="0.3">
      <c r="B52" s="214"/>
      <c r="C52" s="221" t="s">
        <v>13</v>
      </c>
      <c r="D52" s="222"/>
      <c r="E52" s="222"/>
      <c r="F52" s="222"/>
      <c r="G52" s="222"/>
      <c r="H52" s="222"/>
      <c r="I52" s="223"/>
    </row>
    <row r="53" spans="2:9" x14ac:dyDescent="0.3">
      <c r="B53" s="214"/>
      <c r="C53" s="221" t="s">
        <v>14</v>
      </c>
      <c r="D53" s="222"/>
      <c r="E53" s="222"/>
      <c r="F53" s="222"/>
      <c r="G53" s="222"/>
      <c r="H53" s="222"/>
      <c r="I53" s="223"/>
    </row>
    <row r="54" spans="2:9" x14ac:dyDescent="0.3">
      <c r="B54" s="214"/>
      <c r="C54" s="221" t="s">
        <v>15</v>
      </c>
      <c r="D54" s="222"/>
      <c r="E54" s="222"/>
      <c r="F54" s="222"/>
      <c r="G54" s="222"/>
      <c r="H54" s="222"/>
      <c r="I54" s="223"/>
    </row>
    <row r="55" spans="2:9" x14ac:dyDescent="0.3">
      <c r="B55" s="214"/>
      <c r="C55" s="221" t="s">
        <v>16</v>
      </c>
      <c r="D55" s="222"/>
      <c r="E55" s="222"/>
      <c r="F55" s="222"/>
      <c r="G55" s="222"/>
      <c r="H55" s="222"/>
      <c r="I55" s="223"/>
    </row>
    <row r="56" spans="2:9" x14ac:dyDescent="0.3">
      <c r="B56" s="214"/>
      <c r="C56" s="221" t="s">
        <v>17</v>
      </c>
      <c r="D56" s="222"/>
      <c r="E56" s="222"/>
      <c r="F56" s="222"/>
      <c r="G56" s="222"/>
      <c r="H56" s="222"/>
      <c r="I56" s="223"/>
    </row>
    <row r="57" spans="2:9" x14ac:dyDescent="0.3">
      <c r="B57" s="214"/>
      <c r="C57" s="224" t="s">
        <v>18</v>
      </c>
      <c r="D57" s="225"/>
      <c r="E57" s="225"/>
      <c r="F57" s="225"/>
      <c r="G57" s="225"/>
      <c r="H57" s="225"/>
      <c r="I57" s="226"/>
    </row>
  </sheetData>
  <mergeCells count="28">
    <mergeCell ref="C32:I34"/>
    <mergeCell ref="C35:I36"/>
    <mergeCell ref="C37:I46"/>
    <mergeCell ref="C22:I23"/>
    <mergeCell ref="C24:I28"/>
    <mergeCell ref="C29:I31"/>
    <mergeCell ref="C10:I14"/>
    <mergeCell ref="B10:B14"/>
    <mergeCell ref="C15:I17"/>
    <mergeCell ref="C18:I21"/>
    <mergeCell ref="A5:J6"/>
    <mergeCell ref="C9:I9"/>
    <mergeCell ref="B15:B17"/>
    <mergeCell ref="B18:B21"/>
    <mergeCell ref="B22:B23"/>
    <mergeCell ref="B24:B28"/>
    <mergeCell ref="B29:B31"/>
    <mergeCell ref="B32:B34"/>
    <mergeCell ref="B35:B46"/>
    <mergeCell ref="B47:B57"/>
    <mergeCell ref="C47:I50"/>
    <mergeCell ref="C51:I51"/>
    <mergeCell ref="C52:I52"/>
    <mergeCell ref="C53:I53"/>
    <mergeCell ref="C54:I54"/>
    <mergeCell ref="C55:I55"/>
    <mergeCell ref="C56:I56"/>
    <mergeCell ref="C57:I57"/>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2A58-8CFB-4F05-8606-EEE959F183E6}">
  <dimension ref="B7:U37"/>
  <sheetViews>
    <sheetView topLeftCell="A10" workbookViewId="0">
      <selection activeCell="B7" sqref="B7:L20"/>
    </sheetView>
  </sheetViews>
  <sheetFormatPr defaultRowHeight="13.8" x14ac:dyDescent="0.25"/>
  <cols>
    <col min="1" max="6" width="8.88671875" style="12"/>
    <col min="7" max="7" width="4.88671875" style="12" customWidth="1"/>
    <col min="8" max="8" width="6.33203125" style="12" customWidth="1"/>
    <col min="9" max="9" width="7" style="12" customWidth="1"/>
    <col min="10" max="10" width="4.6640625" style="12" customWidth="1"/>
    <col min="11" max="11" width="10.33203125" style="12" customWidth="1"/>
    <col min="12" max="12" width="10.109375" style="12" customWidth="1"/>
    <col min="13" max="14" width="4.5546875" style="12" customWidth="1"/>
    <col min="15" max="15" width="9" style="12" customWidth="1"/>
    <col min="16" max="16" width="4.5546875" style="12" customWidth="1"/>
    <col min="17" max="17" width="6.88671875" style="12" customWidth="1"/>
    <col min="18" max="18" width="7.77734375" style="12" customWidth="1"/>
    <col min="19" max="19" width="6.6640625" style="12" customWidth="1"/>
    <col min="20" max="20" width="6.33203125" style="12" customWidth="1"/>
    <col min="21" max="21" width="6.21875" style="12" customWidth="1"/>
    <col min="22" max="16384" width="8.88671875" style="12"/>
  </cols>
  <sheetData>
    <row r="7" spans="2:21" x14ac:dyDescent="0.25">
      <c r="B7" s="418" t="s">
        <v>189</v>
      </c>
      <c r="C7" s="418"/>
      <c r="D7" s="418"/>
      <c r="E7" s="418"/>
      <c r="F7" s="418"/>
      <c r="G7" s="418" t="s">
        <v>240</v>
      </c>
      <c r="H7" s="418"/>
      <c r="I7" s="418"/>
      <c r="J7" s="418" t="s">
        <v>414</v>
      </c>
      <c r="K7" s="418"/>
      <c r="L7" s="418"/>
      <c r="M7" s="418" t="s">
        <v>415</v>
      </c>
      <c r="N7" s="418"/>
      <c r="O7" s="418"/>
      <c r="P7" s="418" t="s">
        <v>416</v>
      </c>
      <c r="Q7" s="418"/>
      <c r="R7" s="418"/>
      <c r="S7" s="418" t="s">
        <v>417</v>
      </c>
      <c r="T7" s="418"/>
      <c r="U7" s="418"/>
    </row>
    <row r="8" spans="2:21" x14ac:dyDescent="0.25">
      <c r="B8" s="416" t="s">
        <v>418</v>
      </c>
      <c r="C8" s="416"/>
      <c r="D8" s="416"/>
      <c r="E8" s="416"/>
      <c r="F8" s="416"/>
      <c r="G8" s="412"/>
      <c r="H8" s="412"/>
      <c r="I8" s="412"/>
      <c r="J8" s="414"/>
      <c r="K8" s="414"/>
      <c r="L8" s="414"/>
      <c r="M8" s="414"/>
      <c r="N8" s="414"/>
      <c r="O8" s="414"/>
      <c r="P8" s="412"/>
      <c r="Q8" s="412"/>
      <c r="R8" s="412"/>
      <c r="S8" s="412"/>
      <c r="T8" s="412"/>
      <c r="U8" s="412"/>
    </row>
    <row r="9" spans="2:21" x14ac:dyDescent="0.25">
      <c r="B9" s="419" t="s">
        <v>424</v>
      </c>
      <c r="C9" s="419"/>
      <c r="D9" s="419"/>
      <c r="E9" s="419"/>
      <c r="F9" s="419"/>
      <c r="G9" s="414"/>
      <c r="H9" s="414"/>
      <c r="I9" s="414"/>
      <c r="J9" s="420"/>
      <c r="K9" s="420"/>
      <c r="L9" s="420"/>
      <c r="M9" s="420"/>
      <c r="N9" s="420"/>
      <c r="O9" s="420"/>
      <c r="P9" s="420"/>
      <c r="Q9" s="420"/>
      <c r="R9" s="420"/>
      <c r="S9" s="420"/>
      <c r="T9" s="420"/>
      <c r="U9" s="420"/>
    </row>
    <row r="10" spans="2:21" x14ac:dyDescent="0.25">
      <c r="B10" s="413" t="s">
        <v>437</v>
      </c>
      <c r="C10" s="413"/>
      <c r="D10" s="413"/>
      <c r="E10" s="413"/>
      <c r="F10" s="413"/>
      <c r="G10" s="414" t="s">
        <v>425</v>
      </c>
      <c r="H10" s="414"/>
      <c r="I10" s="414"/>
      <c r="J10" s="415" t="s">
        <v>436</v>
      </c>
      <c r="K10" s="414"/>
      <c r="L10" s="414"/>
      <c r="M10" s="421" t="s">
        <v>428</v>
      </c>
      <c r="N10" s="414"/>
      <c r="O10" s="414"/>
      <c r="P10" s="414"/>
      <c r="Q10" s="414"/>
      <c r="R10" s="414"/>
      <c r="S10" s="414"/>
      <c r="T10" s="414"/>
      <c r="U10" s="414"/>
    </row>
    <row r="11" spans="2:21" x14ac:dyDescent="0.25">
      <c r="B11" s="413" t="s">
        <v>438</v>
      </c>
      <c r="C11" s="413"/>
      <c r="D11" s="413"/>
      <c r="E11" s="413"/>
      <c r="F11" s="413"/>
      <c r="G11" s="414" t="s">
        <v>425</v>
      </c>
      <c r="H11" s="414"/>
      <c r="I11" s="414"/>
      <c r="J11" s="414" t="s">
        <v>439</v>
      </c>
      <c r="K11" s="414"/>
      <c r="L11" s="414"/>
      <c r="M11" s="415" t="s">
        <v>429</v>
      </c>
      <c r="N11" s="414"/>
      <c r="O11" s="414"/>
      <c r="P11" s="414"/>
      <c r="Q11" s="414"/>
      <c r="R11" s="414"/>
      <c r="S11" s="414"/>
      <c r="T11" s="414"/>
      <c r="U11" s="414"/>
    </row>
    <row r="12" spans="2:21" x14ac:dyDescent="0.25">
      <c r="B12" s="413" t="s">
        <v>419</v>
      </c>
      <c r="C12" s="413"/>
      <c r="D12" s="413"/>
      <c r="E12" s="413"/>
      <c r="F12" s="413"/>
      <c r="G12" s="414" t="s">
        <v>425</v>
      </c>
      <c r="H12" s="414"/>
      <c r="I12" s="414"/>
      <c r="J12" s="415" t="s">
        <v>433</v>
      </c>
      <c r="K12" s="414"/>
      <c r="L12" s="414"/>
      <c r="M12" s="415" t="s">
        <v>430</v>
      </c>
      <c r="N12" s="414"/>
      <c r="O12" s="414"/>
      <c r="P12" s="414"/>
      <c r="Q12" s="414"/>
      <c r="R12" s="414"/>
      <c r="S12" s="414"/>
      <c r="T12" s="414"/>
      <c r="U12" s="414"/>
    </row>
    <row r="13" spans="2:21" x14ac:dyDescent="0.25">
      <c r="B13" s="413" t="s">
        <v>420</v>
      </c>
      <c r="C13" s="413"/>
      <c r="D13" s="413"/>
      <c r="E13" s="413"/>
      <c r="F13" s="413"/>
      <c r="G13" s="414" t="s">
        <v>426</v>
      </c>
      <c r="H13" s="414"/>
      <c r="I13" s="414"/>
      <c r="J13" s="414"/>
      <c r="K13" s="414"/>
      <c r="L13" s="414"/>
      <c r="M13" s="415" t="s">
        <v>431</v>
      </c>
      <c r="N13" s="414"/>
      <c r="O13" s="414"/>
      <c r="P13" s="414"/>
      <c r="Q13" s="414"/>
      <c r="R13" s="414"/>
      <c r="S13" s="414"/>
      <c r="T13" s="414"/>
      <c r="U13" s="414"/>
    </row>
    <row r="14" spans="2:21" x14ac:dyDescent="0.25">
      <c r="B14" s="413" t="s">
        <v>434</v>
      </c>
      <c r="C14" s="413"/>
      <c r="D14" s="413"/>
      <c r="E14" s="413"/>
      <c r="F14" s="413"/>
      <c r="G14" s="414" t="s">
        <v>426</v>
      </c>
      <c r="H14" s="414"/>
      <c r="I14" s="414"/>
      <c r="J14" s="414" t="s">
        <v>435</v>
      </c>
      <c r="K14" s="414"/>
      <c r="L14" s="414"/>
      <c r="M14" s="415"/>
      <c r="N14" s="414"/>
      <c r="O14" s="414"/>
      <c r="P14" s="414"/>
      <c r="Q14" s="414"/>
      <c r="R14" s="414"/>
      <c r="S14" s="414"/>
      <c r="T14" s="414"/>
      <c r="U14" s="414"/>
    </row>
    <row r="15" spans="2:21" x14ac:dyDescent="0.25">
      <c r="B15" s="413" t="s">
        <v>421</v>
      </c>
      <c r="C15" s="413"/>
      <c r="D15" s="413"/>
      <c r="E15" s="413"/>
      <c r="F15" s="413"/>
      <c r="G15" s="414" t="s">
        <v>427</v>
      </c>
      <c r="H15" s="414"/>
      <c r="I15" s="414"/>
      <c r="J15" s="415" t="s">
        <v>440</v>
      </c>
      <c r="K15" s="414"/>
      <c r="L15" s="414"/>
      <c r="M15" s="415" t="s">
        <v>432</v>
      </c>
      <c r="N15" s="414"/>
      <c r="O15" s="414"/>
      <c r="P15" s="414"/>
      <c r="Q15" s="414"/>
      <c r="R15" s="414"/>
      <c r="S15" s="414"/>
      <c r="T15" s="414"/>
      <c r="U15" s="414"/>
    </row>
    <row r="16" spans="2:21" x14ac:dyDescent="0.25">
      <c r="B16" s="413" t="s">
        <v>422</v>
      </c>
      <c r="C16" s="413"/>
      <c r="D16" s="413"/>
      <c r="E16" s="413"/>
      <c r="F16" s="413"/>
      <c r="G16" s="414" t="s">
        <v>427</v>
      </c>
      <c r="H16" s="414"/>
      <c r="I16" s="414"/>
      <c r="J16" s="414"/>
      <c r="K16" s="414"/>
      <c r="L16" s="414"/>
      <c r="M16" s="414"/>
      <c r="N16" s="414"/>
      <c r="O16" s="414"/>
      <c r="P16" s="414"/>
      <c r="Q16" s="414"/>
      <c r="R16" s="414"/>
      <c r="S16" s="414"/>
      <c r="T16" s="414"/>
      <c r="U16" s="414"/>
    </row>
    <row r="17" spans="2:21" x14ac:dyDescent="0.25">
      <c r="B17" s="413" t="s">
        <v>423</v>
      </c>
      <c r="C17" s="413"/>
      <c r="D17" s="413"/>
      <c r="E17" s="413"/>
      <c r="F17" s="413"/>
      <c r="G17" s="414" t="s">
        <v>425</v>
      </c>
      <c r="H17" s="414"/>
      <c r="I17" s="414"/>
      <c r="J17" s="414">
        <v>80</v>
      </c>
      <c r="K17" s="414"/>
      <c r="L17" s="414"/>
      <c r="M17" s="414">
        <v>150</v>
      </c>
      <c r="N17" s="414"/>
      <c r="O17" s="414"/>
      <c r="P17" s="414"/>
      <c r="Q17" s="414"/>
      <c r="R17" s="414"/>
      <c r="S17" s="414"/>
      <c r="T17" s="414"/>
      <c r="U17" s="414"/>
    </row>
    <row r="18" spans="2:21" x14ac:dyDescent="0.25">
      <c r="B18" s="417" t="s">
        <v>441</v>
      </c>
      <c r="C18" s="417"/>
      <c r="D18" s="417"/>
      <c r="E18" s="417"/>
      <c r="F18" s="417"/>
      <c r="G18" s="414"/>
      <c r="H18" s="414"/>
      <c r="I18" s="414"/>
      <c r="J18" s="414"/>
      <c r="K18" s="414"/>
      <c r="L18" s="414"/>
      <c r="M18" s="414"/>
      <c r="N18" s="414"/>
      <c r="O18" s="414"/>
      <c r="P18" s="414"/>
      <c r="Q18" s="414"/>
      <c r="R18" s="414"/>
      <c r="S18" s="414"/>
      <c r="T18" s="414"/>
      <c r="U18" s="414"/>
    </row>
    <row r="19" spans="2:21" x14ac:dyDescent="0.25">
      <c r="B19" s="413" t="s">
        <v>437</v>
      </c>
      <c r="C19" s="413"/>
      <c r="D19" s="413"/>
      <c r="E19" s="413"/>
      <c r="F19" s="413"/>
      <c r="G19" s="414" t="s">
        <v>425</v>
      </c>
      <c r="H19" s="414"/>
      <c r="I19" s="414"/>
      <c r="J19" s="414"/>
      <c r="K19" s="414"/>
      <c r="L19" s="414"/>
      <c r="M19" s="415" t="s">
        <v>442</v>
      </c>
      <c r="N19" s="414"/>
      <c r="O19" s="414"/>
      <c r="P19" s="414"/>
      <c r="Q19" s="414"/>
      <c r="R19" s="414"/>
      <c r="S19" s="414"/>
      <c r="T19" s="414"/>
      <c r="U19" s="414"/>
    </row>
    <row r="20" spans="2:21" x14ac:dyDescent="0.25">
      <c r="B20" s="413" t="s">
        <v>443</v>
      </c>
      <c r="C20" s="413"/>
      <c r="D20" s="413"/>
      <c r="E20" s="413"/>
      <c r="F20" s="413"/>
      <c r="G20" s="414" t="s">
        <v>444</v>
      </c>
      <c r="H20" s="414"/>
      <c r="I20" s="414"/>
      <c r="J20" s="414"/>
      <c r="K20" s="414"/>
      <c r="L20" s="414"/>
      <c r="M20" s="415" t="s">
        <v>445</v>
      </c>
      <c r="N20" s="414"/>
      <c r="O20" s="414"/>
      <c r="P20" s="414"/>
      <c r="Q20" s="414"/>
      <c r="R20" s="414"/>
      <c r="S20" s="414"/>
      <c r="T20" s="414"/>
      <c r="U20" s="414"/>
    </row>
    <row r="21" spans="2:21" x14ac:dyDescent="0.25">
      <c r="B21" s="416" t="s">
        <v>446</v>
      </c>
      <c r="C21" s="416"/>
      <c r="D21" s="416"/>
      <c r="E21" s="416"/>
      <c r="F21" s="416"/>
      <c r="G21" s="412"/>
      <c r="H21" s="412"/>
      <c r="I21" s="412"/>
      <c r="J21" s="412"/>
      <c r="K21" s="412"/>
      <c r="L21" s="412"/>
      <c r="M21" s="412"/>
      <c r="N21" s="412"/>
      <c r="O21" s="412"/>
      <c r="P21" s="412"/>
      <c r="Q21" s="412"/>
      <c r="R21" s="412"/>
      <c r="S21" s="412"/>
      <c r="T21" s="412"/>
      <c r="U21" s="412"/>
    </row>
    <row r="22" spans="2:21" x14ac:dyDescent="0.25">
      <c r="B22" s="413" t="s">
        <v>452</v>
      </c>
      <c r="C22" s="413"/>
      <c r="D22" s="413"/>
      <c r="E22" s="413"/>
      <c r="F22" s="413"/>
      <c r="G22" s="414" t="s">
        <v>454</v>
      </c>
      <c r="H22" s="414"/>
      <c r="I22" s="414"/>
      <c r="J22" s="414"/>
      <c r="K22" s="414"/>
      <c r="L22" s="414"/>
      <c r="M22" s="414" t="s">
        <v>456</v>
      </c>
      <c r="N22" s="414"/>
      <c r="O22" s="414"/>
      <c r="P22" s="414"/>
      <c r="Q22" s="414"/>
      <c r="R22" s="414"/>
      <c r="S22" s="414"/>
      <c r="T22" s="414"/>
      <c r="U22" s="414"/>
    </row>
    <row r="23" spans="2:21" x14ac:dyDescent="0.25">
      <c r="B23" s="413" t="s">
        <v>453</v>
      </c>
      <c r="C23" s="413"/>
      <c r="D23" s="413"/>
      <c r="E23" s="413"/>
      <c r="F23" s="413"/>
      <c r="G23" s="414" t="s">
        <v>467</v>
      </c>
      <c r="H23" s="414"/>
      <c r="I23" s="414"/>
      <c r="J23" s="414" t="s">
        <v>455</v>
      </c>
      <c r="K23" s="414"/>
      <c r="L23" s="414"/>
      <c r="M23" s="414"/>
      <c r="N23" s="414"/>
      <c r="O23" s="414"/>
      <c r="P23" s="414"/>
      <c r="Q23" s="414"/>
      <c r="R23" s="414"/>
      <c r="S23" s="414"/>
      <c r="T23" s="414"/>
      <c r="U23" s="414"/>
    </row>
    <row r="24" spans="2:21" x14ac:dyDescent="0.25">
      <c r="B24" s="416" t="s">
        <v>458</v>
      </c>
      <c r="C24" s="416"/>
      <c r="D24" s="416"/>
      <c r="E24" s="416"/>
      <c r="F24" s="416"/>
      <c r="G24" s="414"/>
      <c r="H24" s="414"/>
      <c r="I24" s="414"/>
      <c r="J24" s="412"/>
      <c r="K24" s="412"/>
      <c r="L24" s="412"/>
      <c r="M24" s="412"/>
      <c r="N24" s="412"/>
      <c r="O24" s="412"/>
      <c r="P24" s="412"/>
      <c r="Q24" s="412"/>
      <c r="R24" s="412"/>
      <c r="S24" s="412"/>
      <c r="T24" s="412"/>
      <c r="U24" s="412"/>
    </row>
    <row r="25" spans="2:21" x14ac:dyDescent="0.25">
      <c r="B25" s="413" t="s">
        <v>459</v>
      </c>
      <c r="C25" s="413"/>
      <c r="D25" s="413"/>
      <c r="E25" s="413"/>
      <c r="F25" s="413"/>
      <c r="G25" s="420" t="s">
        <v>467</v>
      </c>
      <c r="H25" s="420"/>
      <c r="I25" s="420"/>
      <c r="J25" s="422" t="s">
        <v>472</v>
      </c>
      <c r="K25" s="420"/>
      <c r="L25" s="420"/>
      <c r="M25" s="422" t="s">
        <v>472</v>
      </c>
      <c r="N25" s="420"/>
      <c r="O25" s="420"/>
      <c r="P25" s="420"/>
      <c r="Q25" s="420"/>
      <c r="R25" s="420"/>
      <c r="S25" s="420">
        <v>3</v>
      </c>
      <c r="T25" s="420"/>
      <c r="U25" s="420"/>
    </row>
    <row r="26" spans="2:21" x14ac:dyDescent="0.25">
      <c r="B26" s="413" t="s">
        <v>460</v>
      </c>
      <c r="C26" s="413"/>
      <c r="D26" s="413"/>
      <c r="E26" s="413"/>
      <c r="F26" s="413"/>
      <c r="G26" s="414" t="s">
        <v>444</v>
      </c>
      <c r="H26" s="414"/>
      <c r="I26" s="414"/>
      <c r="J26" s="415" t="s">
        <v>472</v>
      </c>
      <c r="K26" s="414"/>
      <c r="L26" s="414"/>
      <c r="M26" s="415" t="s">
        <v>472</v>
      </c>
      <c r="N26" s="414"/>
      <c r="O26" s="414"/>
      <c r="P26" s="414"/>
      <c r="Q26" s="414"/>
      <c r="R26" s="414"/>
      <c r="S26" s="414"/>
      <c r="T26" s="414"/>
      <c r="U26" s="414"/>
    </row>
    <row r="27" spans="2:21" x14ac:dyDescent="0.25">
      <c r="B27" s="413" t="s">
        <v>461</v>
      </c>
      <c r="C27" s="413"/>
      <c r="D27" s="413"/>
      <c r="E27" s="413"/>
      <c r="F27" s="413"/>
      <c r="G27" s="414" t="s">
        <v>444</v>
      </c>
      <c r="H27" s="414"/>
      <c r="I27" s="414"/>
      <c r="J27" s="414" t="s">
        <v>470</v>
      </c>
      <c r="K27" s="414"/>
      <c r="L27" s="414"/>
      <c r="M27" s="414" t="s">
        <v>470</v>
      </c>
      <c r="N27" s="414"/>
      <c r="O27" s="414"/>
      <c r="P27" s="414"/>
      <c r="Q27" s="414"/>
      <c r="R27" s="414"/>
      <c r="S27" s="414"/>
      <c r="T27" s="414"/>
      <c r="U27" s="414"/>
    </row>
    <row r="28" spans="2:21" x14ac:dyDescent="0.25">
      <c r="B28" s="413" t="s">
        <v>462</v>
      </c>
      <c r="C28" s="413"/>
      <c r="D28" s="413"/>
      <c r="E28" s="413"/>
      <c r="F28" s="413"/>
      <c r="G28" s="414" t="s">
        <v>444</v>
      </c>
      <c r="H28" s="414"/>
      <c r="I28" s="414"/>
      <c r="J28" s="415" t="s">
        <v>479</v>
      </c>
      <c r="K28" s="414"/>
      <c r="L28" s="414"/>
      <c r="M28" s="414" t="s">
        <v>471</v>
      </c>
      <c r="N28" s="414"/>
      <c r="O28" s="414"/>
      <c r="P28" s="414"/>
      <c r="Q28" s="414"/>
      <c r="R28" s="414"/>
      <c r="S28" s="414"/>
      <c r="T28" s="414"/>
      <c r="U28" s="414"/>
    </row>
    <row r="29" spans="2:21" x14ac:dyDescent="0.25">
      <c r="B29" s="413" t="s">
        <v>463</v>
      </c>
      <c r="C29" s="413"/>
      <c r="D29" s="413"/>
      <c r="E29" s="413"/>
      <c r="F29" s="413"/>
      <c r="G29" s="414" t="s">
        <v>468</v>
      </c>
      <c r="H29" s="414"/>
      <c r="I29" s="414"/>
      <c r="J29" s="414" t="s">
        <v>481</v>
      </c>
      <c r="K29" s="414"/>
      <c r="L29" s="414"/>
      <c r="M29" s="414" t="s">
        <v>473</v>
      </c>
      <c r="N29" s="414"/>
      <c r="O29" s="414"/>
      <c r="P29" s="414" t="s">
        <v>841</v>
      </c>
      <c r="Q29" s="414"/>
      <c r="R29" s="414"/>
      <c r="S29" s="414" t="s">
        <v>477</v>
      </c>
      <c r="T29" s="414"/>
      <c r="U29" s="414"/>
    </row>
    <row r="30" spans="2:21" x14ac:dyDescent="0.25">
      <c r="B30" s="413" t="s">
        <v>464</v>
      </c>
      <c r="C30" s="413"/>
      <c r="D30" s="413"/>
      <c r="E30" s="413"/>
      <c r="F30" s="413"/>
      <c r="G30" s="414" t="s">
        <v>468</v>
      </c>
      <c r="H30" s="414"/>
      <c r="I30" s="414"/>
      <c r="J30" s="414" t="s">
        <v>480</v>
      </c>
      <c r="K30" s="414"/>
      <c r="L30" s="414"/>
      <c r="M30" s="414" t="s">
        <v>474</v>
      </c>
      <c r="N30" s="414"/>
      <c r="O30" s="414"/>
      <c r="P30" s="414"/>
      <c r="Q30" s="414"/>
      <c r="R30" s="414"/>
      <c r="S30" s="423" t="s">
        <v>478</v>
      </c>
      <c r="T30" s="414"/>
      <c r="U30" s="414"/>
    </row>
    <row r="31" spans="2:21" x14ac:dyDescent="0.25">
      <c r="B31" s="413" t="s">
        <v>465</v>
      </c>
      <c r="C31" s="413"/>
      <c r="D31" s="413"/>
      <c r="E31" s="413"/>
      <c r="F31" s="413"/>
      <c r="G31" s="414" t="s">
        <v>469</v>
      </c>
      <c r="H31" s="414"/>
      <c r="I31" s="414"/>
      <c r="J31" s="414" t="s">
        <v>475</v>
      </c>
      <c r="K31" s="414"/>
      <c r="L31" s="414"/>
      <c r="M31" s="414" t="s">
        <v>475</v>
      </c>
      <c r="N31" s="414"/>
      <c r="O31" s="414"/>
      <c r="P31" s="414" t="s">
        <v>842</v>
      </c>
      <c r="Q31" s="414"/>
      <c r="R31" s="414"/>
      <c r="S31" s="414"/>
      <c r="T31" s="414"/>
      <c r="U31" s="414"/>
    </row>
    <row r="32" spans="2:21" x14ac:dyDescent="0.25">
      <c r="B32" s="413" t="s">
        <v>466</v>
      </c>
      <c r="C32" s="413"/>
      <c r="D32" s="413"/>
      <c r="E32" s="413"/>
      <c r="F32" s="413"/>
      <c r="G32" s="414" t="s">
        <v>1279</v>
      </c>
      <c r="H32" s="414"/>
      <c r="I32" s="414"/>
      <c r="J32" s="414" t="s">
        <v>476</v>
      </c>
      <c r="K32" s="414"/>
      <c r="L32" s="414"/>
      <c r="M32" s="414" t="s">
        <v>476</v>
      </c>
      <c r="N32" s="414"/>
      <c r="O32" s="414"/>
      <c r="P32" s="414"/>
      <c r="Q32" s="414"/>
      <c r="R32" s="414"/>
      <c r="S32" s="414">
        <v>1.4999999999999999E-2</v>
      </c>
      <c r="T32" s="414"/>
      <c r="U32" s="414"/>
    </row>
    <row r="33" spans="2:21" x14ac:dyDescent="0.25">
      <c r="B33" s="416" t="s">
        <v>482</v>
      </c>
      <c r="C33" s="416"/>
      <c r="D33" s="416"/>
      <c r="E33" s="416"/>
      <c r="F33" s="416"/>
      <c r="G33" s="414"/>
      <c r="H33" s="414"/>
      <c r="I33" s="414"/>
      <c r="J33" s="414"/>
      <c r="K33" s="414"/>
      <c r="L33" s="414"/>
      <c r="M33" s="414"/>
      <c r="N33" s="414"/>
      <c r="O33" s="414"/>
      <c r="P33" s="414"/>
      <c r="Q33" s="414"/>
      <c r="R33" s="414"/>
      <c r="S33" s="414"/>
      <c r="T33" s="414"/>
      <c r="U33" s="414"/>
    </row>
    <row r="34" spans="2:21" x14ac:dyDescent="0.25">
      <c r="B34" s="413" t="s">
        <v>487</v>
      </c>
      <c r="C34" s="413"/>
      <c r="D34" s="413"/>
      <c r="E34" s="413"/>
      <c r="F34" s="413"/>
      <c r="G34" s="420" t="s">
        <v>444</v>
      </c>
      <c r="H34" s="420"/>
      <c r="I34" s="420"/>
      <c r="J34" s="420" t="s">
        <v>484</v>
      </c>
      <c r="K34" s="420"/>
      <c r="L34" s="420"/>
      <c r="M34" s="420" t="s">
        <v>488</v>
      </c>
      <c r="N34" s="420"/>
      <c r="O34" s="420"/>
      <c r="P34" s="420"/>
      <c r="Q34" s="420"/>
      <c r="R34" s="420"/>
      <c r="S34" s="420"/>
      <c r="T34" s="420"/>
      <c r="U34" s="420"/>
    </row>
    <row r="35" spans="2:21" x14ac:dyDescent="0.25">
      <c r="B35" s="413" t="s">
        <v>492</v>
      </c>
      <c r="C35" s="413"/>
      <c r="D35" s="413"/>
      <c r="E35" s="413"/>
      <c r="F35" s="413"/>
      <c r="G35" s="414" t="s">
        <v>444</v>
      </c>
      <c r="H35" s="414"/>
      <c r="I35" s="414"/>
      <c r="J35" s="414">
        <v>1</v>
      </c>
      <c r="K35" s="414"/>
      <c r="L35" s="414"/>
      <c r="M35" s="414"/>
      <c r="N35" s="414"/>
      <c r="O35" s="414"/>
      <c r="P35" s="414"/>
      <c r="Q35" s="414"/>
      <c r="R35" s="414"/>
      <c r="S35" s="414"/>
      <c r="T35" s="414"/>
      <c r="U35" s="414"/>
    </row>
    <row r="36" spans="2:21" x14ac:dyDescent="0.25">
      <c r="B36" s="413" t="s">
        <v>489</v>
      </c>
      <c r="C36" s="413"/>
      <c r="D36" s="413"/>
      <c r="E36" s="413"/>
      <c r="F36" s="413"/>
      <c r="G36" s="414" t="s">
        <v>490</v>
      </c>
      <c r="H36" s="414"/>
      <c r="I36" s="414"/>
      <c r="J36" s="414" t="s">
        <v>485</v>
      </c>
      <c r="K36" s="414"/>
      <c r="L36" s="414"/>
      <c r="M36" s="414" t="s">
        <v>485</v>
      </c>
      <c r="N36" s="414"/>
      <c r="O36" s="414"/>
      <c r="P36" s="414"/>
      <c r="Q36" s="414"/>
      <c r="R36" s="414"/>
      <c r="S36" s="414"/>
      <c r="T36" s="414"/>
      <c r="U36" s="414"/>
    </row>
    <row r="37" spans="2:21" x14ac:dyDescent="0.25">
      <c r="B37" s="424" t="s">
        <v>491</v>
      </c>
      <c r="C37" s="424"/>
      <c r="D37" s="424"/>
      <c r="E37" s="424"/>
      <c r="F37" s="424"/>
      <c r="G37" s="412" t="s">
        <v>483</v>
      </c>
      <c r="H37" s="412"/>
      <c r="I37" s="412"/>
      <c r="J37" s="412" t="s">
        <v>486</v>
      </c>
      <c r="K37" s="412"/>
      <c r="L37" s="412"/>
      <c r="M37" s="412"/>
      <c r="N37" s="412"/>
      <c r="O37" s="412"/>
      <c r="P37" s="412"/>
      <c r="Q37" s="412"/>
      <c r="R37" s="412"/>
      <c r="S37" s="412"/>
      <c r="T37" s="412"/>
      <c r="U37" s="412"/>
    </row>
  </sheetData>
  <mergeCells count="186">
    <mergeCell ref="B37:F37"/>
    <mergeCell ref="G34:I34"/>
    <mergeCell ref="G35:I35"/>
    <mergeCell ref="G36:I36"/>
    <mergeCell ref="G37:I37"/>
    <mergeCell ref="S33:U33"/>
    <mergeCell ref="B33:F33"/>
    <mergeCell ref="M33:O33"/>
    <mergeCell ref="P33:R33"/>
    <mergeCell ref="G33:I33"/>
    <mergeCell ref="J37:L37"/>
    <mergeCell ref="M37:O37"/>
    <mergeCell ref="P37:R37"/>
    <mergeCell ref="S37:U37"/>
    <mergeCell ref="J34:L34"/>
    <mergeCell ref="M34:O34"/>
    <mergeCell ref="P34:R34"/>
    <mergeCell ref="S34:U34"/>
    <mergeCell ref="J35:L35"/>
    <mergeCell ref="M35:O35"/>
    <mergeCell ref="P35:R35"/>
    <mergeCell ref="S35:U35"/>
    <mergeCell ref="J36:L36"/>
    <mergeCell ref="M36:O36"/>
    <mergeCell ref="P36:R36"/>
    <mergeCell ref="S36:U36"/>
    <mergeCell ref="B34:F34"/>
    <mergeCell ref="B35:F35"/>
    <mergeCell ref="B36:F36"/>
    <mergeCell ref="S27:U27"/>
    <mergeCell ref="S28:U28"/>
    <mergeCell ref="S29:U29"/>
    <mergeCell ref="S30:U30"/>
    <mergeCell ref="S31:U31"/>
    <mergeCell ref="M32:O32"/>
    <mergeCell ref="P27:R27"/>
    <mergeCell ref="P28:R28"/>
    <mergeCell ref="P29:R29"/>
    <mergeCell ref="P30:R30"/>
    <mergeCell ref="P31:R31"/>
    <mergeCell ref="P32:R32"/>
    <mergeCell ref="M27:O27"/>
    <mergeCell ref="M28:O28"/>
    <mergeCell ref="M29:O29"/>
    <mergeCell ref="M30:O30"/>
    <mergeCell ref="M31:O31"/>
    <mergeCell ref="S32:U32"/>
    <mergeCell ref="J27:L27"/>
    <mergeCell ref="J28:L28"/>
    <mergeCell ref="J29:L29"/>
    <mergeCell ref="J30:L30"/>
    <mergeCell ref="J31:L31"/>
    <mergeCell ref="J32:L32"/>
    <mergeCell ref="J33:L33"/>
    <mergeCell ref="G28:I28"/>
    <mergeCell ref="G29:I29"/>
    <mergeCell ref="G30:I30"/>
    <mergeCell ref="G31:I31"/>
    <mergeCell ref="G32:I32"/>
    <mergeCell ref="B29:F29"/>
    <mergeCell ref="B30:F30"/>
    <mergeCell ref="B31:F31"/>
    <mergeCell ref="B32:F32"/>
    <mergeCell ref="S24:U24"/>
    <mergeCell ref="B25:F25"/>
    <mergeCell ref="B26:F26"/>
    <mergeCell ref="B27:F27"/>
    <mergeCell ref="B28:F28"/>
    <mergeCell ref="G25:I25"/>
    <mergeCell ref="J25:L25"/>
    <mergeCell ref="M25:O25"/>
    <mergeCell ref="P25:R25"/>
    <mergeCell ref="S25:U25"/>
    <mergeCell ref="G26:I26"/>
    <mergeCell ref="J26:L26"/>
    <mergeCell ref="M26:O26"/>
    <mergeCell ref="P26:R26"/>
    <mergeCell ref="S26:U26"/>
    <mergeCell ref="G27:I27"/>
    <mergeCell ref="B24:F24"/>
    <mergeCell ref="G24:I24"/>
    <mergeCell ref="J24:L24"/>
    <mergeCell ref="M24:O24"/>
    <mergeCell ref="P24:R24"/>
    <mergeCell ref="M22:O22"/>
    <mergeCell ref="M23:O23"/>
    <mergeCell ref="P22:R22"/>
    <mergeCell ref="S22:U22"/>
    <mergeCell ref="P23:R23"/>
    <mergeCell ref="S23:U23"/>
    <mergeCell ref="B22:F22"/>
    <mergeCell ref="B23:F23"/>
    <mergeCell ref="G22:I22"/>
    <mergeCell ref="G23:I23"/>
    <mergeCell ref="J22:L22"/>
    <mergeCell ref="J23:L23"/>
    <mergeCell ref="S7:U7"/>
    <mergeCell ref="G8:I8"/>
    <mergeCell ref="G9:I9"/>
    <mergeCell ref="G10:I10"/>
    <mergeCell ref="G11:I11"/>
    <mergeCell ref="J8:L8"/>
    <mergeCell ref="J9:L9"/>
    <mergeCell ref="J10:L10"/>
    <mergeCell ref="J11:L11"/>
    <mergeCell ref="M8:O8"/>
    <mergeCell ref="M9:O9"/>
    <mergeCell ref="S8:U8"/>
    <mergeCell ref="S9:U9"/>
    <mergeCell ref="S10:U10"/>
    <mergeCell ref="S11:U11"/>
    <mergeCell ref="M10:O10"/>
    <mergeCell ref="M11:O11"/>
    <mergeCell ref="P8:R8"/>
    <mergeCell ref="P9:R9"/>
    <mergeCell ref="P10:R10"/>
    <mergeCell ref="P11:R11"/>
    <mergeCell ref="B7:F7"/>
    <mergeCell ref="G7:I7"/>
    <mergeCell ref="J7:L7"/>
    <mergeCell ref="M7:O7"/>
    <mergeCell ref="P7:R7"/>
    <mergeCell ref="B12:F12"/>
    <mergeCell ref="B13:F13"/>
    <mergeCell ref="B15:F15"/>
    <mergeCell ref="B16:F16"/>
    <mergeCell ref="M13:O13"/>
    <mergeCell ref="M15:O15"/>
    <mergeCell ref="M16:O16"/>
    <mergeCell ref="B8:F8"/>
    <mergeCell ref="B9:F9"/>
    <mergeCell ref="B10:F10"/>
    <mergeCell ref="B11:F11"/>
    <mergeCell ref="M12:O12"/>
    <mergeCell ref="P12:R12"/>
    <mergeCell ref="B17:F17"/>
    <mergeCell ref="B14:F14"/>
    <mergeCell ref="G12:I12"/>
    <mergeCell ref="G13:I13"/>
    <mergeCell ref="G15:I15"/>
    <mergeCell ref="G16:I16"/>
    <mergeCell ref="G17:I17"/>
    <mergeCell ref="G14:I14"/>
    <mergeCell ref="J12:L12"/>
    <mergeCell ref="J13:L13"/>
    <mergeCell ref="J15:L15"/>
    <mergeCell ref="J16:L16"/>
    <mergeCell ref="J17:L17"/>
    <mergeCell ref="J14:L14"/>
    <mergeCell ref="M17:O17"/>
    <mergeCell ref="M14:O14"/>
    <mergeCell ref="P13:R13"/>
    <mergeCell ref="P15:R15"/>
    <mergeCell ref="P16:R16"/>
    <mergeCell ref="P17:R17"/>
    <mergeCell ref="P14:R14"/>
    <mergeCell ref="S12:U12"/>
    <mergeCell ref="S13:U13"/>
    <mergeCell ref="S15:U15"/>
    <mergeCell ref="S16:U16"/>
    <mergeCell ref="S17:U17"/>
    <mergeCell ref="S14:U14"/>
    <mergeCell ref="P19:R19"/>
    <mergeCell ref="P20:R20"/>
    <mergeCell ref="S18:U18"/>
    <mergeCell ref="B19:F19"/>
    <mergeCell ref="G19:I19"/>
    <mergeCell ref="J19:L19"/>
    <mergeCell ref="M19:O19"/>
    <mergeCell ref="S19:U19"/>
    <mergeCell ref="B18:F18"/>
    <mergeCell ref="G18:I18"/>
    <mergeCell ref="J18:L18"/>
    <mergeCell ref="M18:O18"/>
    <mergeCell ref="P18:R18"/>
    <mergeCell ref="S20:U20"/>
    <mergeCell ref="S21:U21"/>
    <mergeCell ref="B20:F20"/>
    <mergeCell ref="G20:I20"/>
    <mergeCell ref="J20:L20"/>
    <mergeCell ref="M20:O20"/>
    <mergeCell ref="B21:F21"/>
    <mergeCell ref="G21:I21"/>
    <mergeCell ref="J21:L21"/>
    <mergeCell ref="M21:O21"/>
    <mergeCell ref="P21:R21"/>
  </mergeCells>
  <phoneticPr fontId="12" type="noConversion"/>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811A6-57BD-4A00-81F6-103F78B4B372}">
  <dimension ref="A4:G181"/>
  <sheetViews>
    <sheetView topLeftCell="A61" zoomScale="73" zoomScaleNormal="73" workbookViewId="0">
      <selection activeCell="F86" sqref="F86"/>
    </sheetView>
  </sheetViews>
  <sheetFormatPr defaultRowHeight="13.8" x14ac:dyDescent="0.25"/>
  <cols>
    <col min="1" max="1" width="8.88671875" style="12"/>
    <col min="2" max="2" width="36.33203125" style="84" customWidth="1"/>
    <col min="3" max="4" width="26.44140625" style="84" customWidth="1"/>
    <col min="5" max="5" width="33.109375" style="84" customWidth="1"/>
    <col min="6" max="6" width="27.33203125" style="84" customWidth="1"/>
    <col min="7" max="7" width="27.44140625" style="12" customWidth="1"/>
    <col min="8" max="16384" width="8.88671875" style="12"/>
  </cols>
  <sheetData>
    <row r="4" spans="1:6" x14ac:dyDescent="0.25">
      <c r="A4" s="87" t="s">
        <v>494</v>
      </c>
      <c r="B4" s="88" t="s">
        <v>371</v>
      </c>
      <c r="C4" s="88" t="s">
        <v>495</v>
      </c>
      <c r="D4" s="88" t="s">
        <v>240</v>
      </c>
      <c r="E4" s="88" t="s">
        <v>496</v>
      </c>
      <c r="F4" s="88" t="s">
        <v>97</v>
      </c>
    </row>
    <row r="5" spans="1:6" x14ac:dyDescent="0.25">
      <c r="B5" s="84" t="s">
        <v>501</v>
      </c>
      <c r="C5" s="84" t="s">
        <v>497</v>
      </c>
      <c r="D5" s="84" t="s">
        <v>499</v>
      </c>
      <c r="E5" s="84" t="s">
        <v>500</v>
      </c>
      <c r="F5" s="89">
        <f>'Debit Total'!O45</f>
        <v>0.5043028711519153</v>
      </c>
    </row>
    <row r="6" spans="1:6" x14ac:dyDescent="0.25">
      <c r="A6" s="90"/>
      <c r="B6" s="86" t="s">
        <v>512</v>
      </c>
      <c r="C6" s="86" t="s">
        <v>520</v>
      </c>
      <c r="D6" s="86" t="s">
        <v>427</v>
      </c>
      <c r="E6" s="86" t="s">
        <v>513</v>
      </c>
      <c r="F6" s="91">
        <v>0.6</v>
      </c>
    </row>
    <row r="7" spans="1:6" x14ac:dyDescent="0.25">
      <c r="B7" s="85" t="s">
        <v>504</v>
      </c>
      <c r="F7" s="89"/>
    </row>
    <row r="8" spans="1:6" x14ac:dyDescent="0.25">
      <c r="B8" s="84" t="s">
        <v>502</v>
      </c>
      <c r="C8" s="84" t="s">
        <v>109</v>
      </c>
      <c r="E8" s="84" t="s">
        <v>503</v>
      </c>
      <c r="F8" s="84">
        <v>1.2E-2</v>
      </c>
    </row>
    <row r="9" spans="1:6" x14ac:dyDescent="0.25">
      <c r="B9" s="84" t="s">
        <v>505</v>
      </c>
      <c r="C9" s="84" t="s">
        <v>70</v>
      </c>
      <c r="D9" s="84" t="s">
        <v>506</v>
      </c>
      <c r="E9" s="84" t="s">
        <v>507</v>
      </c>
      <c r="F9" s="84">
        <v>1E-4</v>
      </c>
    </row>
    <row r="10" spans="1:6" x14ac:dyDescent="0.25">
      <c r="C10" s="84" t="s">
        <v>524</v>
      </c>
      <c r="D10" s="84" t="s">
        <v>506</v>
      </c>
      <c r="E10" s="84" t="s">
        <v>525</v>
      </c>
      <c r="F10" s="84">
        <f>F9^0.5</f>
        <v>0.01</v>
      </c>
    </row>
    <row r="11" spans="1:6" x14ac:dyDescent="0.25">
      <c r="B11" s="84" t="s">
        <v>508</v>
      </c>
      <c r="C11" s="84" t="s">
        <v>73</v>
      </c>
      <c r="D11" s="84" t="s">
        <v>444</v>
      </c>
      <c r="E11" s="84" t="s">
        <v>507</v>
      </c>
      <c r="F11" s="84">
        <v>1.6</v>
      </c>
    </row>
    <row r="12" spans="1:6" x14ac:dyDescent="0.25">
      <c r="B12" s="84" t="s">
        <v>527</v>
      </c>
      <c r="C12" s="84" t="s">
        <v>528</v>
      </c>
      <c r="D12" s="84" t="s">
        <v>511</v>
      </c>
      <c r="E12" s="84" t="s">
        <v>559</v>
      </c>
      <c r="F12" s="92">
        <f>F5/F6</f>
        <v>0.84050478525319217</v>
      </c>
    </row>
    <row r="13" spans="1:6" x14ac:dyDescent="0.25">
      <c r="B13" s="84" t="s">
        <v>536</v>
      </c>
      <c r="C13" s="84" t="s">
        <v>537</v>
      </c>
      <c r="D13" s="84" t="s">
        <v>444</v>
      </c>
      <c r="E13" s="84" t="s">
        <v>529</v>
      </c>
      <c r="F13" s="92">
        <f>F12/F11</f>
        <v>0.52531549078324502</v>
      </c>
    </row>
    <row r="14" spans="1:6" x14ac:dyDescent="0.25">
      <c r="B14" s="84" t="s">
        <v>517</v>
      </c>
      <c r="C14" s="84" t="s">
        <v>518</v>
      </c>
      <c r="D14" s="84" t="s">
        <v>444</v>
      </c>
      <c r="E14" s="84" t="s">
        <v>538</v>
      </c>
      <c r="F14" s="92">
        <f>(F11*F13)/(F11+(2*F13))</f>
        <v>0.31709611450948338</v>
      </c>
    </row>
    <row r="15" spans="1:6" x14ac:dyDescent="0.25">
      <c r="C15" s="84" t="s">
        <v>522</v>
      </c>
      <c r="D15" s="84" t="s">
        <v>444</v>
      </c>
      <c r="E15" s="84" t="s">
        <v>523</v>
      </c>
      <c r="F15" s="92">
        <f>F14^0.6667</f>
        <v>0.46499039997545588</v>
      </c>
    </row>
    <row r="16" spans="1:6" x14ac:dyDescent="0.25">
      <c r="B16" s="84" t="s">
        <v>519</v>
      </c>
      <c r="C16" s="84" t="s">
        <v>521</v>
      </c>
      <c r="D16" s="84" t="s">
        <v>427</v>
      </c>
      <c r="E16" s="84" t="s">
        <v>526</v>
      </c>
      <c r="F16" s="92">
        <f>(1/F8)*(F15*F10)</f>
        <v>0.38749199997954659</v>
      </c>
    </row>
    <row r="17" spans="1:6" x14ac:dyDescent="0.25">
      <c r="B17" s="84" t="s">
        <v>509</v>
      </c>
      <c r="C17" s="84" t="s">
        <v>530</v>
      </c>
      <c r="D17" s="84" t="s">
        <v>511</v>
      </c>
      <c r="E17" s="84" t="s">
        <v>560</v>
      </c>
      <c r="F17" s="92">
        <f>F5/F16</f>
        <v>1.301453633051868</v>
      </c>
    </row>
    <row r="18" spans="1:6" x14ac:dyDescent="0.25">
      <c r="B18" s="84" t="s">
        <v>492</v>
      </c>
      <c r="C18" s="84" t="s">
        <v>533</v>
      </c>
      <c r="D18" s="84" t="s">
        <v>444</v>
      </c>
      <c r="E18" s="84" t="s">
        <v>507</v>
      </c>
      <c r="F18" s="92">
        <v>0.6</v>
      </c>
    </row>
    <row r="19" spans="1:6" x14ac:dyDescent="0.25">
      <c r="B19" s="84" t="s">
        <v>515</v>
      </c>
      <c r="C19" s="84" t="s">
        <v>531</v>
      </c>
      <c r="D19" s="84" t="s">
        <v>444</v>
      </c>
      <c r="E19" s="84" t="s">
        <v>532</v>
      </c>
      <c r="F19" s="92">
        <f>F17/F11</f>
        <v>0.81340852065741742</v>
      </c>
    </row>
    <row r="20" spans="1:6" x14ac:dyDescent="0.25">
      <c r="C20" s="84" t="s">
        <v>534</v>
      </c>
      <c r="D20" s="84" t="s">
        <v>444</v>
      </c>
      <c r="E20" s="84" t="s">
        <v>535</v>
      </c>
      <c r="F20" s="92">
        <f>F19+F18</f>
        <v>1.4134085206574174</v>
      </c>
    </row>
    <row r="21" spans="1:6" x14ac:dyDescent="0.25">
      <c r="A21" s="93"/>
      <c r="B21" s="94" t="s">
        <v>558</v>
      </c>
      <c r="C21" s="94" t="s">
        <v>498</v>
      </c>
      <c r="D21" s="94" t="s">
        <v>499</v>
      </c>
      <c r="E21" s="94" t="s">
        <v>675</v>
      </c>
      <c r="F21" s="95">
        <f>'Debit Total'!P45</f>
        <v>0.90774516807344752</v>
      </c>
    </row>
    <row r="22" spans="1:6" x14ac:dyDescent="0.25">
      <c r="B22" s="84" t="s">
        <v>527</v>
      </c>
      <c r="C22" s="84" t="s">
        <v>541</v>
      </c>
      <c r="D22" s="84" t="s">
        <v>511</v>
      </c>
      <c r="E22" s="84" t="s">
        <v>542</v>
      </c>
      <c r="F22" s="92">
        <f>F21/F6</f>
        <v>1.5129086134557459</v>
      </c>
    </row>
    <row r="23" spans="1:6" x14ac:dyDescent="0.25">
      <c r="B23" s="84" t="s">
        <v>536</v>
      </c>
      <c r="C23" s="84" t="s">
        <v>552</v>
      </c>
      <c r="D23" s="84" t="s">
        <v>444</v>
      </c>
      <c r="E23" s="84" t="s">
        <v>543</v>
      </c>
      <c r="F23" s="92">
        <f>F22/F11</f>
        <v>0.9455678834098411</v>
      </c>
    </row>
    <row r="24" spans="1:6" x14ac:dyDescent="0.25">
      <c r="B24" s="84" t="s">
        <v>517</v>
      </c>
      <c r="C24" s="84" t="s">
        <v>544</v>
      </c>
      <c r="D24" s="84" t="s">
        <v>444</v>
      </c>
      <c r="E24" s="84" t="s">
        <v>554</v>
      </c>
      <c r="F24" s="92">
        <f>(F11*F23)/(F11+(2*F23))</f>
        <v>0.4333571406287528</v>
      </c>
    </row>
    <row r="25" spans="1:6" x14ac:dyDescent="0.25">
      <c r="C25" s="84" t="s">
        <v>545</v>
      </c>
      <c r="D25" s="84" t="s">
        <v>444</v>
      </c>
      <c r="E25" s="84" t="s">
        <v>546</v>
      </c>
      <c r="F25" s="92">
        <f>F24^0.6667</f>
        <v>0.57264463935531817</v>
      </c>
    </row>
    <row r="26" spans="1:6" x14ac:dyDescent="0.25">
      <c r="B26" s="84" t="s">
        <v>519</v>
      </c>
      <c r="C26" s="84" t="s">
        <v>547</v>
      </c>
      <c r="D26" s="84" t="s">
        <v>427</v>
      </c>
      <c r="E26" s="84" t="s">
        <v>548</v>
      </c>
      <c r="F26" s="92">
        <f>(1/F8)*(F25*F10)</f>
        <v>0.47720386612943178</v>
      </c>
    </row>
    <row r="27" spans="1:6" x14ac:dyDescent="0.25">
      <c r="B27" s="84" t="s">
        <v>509</v>
      </c>
      <c r="C27" s="84" t="s">
        <v>549</v>
      </c>
      <c r="D27" s="84" t="s">
        <v>511</v>
      </c>
      <c r="E27" s="84" t="s">
        <v>550</v>
      </c>
      <c r="F27" s="92">
        <f>F21/F26</f>
        <v>1.902216709676112</v>
      </c>
    </row>
    <row r="28" spans="1:6" x14ac:dyDescent="0.25">
      <c r="B28" s="84" t="s">
        <v>492</v>
      </c>
      <c r="C28" s="84" t="s">
        <v>551</v>
      </c>
      <c r="D28" s="84" t="s">
        <v>444</v>
      </c>
      <c r="E28" s="84" t="s">
        <v>507</v>
      </c>
      <c r="F28" s="92">
        <v>0.6</v>
      </c>
    </row>
    <row r="29" spans="1:6" x14ac:dyDescent="0.25">
      <c r="B29" s="84" t="s">
        <v>515</v>
      </c>
      <c r="C29" s="84" t="s">
        <v>555</v>
      </c>
      <c r="D29" s="84" t="s">
        <v>444</v>
      </c>
      <c r="E29" s="84" t="s">
        <v>553</v>
      </c>
      <c r="F29" s="92">
        <f>F27/F11</f>
        <v>1.18888544354757</v>
      </c>
    </row>
    <row r="30" spans="1:6" x14ac:dyDescent="0.25">
      <c r="C30" s="84" t="s">
        <v>556</v>
      </c>
      <c r="D30" s="84" t="s">
        <v>444</v>
      </c>
      <c r="E30" s="84" t="s">
        <v>557</v>
      </c>
      <c r="F30" s="92">
        <f>F29+F28</f>
        <v>1.7888854435475698</v>
      </c>
    </row>
    <row r="31" spans="1:6" x14ac:dyDescent="0.25">
      <c r="F31" s="92"/>
    </row>
    <row r="32" spans="1:6" x14ac:dyDescent="0.25">
      <c r="A32" s="96"/>
      <c r="B32" s="97" t="s">
        <v>539</v>
      </c>
      <c r="C32" s="98"/>
      <c r="D32" s="98"/>
      <c r="E32" s="98"/>
      <c r="F32" s="98"/>
    </row>
    <row r="33" spans="1:6" x14ac:dyDescent="0.25">
      <c r="A33" s="99"/>
      <c r="B33" s="100" t="s">
        <v>508</v>
      </c>
      <c r="C33" s="100" t="s">
        <v>73</v>
      </c>
      <c r="D33" s="100" t="s">
        <v>444</v>
      </c>
      <c r="E33" s="100"/>
      <c r="F33" s="101">
        <f>F11</f>
        <v>1.6</v>
      </c>
    </row>
    <row r="34" spans="1:6" x14ac:dyDescent="0.25">
      <c r="A34" s="102"/>
      <c r="B34" s="103" t="s">
        <v>515</v>
      </c>
      <c r="C34" s="103" t="s">
        <v>516</v>
      </c>
      <c r="D34" s="103" t="s">
        <v>444</v>
      </c>
      <c r="E34" s="103"/>
      <c r="F34" s="104">
        <f>F30</f>
        <v>1.7888854435475698</v>
      </c>
    </row>
    <row r="35" spans="1:6" x14ac:dyDescent="0.25">
      <c r="B35" s="85" t="s">
        <v>561</v>
      </c>
    </row>
    <row r="36" spans="1:6" x14ac:dyDescent="0.25">
      <c r="B36" s="84" t="s">
        <v>562</v>
      </c>
      <c r="C36" s="84" t="s">
        <v>514</v>
      </c>
      <c r="D36" s="84" t="s">
        <v>499</v>
      </c>
      <c r="E36" s="84" t="s">
        <v>540</v>
      </c>
      <c r="F36" s="92">
        <f>'Debit Total'!P45</f>
        <v>0.90774516807344752</v>
      </c>
    </row>
    <row r="37" spans="1:6" x14ac:dyDescent="0.25">
      <c r="B37" s="84" t="s">
        <v>563</v>
      </c>
      <c r="C37" s="84" t="s">
        <v>564</v>
      </c>
      <c r="D37" s="84" t="s">
        <v>427</v>
      </c>
      <c r="E37" s="84" t="s">
        <v>513</v>
      </c>
      <c r="F37" s="84">
        <v>0.6</v>
      </c>
    </row>
    <row r="38" spans="1:6" x14ac:dyDescent="0.25">
      <c r="B38" s="84" t="s">
        <v>565</v>
      </c>
      <c r="C38" s="84" t="s">
        <v>510</v>
      </c>
      <c r="D38" s="84" t="s">
        <v>511</v>
      </c>
      <c r="E38" s="84" t="s">
        <v>566</v>
      </c>
      <c r="F38" s="92">
        <f>F36/F37</f>
        <v>1.5129086134557459</v>
      </c>
    </row>
    <row r="39" spans="1:6" x14ac:dyDescent="0.25">
      <c r="B39" s="84" t="s">
        <v>567</v>
      </c>
      <c r="C39" s="84" t="s">
        <v>568</v>
      </c>
      <c r="D39" s="84" t="s">
        <v>444</v>
      </c>
      <c r="E39" s="84" t="s">
        <v>556</v>
      </c>
      <c r="F39" s="92">
        <f>F34</f>
        <v>1.7888854435475698</v>
      </c>
    </row>
    <row r="40" spans="1:6" x14ac:dyDescent="0.25">
      <c r="B40" s="84" t="s">
        <v>569</v>
      </c>
      <c r="C40" s="84" t="s">
        <v>493</v>
      </c>
      <c r="D40" s="84" t="s">
        <v>444</v>
      </c>
      <c r="E40" s="84" t="s">
        <v>570</v>
      </c>
      <c r="F40" s="92">
        <f>F38/F39</f>
        <v>0.84572694071201704</v>
      </c>
    </row>
    <row r="41" spans="1:6" x14ac:dyDescent="0.25">
      <c r="B41" s="84" t="s">
        <v>571</v>
      </c>
      <c r="C41" s="84" t="s">
        <v>574</v>
      </c>
      <c r="D41" s="84" t="s">
        <v>425</v>
      </c>
      <c r="E41" s="84" t="s">
        <v>513</v>
      </c>
      <c r="F41" s="84">
        <v>10</v>
      </c>
    </row>
    <row r="42" spans="1:6" x14ac:dyDescent="0.25">
      <c r="C42" s="84" t="s">
        <v>575</v>
      </c>
      <c r="D42" s="84" t="s">
        <v>444</v>
      </c>
      <c r="E42" s="84" t="s">
        <v>572</v>
      </c>
      <c r="F42" s="84">
        <f>F41/1000</f>
        <v>0.01</v>
      </c>
    </row>
    <row r="43" spans="1:6" x14ac:dyDescent="0.25">
      <c r="B43" s="84" t="s">
        <v>573</v>
      </c>
      <c r="C43" s="84" t="s">
        <v>109</v>
      </c>
      <c r="E43" s="84" t="s">
        <v>576</v>
      </c>
      <c r="F43" s="105">
        <f>(F40/F42)-1</f>
        <v>83.572694071201695</v>
      </c>
    </row>
    <row r="44" spans="1:6" x14ac:dyDescent="0.25">
      <c r="B44" s="84" t="s">
        <v>577</v>
      </c>
      <c r="C44" s="84" t="s">
        <v>578</v>
      </c>
      <c r="D44" s="84" t="s">
        <v>444</v>
      </c>
      <c r="E44" s="84" t="s">
        <v>579</v>
      </c>
      <c r="F44" s="92">
        <f>(F43+1)*F42</f>
        <v>0.84572694071201693</v>
      </c>
    </row>
    <row r="45" spans="1:6" x14ac:dyDescent="0.25">
      <c r="A45" s="87" t="s">
        <v>580</v>
      </c>
      <c r="B45" s="88" t="s">
        <v>390</v>
      </c>
      <c r="C45" s="88" t="s">
        <v>495</v>
      </c>
      <c r="D45" s="88" t="s">
        <v>240</v>
      </c>
      <c r="E45" s="88" t="s">
        <v>496</v>
      </c>
      <c r="F45" s="88" t="s">
        <v>97</v>
      </c>
    </row>
    <row r="46" spans="1:6" x14ac:dyDescent="0.25">
      <c r="B46" s="84" t="s">
        <v>581</v>
      </c>
      <c r="C46" s="84" t="s">
        <v>497</v>
      </c>
      <c r="D46" s="84" t="s">
        <v>329</v>
      </c>
      <c r="E46" s="84" t="s">
        <v>540</v>
      </c>
      <c r="F46" s="92">
        <f>'Debit Total'!M45</f>
        <v>78429.182521545867</v>
      </c>
    </row>
    <row r="47" spans="1:6" x14ac:dyDescent="0.25">
      <c r="C47" s="84" t="s">
        <v>498</v>
      </c>
      <c r="D47" s="84" t="s">
        <v>599</v>
      </c>
      <c r="E47" s="84" t="s">
        <v>540</v>
      </c>
      <c r="F47" s="92">
        <f>F46/1440</f>
        <v>54.464710084406853</v>
      </c>
    </row>
    <row r="48" spans="1:6" x14ac:dyDescent="0.25">
      <c r="A48" s="90"/>
      <c r="B48" s="86" t="s">
        <v>582</v>
      </c>
      <c r="C48" s="86" t="s">
        <v>593</v>
      </c>
      <c r="D48" s="86" t="s">
        <v>600</v>
      </c>
      <c r="E48" s="86"/>
      <c r="F48" s="86">
        <v>1</v>
      </c>
    </row>
    <row r="49" spans="1:6" x14ac:dyDescent="0.25">
      <c r="B49" s="84" t="s">
        <v>583</v>
      </c>
      <c r="C49" s="84" t="s">
        <v>594</v>
      </c>
      <c r="D49" s="84" t="s">
        <v>467</v>
      </c>
      <c r="F49" s="84">
        <v>9</v>
      </c>
    </row>
    <row r="50" spans="1:6" x14ac:dyDescent="0.25">
      <c r="B50" s="84" t="s">
        <v>584</v>
      </c>
      <c r="C50" s="84" t="s">
        <v>595</v>
      </c>
      <c r="D50" s="84" t="s">
        <v>601</v>
      </c>
      <c r="E50" s="84" t="s">
        <v>602</v>
      </c>
      <c r="F50" s="92">
        <f>F47*F49</f>
        <v>490.1823907596617</v>
      </c>
    </row>
    <row r="51" spans="1:6" x14ac:dyDescent="0.25">
      <c r="B51" s="84" t="s">
        <v>515</v>
      </c>
      <c r="C51" s="84" t="s">
        <v>592</v>
      </c>
      <c r="D51" s="84" t="s">
        <v>444</v>
      </c>
      <c r="E51" s="84" t="s">
        <v>507</v>
      </c>
      <c r="F51" s="92">
        <v>8</v>
      </c>
    </row>
    <row r="52" spans="1:6" x14ac:dyDescent="0.25">
      <c r="B52" s="84" t="s">
        <v>492</v>
      </c>
      <c r="C52" s="84" t="s">
        <v>533</v>
      </c>
      <c r="D52" s="84" t="s">
        <v>444</v>
      </c>
      <c r="E52" s="84" t="s">
        <v>507</v>
      </c>
      <c r="F52" s="92">
        <v>0.5</v>
      </c>
    </row>
    <row r="53" spans="1:6" x14ac:dyDescent="0.25">
      <c r="B53" s="84" t="s">
        <v>585</v>
      </c>
      <c r="C53" s="84" t="s">
        <v>847</v>
      </c>
      <c r="D53" s="84" t="s">
        <v>444</v>
      </c>
      <c r="E53" s="84" t="s">
        <v>848</v>
      </c>
      <c r="F53" s="92">
        <f>F51+F52</f>
        <v>8.5</v>
      </c>
    </row>
    <row r="54" spans="1:6" x14ac:dyDescent="0.25">
      <c r="B54" s="84" t="s">
        <v>586</v>
      </c>
      <c r="C54" s="84" t="s">
        <v>596</v>
      </c>
      <c r="D54" s="84" t="s">
        <v>511</v>
      </c>
      <c r="E54" s="84" t="s">
        <v>603</v>
      </c>
      <c r="F54" s="92">
        <f>F50/F53</f>
        <v>57.668516559960203</v>
      </c>
    </row>
    <row r="55" spans="1:6" x14ac:dyDescent="0.25">
      <c r="B55" s="84" t="s">
        <v>587</v>
      </c>
      <c r="C55" s="84" t="s">
        <v>73</v>
      </c>
      <c r="D55" s="84" t="s">
        <v>444</v>
      </c>
      <c r="F55" s="84">
        <v>7</v>
      </c>
    </row>
    <row r="56" spans="1:6" x14ac:dyDescent="0.25">
      <c r="B56" s="84" t="s">
        <v>588</v>
      </c>
      <c r="C56" s="84" t="s">
        <v>597</v>
      </c>
      <c r="D56" s="84" t="s">
        <v>444</v>
      </c>
      <c r="E56" s="84" t="s">
        <v>604</v>
      </c>
      <c r="F56" s="92">
        <f>F54/F55</f>
        <v>8.2383595085657433</v>
      </c>
    </row>
    <row r="57" spans="1:6" x14ac:dyDescent="0.25">
      <c r="C57" s="84" t="s">
        <v>598</v>
      </c>
      <c r="D57" s="84" t="s">
        <v>444</v>
      </c>
      <c r="E57" s="84" t="s">
        <v>572</v>
      </c>
      <c r="F57" s="84">
        <v>9</v>
      </c>
    </row>
    <row r="58" spans="1:6" x14ac:dyDescent="0.25">
      <c r="A58" s="96"/>
      <c r="B58" s="97" t="s">
        <v>539</v>
      </c>
      <c r="C58" s="98"/>
      <c r="D58" s="98"/>
      <c r="E58" s="98"/>
      <c r="F58" s="98"/>
    </row>
    <row r="59" spans="1:6" x14ac:dyDescent="0.25">
      <c r="A59" s="99"/>
      <c r="B59" s="100" t="s">
        <v>587</v>
      </c>
      <c r="C59" s="100" t="s">
        <v>73</v>
      </c>
      <c r="D59" s="100" t="s">
        <v>444</v>
      </c>
      <c r="E59" s="100"/>
      <c r="F59" s="100">
        <f>F55</f>
        <v>7</v>
      </c>
    </row>
    <row r="60" spans="1:6" x14ac:dyDescent="0.25">
      <c r="A60" s="99"/>
      <c r="B60" s="100" t="s">
        <v>588</v>
      </c>
      <c r="C60" s="100" t="s">
        <v>591</v>
      </c>
      <c r="D60" s="100" t="s">
        <v>444</v>
      </c>
      <c r="E60" s="100"/>
      <c r="F60" s="100">
        <f>F57</f>
        <v>9</v>
      </c>
    </row>
    <row r="61" spans="1:6" x14ac:dyDescent="0.25">
      <c r="A61" s="99"/>
      <c r="B61" s="100" t="s">
        <v>589</v>
      </c>
      <c r="C61" s="100" t="s">
        <v>847</v>
      </c>
      <c r="D61" s="100" t="s">
        <v>444</v>
      </c>
      <c r="E61" s="100"/>
      <c r="F61" s="100">
        <f>F53</f>
        <v>8.5</v>
      </c>
    </row>
    <row r="62" spans="1:6" x14ac:dyDescent="0.25">
      <c r="A62" s="99"/>
      <c r="B62" s="100" t="s">
        <v>590</v>
      </c>
      <c r="C62" s="100" t="s">
        <v>593</v>
      </c>
      <c r="D62" s="100" t="s">
        <v>600</v>
      </c>
      <c r="E62" s="100"/>
      <c r="F62" s="100">
        <v>1</v>
      </c>
    </row>
    <row r="63" spans="1:6" x14ac:dyDescent="0.25">
      <c r="A63" s="87" t="s">
        <v>606</v>
      </c>
      <c r="B63" s="88" t="s">
        <v>605</v>
      </c>
      <c r="C63" s="88" t="s">
        <v>495</v>
      </c>
      <c r="D63" s="88" t="s">
        <v>240</v>
      </c>
      <c r="E63" s="88" t="s">
        <v>496</v>
      </c>
      <c r="F63" s="88" t="s">
        <v>97</v>
      </c>
    </row>
    <row r="64" spans="1:6" x14ac:dyDescent="0.25">
      <c r="B64" s="84" t="s">
        <v>581</v>
      </c>
      <c r="C64" s="84" t="s">
        <v>497</v>
      </c>
      <c r="D64" s="84" t="s">
        <v>329</v>
      </c>
      <c r="E64" s="84" t="s">
        <v>540</v>
      </c>
      <c r="F64" s="92">
        <f>'Debit Total'!M45</f>
        <v>78429.182521545867</v>
      </c>
    </row>
    <row r="65" spans="1:6" x14ac:dyDescent="0.25">
      <c r="C65" s="84" t="s">
        <v>498</v>
      </c>
      <c r="D65" s="84" t="s">
        <v>599</v>
      </c>
      <c r="E65" s="84" t="s">
        <v>540</v>
      </c>
      <c r="F65" s="92">
        <f>F64/1440</f>
        <v>54.464710084406853</v>
      </c>
    </row>
    <row r="66" spans="1:6" x14ac:dyDescent="0.25">
      <c r="A66" s="90"/>
      <c r="B66" s="86" t="s">
        <v>607</v>
      </c>
      <c r="C66" s="86" t="s">
        <v>616</v>
      </c>
      <c r="D66" s="86" t="s">
        <v>600</v>
      </c>
      <c r="E66" s="86" t="s">
        <v>631</v>
      </c>
      <c r="F66" s="86">
        <v>4</v>
      </c>
    </row>
    <row r="67" spans="1:6" x14ac:dyDescent="0.25">
      <c r="B67" s="84" t="s">
        <v>608</v>
      </c>
      <c r="C67" s="84" t="s">
        <v>617</v>
      </c>
      <c r="D67" s="84" t="s">
        <v>628</v>
      </c>
      <c r="E67" s="84" t="s">
        <v>632</v>
      </c>
      <c r="F67" s="92">
        <f>F65/4</f>
        <v>13.616177521101713</v>
      </c>
    </row>
    <row r="68" spans="1:6" x14ac:dyDescent="0.25">
      <c r="C68" s="84" t="s">
        <v>618</v>
      </c>
      <c r="D68" s="84" t="s">
        <v>628</v>
      </c>
      <c r="E68" s="84" t="s">
        <v>633</v>
      </c>
      <c r="F68" s="92">
        <f>F65/2</f>
        <v>27.232355042203427</v>
      </c>
    </row>
    <row r="69" spans="1:6" x14ac:dyDescent="0.25">
      <c r="B69" s="84" t="s">
        <v>609</v>
      </c>
      <c r="C69" s="84" t="s">
        <v>619</v>
      </c>
      <c r="D69" s="84" t="s">
        <v>454</v>
      </c>
      <c r="F69" s="84">
        <v>2</v>
      </c>
    </row>
    <row r="70" spans="1:6" x14ac:dyDescent="0.25">
      <c r="B70" s="84" t="s">
        <v>610</v>
      </c>
      <c r="C70" s="84" t="s">
        <v>620</v>
      </c>
      <c r="D70" s="84" t="s">
        <v>425</v>
      </c>
      <c r="E70" s="84" t="s">
        <v>634</v>
      </c>
      <c r="F70" s="92">
        <f>146*(F67/3)*0.5</f>
        <v>331.32698634680833</v>
      </c>
    </row>
    <row r="71" spans="1:6" x14ac:dyDescent="0.25">
      <c r="C71" s="84" t="s">
        <v>621</v>
      </c>
      <c r="D71" s="84" t="s">
        <v>425</v>
      </c>
      <c r="E71" s="84" t="s">
        <v>635</v>
      </c>
      <c r="F71" s="92">
        <f>146*(F67/1.5)*0.5</f>
        <v>662.65397269361665</v>
      </c>
    </row>
    <row r="72" spans="1:6" x14ac:dyDescent="0.25">
      <c r="C72" s="84" t="s">
        <v>537</v>
      </c>
      <c r="D72" s="84" t="s">
        <v>425</v>
      </c>
      <c r="E72" s="84" t="s">
        <v>572</v>
      </c>
      <c r="F72" s="84">
        <v>500</v>
      </c>
    </row>
    <row r="73" spans="1:6" x14ac:dyDescent="0.25">
      <c r="C73" s="84" t="s">
        <v>622</v>
      </c>
      <c r="D73" s="84" t="s">
        <v>425</v>
      </c>
      <c r="E73" s="84" t="s">
        <v>636</v>
      </c>
      <c r="F73" s="92">
        <f>146*(F68/3)*0.5</f>
        <v>662.65397269361665</v>
      </c>
    </row>
    <row r="74" spans="1:6" x14ac:dyDescent="0.25">
      <c r="C74" s="84" t="s">
        <v>623</v>
      </c>
      <c r="D74" s="84" t="s">
        <v>425</v>
      </c>
      <c r="E74" s="84" t="s">
        <v>637</v>
      </c>
      <c r="F74" s="92">
        <f>146*(F68/1.5)*0.5</f>
        <v>1325.3079453872333</v>
      </c>
    </row>
    <row r="75" spans="1:6" x14ac:dyDescent="0.25">
      <c r="C75" s="84" t="s">
        <v>531</v>
      </c>
      <c r="D75" s="84" t="s">
        <v>425</v>
      </c>
      <c r="E75" s="84" t="s">
        <v>572</v>
      </c>
      <c r="F75" s="84">
        <v>1000</v>
      </c>
    </row>
    <row r="76" spans="1:6" x14ac:dyDescent="0.25">
      <c r="B76" s="84" t="s">
        <v>611</v>
      </c>
      <c r="C76" s="84" t="s">
        <v>592</v>
      </c>
      <c r="D76" s="84" t="s">
        <v>444</v>
      </c>
      <c r="E76" s="84" t="s">
        <v>507</v>
      </c>
      <c r="F76" s="84">
        <v>30</v>
      </c>
    </row>
    <row r="77" spans="1:6" x14ac:dyDescent="0.25">
      <c r="B77" s="84" t="s">
        <v>612</v>
      </c>
      <c r="C77" s="84" t="s">
        <v>624</v>
      </c>
      <c r="F77" s="84">
        <v>0.93</v>
      </c>
    </row>
    <row r="78" spans="1:6" x14ac:dyDescent="0.25">
      <c r="B78" s="84" t="s">
        <v>613</v>
      </c>
      <c r="C78" s="84" t="s">
        <v>625</v>
      </c>
      <c r="D78" s="84" t="s">
        <v>629</v>
      </c>
      <c r="E78" s="84" t="s">
        <v>638</v>
      </c>
      <c r="F78" s="92">
        <f>(0.163*F67*F76)/F77</f>
        <v>71.594739869018682</v>
      </c>
    </row>
    <row r="79" spans="1:6" x14ac:dyDescent="0.25">
      <c r="C79" s="84" t="s">
        <v>626</v>
      </c>
      <c r="D79" s="84" t="s">
        <v>629</v>
      </c>
      <c r="E79" s="84" t="s">
        <v>639</v>
      </c>
      <c r="F79" s="92">
        <f>(0.163*F68*F76)/F77</f>
        <v>143.18947973803736</v>
      </c>
    </row>
    <row r="80" spans="1:6" x14ac:dyDescent="0.25">
      <c r="B80" s="84" t="s">
        <v>614</v>
      </c>
      <c r="C80" s="84" t="s">
        <v>207</v>
      </c>
      <c r="F80" s="84">
        <v>0.15</v>
      </c>
    </row>
    <row r="81" spans="1:6" x14ac:dyDescent="0.25">
      <c r="B81" s="84" t="s">
        <v>615</v>
      </c>
      <c r="C81" s="84" t="s">
        <v>627</v>
      </c>
      <c r="D81" s="84" t="s">
        <v>629</v>
      </c>
      <c r="E81" s="84" t="s">
        <v>640</v>
      </c>
      <c r="F81" s="92">
        <f>F78*(1+F80)</f>
        <v>82.333950849371476</v>
      </c>
    </row>
    <row r="82" spans="1:6" x14ac:dyDescent="0.25">
      <c r="D82" s="84" t="s">
        <v>629</v>
      </c>
      <c r="F82" s="92">
        <f>F81/2</f>
        <v>41.166975424685738</v>
      </c>
    </row>
    <row r="83" spans="1:6" x14ac:dyDescent="0.25">
      <c r="D83" s="84" t="s">
        <v>629</v>
      </c>
      <c r="E83" s="84" t="s">
        <v>572</v>
      </c>
      <c r="F83" s="92">
        <v>25</v>
      </c>
    </row>
    <row r="84" spans="1:6" x14ac:dyDescent="0.25">
      <c r="C84" s="84" t="s">
        <v>630</v>
      </c>
      <c r="D84" s="84" t="s">
        <v>629</v>
      </c>
      <c r="E84" s="84" t="s">
        <v>641</v>
      </c>
      <c r="F84" s="92">
        <f>F79*(1+F80)</f>
        <v>164.66790169874295</v>
      </c>
    </row>
    <row r="85" spans="1:6" x14ac:dyDescent="0.25">
      <c r="D85" s="84" t="s">
        <v>629</v>
      </c>
      <c r="F85" s="92">
        <f>F84/2</f>
        <v>82.333950849371476</v>
      </c>
    </row>
    <row r="86" spans="1:6" x14ac:dyDescent="0.25">
      <c r="D86" s="84" t="s">
        <v>629</v>
      </c>
      <c r="E86" s="84" t="s">
        <v>572</v>
      </c>
      <c r="F86" s="92">
        <v>50</v>
      </c>
    </row>
    <row r="87" spans="1:6" x14ac:dyDescent="0.25">
      <c r="A87" s="96"/>
      <c r="B87" s="97" t="s">
        <v>642</v>
      </c>
      <c r="C87" s="98"/>
      <c r="D87" s="98"/>
      <c r="E87" s="98"/>
      <c r="F87" s="98"/>
    </row>
    <row r="88" spans="1:6" x14ac:dyDescent="0.25">
      <c r="A88" s="99"/>
      <c r="B88" s="100" t="s">
        <v>1329</v>
      </c>
      <c r="C88" s="100"/>
      <c r="D88" s="100"/>
      <c r="E88" s="100"/>
      <c r="F88" s="100">
        <v>2</v>
      </c>
    </row>
    <row r="89" spans="1:6" x14ac:dyDescent="0.25">
      <c r="A89" s="99"/>
      <c r="B89" s="100" t="s">
        <v>1330</v>
      </c>
      <c r="C89" s="100"/>
      <c r="D89" s="100"/>
      <c r="E89" s="100"/>
      <c r="F89" s="100" t="s">
        <v>643</v>
      </c>
    </row>
    <row r="90" spans="1:6" x14ac:dyDescent="0.25">
      <c r="A90" s="87" t="s">
        <v>644</v>
      </c>
      <c r="B90" s="88" t="s">
        <v>645</v>
      </c>
      <c r="C90" s="88" t="s">
        <v>495</v>
      </c>
      <c r="D90" s="88" t="s">
        <v>240</v>
      </c>
      <c r="E90" s="88" t="s">
        <v>496</v>
      </c>
      <c r="F90" s="88" t="s">
        <v>97</v>
      </c>
    </row>
    <row r="91" spans="1:6" x14ac:dyDescent="0.25">
      <c r="B91" s="84" t="s">
        <v>581</v>
      </c>
      <c r="C91" s="84" t="s">
        <v>497</v>
      </c>
      <c r="D91" s="84" t="s">
        <v>329</v>
      </c>
      <c r="E91" s="84" t="s">
        <v>540</v>
      </c>
      <c r="F91" s="92">
        <f>'Debit Total'!M45</f>
        <v>78429.182521545867</v>
      </c>
    </row>
    <row r="92" spans="1:6" x14ac:dyDescent="0.25">
      <c r="C92" s="84" t="s">
        <v>498</v>
      </c>
      <c r="D92" s="84" t="s">
        <v>499</v>
      </c>
      <c r="E92" s="84" t="s">
        <v>540</v>
      </c>
      <c r="F92" s="92">
        <f>F91/86400</f>
        <v>0.90774516807344752</v>
      </c>
    </row>
    <row r="93" spans="1:6" x14ac:dyDescent="0.25">
      <c r="B93" s="84" t="s">
        <v>646</v>
      </c>
      <c r="C93" s="84" t="s">
        <v>616</v>
      </c>
      <c r="D93" s="84" t="s">
        <v>600</v>
      </c>
      <c r="F93" s="84">
        <v>2</v>
      </c>
    </row>
    <row r="94" spans="1:6" x14ac:dyDescent="0.25">
      <c r="B94" s="84" t="s">
        <v>655</v>
      </c>
      <c r="C94" s="84" t="s">
        <v>647</v>
      </c>
      <c r="D94" s="84" t="s">
        <v>648</v>
      </c>
      <c r="E94" s="84" t="s">
        <v>507</v>
      </c>
      <c r="F94" s="84">
        <v>3</v>
      </c>
    </row>
    <row r="95" spans="1:6" x14ac:dyDescent="0.25">
      <c r="B95" s="84" t="s">
        <v>649</v>
      </c>
      <c r="C95" s="84" t="s">
        <v>650</v>
      </c>
      <c r="D95" s="84" t="s">
        <v>601</v>
      </c>
      <c r="E95" s="84" t="s">
        <v>651</v>
      </c>
      <c r="F95" s="92">
        <f>(1/2)*F92*F94*60</f>
        <v>81.697065126610283</v>
      </c>
    </row>
    <row r="96" spans="1:6" x14ac:dyDescent="0.25">
      <c r="B96" s="84" t="s">
        <v>515</v>
      </c>
      <c r="C96" s="84" t="s">
        <v>592</v>
      </c>
      <c r="D96" s="84" t="s">
        <v>444</v>
      </c>
      <c r="E96" s="84" t="s">
        <v>507</v>
      </c>
      <c r="F96" s="92">
        <v>3</v>
      </c>
    </row>
    <row r="97" spans="1:6" x14ac:dyDescent="0.25">
      <c r="B97" s="84" t="s">
        <v>492</v>
      </c>
      <c r="C97" s="84" t="s">
        <v>533</v>
      </c>
      <c r="D97" s="84" t="s">
        <v>444</v>
      </c>
      <c r="E97" s="84" t="s">
        <v>507</v>
      </c>
      <c r="F97" s="92">
        <v>0.5</v>
      </c>
    </row>
    <row r="98" spans="1:6" x14ac:dyDescent="0.25">
      <c r="B98" s="84" t="s">
        <v>846</v>
      </c>
      <c r="C98" s="84" t="s">
        <v>847</v>
      </c>
      <c r="D98" s="84" t="s">
        <v>444</v>
      </c>
      <c r="E98" s="84" t="s">
        <v>848</v>
      </c>
      <c r="F98" s="92">
        <f>F96+F97</f>
        <v>3.5</v>
      </c>
    </row>
    <row r="99" spans="1:6" x14ac:dyDescent="0.25">
      <c r="B99" s="84" t="s">
        <v>508</v>
      </c>
      <c r="C99" s="84" t="s">
        <v>73</v>
      </c>
      <c r="D99" s="84" t="s">
        <v>444</v>
      </c>
      <c r="E99" s="84" t="s">
        <v>653</v>
      </c>
      <c r="F99" s="84">
        <f>1.2*F98</f>
        <v>4.2</v>
      </c>
    </row>
    <row r="100" spans="1:6" x14ac:dyDescent="0.25">
      <c r="B100" s="84" t="s">
        <v>652</v>
      </c>
      <c r="C100" s="84" t="s">
        <v>591</v>
      </c>
      <c r="D100" s="84" t="s">
        <v>444</v>
      </c>
      <c r="E100" s="84" t="s">
        <v>654</v>
      </c>
      <c r="F100" s="92">
        <f>F95/(F98*F99)</f>
        <v>5.557623478000699</v>
      </c>
    </row>
    <row r="101" spans="1:6" x14ac:dyDescent="0.25">
      <c r="B101" s="84" t="s">
        <v>658</v>
      </c>
      <c r="C101" s="84" t="s">
        <v>659</v>
      </c>
      <c r="D101" s="84" t="s">
        <v>499</v>
      </c>
      <c r="E101" s="84" t="s">
        <v>660</v>
      </c>
      <c r="F101" s="92">
        <f>'Debit Total'!O45</f>
        <v>0.5043028711519153</v>
      </c>
    </row>
    <row r="102" spans="1:6" x14ac:dyDescent="0.25">
      <c r="B102" s="84" t="s">
        <v>656</v>
      </c>
      <c r="C102" s="84" t="s">
        <v>657</v>
      </c>
      <c r="D102" s="84" t="s">
        <v>648</v>
      </c>
      <c r="E102" s="84" t="s">
        <v>661</v>
      </c>
      <c r="F102" s="84">
        <f>F95/F101*(1/60)</f>
        <v>2.7</v>
      </c>
    </row>
    <row r="103" spans="1:6" x14ac:dyDescent="0.25">
      <c r="B103" s="84" t="s">
        <v>662</v>
      </c>
      <c r="C103" s="84" t="s">
        <v>663</v>
      </c>
      <c r="D103" s="84" t="s">
        <v>599</v>
      </c>
      <c r="E103" s="84" t="s">
        <v>664</v>
      </c>
      <c r="F103" s="92">
        <f>F100*0.3</f>
        <v>1.6672870434002096</v>
      </c>
    </row>
    <row r="104" spans="1:6" x14ac:dyDescent="0.25">
      <c r="B104" s="84" t="s">
        <v>665</v>
      </c>
      <c r="C104" s="84" t="s">
        <v>666</v>
      </c>
      <c r="D104" s="84" t="s">
        <v>599</v>
      </c>
      <c r="E104" s="84" t="s">
        <v>667</v>
      </c>
      <c r="F104" s="92">
        <f>F103*2</f>
        <v>3.3345740868004192</v>
      </c>
    </row>
    <row r="105" spans="1:6" x14ac:dyDescent="0.25">
      <c r="B105" s="84" t="s">
        <v>668</v>
      </c>
      <c r="C105" s="84" t="s">
        <v>669</v>
      </c>
      <c r="D105" s="84" t="s">
        <v>670</v>
      </c>
      <c r="E105" s="84" t="s">
        <v>671</v>
      </c>
      <c r="F105" s="92">
        <f>F92*86400*(0.05/10^3)</f>
        <v>3.9214591260772935</v>
      </c>
    </row>
    <row r="106" spans="1:6" x14ac:dyDescent="0.25">
      <c r="A106" s="96"/>
      <c r="B106" s="97" t="s">
        <v>539</v>
      </c>
      <c r="C106" s="98"/>
      <c r="D106" s="98"/>
      <c r="E106" s="98"/>
      <c r="F106" s="98"/>
    </row>
    <row r="107" spans="1:6" x14ac:dyDescent="0.25">
      <c r="A107" s="99"/>
      <c r="B107" s="100" t="s">
        <v>587</v>
      </c>
      <c r="C107" s="100" t="s">
        <v>73</v>
      </c>
      <c r="D107" s="100" t="s">
        <v>444</v>
      </c>
      <c r="E107" s="100"/>
      <c r="F107" s="100">
        <f>F99</f>
        <v>4.2</v>
      </c>
    </row>
    <row r="108" spans="1:6" x14ac:dyDescent="0.25">
      <c r="A108" s="99"/>
      <c r="B108" s="100" t="s">
        <v>588</v>
      </c>
      <c r="C108" s="100" t="s">
        <v>591</v>
      </c>
      <c r="D108" s="100" t="s">
        <v>444</v>
      </c>
      <c r="E108" s="100"/>
      <c r="F108" s="101">
        <f>F100</f>
        <v>5.557623478000699</v>
      </c>
    </row>
    <row r="109" spans="1:6" x14ac:dyDescent="0.25">
      <c r="A109" s="99"/>
      <c r="B109" s="100" t="s">
        <v>589</v>
      </c>
      <c r="C109" s="100" t="s">
        <v>847</v>
      </c>
      <c r="D109" s="100" t="s">
        <v>444</v>
      </c>
      <c r="E109" s="100"/>
      <c r="F109" s="101">
        <f>F98</f>
        <v>3.5</v>
      </c>
    </row>
    <row r="110" spans="1:6" x14ac:dyDescent="0.25">
      <c r="A110" s="99"/>
      <c r="B110" s="100" t="s">
        <v>672</v>
      </c>
      <c r="C110" s="100" t="s">
        <v>616</v>
      </c>
      <c r="D110" s="100" t="s">
        <v>600</v>
      </c>
      <c r="E110" s="100"/>
      <c r="F110" s="100">
        <f>F93</f>
        <v>2</v>
      </c>
    </row>
    <row r="111" spans="1:6" x14ac:dyDescent="0.25">
      <c r="A111" s="87" t="s">
        <v>673</v>
      </c>
      <c r="B111" s="88" t="s">
        <v>674</v>
      </c>
      <c r="C111" s="88" t="s">
        <v>495</v>
      </c>
      <c r="D111" s="88" t="s">
        <v>240</v>
      </c>
      <c r="E111" s="88" t="s">
        <v>496</v>
      </c>
      <c r="F111" s="88" t="s">
        <v>97</v>
      </c>
    </row>
    <row r="112" spans="1:6" x14ac:dyDescent="0.25">
      <c r="B112" s="425" t="s">
        <v>710</v>
      </c>
      <c r="C112" s="425" t="s">
        <v>711</v>
      </c>
      <c r="D112" s="425" t="s">
        <v>601</v>
      </c>
      <c r="E112" s="427" t="s">
        <v>712</v>
      </c>
      <c r="F112" s="425">
        <f>ABS(G167)+G176</f>
        <v>8640</v>
      </c>
    </row>
    <row r="113" spans="1:7" x14ac:dyDescent="0.25">
      <c r="B113" s="425"/>
      <c r="C113" s="425"/>
      <c r="D113" s="425"/>
      <c r="E113" s="427"/>
      <c r="F113" s="425"/>
    </row>
    <row r="114" spans="1:7" x14ac:dyDescent="0.25">
      <c r="B114" s="84" t="s">
        <v>714</v>
      </c>
      <c r="C114" s="84" t="s">
        <v>715</v>
      </c>
      <c r="E114" s="84" t="s">
        <v>717</v>
      </c>
      <c r="F114" s="106">
        <v>0.15</v>
      </c>
    </row>
    <row r="115" spans="1:7" x14ac:dyDescent="0.25">
      <c r="B115" s="12"/>
      <c r="E115" s="84" t="s">
        <v>718</v>
      </c>
      <c r="F115" s="84">
        <f>F112*F114</f>
        <v>1296</v>
      </c>
    </row>
    <row r="116" spans="1:7" x14ac:dyDescent="0.25">
      <c r="B116" s="12" t="s">
        <v>719</v>
      </c>
      <c r="C116" s="84" t="s">
        <v>713</v>
      </c>
      <c r="D116" s="84" t="s">
        <v>601</v>
      </c>
      <c r="E116" s="84" t="s">
        <v>720</v>
      </c>
      <c r="F116" s="84">
        <f>F112+F115</f>
        <v>9936</v>
      </c>
    </row>
    <row r="117" spans="1:7" x14ac:dyDescent="0.25">
      <c r="B117" s="12" t="s">
        <v>515</v>
      </c>
      <c r="C117" s="84" t="s">
        <v>592</v>
      </c>
      <c r="D117" s="84" t="s">
        <v>444</v>
      </c>
      <c r="E117" s="84" t="s">
        <v>507</v>
      </c>
      <c r="F117" s="84">
        <v>4</v>
      </c>
    </row>
    <row r="118" spans="1:7" x14ac:dyDescent="0.25">
      <c r="B118" s="12" t="s">
        <v>492</v>
      </c>
      <c r="C118" s="84" t="s">
        <v>533</v>
      </c>
      <c r="D118" s="84" t="s">
        <v>444</v>
      </c>
      <c r="E118" s="84" t="s">
        <v>507</v>
      </c>
      <c r="F118" s="84">
        <v>0.5</v>
      </c>
    </row>
    <row r="119" spans="1:7" x14ac:dyDescent="0.25">
      <c r="B119" s="84" t="s">
        <v>585</v>
      </c>
      <c r="C119" s="84" t="s">
        <v>847</v>
      </c>
      <c r="D119" s="84" t="s">
        <v>444</v>
      </c>
      <c r="E119" s="84" t="s">
        <v>848</v>
      </c>
      <c r="F119" s="84">
        <f>F117+F118</f>
        <v>4.5</v>
      </c>
    </row>
    <row r="120" spans="1:7" x14ac:dyDescent="0.25">
      <c r="B120" s="84" t="s">
        <v>588</v>
      </c>
      <c r="C120" s="84" t="s">
        <v>722</v>
      </c>
      <c r="D120" s="84" t="s">
        <v>444</v>
      </c>
      <c r="E120" s="84" t="s">
        <v>507</v>
      </c>
      <c r="F120" s="84">
        <v>50</v>
      </c>
    </row>
    <row r="121" spans="1:7" x14ac:dyDescent="0.25">
      <c r="B121" s="84" t="s">
        <v>587</v>
      </c>
      <c r="C121" s="84" t="s">
        <v>73</v>
      </c>
      <c r="D121" s="84" t="s">
        <v>444</v>
      </c>
      <c r="E121" s="84" t="s">
        <v>723</v>
      </c>
      <c r="F121" s="107">
        <f>F116/(F120*F119)</f>
        <v>44.16</v>
      </c>
    </row>
    <row r="122" spans="1:7" x14ac:dyDescent="0.25">
      <c r="A122" s="96"/>
      <c r="B122" s="97" t="s">
        <v>539</v>
      </c>
      <c r="C122" s="98"/>
      <c r="D122" s="98"/>
      <c r="E122" s="98"/>
      <c r="F122" s="98"/>
    </row>
    <row r="123" spans="1:7" x14ac:dyDescent="0.25">
      <c r="A123" s="99"/>
      <c r="B123" s="100" t="s">
        <v>587</v>
      </c>
      <c r="C123" s="100" t="s">
        <v>73</v>
      </c>
      <c r="D123" s="100" t="s">
        <v>444</v>
      </c>
      <c r="E123" s="100"/>
      <c r="F123" s="108">
        <f>F121</f>
        <v>44.16</v>
      </c>
    </row>
    <row r="124" spans="1:7" x14ac:dyDescent="0.25">
      <c r="A124" s="99"/>
      <c r="B124" s="100" t="s">
        <v>588</v>
      </c>
      <c r="C124" s="100" t="s">
        <v>722</v>
      </c>
      <c r="D124" s="100" t="s">
        <v>444</v>
      </c>
      <c r="E124" s="100"/>
      <c r="F124" s="101">
        <f>F120</f>
        <v>50</v>
      </c>
    </row>
    <row r="125" spans="1:7" x14ac:dyDescent="0.25">
      <c r="A125" s="99"/>
      <c r="B125" s="100" t="s">
        <v>589</v>
      </c>
      <c r="C125" s="100" t="s">
        <v>847</v>
      </c>
      <c r="D125" s="100" t="s">
        <v>444</v>
      </c>
      <c r="E125" s="100"/>
      <c r="F125" s="101">
        <f>F119</f>
        <v>4.5</v>
      </c>
    </row>
    <row r="126" spans="1:7" x14ac:dyDescent="0.25">
      <c r="A126" s="109"/>
      <c r="B126" s="110"/>
      <c r="C126" s="110"/>
      <c r="D126" s="110"/>
      <c r="E126" s="110"/>
      <c r="F126" s="110"/>
    </row>
    <row r="127" spans="1:7" ht="28.8" customHeight="1" x14ac:dyDescent="0.25">
      <c r="B127" s="301" t="s">
        <v>677</v>
      </c>
      <c r="C127" s="301" t="s">
        <v>678</v>
      </c>
      <c r="D127" s="426" t="s">
        <v>679</v>
      </c>
      <c r="E127" s="12"/>
      <c r="F127" s="12"/>
      <c r="G127" s="111"/>
    </row>
    <row r="128" spans="1:7" x14ac:dyDescent="0.25">
      <c r="B128" s="301"/>
      <c r="C128" s="301"/>
      <c r="D128" s="426"/>
      <c r="E128" s="12"/>
      <c r="F128" s="12"/>
    </row>
    <row r="129" spans="2:6" x14ac:dyDescent="0.25">
      <c r="B129" s="301"/>
      <c r="C129" s="301"/>
      <c r="D129" s="426"/>
      <c r="E129" s="12"/>
      <c r="F129" s="12"/>
    </row>
    <row r="130" spans="2:6" x14ac:dyDescent="0.25">
      <c r="B130" s="14" t="s">
        <v>680</v>
      </c>
      <c r="C130" s="112">
        <v>0.2</v>
      </c>
      <c r="D130" s="14">
        <v>80</v>
      </c>
      <c r="E130" s="12"/>
      <c r="F130" s="12"/>
    </row>
    <row r="131" spans="2:6" x14ac:dyDescent="0.25">
      <c r="B131" s="14" t="s">
        <v>681</v>
      </c>
      <c r="C131" s="112">
        <v>0.27</v>
      </c>
      <c r="D131" s="14">
        <v>85</v>
      </c>
      <c r="E131" s="12"/>
      <c r="F131" s="12"/>
    </row>
    <row r="132" spans="2:6" x14ac:dyDescent="0.25">
      <c r="B132" s="14" t="s">
        <v>682</v>
      </c>
      <c r="C132" s="112">
        <v>0.27</v>
      </c>
      <c r="D132" s="14">
        <v>85</v>
      </c>
      <c r="E132" s="12"/>
      <c r="F132" s="12"/>
    </row>
    <row r="133" spans="2:6" x14ac:dyDescent="0.25">
      <c r="B133" s="14" t="s">
        <v>683</v>
      </c>
      <c r="C133" s="112">
        <v>0.28999999999999998</v>
      </c>
      <c r="D133" s="14">
        <v>87</v>
      </c>
      <c r="E133" s="12"/>
    </row>
    <row r="134" spans="2:6" x14ac:dyDescent="0.25">
      <c r="B134" s="14" t="s">
        <v>684</v>
      </c>
      <c r="C134" s="112">
        <v>0.76</v>
      </c>
      <c r="D134" s="14">
        <v>200</v>
      </c>
      <c r="E134" s="12"/>
    </row>
    <row r="135" spans="2:6" x14ac:dyDescent="0.25">
      <c r="B135" s="14" t="s">
        <v>685</v>
      </c>
      <c r="C135" s="112">
        <v>0.76</v>
      </c>
      <c r="D135" s="14">
        <v>210</v>
      </c>
      <c r="E135" s="12"/>
    </row>
    <row r="136" spans="2:6" x14ac:dyDescent="0.25">
      <c r="B136" s="14" t="s">
        <v>686</v>
      </c>
      <c r="C136" s="112">
        <v>0.3</v>
      </c>
      <c r="D136" s="14">
        <v>100</v>
      </c>
      <c r="E136" s="12"/>
    </row>
    <row r="137" spans="2:6" x14ac:dyDescent="0.25">
      <c r="B137" s="14" t="s">
        <v>687</v>
      </c>
      <c r="C137" s="112">
        <v>0.3</v>
      </c>
      <c r="D137" s="14">
        <v>100</v>
      </c>
      <c r="E137" s="12"/>
    </row>
    <row r="138" spans="2:6" x14ac:dyDescent="0.25">
      <c r="B138" s="14" t="s">
        <v>688</v>
      </c>
      <c r="C138" s="112">
        <v>0.27</v>
      </c>
      <c r="D138" s="14">
        <v>85</v>
      </c>
      <c r="E138" s="12"/>
    </row>
    <row r="139" spans="2:6" x14ac:dyDescent="0.25">
      <c r="B139" s="14" t="s">
        <v>689</v>
      </c>
      <c r="C139" s="112">
        <v>0.27</v>
      </c>
      <c r="D139" s="14">
        <v>85</v>
      </c>
      <c r="E139" s="12"/>
    </row>
    <row r="140" spans="2:6" x14ac:dyDescent="0.25">
      <c r="B140" s="14" t="s">
        <v>690</v>
      </c>
      <c r="C140" s="112">
        <v>0.85</v>
      </c>
      <c r="D140" s="14">
        <v>245</v>
      </c>
      <c r="E140" s="12"/>
    </row>
    <row r="141" spans="2:6" x14ac:dyDescent="0.25">
      <c r="B141" s="14" t="s">
        <v>691</v>
      </c>
      <c r="C141" s="112">
        <v>0.85</v>
      </c>
      <c r="D141" s="14">
        <v>245</v>
      </c>
      <c r="E141" s="12"/>
    </row>
    <row r="142" spans="2:6" x14ac:dyDescent="0.25">
      <c r="B142" s="14" t="s">
        <v>692</v>
      </c>
      <c r="C142" s="112">
        <v>0.85</v>
      </c>
      <c r="D142" s="14">
        <v>245</v>
      </c>
      <c r="E142" s="12"/>
    </row>
    <row r="143" spans="2:6" x14ac:dyDescent="0.25">
      <c r="B143" s="14" t="s">
        <v>693</v>
      </c>
      <c r="C143" s="112">
        <v>0.85</v>
      </c>
      <c r="D143" s="14">
        <v>245</v>
      </c>
      <c r="E143" s="12"/>
    </row>
    <row r="144" spans="2:6" x14ac:dyDescent="0.25">
      <c r="B144" s="14" t="s">
        <v>694</v>
      </c>
      <c r="C144" s="112">
        <v>0.76</v>
      </c>
      <c r="D144" s="14">
        <v>210</v>
      </c>
      <c r="E144" s="12"/>
    </row>
    <row r="145" spans="2:7" x14ac:dyDescent="0.25">
      <c r="B145" s="14" t="s">
        <v>695</v>
      </c>
      <c r="C145" s="112">
        <v>0.75</v>
      </c>
      <c r="D145" s="14">
        <v>205</v>
      </c>
      <c r="E145" s="12"/>
    </row>
    <row r="146" spans="2:7" x14ac:dyDescent="0.25">
      <c r="B146" s="14" t="s">
        <v>696</v>
      </c>
      <c r="C146" s="112">
        <v>0.7</v>
      </c>
      <c r="D146" s="14">
        <v>205</v>
      </c>
      <c r="E146" s="12"/>
    </row>
    <row r="147" spans="2:7" x14ac:dyDescent="0.25">
      <c r="B147" s="14" t="s">
        <v>697</v>
      </c>
      <c r="C147" s="112">
        <v>0.67</v>
      </c>
      <c r="D147" s="14">
        <v>203</v>
      </c>
      <c r="E147" s="12"/>
    </row>
    <row r="148" spans="2:7" x14ac:dyDescent="0.25">
      <c r="B148" s="14" t="s">
        <v>698</v>
      </c>
      <c r="C148" s="112">
        <v>0.65</v>
      </c>
      <c r="D148" s="14">
        <v>190</v>
      </c>
      <c r="E148" s="12"/>
    </row>
    <row r="149" spans="2:7" x14ac:dyDescent="0.25">
      <c r="B149" s="14" t="s">
        <v>699</v>
      </c>
      <c r="C149" s="112">
        <v>0.45</v>
      </c>
      <c r="D149" s="14">
        <v>150</v>
      </c>
      <c r="E149" s="12"/>
    </row>
    <row r="150" spans="2:7" x14ac:dyDescent="0.25">
      <c r="B150" s="14" t="s">
        <v>700</v>
      </c>
      <c r="C150" s="112">
        <v>0.27</v>
      </c>
      <c r="D150" s="14">
        <v>85</v>
      </c>
      <c r="E150" s="84" t="s">
        <v>997</v>
      </c>
    </row>
    <row r="151" spans="2:7" x14ac:dyDescent="0.25">
      <c r="B151" s="14" t="s">
        <v>701</v>
      </c>
      <c r="C151" s="112">
        <v>0.27</v>
      </c>
      <c r="D151" s="14">
        <v>85</v>
      </c>
    </row>
    <row r="152" spans="2:7" x14ac:dyDescent="0.25">
      <c r="B152" s="14" t="s">
        <v>702</v>
      </c>
      <c r="C152" s="112">
        <v>0.27</v>
      </c>
      <c r="D152" s="14">
        <v>85</v>
      </c>
    </row>
    <row r="153" spans="2:7" x14ac:dyDescent="0.25">
      <c r="B153" s="14" t="s">
        <v>703</v>
      </c>
      <c r="C153" s="112">
        <v>0.2</v>
      </c>
      <c r="D153" s="14">
        <v>80</v>
      </c>
    </row>
    <row r="154" spans="2:7" x14ac:dyDescent="0.25">
      <c r="B154" s="113" t="s">
        <v>676</v>
      </c>
      <c r="C154" s="114">
        <f>AVERAGE(C130:C153)</f>
        <v>0.50333333333333308</v>
      </c>
      <c r="D154" s="22">
        <f>AVERAGE(D130:D153)</f>
        <v>149.79166666666666</v>
      </c>
    </row>
    <row r="155" spans="2:7" x14ac:dyDescent="0.25">
      <c r="C155" s="92"/>
    </row>
    <row r="157" spans="2:7" x14ac:dyDescent="0.25">
      <c r="B157" s="113" t="s">
        <v>704</v>
      </c>
      <c r="C157" s="113" t="s">
        <v>705</v>
      </c>
      <c r="D157" s="113" t="s">
        <v>706</v>
      </c>
      <c r="E157" s="113" t="s">
        <v>707</v>
      </c>
      <c r="F157" s="113" t="s">
        <v>708</v>
      </c>
      <c r="G157" s="113" t="s">
        <v>709</v>
      </c>
    </row>
    <row r="158" spans="2:7" x14ac:dyDescent="0.25">
      <c r="B158" s="14" t="s">
        <v>680</v>
      </c>
      <c r="C158" s="14">
        <f>C130*3600</f>
        <v>720</v>
      </c>
      <c r="D158" s="14">
        <f>SUM($C$158:$C$181)/24</f>
        <v>1812</v>
      </c>
      <c r="E158" s="14">
        <f>C158</f>
        <v>720</v>
      </c>
      <c r="F158" s="14">
        <f>D158</f>
        <v>1812</v>
      </c>
      <c r="G158" s="14">
        <f>E158-F158</f>
        <v>-1092</v>
      </c>
    </row>
    <row r="159" spans="2:7" x14ac:dyDescent="0.25">
      <c r="B159" s="14" t="s">
        <v>681</v>
      </c>
      <c r="C159" s="14">
        <f t="shared" ref="C159:C181" si="0">C131*3600</f>
        <v>972.00000000000011</v>
      </c>
      <c r="D159" s="14">
        <f t="shared" ref="D159:D181" si="1">SUM($C$158:$C$181)/24</f>
        <v>1812</v>
      </c>
      <c r="E159" s="14">
        <f>C159+E158</f>
        <v>1692</v>
      </c>
      <c r="F159" s="14">
        <f>D159+F158</f>
        <v>3624</v>
      </c>
      <c r="G159" s="14">
        <f t="shared" ref="G159:G181" si="2">E159-F159</f>
        <v>-1932</v>
      </c>
    </row>
    <row r="160" spans="2:7" x14ac:dyDescent="0.25">
      <c r="B160" s="14" t="s">
        <v>682</v>
      </c>
      <c r="C160" s="14">
        <f t="shared" si="0"/>
        <v>972.00000000000011</v>
      </c>
      <c r="D160" s="14">
        <f t="shared" si="1"/>
        <v>1812</v>
      </c>
      <c r="E160" s="14">
        <f>C160+E159</f>
        <v>2664</v>
      </c>
      <c r="F160" s="14">
        <f t="shared" ref="F160:F181" si="3">D160+F159</f>
        <v>5436</v>
      </c>
      <c r="G160" s="14">
        <f t="shared" si="2"/>
        <v>-2772</v>
      </c>
    </row>
    <row r="161" spans="2:7" x14ac:dyDescent="0.25">
      <c r="B161" s="14" t="s">
        <v>683</v>
      </c>
      <c r="C161" s="14">
        <f t="shared" si="0"/>
        <v>1044</v>
      </c>
      <c r="D161" s="14">
        <f t="shared" si="1"/>
        <v>1812</v>
      </c>
      <c r="E161" s="14">
        <f t="shared" ref="E161:E180" si="4">C161+E160</f>
        <v>3708</v>
      </c>
      <c r="F161" s="14">
        <f t="shared" si="3"/>
        <v>7248</v>
      </c>
      <c r="G161" s="14">
        <f t="shared" si="2"/>
        <v>-3540</v>
      </c>
    </row>
    <row r="162" spans="2:7" x14ac:dyDescent="0.25">
      <c r="B162" s="14" t="s">
        <v>684</v>
      </c>
      <c r="C162" s="14">
        <f t="shared" si="0"/>
        <v>2736</v>
      </c>
      <c r="D162" s="14">
        <f t="shared" si="1"/>
        <v>1812</v>
      </c>
      <c r="E162" s="14">
        <f t="shared" si="4"/>
        <v>6444</v>
      </c>
      <c r="F162" s="14">
        <f t="shared" si="3"/>
        <v>9060</v>
      </c>
      <c r="G162" s="14">
        <f t="shared" si="2"/>
        <v>-2616</v>
      </c>
    </row>
    <row r="163" spans="2:7" x14ac:dyDescent="0.25">
      <c r="B163" s="14" t="s">
        <v>685</v>
      </c>
      <c r="C163" s="14">
        <f t="shared" si="0"/>
        <v>2736</v>
      </c>
      <c r="D163" s="14">
        <f t="shared" si="1"/>
        <v>1812</v>
      </c>
      <c r="E163" s="14">
        <f t="shared" si="4"/>
        <v>9180</v>
      </c>
      <c r="F163" s="14">
        <f t="shared" si="3"/>
        <v>10872</v>
      </c>
      <c r="G163" s="14">
        <f t="shared" si="2"/>
        <v>-1692</v>
      </c>
    </row>
    <row r="164" spans="2:7" x14ac:dyDescent="0.25">
      <c r="B164" s="14" t="s">
        <v>686</v>
      </c>
      <c r="C164" s="14">
        <f t="shared" si="0"/>
        <v>1080</v>
      </c>
      <c r="D164" s="14">
        <f t="shared" si="1"/>
        <v>1812</v>
      </c>
      <c r="E164" s="14">
        <f t="shared" si="4"/>
        <v>10260</v>
      </c>
      <c r="F164" s="14">
        <f t="shared" si="3"/>
        <v>12684</v>
      </c>
      <c r="G164" s="14">
        <f t="shared" si="2"/>
        <v>-2424</v>
      </c>
    </row>
    <row r="165" spans="2:7" x14ac:dyDescent="0.25">
      <c r="B165" s="14" t="s">
        <v>687</v>
      </c>
      <c r="C165" s="14">
        <f t="shared" si="0"/>
        <v>1080</v>
      </c>
      <c r="D165" s="14">
        <f t="shared" si="1"/>
        <v>1812</v>
      </c>
      <c r="E165" s="14">
        <f t="shared" si="4"/>
        <v>11340</v>
      </c>
      <c r="F165" s="14">
        <f t="shared" si="3"/>
        <v>14496</v>
      </c>
      <c r="G165" s="14">
        <f t="shared" si="2"/>
        <v>-3156</v>
      </c>
    </row>
    <row r="166" spans="2:7" x14ac:dyDescent="0.25">
      <c r="B166" s="14" t="s">
        <v>688</v>
      </c>
      <c r="C166" s="14">
        <f t="shared" si="0"/>
        <v>972.00000000000011</v>
      </c>
      <c r="D166" s="14">
        <f t="shared" si="1"/>
        <v>1812</v>
      </c>
      <c r="E166" s="14">
        <f t="shared" si="4"/>
        <v>12312</v>
      </c>
      <c r="F166" s="14">
        <f t="shared" si="3"/>
        <v>16308</v>
      </c>
      <c r="G166" s="14">
        <f t="shared" si="2"/>
        <v>-3996</v>
      </c>
    </row>
    <row r="167" spans="2:7" x14ac:dyDescent="0.25">
      <c r="B167" s="14" t="s">
        <v>689</v>
      </c>
      <c r="C167" s="14">
        <f t="shared" si="0"/>
        <v>972.00000000000011</v>
      </c>
      <c r="D167" s="14">
        <f t="shared" si="1"/>
        <v>1812</v>
      </c>
      <c r="E167" s="14">
        <f t="shared" si="4"/>
        <v>13284</v>
      </c>
      <c r="F167" s="14">
        <f t="shared" si="3"/>
        <v>18120</v>
      </c>
      <c r="G167" s="14">
        <f t="shared" si="2"/>
        <v>-4836</v>
      </c>
    </row>
    <row r="168" spans="2:7" x14ac:dyDescent="0.25">
      <c r="B168" s="14" t="s">
        <v>690</v>
      </c>
      <c r="C168" s="14">
        <f t="shared" si="0"/>
        <v>3060</v>
      </c>
      <c r="D168" s="14">
        <f t="shared" si="1"/>
        <v>1812</v>
      </c>
      <c r="E168" s="14">
        <f t="shared" si="4"/>
        <v>16344</v>
      </c>
      <c r="F168" s="14">
        <f t="shared" si="3"/>
        <v>19932</v>
      </c>
      <c r="G168" s="14">
        <f t="shared" si="2"/>
        <v>-3588</v>
      </c>
    </row>
    <row r="169" spans="2:7" x14ac:dyDescent="0.25">
      <c r="B169" s="14" t="s">
        <v>691</v>
      </c>
      <c r="C169" s="14">
        <f t="shared" si="0"/>
        <v>3060</v>
      </c>
      <c r="D169" s="14">
        <f t="shared" si="1"/>
        <v>1812</v>
      </c>
      <c r="E169" s="14">
        <f t="shared" si="4"/>
        <v>19404</v>
      </c>
      <c r="F169" s="14">
        <f t="shared" si="3"/>
        <v>21744</v>
      </c>
      <c r="G169" s="14">
        <f t="shared" si="2"/>
        <v>-2340</v>
      </c>
    </row>
    <row r="170" spans="2:7" x14ac:dyDescent="0.25">
      <c r="B170" s="14" t="s">
        <v>692</v>
      </c>
      <c r="C170" s="14">
        <f t="shared" si="0"/>
        <v>3060</v>
      </c>
      <c r="D170" s="14">
        <f t="shared" si="1"/>
        <v>1812</v>
      </c>
      <c r="E170" s="14">
        <f t="shared" si="4"/>
        <v>22464</v>
      </c>
      <c r="F170" s="14">
        <f t="shared" si="3"/>
        <v>23556</v>
      </c>
      <c r="G170" s="14">
        <f t="shared" si="2"/>
        <v>-1092</v>
      </c>
    </row>
    <row r="171" spans="2:7" x14ac:dyDescent="0.25">
      <c r="B171" s="14" t="s">
        <v>693</v>
      </c>
      <c r="C171" s="14">
        <f t="shared" si="0"/>
        <v>3060</v>
      </c>
      <c r="D171" s="14">
        <f t="shared" si="1"/>
        <v>1812</v>
      </c>
      <c r="E171" s="14">
        <f t="shared" si="4"/>
        <v>25524</v>
      </c>
      <c r="F171" s="14">
        <f t="shared" si="3"/>
        <v>25368</v>
      </c>
      <c r="G171" s="14">
        <f t="shared" si="2"/>
        <v>156</v>
      </c>
    </row>
    <row r="172" spans="2:7" x14ac:dyDescent="0.25">
      <c r="B172" s="14" t="s">
        <v>694</v>
      </c>
      <c r="C172" s="14">
        <f t="shared" si="0"/>
        <v>2736</v>
      </c>
      <c r="D172" s="14">
        <f t="shared" si="1"/>
        <v>1812</v>
      </c>
      <c r="E172" s="14">
        <f t="shared" si="4"/>
        <v>28260</v>
      </c>
      <c r="F172" s="14">
        <f t="shared" si="3"/>
        <v>27180</v>
      </c>
      <c r="G172" s="14">
        <f t="shared" si="2"/>
        <v>1080</v>
      </c>
    </row>
    <row r="173" spans="2:7" x14ac:dyDescent="0.25">
      <c r="B173" s="14" t="s">
        <v>695</v>
      </c>
      <c r="C173" s="14">
        <f t="shared" si="0"/>
        <v>2700</v>
      </c>
      <c r="D173" s="14">
        <f t="shared" si="1"/>
        <v>1812</v>
      </c>
      <c r="E173" s="14">
        <f t="shared" si="4"/>
        <v>30960</v>
      </c>
      <c r="F173" s="14">
        <f t="shared" si="3"/>
        <v>28992</v>
      </c>
      <c r="G173" s="14">
        <f t="shared" si="2"/>
        <v>1968</v>
      </c>
    </row>
    <row r="174" spans="2:7" x14ac:dyDescent="0.25">
      <c r="B174" s="14" t="s">
        <v>696</v>
      </c>
      <c r="C174" s="14">
        <f t="shared" si="0"/>
        <v>2520</v>
      </c>
      <c r="D174" s="14">
        <f t="shared" si="1"/>
        <v>1812</v>
      </c>
      <c r="E174" s="14">
        <f t="shared" si="4"/>
        <v>33480</v>
      </c>
      <c r="F174" s="14">
        <f t="shared" si="3"/>
        <v>30804</v>
      </c>
      <c r="G174" s="14">
        <f t="shared" si="2"/>
        <v>2676</v>
      </c>
    </row>
    <row r="175" spans="2:7" x14ac:dyDescent="0.25">
      <c r="B175" s="14" t="s">
        <v>697</v>
      </c>
      <c r="C175" s="14">
        <f t="shared" si="0"/>
        <v>2412</v>
      </c>
      <c r="D175" s="14">
        <f t="shared" si="1"/>
        <v>1812</v>
      </c>
      <c r="E175" s="14">
        <f t="shared" si="4"/>
        <v>35892</v>
      </c>
      <c r="F175" s="14">
        <f t="shared" si="3"/>
        <v>32616</v>
      </c>
      <c r="G175" s="14">
        <f t="shared" si="2"/>
        <v>3276</v>
      </c>
    </row>
    <row r="176" spans="2:7" x14ac:dyDescent="0.25">
      <c r="B176" s="14" t="s">
        <v>698</v>
      </c>
      <c r="C176" s="14">
        <f t="shared" si="0"/>
        <v>2340</v>
      </c>
      <c r="D176" s="14">
        <f t="shared" si="1"/>
        <v>1812</v>
      </c>
      <c r="E176" s="14">
        <f t="shared" si="4"/>
        <v>38232</v>
      </c>
      <c r="F176" s="14">
        <f t="shared" si="3"/>
        <v>34428</v>
      </c>
      <c r="G176" s="14">
        <f t="shared" si="2"/>
        <v>3804</v>
      </c>
    </row>
    <row r="177" spans="2:7" x14ac:dyDescent="0.25">
      <c r="B177" s="14" t="s">
        <v>699</v>
      </c>
      <c r="C177" s="14">
        <f t="shared" si="0"/>
        <v>1620</v>
      </c>
      <c r="D177" s="14">
        <f t="shared" si="1"/>
        <v>1812</v>
      </c>
      <c r="E177" s="14">
        <f t="shared" si="4"/>
        <v>39852</v>
      </c>
      <c r="F177" s="14">
        <f t="shared" si="3"/>
        <v>36240</v>
      </c>
      <c r="G177" s="14">
        <f t="shared" si="2"/>
        <v>3612</v>
      </c>
    </row>
    <row r="178" spans="2:7" x14ac:dyDescent="0.25">
      <c r="B178" s="14" t="s">
        <v>700</v>
      </c>
      <c r="C178" s="14">
        <f t="shared" si="0"/>
        <v>972.00000000000011</v>
      </c>
      <c r="D178" s="14">
        <f t="shared" si="1"/>
        <v>1812</v>
      </c>
      <c r="E178" s="14">
        <f t="shared" si="4"/>
        <v>40824</v>
      </c>
      <c r="F178" s="14">
        <f t="shared" si="3"/>
        <v>38052</v>
      </c>
      <c r="G178" s="14">
        <f t="shared" si="2"/>
        <v>2772</v>
      </c>
    </row>
    <row r="179" spans="2:7" x14ac:dyDescent="0.25">
      <c r="B179" s="14" t="s">
        <v>701</v>
      </c>
      <c r="C179" s="14">
        <f t="shared" si="0"/>
        <v>972.00000000000011</v>
      </c>
      <c r="D179" s="14">
        <f t="shared" si="1"/>
        <v>1812</v>
      </c>
      <c r="E179" s="14">
        <f t="shared" si="4"/>
        <v>41796</v>
      </c>
      <c r="F179" s="14">
        <f t="shared" si="3"/>
        <v>39864</v>
      </c>
      <c r="G179" s="14">
        <f t="shared" si="2"/>
        <v>1932</v>
      </c>
    </row>
    <row r="180" spans="2:7" x14ac:dyDescent="0.25">
      <c r="B180" s="14" t="s">
        <v>702</v>
      </c>
      <c r="C180" s="14">
        <f t="shared" si="0"/>
        <v>972.00000000000011</v>
      </c>
      <c r="D180" s="14">
        <f t="shared" si="1"/>
        <v>1812</v>
      </c>
      <c r="E180" s="14">
        <f t="shared" si="4"/>
        <v>42768</v>
      </c>
      <c r="F180" s="14">
        <f t="shared" si="3"/>
        <v>41676</v>
      </c>
      <c r="G180" s="14">
        <f t="shared" si="2"/>
        <v>1092</v>
      </c>
    </row>
    <row r="181" spans="2:7" x14ac:dyDescent="0.25">
      <c r="B181" s="14" t="s">
        <v>703</v>
      </c>
      <c r="C181" s="14">
        <f t="shared" si="0"/>
        <v>720</v>
      </c>
      <c r="D181" s="14">
        <f t="shared" si="1"/>
        <v>1812</v>
      </c>
      <c r="E181" s="14">
        <f>C181+E180</f>
        <v>43488</v>
      </c>
      <c r="F181" s="14">
        <f t="shared" si="3"/>
        <v>43488</v>
      </c>
      <c r="G181" s="14">
        <f t="shared" si="2"/>
        <v>0</v>
      </c>
    </row>
  </sheetData>
  <mergeCells count="8">
    <mergeCell ref="F112:F113"/>
    <mergeCell ref="D112:D113"/>
    <mergeCell ref="C127:C129"/>
    <mergeCell ref="B127:B129"/>
    <mergeCell ref="D127:D129"/>
    <mergeCell ref="E112:E113"/>
    <mergeCell ref="B112:B113"/>
    <mergeCell ref="C112:C113"/>
  </mergeCells>
  <phoneticPr fontId="12" type="noConversion"/>
  <pageMargins left="0.7" right="0.7" top="0.75" bottom="0.75" header="0.3" footer="0.3"/>
  <pageSetup orientation="portrait" r:id="rId1"/>
  <ignoredErrors>
    <ignoredError sqref="F39" formula="1"/>
  </ignoredError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E7F6-620F-4C72-A60D-B1E9537680B2}">
  <dimension ref="B7:U26"/>
  <sheetViews>
    <sheetView topLeftCell="A3" workbookViewId="0">
      <selection activeCell="E29" sqref="E29"/>
    </sheetView>
  </sheetViews>
  <sheetFormatPr defaultRowHeight="13.8" x14ac:dyDescent="0.25"/>
  <cols>
    <col min="1" max="1" width="8.88671875" style="12"/>
    <col min="2" max="2" width="8.88671875" style="12" customWidth="1"/>
    <col min="3" max="16384" width="8.88671875" style="12"/>
  </cols>
  <sheetData>
    <row r="7" spans="2:21" x14ac:dyDescent="0.25">
      <c r="B7" s="418" t="s">
        <v>189</v>
      </c>
      <c r="C7" s="418"/>
      <c r="D7" s="418"/>
      <c r="E7" s="418"/>
      <c r="F7" s="418"/>
      <c r="G7" s="418" t="s">
        <v>240</v>
      </c>
      <c r="H7" s="418"/>
      <c r="I7" s="418"/>
      <c r="J7" s="418" t="s">
        <v>414</v>
      </c>
      <c r="K7" s="418"/>
      <c r="L7" s="418"/>
      <c r="M7" s="418" t="s">
        <v>415</v>
      </c>
      <c r="N7" s="418"/>
      <c r="O7" s="418"/>
      <c r="P7" s="418" t="s">
        <v>416</v>
      </c>
      <c r="Q7" s="418"/>
      <c r="R7" s="418"/>
      <c r="S7" s="418" t="s">
        <v>417</v>
      </c>
      <c r="T7" s="418"/>
      <c r="U7" s="418"/>
    </row>
    <row r="8" spans="2:21" x14ac:dyDescent="0.25">
      <c r="B8" s="416" t="s">
        <v>732</v>
      </c>
      <c r="C8" s="416"/>
      <c r="D8" s="416"/>
      <c r="E8" s="416"/>
      <c r="F8" s="416"/>
      <c r="G8" s="412"/>
      <c r="H8" s="412"/>
      <c r="I8" s="412"/>
      <c r="J8" s="412"/>
      <c r="K8" s="412"/>
      <c r="L8" s="412"/>
      <c r="M8" s="412"/>
      <c r="N8" s="412"/>
      <c r="O8" s="412"/>
      <c r="P8" s="412"/>
      <c r="Q8" s="412"/>
      <c r="R8" s="412"/>
      <c r="S8" s="412"/>
      <c r="T8" s="412"/>
      <c r="U8" s="412"/>
    </row>
    <row r="9" spans="2:21" x14ac:dyDescent="0.25">
      <c r="B9" s="413" t="s">
        <v>453</v>
      </c>
      <c r="C9" s="413"/>
      <c r="D9" s="413"/>
      <c r="E9" s="413"/>
      <c r="F9" s="413"/>
      <c r="G9" s="414" t="s">
        <v>721</v>
      </c>
      <c r="H9" s="414"/>
      <c r="I9" s="414"/>
      <c r="J9" s="414" t="s">
        <v>728</v>
      </c>
      <c r="K9" s="414"/>
      <c r="L9" s="414"/>
      <c r="M9" s="414" t="s">
        <v>728</v>
      </c>
      <c r="N9" s="414"/>
      <c r="O9" s="414"/>
      <c r="P9" s="414"/>
      <c r="Q9" s="414"/>
      <c r="R9" s="414"/>
      <c r="S9" s="414"/>
      <c r="T9" s="414"/>
      <c r="U9" s="414"/>
    </row>
    <row r="10" spans="2:21" x14ac:dyDescent="0.25">
      <c r="B10" s="413" t="s">
        <v>724</v>
      </c>
      <c r="C10" s="413"/>
      <c r="D10" s="413"/>
      <c r="E10" s="413"/>
      <c r="F10" s="413"/>
      <c r="G10" s="414"/>
      <c r="H10" s="414"/>
      <c r="I10" s="414"/>
      <c r="J10" s="414"/>
      <c r="K10" s="414"/>
      <c r="L10" s="414"/>
      <c r="M10" s="414"/>
      <c r="N10" s="414"/>
      <c r="O10" s="414"/>
      <c r="P10" s="414"/>
      <c r="Q10" s="414"/>
      <c r="R10" s="414"/>
      <c r="S10" s="414"/>
      <c r="T10" s="414"/>
      <c r="U10" s="414"/>
    </row>
    <row r="11" spans="2:21" x14ac:dyDescent="0.25">
      <c r="B11" s="429" t="s">
        <v>759</v>
      </c>
      <c r="C11" s="413"/>
      <c r="D11" s="413"/>
      <c r="E11" s="413"/>
      <c r="F11" s="413"/>
      <c r="G11" s="414" t="s">
        <v>726</v>
      </c>
      <c r="H11" s="414"/>
      <c r="I11" s="414"/>
      <c r="J11" s="414" t="s">
        <v>729</v>
      </c>
      <c r="K11" s="414"/>
      <c r="L11" s="414"/>
      <c r="M11" s="414" t="s">
        <v>729</v>
      </c>
      <c r="N11" s="414"/>
      <c r="O11" s="414"/>
      <c r="P11" s="414"/>
      <c r="Q11" s="414"/>
      <c r="R11" s="414"/>
      <c r="S11" s="414"/>
      <c r="T11" s="414"/>
      <c r="U11" s="414"/>
    </row>
    <row r="12" spans="2:21" x14ac:dyDescent="0.25">
      <c r="B12" s="429" t="s">
        <v>760</v>
      </c>
      <c r="C12" s="413"/>
      <c r="D12" s="413"/>
      <c r="E12" s="413"/>
      <c r="F12" s="413"/>
      <c r="G12" s="414" t="s">
        <v>726</v>
      </c>
      <c r="H12" s="414"/>
      <c r="I12" s="414"/>
      <c r="J12" s="414" t="s">
        <v>740</v>
      </c>
      <c r="K12" s="414"/>
      <c r="L12" s="414"/>
      <c r="M12" s="414" t="s">
        <v>730</v>
      </c>
      <c r="N12" s="414"/>
      <c r="O12" s="414"/>
      <c r="P12" s="414"/>
      <c r="Q12" s="414"/>
      <c r="R12" s="414"/>
      <c r="S12" s="414"/>
      <c r="T12" s="414"/>
      <c r="U12" s="414"/>
    </row>
    <row r="13" spans="2:21" x14ac:dyDescent="0.25">
      <c r="B13" s="413" t="s">
        <v>725</v>
      </c>
      <c r="C13" s="413"/>
      <c r="D13" s="413"/>
      <c r="E13" s="413"/>
      <c r="F13" s="413"/>
      <c r="G13" s="414" t="s">
        <v>727</v>
      </c>
      <c r="H13" s="414"/>
      <c r="I13" s="414"/>
      <c r="J13" s="414" t="s">
        <v>741</v>
      </c>
      <c r="K13" s="414"/>
      <c r="L13" s="414"/>
      <c r="M13" s="414" t="s">
        <v>731</v>
      </c>
      <c r="N13" s="414"/>
      <c r="O13" s="414"/>
      <c r="P13" s="414"/>
      <c r="Q13" s="414"/>
      <c r="R13" s="414"/>
      <c r="S13" s="414"/>
      <c r="T13" s="414"/>
      <c r="U13" s="414"/>
    </row>
    <row r="14" spans="2:21" x14ac:dyDescent="0.25">
      <c r="B14" s="413" t="s">
        <v>515</v>
      </c>
      <c r="C14" s="413"/>
      <c r="D14" s="413"/>
      <c r="E14" s="413"/>
      <c r="F14" s="413"/>
      <c r="G14" s="414" t="s">
        <v>444</v>
      </c>
      <c r="H14" s="414"/>
      <c r="I14" s="414"/>
      <c r="J14" s="414" t="s">
        <v>742</v>
      </c>
      <c r="K14" s="414"/>
      <c r="L14" s="414"/>
      <c r="M14" s="414" t="s">
        <v>735</v>
      </c>
      <c r="N14" s="414"/>
      <c r="O14" s="414"/>
      <c r="P14" s="414"/>
      <c r="Q14" s="414"/>
      <c r="R14" s="414"/>
      <c r="S14" s="414"/>
      <c r="T14" s="414"/>
      <c r="U14" s="414"/>
    </row>
    <row r="15" spans="2:21" x14ac:dyDescent="0.25">
      <c r="B15" s="413" t="s">
        <v>652</v>
      </c>
      <c r="C15" s="413"/>
      <c r="D15" s="413"/>
      <c r="E15" s="413"/>
      <c r="F15" s="413"/>
      <c r="G15" s="414" t="s">
        <v>444</v>
      </c>
      <c r="H15" s="414"/>
      <c r="I15" s="414"/>
      <c r="J15" s="414" t="s">
        <v>743</v>
      </c>
      <c r="K15" s="414"/>
      <c r="L15" s="414"/>
      <c r="M15" s="414" t="s">
        <v>736</v>
      </c>
      <c r="N15" s="414"/>
      <c r="O15" s="414"/>
      <c r="P15" s="414"/>
      <c r="Q15" s="414"/>
      <c r="R15" s="414"/>
      <c r="S15" s="414"/>
      <c r="T15" s="414"/>
      <c r="U15" s="414"/>
    </row>
    <row r="16" spans="2:21" x14ac:dyDescent="0.25">
      <c r="B16" s="413" t="s">
        <v>751</v>
      </c>
      <c r="C16" s="413"/>
      <c r="D16" s="413"/>
      <c r="E16" s="413"/>
      <c r="F16" s="413"/>
      <c r="G16" s="414" t="s">
        <v>444</v>
      </c>
      <c r="H16" s="414"/>
      <c r="I16" s="414"/>
      <c r="J16" s="421" t="s">
        <v>744</v>
      </c>
      <c r="K16" s="414"/>
      <c r="L16" s="414"/>
      <c r="M16" s="421" t="s">
        <v>737</v>
      </c>
      <c r="N16" s="414"/>
      <c r="O16" s="414"/>
      <c r="P16" s="414"/>
      <c r="Q16" s="414"/>
      <c r="R16" s="414"/>
      <c r="S16" s="414"/>
      <c r="T16" s="414"/>
      <c r="U16" s="414"/>
    </row>
    <row r="17" spans="2:21" x14ac:dyDescent="0.25">
      <c r="B17" s="413" t="s">
        <v>733</v>
      </c>
      <c r="C17" s="413"/>
      <c r="D17" s="413"/>
      <c r="E17" s="413"/>
      <c r="F17" s="413"/>
      <c r="G17" s="414" t="s">
        <v>734</v>
      </c>
      <c r="H17" s="414"/>
      <c r="I17" s="414"/>
      <c r="J17" s="414"/>
      <c r="K17" s="414"/>
      <c r="L17" s="414"/>
      <c r="M17" s="414" t="s">
        <v>738</v>
      </c>
      <c r="N17" s="414"/>
      <c r="O17" s="414"/>
      <c r="P17" s="414"/>
      <c r="Q17" s="414"/>
      <c r="R17" s="414"/>
      <c r="S17" s="414"/>
      <c r="T17" s="414"/>
      <c r="U17" s="414"/>
    </row>
    <row r="18" spans="2:21" x14ac:dyDescent="0.25">
      <c r="B18" s="413" t="s">
        <v>745</v>
      </c>
      <c r="C18" s="413"/>
      <c r="D18" s="413"/>
      <c r="E18" s="413"/>
      <c r="F18" s="413"/>
      <c r="G18" s="414" t="s">
        <v>716</v>
      </c>
      <c r="H18" s="414"/>
      <c r="I18" s="414"/>
      <c r="J18" s="414" t="s">
        <v>747</v>
      </c>
      <c r="K18" s="414"/>
      <c r="L18" s="414"/>
      <c r="M18" s="414"/>
      <c r="N18" s="414"/>
      <c r="O18" s="414"/>
      <c r="P18" s="414"/>
      <c r="Q18" s="414"/>
      <c r="R18" s="414"/>
      <c r="S18" s="414"/>
      <c r="T18" s="414"/>
      <c r="U18" s="414"/>
    </row>
    <row r="19" spans="2:21" x14ac:dyDescent="0.25">
      <c r="B19" s="413" t="s">
        <v>746</v>
      </c>
      <c r="C19" s="413"/>
      <c r="D19" s="413"/>
      <c r="E19" s="413"/>
      <c r="F19" s="413"/>
      <c r="G19" s="414" t="s">
        <v>716</v>
      </c>
      <c r="H19" s="414"/>
      <c r="I19" s="414"/>
      <c r="J19" s="414" t="s">
        <v>748</v>
      </c>
      <c r="K19" s="414"/>
      <c r="L19" s="414"/>
      <c r="M19" s="414"/>
      <c r="N19" s="414"/>
      <c r="O19" s="414"/>
      <c r="P19" s="414"/>
      <c r="Q19" s="414"/>
      <c r="R19" s="414"/>
      <c r="S19" s="414"/>
      <c r="T19" s="414"/>
      <c r="U19" s="414"/>
    </row>
    <row r="20" spans="2:21" x14ac:dyDescent="0.25">
      <c r="B20" s="413" t="s">
        <v>749</v>
      </c>
      <c r="C20" s="413"/>
      <c r="D20" s="413"/>
      <c r="E20" s="413"/>
      <c r="F20" s="413"/>
      <c r="G20" s="414" t="s">
        <v>716</v>
      </c>
      <c r="H20" s="414"/>
      <c r="I20" s="414"/>
      <c r="J20" s="428" t="s">
        <v>750</v>
      </c>
      <c r="K20" s="414"/>
      <c r="L20" s="414"/>
      <c r="M20" s="414"/>
      <c r="N20" s="414"/>
      <c r="O20" s="414"/>
      <c r="P20" s="414"/>
      <c r="Q20" s="414"/>
      <c r="R20" s="414"/>
      <c r="S20" s="414"/>
      <c r="T20" s="414"/>
      <c r="U20" s="414"/>
    </row>
    <row r="21" spans="2:21" x14ac:dyDescent="0.25">
      <c r="B21" s="414"/>
      <c r="C21" s="414"/>
      <c r="D21" s="414"/>
      <c r="E21" s="414"/>
      <c r="F21" s="414"/>
      <c r="G21" s="414"/>
      <c r="H21" s="414"/>
      <c r="I21" s="414"/>
      <c r="J21" s="428"/>
      <c r="K21" s="428"/>
      <c r="L21" s="428"/>
      <c r="M21" s="414"/>
      <c r="N21" s="414"/>
      <c r="O21" s="414"/>
      <c r="P21" s="414"/>
      <c r="Q21" s="414"/>
      <c r="R21" s="414"/>
      <c r="S21" s="414"/>
      <c r="T21" s="414"/>
      <c r="U21" s="414"/>
    </row>
    <row r="22" spans="2:21" ht="14.4" customHeight="1" x14ac:dyDescent="0.25">
      <c r="B22" s="425" t="s">
        <v>752</v>
      </c>
      <c r="C22" s="425"/>
      <c r="D22" s="425"/>
      <c r="E22" s="425"/>
      <c r="F22" s="425"/>
      <c r="G22" s="425"/>
      <c r="H22" s="425"/>
      <c r="I22" s="425"/>
      <c r="J22" s="425"/>
      <c r="K22" s="425"/>
      <c r="L22" s="425"/>
      <c r="M22" s="425"/>
      <c r="N22" s="425"/>
      <c r="O22" s="425"/>
      <c r="P22" s="425"/>
      <c r="Q22" s="425"/>
      <c r="R22" s="425"/>
      <c r="S22" s="425"/>
      <c r="T22" s="425"/>
      <c r="U22" s="425"/>
    </row>
    <row r="23" spans="2:21" x14ac:dyDescent="0.25">
      <c r="B23" s="313" t="s">
        <v>799</v>
      </c>
      <c r="C23" s="313"/>
      <c r="D23" s="313"/>
      <c r="E23" s="115"/>
      <c r="F23" s="115"/>
      <c r="G23" s="115"/>
      <c r="H23" s="115"/>
      <c r="I23" s="115"/>
      <c r="J23" s="115"/>
      <c r="K23" s="115"/>
      <c r="L23" s="115"/>
      <c r="M23" s="115"/>
      <c r="N23" s="115"/>
      <c r="O23" s="115"/>
      <c r="P23" s="115"/>
      <c r="Q23" s="115"/>
      <c r="R23" s="115"/>
      <c r="S23" s="115"/>
      <c r="T23" s="115"/>
      <c r="U23" s="115"/>
    </row>
    <row r="24" spans="2:21" x14ac:dyDescent="0.25">
      <c r="B24" s="15" t="s">
        <v>794</v>
      </c>
      <c r="C24" s="15" t="s">
        <v>797</v>
      </c>
      <c r="D24" s="15" t="s">
        <v>798</v>
      </c>
    </row>
    <row r="25" spans="2:21" x14ac:dyDescent="0.25">
      <c r="B25" s="116" t="s">
        <v>795</v>
      </c>
      <c r="C25" s="15">
        <v>0.02</v>
      </c>
      <c r="D25" s="15">
        <v>1.7999999999999999E-2</v>
      </c>
    </row>
    <row r="26" spans="2:21" x14ac:dyDescent="0.25">
      <c r="B26" s="116" t="s">
        <v>796</v>
      </c>
      <c r="C26" s="15">
        <v>1.4E-2</v>
      </c>
      <c r="D26" s="15">
        <v>7.4999999999999997E-3</v>
      </c>
    </row>
  </sheetData>
  <mergeCells count="92">
    <mergeCell ref="S21:U21"/>
    <mergeCell ref="B21:F21"/>
    <mergeCell ref="G21:I21"/>
    <mergeCell ref="J21:L21"/>
    <mergeCell ref="M21:O21"/>
    <mergeCell ref="P21:R21"/>
    <mergeCell ref="M8:O8"/>
    <mergeCell ref="P8:R8"/>
    <mergeCell ref="S8:U8"/>
    <mergeCell ref="B7:F7"/>
    <mergeCell ref="G7:I7"/>
    <mergeCell ref="J7:L7"/>
    <mergeCell ref="M7:O7"/>
    <mergeCell ref="P7:R7"/>
    <mergeCell ref="S7:U7"/>
    <mergeCell ref="B15:F15"/>
    <mergeCell ref="B10:F10"/>
    <mergeCell ref="B8:F8"/>
    <mergeCell ref="G8:I8"/>
    <mergeCell ref="J8:L8"/>
    <mergeCell ref="B9:F9"/>
    <mergeCell ref="B11:F11"/>
    <mergeCell ref="B12:F12"/>
    <mergeCell ref="B13:F13"/>
    <mergeCell ref="B14:F14"/>
    <mergeCell ref="J9:L9"/>
    <mergeCell ref="J11:L11"/>
    <mergeCell ref="J12:L12"/>
    <mergeCell ref="J13:L13"/>
    <mergeCell ref="J14:L14"/>
    <mergeCell ref="J10:L10"/>
    <mergeCell ref="B16:F16"/>
    <mergeCell ref="B17:F17"/>
    <mergeCell ref="B18:F18"/>
    <mergeCell ref="B19:F19"/>
    <mergeCell ref="B20:F20"/>
    <mergeCell ref="G18:I18"/>
    <mergeCell ref="G19:I19"/>
    <mergeCell ref="G20:I20"/>
    <mergeCell ref="G9:I9"/>
    <mergeCell ref="G11:I11"/>
    <mergeCell ref="G12:I12"/>
    <mergeCell ref="G13:I13"/>
    <mergeCell ref="G14:I14"/>
    <mergeCell ref="G15:I15"/>
    <mergeCell ref="G10:I10"/>
    <mergeCell ref="M15:O15"/>
    <mergeCell ref="J16:L16"/>
    <mergeCell ref="J17:L17"/>
    <mergeCell ref="J18:L18"/>
    <mergeCell ref="J19:L19"/>
    <mergeCell ref="J15:L15"/>
    <mergeCell ref="M9:O9"/>
    <mergeCell ref="M11:O11"/>
    <mergeCell ref="M12:O12"/>
    <mergeCell ref="M13:O13"/>
    <mergeCell ref="M14:O14"/>
    <mergeCell ref="M10:O10"/>
    <mergeCell ref="P9:R9"/>
    <mergeCell ref="P11:R11"/>
    <mergeCell ref="P12:R12"/>
    <mergeCell ref="P13:R13"/>
    <mergeCell ref="P14:R14"/>
    <mergeCell ref="P10:R10"/>
    <mergeCell ref="S15:U15"/>
    <mergeCell ref="P16:R16"/>
    <mergeCell ref="P17:R17"/>
    <mergeCell ref="P18:R18"/>
    <mergeCell ref="P19:R19"/>
    <mergeCell ref="P15:R15"/>
    <mergeCell ref="S9:U9"/>
    <mergeCell ref="S11:U11"/>
    <mergeCell ref="S12:U12"/>
    <mergeCell ref="S13:U13"/>
    <mergeCell ref="S14:U14"/>
    <mergeCell ref="S10:U10"/>
    <mergeCell ref="B23:D23"/>
    <mergeCell ref="B22:U22"/>
    <mergeCell ref="S16:U16"/>
    <mergeCell ref="S17:U17"/>
    <mergeCell ref="S18:U18"/>
    <mergeCell ref="S19:U19"/>
    <mergeCell ref="S20:U20"/>
    <mergeCell ref="P20:R20"/>
    <mergeCell ref="M16:O16"/>
    <mergeCell ref="M17:O17"/>
    <mergeCell ref="M18:O18"/>
    <mergeCell ref="M19:O19"/>
    <mergeCell ref="M20:O20"/>
    <mergeCell ref="J20:L20"/>
    <mergeCell ref="G16:I16"/>
    <mergeCell ref="G17:I1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D3A5A-252E-44E6-B18A-14166051E785}">
  <dimension ref="A4:F327"/>
  <sheetViews>
    <sheetView topLeftCell="A16" zoomScale="70" zoomScaleNormal="70" workbookViewId="0">
      <selection activeCell="F6" sqref="F6"/>
    </sheetView>
  </sheetViews>
  <sheetFormatPr defaultRowHeight="13.8" x14ac:dyDescent="0.25"/>
  <cols>
    <col min="1" max="1" width="8.88671875" style="12"/>
    <col min="2" max="2" width="50" style="12" customWidth="1"/>
    <col min="3" max="3" width="20.77734375" style="12" customWidth="1"/>
    <col min="4" max="4" width="17.6640625" style="12" customWidth="1"/>
    <col min="5" max="5" width="39.77734375" style="12" customWidth="1"/>
    <col min="6" max="6" width="24.33203125" style="84" customWidth="1"/>
    <col min="7" max="16384" width="8.88671875" style="12"/>
  </cols>
  <sheetData>
    <row r="4" spans="1:6" x14ac:dyDescent="0.25">
      <c r="A4" s="87" t="s">
        <v>494</v>
      </c>
      <c r="B4" s="88" t="s">
        <v>732</v>
      </c>
      <c r="C4" s="88" t="s">
        <v>495</v>
      </c>
      <c r="D4" s="88" t="s">
        <v>240</v>
      </c>
      <c r="E4" s="88" t="s">
        <v>496</v>
      </c>
      <c r="F4" s="88" t="s">
        <v>97</v>
      </c>
    </row>
    <row r="5" spans="1:6" x14ac:dyDescent="0.25">
      <c r="B5" s="12" t="s">
        <v>753</v>
      </c>
      <c r="C5" s="12" t="s">
        <v>754</v>
      </c>
      <c r="D5" s="12" t="s">
        <v>499</v>
      </c>
      <c r="E5" s="12" t="s">
        <v>754</v>
      </c>
      <c r="F5" s="92">
        <f>'Debit Total'!O45</f>
        <v>0.5043028711519153</v>
      </c>
    </row>
    <row r="6" spans="1:6" x14ac:dyDescent="0.25">
      <c r="D6" s="12" t="s">
        <v>757</v>
      </c>
      <c r="E6" s="12" t="s">
        <v>755</v>
      </c>
      <c r="F6" s="92">
        <f>F5*86400</f>
        <v>43571.768067525481</v>
      </c>
    </row>
    <row r="7" spans="1:6" x14ac:dyDescent="0.25">
      <c r="B7" s="12" t="s">
        <v>756</v>
      </c>
      <c r="C7" s="12" t="s">
        <v>540</v>
      </c>
      <c r="D7" s="12" t="s">
        <v>499</v>
      </c>
      <c r="E7" s="12" t="s">
        <v>540</v>
      </c>
      <c r="F7" s="92">
        <f>'Debit Total'!P45</f>
        <v>0.90774516807344752</v>
      </c>
    </row>
    <row r="8" spans="1:6" x14ac:dyDescent="0.25">
      <c r="D8" s="12" t="s">
        <v>757</v>
      </c>
      <c r="E8" s="12" t="s">
        <v>758</v>
      </c>
      <c r="F8" s="92">
        <f>F7*86400</f>
        <v>78429.182521545867</v>
      </c>
    </row>
    <row r="9" spans="1:6" x14ac:dyDescent="0.25">
      <c r="B9" s="12" t="s">
        <v>850</v>
      </c>
      <c r="C9" s="12" t="s">
        <v>851</v>
      </c>
      <c r="D9" s="12" t="s">
        <v>757</v>
      </c>
      <c r="E9" s="12" t="s">
        <v>852</v>
      </c>
      <c r="F9" s="92">
        <f>(F7*86400)/2</f>
        <v>39214.591260772933</v>
      </c>
    </row>
    <row r="10" spans="1:6" x14ac:dyDescent="0.25">
      <c r="A10" s="90"/>
      <c r="B10" s="90" t="s">
        <v>835</v>
      </c>
      <c r="C10" s="90" t="s">
        <v>836</v>
      </c>
      <c r="D10" s="90" t="s">
        <v>757</v>
      </c>
      <c r="E10" s="90" t="s">
        <v>853</v>
      </c>
      <c r="F10" s="117">
        <f>(F5*86400)/2</f>
        <v>21785.884033762741</v>
      </c>
    </row>
    <row r="11" spans="1:6" x14ac:dyDescent="0.25">
      <c r="B11" s="12" t="s">
        <v>724</v>
      </c>
      <c r="C11" s="12" t="s">
        <v>761</v>
      </c>
      <c r="D11" s="12" t="s">
        <v>726</v>
      </c>
      <c r="E11" s="12" t="s">
        <v>513</v>
      </c>
      <c r="F11" s="92">
        <v>40</v>
      </c>
    </row>
    <row r="12" spans="1:6" x14ac:dyDescent="0.25">
      <c r="B12" s="12" t="s">
        <v>509</v>
      </c>
      <c r="C12" s="12" t="s">
        <v>510</v>
      </c>
      <c r="D12" s="12" t="s">
        <v>511</v>
      </c>
      <c r="E12" s="12" t="s">
        <v>762</v>
      </c>
      <c r="F12" s="92">
        <f>F6/F11</f>
        <v>1089.294201688137</v>
      </c>
    </row>
    <row r="13" spans="1:6" x14ac:dyDescent="0.25">
      <c r="B13" s="12" t="s">
        <v>508</v>
      </c>
      <c r="C13" s="12" t="s">
        <v>73</v>
      </c>
      <c r="D13" s="12" t="s">
        <v>444</v>
      </c>
      <c r="E13" s="12" t="s">
        <v>513</v>
      </c>
      <c r="F13" s="92">
        <v>12</v>
      </c>
    </row>
    <row r="14" spans="1:6" x14ac:dyDescent="0.25">
      <c r="E14" s="12" t="s">
        <v>832</v>
      </c>
      <c r="F14" s="92">
        <f>2*F13</f>
        <v>24</v>
      </c>
    </row>
    <row r="15" spans="1:6" x14ac:dyDescent="0.25">
      <c r="B15" s="12" t="s">
        <v>652</v>
      </c>
      <c r="C15" s="12" t="s">
        <v>591</v>
      </c>
      <c r="D15" s="12" t="s">
        <v>444</v>
      </c>
      <c r="E15" s="12" t="s">
        <v>763</v>
      </c>
      <c r="F15" s="105">
        <f>F12/F14</f>
        <v>45.387258403672377</v>
      </c>
    </row>
    <row r="16" spans="1:6" x14ac:dyDescent="0.25">
      <c r="B16" s="12" t="s">
        <v>764</v>
      </c>
      <c r="C16" s="12" t="s">
        <v>721</v>
      </c>
      <c r="D16" s="12" t="s">
        <v>444</v>
      </c>
      <c r="E16" s="12" t="s">
        <v>507</v>
      </c>
      <c r="F16" s="92">
        <v>4</v>
      </c>
    </row>
    <row r="17" spans="2:6" x14ac:dyDescent="0.25">
      <c r="B17" s="12" t="s">
        <v>765</v>
      </c>
      <c r="C17" s="12" t="s">
        <v>650</v>
      </c>
      <c r="D17" s="12" t="s">
        <v>601</v>
      </c>
      <c r="E17" s="12" t="s">
        <v>838</v>
      </c>
      <c r="F17" s="105">
        <f>F16*(2*(F15*F13))</f>
        <v>4357.1768067525481</v>
      </c>
    </row>
    <row r="18" spans="2:6" x14ac:dyDescent="0.25">
      <c r="B18" s="12" t="s">
        <v>766</v>
      </c>
      <c r="C18" s="12" t="s">
        <v>767</v>
      </c>
      <c r="D18" s="12" t="s">
        <v>726</v>
      </c>
      <c r="E18" s="12" t="s">
        <v>839</v>
      </c>
      <c r="F18" s="92">
        <f>F6/(2*(F13*F15))</f>
        <v>40</v>
      </c>
    </row>
    <row r="19" spans="2:6" x14ac:dyDescent="0.25">
      <c r="B19" s="12" t="s">
        <v>453</v>
      </c>
      <c r="C19" s="12" t="s">
        <v>739</v>
      </c>
      <c r="D19" s="12" t="s">
        <v>768</v>
      </c>
      <c r="E19" s="12" t="s">
        <v>769</v>
      </c>
      <c r="F19" s="84">
        <f>(F17*24)/F6</f>
        <v>2.4</v>
      </c>
    </row>
    <row r="20" spans="2:6" x14ac:dyDescent="0.25">
      <c r="B20" s="12" t="s">
        <v>770</v>
      </c>
      <c r="C20" s="12" t="s">
        <v>771</v>
      </c>
      <c r="D20" s="12" t="str">
        <f>D18</f>
        <v>m3/m2.d</v>
      </c>
      <c r="E20" s="12" t="s">
        <v>840</v>
      </c>
      <c r="F20" s="84">
        <f>F8/(2*(F13*F15))</f>
        <v>72</v>
      </c>
    </row>
    <row r="21" spans="2:6" x14ac:dyDescent="0.25">
      <c r="B21" s="12" t="s">
        <v>772</v>
      </c>
      <c r="C21" s="12" t="s">
        <v>773</v>
      </c>
      <c r="D21" s="12" t="s">
        <v>768</v>
      </c>
      <c r="E21" s="12" t="s">
        <v>789</v>
      </c>
      <c r="F21" s="92">
        <f>(F17*24)/F8</f>
        <v>1.3333333333333333</v>
      </c>
    </row>
    <row r="22" spans="2:6" x14ac:dyDescent="0.25">
      <c r="B22" s="12" t="s">
        <v>774</v>
      </c>
      <c r="C22" s="12" t="s">
        <v>775</v>
      </c>
      <c r="E22" s="12" t="s">
        <v>776</v>
      </c>
      <c r="F22" s="92">
        <v>0.05</v>
      </c>
    </row>
    <row r="23" spans="2:6" x14ac:dyDescent="0.25">
      <c r="B23" s="12" t="s">
        <v>777</v>
      </c>
      <c r="C23" s="12" t="s">
        <v>778</v>
      </c>
      <c r="E23" s="12" t="s">
        <v>776</v>
      </c>
      <c r="F23" s="92">
        <v>1.25</v>
      </c>
    </row>
    <row r="24" spans="2:6" x14ac:dyDescent="0.25">
      <c r="B24" s="12" t="s">
        <v>779</v>
      </c>
      <c r="C24" s="12" t="s">
        <v>780</v>
      </c>
      <c r="D24" s="12" t="s">
        <v>781</v>
      </c>
      <c r="E24" s="12" t="s">
        <v>776</v>
      </c>
      <c r="F24" s="92">
        <v>9.81</v>
      </c>
    </row>
    <row r="25" spans="2:6" x14ac:dyDescent="0.25">
      <c r="B25" s="12" t="s">
        <v>782</v>
      </c>
      <c r="C25" s="12" t="s">
        <v>568</v>
      </c>
      <c r="D25" s="12" t="s">
        <v>783</v>
      </c>
      <c r="E25" s="12" t="s">
        <v>776</v>
      </c>
      <c r="F25" s="92">
        <v>100</v>
      </c>
    </row>
    <row r="26" spans="2:6" x14ac:dyDescent="0.25">
      <c r="D26" s="12" t="s">
        <v>444</v>
      </c>
      <c r="E26" s="12" t="s">
        <v>784</v>
      </c>
      <c r="F26" s="118">
        <f>F25*(10^-6)</f>
        <v>9.9999999999999991E-5</v>
      </c>
    </row>
    <row r="27" spans="2:6" x14ac:dyDescent="0.25">
      <c r="B27" s="12" t="s">
        <v>785</v>
      </c>
      <c r="C27" s="12" t="s">
        <v>786</v>
      </c>
      <c r="E27" s="12" t="s">
        <v>776</v>
      </c>
      <c r="F27" s="89">
        <v>2.5000000000000001E-2</v>
      </c>
    </row>
    <row r="28" spans="2:6" x14ac:dyDescent="0.25">
      <c r="B28" s="12" t="s">
        <v>787</v>
      </c>
      <c r="C28" s="12" t="s">
        <v>788</v>
      </c>
      <c r="D28" s="12" t="s">
        <v>427</v>
      </c>
      <c r="E28" s="12" t="s">
        <v>790</v>
      </c>
      <c r="F28" s="92">
        <f>((8*F22*(F23-1)*(F24)*(F26))/(F27))^(1/2)</f>
        <v>6.2641839053463294E-2</v>
      </c>
    </row>
    <row r="29" spans="2:6" x14ac:dyDescent="0.25">
      <c r="B29" s="12" t="s">
        <v>791</v>
      </c>
      <c r="C29" s="12" t="s">
        <v>792</v>
      </c>
      <c r="D29" s="12" t="s">
        <v>427</v>
      </c>
      <c r="E29" s="12" t="s">
        <v>793</v>
      </c>
      <c r="F29" s="89">
        <f>(F8/(2*(F13*F16)))*(1/(24*3600))</f>
        <v>9.4556788340984105E-3</v>
      </c>
    </row>
    <row r="30" spans="2:6" x14ac:dyDescent="0.25">
      <c r="B30" s="12" t="s">
        <v>833</v>
      </c>
      <c r="C30" s="12" t="s">
        <v>834</v>
      </c>
      <c r="D30" s="12" t="s">
        <v>726</v>
      </c>
      <c r="E30" s="12" t="s">
        <v>837</v>
      </c>
      <c r="F30" s="89">
        <f>F10/(F15*F14)</f>
        <v>20</v>
      </c>
    </row>
    <row r="31" spans="2:6" x14ac:dyDescent="0.25">
      <c r="B31" s="12" t="s">
        <v>803</v>
      </c>
      <c r="C31" s="12" t="s">
        <v>798</v>
      </c>
      <c r="E31" s="12" t="s">
        <v>776</v>
      </c>
      <c r="F31" s="89">
        <v>1.7999999999999999E-2</v>
      </c>
    </row>
    <row r="32" spans="2:6" x14ac:dyDescent="0.25">
      <c r="B32" s="12" t="s">
        <v>804</v>
      </c>
      <c r="C32" s="12" t="s">
        <v>797</v>
      </c>
      <c r="E32" s="12" t="s">
        <v>776</v>
      </c>
      <c r="F32" s="89">
        <v>0.02</v>
      </c>
    </row>
    <row r="33" spans="1:6" x14ac:dyDescent="0.25">
      <c r="B33" s="12" t="s">
        <v>800</v>
      </c>
      <c r="C33" s="12" t="s">
        <v>801</v>
      </c>
      <c r="D33" s="12" t="s">
        <v>716</v>
      </c>
      <c r="E33" s="12" t="s">
        <v>802</v>
      </c>
      <c r="F33" s="119">
        <f>F19/($F$31+($F$32*F19))</f>
        <v>36.36363636363636</v>
      </c>
    </row>
    <row r="34" spans="1:6" x14ac:dyDescent="0.25">
      <c r="B34" s="12" t="s">
        <v>806</v>
      </c>
      <c r="C34" s="12" t="s">
        <v>807</v>
      </c>
      <c r="D34" s="12" t="s">
        <v>716</v>
      </c>
      <c r="E34" s="12" t="s">
        <v>808</v>
      </c>
      <c r="F34" s="92">
        <f>F21/($F$31+($F$32*F21))</f>
        <v>29.850746268656721</v>
      </c>
    </row>
    <row r="35" spans="1:6" x14ac:dyDescent="0.25">
      <c r="B35" s="12" t="s">
        <v>805</v>
      </c>
      <c r="C35" s="12" t="s">
        <v>810</v>
      </c>
      <c r="E35" s="12" t="s">
        <v>776</v>
      </c>
      <c r="F35" s="118">
        <v>7.4999999999999997E-3</v>
      </c>
    </row>
    <row r="36" spans="1:6" x14ac:dyDescent="0.25">
      <c r="B36" s="12" t="s">
        <v>809</v>
      </c>
      <c r="C36" s="12" t="s">
        <v>811</v>
      </c>
      <c r="E36" s="12" t="s">
        <v>776</v>
      </c>
      <c r="F36" s="89">
        <v>1.4E-2</v>
      </c>
    </row>
    <row r="37" spans="1:6" x14ac:dyDescent="0.25">
      <c r="B37" s="12" t="s">
        <v>812</v>
      </c>
      <c r="C37" s="12" t="s">
        <v>814</v>
      </c>
      <c r="D37" s="12" t="s">
        <v>716</v>
      </c>
      <c r="E37" s="12" t="s">
        <v>816</v>
      </c>
      <c r="F37" s="119">
        <f>F19/($F$35+($F$36*F19))</f>
        <v>58.394160583941606</v>
      </c>
    </row>
    <row r="38" spans="1:6" x14ac:dyDescent="0.25">
      <c r="B38" s="12" t="s">
        <v>813</v>
      </c>
      <c r="C38" s="12" t="s">
        <v>815</v>
      </c>
      <c r="D38" s="12" t="s">
        <v>716</v>
      </c>
      <c r="E38" s="12" t="s">
        <v>817</v>
      </c>
      <c r="F38" s="92">
        <f>F21/($F$35+($F$36*F21))</f>
        <v>50.955414012738856</v>
      </c>
    </row>
    <row r="39" spans="1:6" x14ac:dyDescent="0.25">
      <c r="A39" s="96"/>
      <c r="B39" s="97" t="s">
        <v>539</v>
      </c>
      <c r="C39" s="98"/>
      <c r="D39" s="98"/>
      <c r="E39" s="98"/>
      <c r="F39" s="98"/>
    </row>
    <row r="40" spans="1:6" x14ac:dyDescent="0.25">
      <c r="A40" s="99"/>
      <c r="B40" s="100" t="s">
        <v>587</v>
      </c>
      <c r="C40" s="100" t="s">
        <v>73</v>
      </c>
      <c r="D40" s="100" t="s">
        <v>444</v>
      </c>
      <c r="E40" s="100"/>
      <c r="F40" s="120">
        <f>F14</f>
        <v>24</v>
      </c>
    </row>
    <row r="41" spans="1:6" x14ac:dyDescent="0.25">
      <c r="A41" s="99"/>
      <c r="B41" s="100" t="s">
        <v>588</v>
      </c>
      <c r="C41" s="100" t="s">
        <v>591</v>
      </c>
      <c r="D41" s="100" t="s">
        <v>444</v>
      </c>
      <c r="E41" s="100"/>
      <c r="F41" s="120">
        <f>F15</f>
        <v>45.387258403672377</v>
      </c>
    </row>
    <row r="42" spans="1:6" x14ac:dyDescent="0.25">
      <c r="A42" s="102"/>
      <c r="B42" s="103" t="s">
        <v>589</v>
      </c>
      <c r="C42" s="103" t="s">
        <v>592</v>
      </c>
      <c r="D42" s="103" t="s">
        <v>444</v>
      </c>
      <c r="E42" s="103"/>
      <c r="F42" s="121">
        <f>F16</f>
        <v>4</v>
      </c>
    </row>
    <row r="43" spans="1:6" x14ac:dyDescent="0.25">
      <c r="B43" s="84" t="s">
        <v>820</v>
      </c>
      <c r="C43" s="84" t="s">
        <v>821</v>
      </c>
      <c r="D43" s="84" t="s">
        <v>716</v>
      </c>
      <c r="E43" s="84" t="s">
        <v>776</v>
      </c>
      <c r="F43" s="105">
        <v>5</v>
      </c>
    </row>
    <row r="44" spans="1:6" x14ac:dyDescent="0.25">
      <c r="B44" s="84" t="s">
        <v>822</v>
      </c>
      <c r="C44" s="84" t="s">
        <v>823</v>
      </c>
      <c r="D44" s="84"/>
      <c r="E44" s="84" t="s">
        <v>776</v>
      </c>
      <c r="F44" s="92">
        <v>1.03</v>
      </c>
    </row>
    <row r="45" spans="1:6" x14ac:dyDescent="0.25">
      <c r="A45" s="90"/>
      <c r="B45" s="86" t="s">
        <v>818</v>
      </c>
      <c r="C45" s="86" t="s">
        <v>819</v>
      </c>
      <c r="D45" s="86" t="s">
        <v>757</v>
      </c>
      <c r="E45" s="90" t="s">
        <v>824</v>
      </c>
      <c r="F45" s="117">
        <f>(F37*1000)/(F43%*F44*(10^6))</f>
        <v>1.1338671958046913</v>
      </c>
    </row>
    <row r="46" spans="1:6" x14ac:dyDescent="0.25">
      <c r="B46" s="84" t="s">
        <v>825</v>
      </c>
      <c r="C46" s="84" t="s">
        <v>826</v>
      </c>
      <c r="D46" s="84" t="s">
        <v>427</v>
      </c>
      <c r="E46" s="84" t="s">
        <v>776</v>
      </c>
      <c r="F46" s="92">
        <v>1.5</v>
      </c>
    </row>
    <row r="47" spans="1:6" x14ac:dyDescent="0.25">
      <c r="B47" s="84" t="s">
        <v>827</v>
      </c>
      <c r="C47" s="84" t="s">
        <v>497</v>
      </c>
      <c r="D47" s="84" t="s">
        <v>499</v>
      </c>
      <c r="E47" s="84" t="s">
        <v>754</v>
      </c>
      <c r="F47" s="92">
        <f>F5</f>
        <v>0.5043028711519153</v>
      </c>
    </row>
    <row r="48" spans="1:6" x14ac:dyDescent="0.25">
      <c r="A48" s="90"/>
      <c r="B48" s="86" t="s">
        <v>828</v>
      </c>
      <c r="C48" s="86" t="s">
        <v>829</v>
      </c>
      <c r="D48" s="86" t="s">
        <v>511</v>
      </c>
      <c r="E48" s="86" t="s">
        <v>830</v>
      </c>
      <c r="F48" s="117">
        <f>F47/F46</f>
        <v>0.33620191410127687</v>
      </c>
    </row>
    <row r="49" spans="1:6" x14ac:dyDescent="0.25">
      <c r="A49" s="122"/>
      <c r="B49" s="123" t="s">
        <v>725</v>
      </c>
      <c r="C49" s="123" t="s">
        <v>845</v>
      </c>
      <c r="D49" s="123" t="s">
        <v>727</v>
      </c>
      <c r="E49" s="123" t="s">
        <v>513</v>
      </c>
      <c r="F49" s="124">
        <v>496</v>
      </c>
    </row>
    <row r="50" spans="1:6" x14ac:dyDescent="0.25">
      <c r="A50" s="122"/>
      <c r="B50" s="123" t="s">
        <v>843</v>
      </c>
      <c r="C50" s="123" t="s">
        <v>844</v>
      </c>
      <c r="D50" s="123" t="s">
        <v>444</v>
      </c>
      <c r="E50" s="123" t="s">
        <v>854</v>
      </c>
      <c r="F50" s="124">
        <f>F9/F49</f>
        <v>79.061675928977692</v>
      </c>
    </row>
    <row r="51" spans="1:6" x14ac:dyDescent="0.25">
      <c r="B51" s="84" t="s">
        <v>855</v>
      </c>
      <c r="C51" s="84" t="s">
        <v>856</v>
      </c>
      <c r="D51" s="84"/>
      <c r="E51" s="84" t="s">
        <v>857</v>
      </c>
      <c r="F51" s="105">
        <f>5*F50</f>
        <v>395.30837964488848</v>
      </c>
    </row>
    <row r="52" spans="1:6" x14ac:dyDescent="0.25">
      <c r="F52" s="92"/>
    </row>
    <row r="53" spans="1:6" x14ac:dyDescent="0.25">
      <c r="F53" s="92"/>
    </row>
    <row r="54" spans="1:6" x14ac:dyDescent="0.25">
      <c r="F54" s="92"/>
    </row>
    <row r="55" spans="1:6" x14ac:dyDescent="0.25">
      <c r="F55" s="92"/>
    </row>
    <row r="56" spans="1:6" x14ac:dyDescent="0.25">
      <c r="F56" s="92"/>
    </row>
    <row r="57" spans="1:6" x14ac:dyDescent="0.25">
      <c r="F57" s="92"/>
    </row>
    <row r="58" spans="1:6" x14ac:dyDescent="0.25">
      <c r="F58" s="92"/>
    </row>
    <row r="59" spans="1:6" x14ac:dyDescent="0.25">
      <c r="F59" s="92"/>
    </row>
    <row r="60" spans="1:6" x14ac:dyDescent="0.25">
      <c r="F60" s="92"/>
    </row>
    <row r="61" spans="1:6" x14ac:dyDescent="0.25">
      <c r="F61" s="92"/>
    </row>
    <row r="62" spans="1:6" x14ac:dyDescent="0.25">
      <c r="F62" s="92"/>
    </row>
    <row r="63" spans="1:6" x14ac:dyDescent="0.25">
      <c r="F63" s="92"/>
    </row>
    <row r="64" spans="1:6" x14ac:dyDescent="0.25">
      <c r="F64" s="92"/>
    </row>
    <row r="65" spans="6:6" x14ac:dyDescent="0.25">
      <c r="F65" s="92"/>
    </row>
    <row r="66" spans="6:6" x14ac:dyDescent="0.25">
      <c r="F66" s="92"/>
    </row>
    <row r="67" spans="6:6" x14ac:dyDescent="0.25">
      <c r="F67" s="92"/>
    </row>
    <row r="68" spans="6:6" x14ac:dyDescent="0.25">
      <c r="F68" s="92"/>
    </row>
    <row r="69" spans="6:6" x14ac:dyDescent="0.25">
      <c r="F69" s="92"/>
    </row>
    <row r="70" spans="6:6" x14ac:dyDescent="0.25">
      <c r="F70" s="92"/>
    </row>
    <row r="71" spans="6:6" x14ac:dyDescent="0.25">
      <c r="F71" s="92"/>
    </row>
    <row r="72" spans="6:6" x14ac:dyDescent="0.25">
      <c r="F72" s="92"/>
    </row>
    <row r="73" spans="6:6" x14ac:dyDescent="0.25">
      <c r="F73" s="92"/>
    </row>
    <row r="74" spans="6:6" x14ac:dyDescent="0.25">
      <c r="F74" s="92"/>
    </row>
    <row r="75" spans="6:6" x14ac:dyDescent="0.25">
      <c r="F75" s="92"/>
    </row>
    <row r="76" spans="6:6" x14ac:dyDescent="0.25">
      <c r="F76" s="92"/>
    </row>
    <row r="77" spans="6:6" x14ac:dyDescent="0.25">
      <c r="F77" s="92"/>
    </row>
    <row r="78" spans="6:6" x14ac:dyDescent="0.25">
      <c r="F78" s="92"/>
    </row>
    <row r="79" spans="6:6" x14ac:dyDescent="0.25">
      <c r="F79" s="92"/>
    </row>
    <row r="80" spans="6:6" x14ac:dyDescent="0.25">
      <c r="F80" s="92"/>
    </row>
    <row r="81" spans="6:6" x14ac:dyDescent="0.25">
      <c r="F81" s="92"/>
    </row>
    <row r="82" spans="6:6" x14ac:dyDescent="0.25">
      <c r="F82" s="92"/>
    </row>
    <row r="83" spans="6:6" x14ac:dyDescent="0.25">
      <c r="F83" s="92"/>
    </row>
    <row r="84" spans="6:6" x14ac:dyDescent="0.25">
      <c r="F84" s="92"/>
    </row>
    <row r="85" spans="6:6" x14ac:dyDescent="0.25">
      <c r="F85" s="92"/>
    </row>
    <row r="86" spans="6:6" x14ac:dyDescent="0.25">
      <c r="F86" s="92"/>
    </row>
    <row r="87" spans="6:6" x14ac:dyDescent="0.25">
      <c r="F87" s="92"/>
    </row>
    <row r="88" spans="6:6" x14ac:dyDescent="0.25">
      <c r="F88" s="92"/>
    </row>
    <row r="89" spans="6:6" x14ac:dyDescent="0.25">
      <c r="F89" s="92"/>
    </row>
    <row r="90" spans="6:6" x14ac:dyDescent="0.25">
      <c r="F90" s="92"/>
    </row>
    <row r="91" spans="6:6" x14ac:dyDescent="0.25">
      <c r="F91" s="92"/>
    </row>
    <row r="92" spans="6:6" x14ac:dyDescent="0.25">
      <c r="F92" s="92"/>
    </row>
    <row r="93" spans="6:6" x14ac:dyDescent="0.25">
      <c r="F93" s="92"/>
    </row>
    <row r="94" spans="6:6" x14ac:dyDescent="0.25">
      <c r="F94" s="92"/>
    </row>
    <row r="95" spans="6:6" x14ac:dyDescent="0.25">
      <c r="F95" s="92"/>
    </row>
    <row r="96" spans="6:6" x14ac:dyDescent="0.25">
      <c r="F96" s="92"/>
    </row>
    <row r="97" spans="6:6" x14ac:dyDescent="0.25">
      <c r="F97" s="92"/>
    </row>
    <row r="98" spans="6:6" x14ac:dyDescent="0.25">
      <c r="F98" s="92"/>
    </row>
    <row r="99" spans="6:6" x14ac:dyDescent="0.25">
      <c r="F99" s="92"/>
    </row>
    <row r="100" spans="6:6" x14ac:dyDescent="0.25">
      <c r="F100" s="92"/>
    </row>
    <row r="101" spans="6:6" x14ac:dyDescent="0.25">
      <c r="F101" s="92"/>
    </row>
    <row r="102" spans="6:6" x14ac:dyDescent="0.25">
      <c r="F102" s="92"/>
    </row>
    <row r="103" spans="6:6" x14ac:dyDescent="0.25">
      <c r="F103" s="92"/>
    </row>
    <row r="104" spans="6:6" x14ac:dyDescent="0.25">
      <c r="F104" s="92"/>
    </row>
    <row r="105" spans="6:6" x14ac:dyDescent="0.25">
      <c r="F105" s="92"/>
    </row>
    <row r="106" spans="6:6" x14ac:dyDescent="0.25">
      <c r="F106" s="92"/>
    </row>
    <row r="107" spans="6:6" x14ac:dyDescent="0.25">
      <c r="F107" s="92"/>
    </row>
    <row r="108" spans="6:6" x14ac:dyDescent="0.25">
      <c r="F108" s="92"/>
    </row>
    <row r="109" spans="6:6" x14ac:dyDescent="0.25">
      <c r="F109" s="92"/>
    </row>
    <row r="110" spans="6:6" x14ac:dyDescent="0.25">
      <c r="F110" s="92"/>
    </row>
    <row r="111" spans="6:6" x14ac:dyDescent="0.25">
      <c r="F111" s="92"/>
    </row>
    <row r="112" spans="6:6" x14ac:dyDescent="0.25">
      <c r="F112" s="92"/>
    </row>
    <row r="113" spans="6:6" x14ac:dyDescent="0.25">
      <c r="F113" s="92"/>
    </row>
    <row r="114" spans="6:6" x14ac:dyDescent="0.25">
      <c r="F114" s="92"/>
    </row>
    <row r="115" spans="6:6" x14ac:dyDescent="0.25">
      <c r="F115" s="92"/>
    </row>
    <row r="116" spans="6:6" x14ac:dyDescent="0.25">
      <c r="F116" s="92"/>
    </row>
    <row r="117" spans="6:6" x14ac:dyDescent="0.25">
      <c r="F117" s="92"/>
    </row>
    <row r="118" spans="6:6" x14ac:dyDescent="0.25">
      <c r="F118" s="92"/>
    </row>
    <row r="119" spans="6:6" x14ac:dyDescent="0.25">
      <c r="F119" s="92"/>
    </row>
    <row r="120" spans="6:6" x14ac:dyDescent="0.25">
      <c r="F120" s="92"/>
    </row>
    <row r="121" spans="6:6" x14ac:dyDescent="0.25">
      <c r="F121" s="92"/>
    </row>
    <row r="122" spans="6:6" x14ac:dyDescent="0.25">
      <c r="F122" s="92"/>
    </row>
    <row r="123" spans="6:6" x14ac:dyDescent="0.25">
      <c r="F123" s="92"/>
    </row>
    <row r="124" spans="6:6" x14ac:dyDescent="0.25">
      <c r="F124" s="92"/>
    </row>
    <row r="125" spans="6:6" x14ac:dyDescent="0.25">
      <c r="F125" s="92"/>
    </row>
    <row r="126" spans="6:6" x14ac:dyDescent="0.25">
      <c r="F126" s="92"/>
    </row>
    <row r="127" spans="6:6" x14ac:dyDescent="0.25">
      <c r="F127" s="92"/>
    </row>
    <row r="128" spans="6:6" x14ac:dyDescent="0.25">
      <c r="F128" s="92"/>
    </row>
    <row r="129" spans="6:6" x14ac:dyDescent="0.25">
      <c r="F129" s="92"/>
    </row>
    <row r="130" spans="6:6" x14ac:dyDescent="0.25">
      <c r="F130" s="92"/>
    </row>
    <row r="131" spans="6:6" x14ac:dyDescent="0.25">
      <c r="F131" s="92"/>
    </row>
    <row r="132" spans="6:6" x14ac:dyDescent="0.25">
      <c r="F132" s="92"/>
    </row>
    <row r="133" spans="6:6" x14ac:dyDescent="0.25">
      <c r="F133" s="92"/>
    </row>
    <row r="134" spans="6:6" x14ac:dyDescent="0.25">
      <c r="F134" s="92"/>
    </row>
    <row r="135" spans="6:6" x14ac:dyDescent="0.25">
      <c r="F135" s="92"/>
    </row>
    <row r="136" spans="6:6" x14ac:dyDescent="0.25">
      <c r="F136" s="92"/>
    </row>
    <row r="137" spans="6:6" x14ac:dyDescent="0.25">
      <c r="F137" s="92"/>
    </row>
    <row r="138" spans="6:6" x14ac:dyDescent="0.25">
      <c r="F138" s="92"/>
    </row>
    <row r="139" spans="6:6" x14ac:dyDescent="0.25">
      <c r="F139" s="92"/>
    </row>
    <row r="140" spans="6:6" x14ac:dyDescent="0.25">
      <c r="F140" s="92"/>
    </row>
    <row r="141" spans="6:6" x14ac:dyDescent="0.25">
      <c r="F141" s="92"/>
    </row>
    <row r="142" spans="6:6" x14ac:dyDescent="0.25">
      <c r="F142" s="92"/>
    </row>
    <row r="143" spans="6:6" x14ac:dyDescent="0.25">
      <c r="F143" s="92"/>
    </row>
    <row r="144" spans="6:6" x14ac:dyDescent="0.25">
      <c r="F144" s="92"/>
    </row>
    <row r="145" spans="6:6" x14ac:dyDescent="0.25">
      <c r="F145" s="92"/>
    </row>
    <row r="146" spans="6:6" x14ac:dyDescent="0.25">
      <c r="F146" s="92"/>
    </row>
    <row r="147" spans="6:6" x14ac:dyDescent="0.25">
      <c r="F147" s="92"/>
    </row>
    <row r="148" spans="6:6" x14ac:dyDescent="0.25">
      <c r="F148" s="92"/>
    </row>
    <row r="149" spans="6:6" x14ac:dyDescent="0.25">
      <c r="F149" s="92"/>
    </row>
    <row r="150" spans="6:6" x14ac:dyDescent="0.25">
      <c r="F150" s="92"/>
    </row>
    <row r="151" spans="6:6" x14ac:dyDescent="0.25">
      <c r="F151" s="92"/>
    </row>
    <row r="152" spans="6:6" x14ac:dyDescent="0.25">
      <c r="F152" s="92"/>
    </row>
    <row r="153" spans="6:6" x14ac:dyDescent="0.25">
      <c r="F153" s="92"/>
    </row>
    <row r="154" spans="6:6" x14ac:dyDescent="0.25">
      <c r="F154" s="92"/>
    </row>
    <row r="155" spans="6:6" x14ac:dyDescent="0.25">
      <c r="F155" s="92"/>
    </row>
    <row r="156" spans="6:6" x14ac:dyDescent="0.25">
      <c r="F156" s="92"/>
    </row>
    <row r="157" spans="6:6" x14ac:dyDescent="0.25">
      <c r="F157" s="92"/>
    </row>
    <row r="158" spans="6:6" x14ac:dyDescent="0.25">
      <c r="F158" s="92"/>
    </row>
    <row r="159" spans="6:6" x14ac:dyDescent="0.25">
      <c r="F159" s="92"/>
    </row>
    <row r="160" spans="6:6" x14ac:dyDescent="0.25">
      <c r="F160" s="92"/>
    </row>
    <row r="161" spans="6:6" x14ac:dyDescent="0.25">
      <c r="F161" s="92"/>
    </row>
    <row r="162" spans="6:6" x14ac:dyDescent="0.25">
      <c r="F162" s="92"/>
    </row>
    <row r="163" spans="6:6" x14ac:dyDescent="0.25">
      <c r="F163" s="92"/>
    </row>
    <row r="164" spans="6:6" x14ac:dyDescent="0.25">
      <c r="F164" s="92"/>
    </row>
    <row r="165" spans="6:6" x14ac:dyDescent="0.25">
      <c r="F165" s="92"/>
    </row>
    <row r="166" spans="6:6" x14ac:dyDescent="0.25">
      <c r="F166" s="92"/>
    </row>
    <row r="167" spans="6:6" x14ac:dyDescent="0.25">
      <c r="F167" s="92"/>
    </row>
    <row r="168" spans="6:6" x14ac:dyDescent="0.25">
      <c r="F168" s="92"/>
    </row>
    <row r="169" spans="6:6" x14ac:dyDescent="0.25">
      <c r="F169" s="92"/>
    </row>
    <row r="170" spans="6:6" x14ac:dyDescent="0.25">
      <c r="F170" s="92"/>
    </row>
    <row r="171" spans="6:6" x14ac:dyDescent="0.25">
      <c r="F171" s="92"/>
    </row>
    <row r="172" spans="6:6" x14ac:dyDescent="0.25">
      <c r="F172" s="92"/>
    </row>
    <row r="173" spans="6:6" x14ac:dyDescent="0.25">
      <c r="F173" s="92"/>
    </row>
    <row r="174" spans="6:6" x14ac:dyDescent="0.25">
      <c r="F174" s="92"/>
    </row>
    <row r="175" spans="6:6" x14ac:dyDescent="0.25">
      <c r="F175" s="92"/>
    </row>
    <row r="176" spans="6:6" x14ac:dyDescent="0.25">
      <c r="F176" s="92"/>
    </row>
    <row r="177" spans="6:6" x14ac:dyDescent="0.25">
      <c r="F177" s="92"/>
    </row>
    <row r="178" spans="6:6" x14ac:dyDescent="0.25">
      <c r="F178" s="92"/>
    </row>
    <row r="179" spans="6:6" x14ac:dyDescent="0.25">
      <c r="F179" s="92"/>
    </row>
    <row r="180" spans="6:6" x14ac:dyDescent="0.25">
      <c r="F180" s="92"/>
    </row>
    <row r="181" spans="6:6" x14ac:dyDescent="0.25">
      <c r="F181" s="92"/>
    </row>
    <row r="182" spans="6:6" x14ac:dyDescent="0.25">
      <c r="F182" s="92"/>
    </row>
    <row r="183" spans="6:6" x14ac:dyDescent="0.25">
      <c r="F183" s="92"/>
    </row>
    <row r="184" spans="6:6" x14ac:dyDescent="0.25">
      <c r="F184" s="92"/>
    </row>
    <row r="185" spans="6:6" x14ac:dyDescent="0.25">
      <c r="F185" s="92"/>
    </row>
    <row r="186" spans="6:6" x14ac:dyDescent="0.25">
      <c r="F186" s="92"/>
    </row>
    <row r="187" spans="6:6" x14ac:dyDescent="0.25">
      <c r="F187" s="92"/>
    </row>
    <row r="188" spans="6:6" x14ac:dyDescent="0.25">
      <c r="F188" s="92"/>
    </row>
    <row r="189" spans="6:6" x14ac:dyDescent="0.25">
      <c r="F189" s="92"/>
    </row>
    <row r="190" spans="6:6" x14ac:dyDescent="0.25">
      <c r="F190" s="92"/>
    </row>
    <row r="191" spans="6:6" x14ac:dyDescent="0.25">
      <c r="F191" s="92"/>
    </row>
    <row r="192" spans="6:6" x14ac:dyDescent="0.25">
      <c r="F192" s="92"/>
    </row>
    <row r="193" spans="6:6" x14ac:dyDescent="0.25">
      <c r="F193" s="92"/>
    </row>
    <row r="194" spans="6:6" x14ac:dyDescent="0.25">
      <c r="F194" s="92"/>
    </row>
    <row r="195" spans="6:6" x14ac:dyDescent="0.25">
      <c r="F195" s="92"/>
    </row>
    <row r="196" spans="6:6" x14ac:dyDescent="0.25">
      <c r="F196" s="92"/>
    </row>
    <row r="197" spans="6:6" x14ac:dyDescent="0.25">
      <c r="F197" s="92"/>
    </row>
    <row r="198" spans="6:6" x14ac:dyDescent="0.25">
      <c r="F198" s="92"/>
    </row>
    <row r="199" spans="6:6" x14ac:dyDescent="0.25">
      <c r="F199" s="92"/>
    </row>
    <row r="200" spans="6:6" x14ac:dyDescent="0.25">
      <c r="F200" s="92"/>
    </row>
    <row r="201" spans="6:6" x14ac:dyDescent="0.25">
      <c r="F201" s="92"/>
    </row>
    <row r="202" spans="6:6" x14ac:dyDescent="0.25">
      <c r="F202" s="92"/>
    </row>
    <row r="203" spans="6:6" x14ac:dyDescent="0.25">
      <c r="F203" s="92"/>
    </row>
    <row r="204" spans="6:6" x14ac:dyDescent="0.25">
      <c r="F204" s="92"/>
    </row>
    <row r="205" spans="6:6" x14ac:dyDescent="0.25">
      <c r="F205" s="92"/>
    </row>
    <row r="206" spans="6:6" x14ac:dyDescent="0.25">
      <c r="F206" s="92"/>
    </row>
    <row r="207" spans="6:6" x14ac:dyDescent="0.25">
      <c r="F207" s="92"/>
    </row>
    <row r="208" spans="6:6" x14ac:dyDescent="0.25">
      <c r="F208" s="92"/>
    </row>
    <row r="209" spans="6:6" x14ac:dyDescent="0.25">
      <c r="F209" s="92"/>
    </row>
    <row r="210" spans="6:6" x14ac:dyDescent="0.25">
      <c r="F210" s="92"/>
    </row>
    <row r="211" spans="6:6" x14ac:dyDescent="0.25">
      <c r="F211" s="92"/>
    </row>
    <row r="212" spans="6:6" x14ac:dyDescent="0.25">
      <c r="F212" s="92"/>
    </row>
    <row r="213" spans="6:6" x14ac:dyDescent="0.25">
      <c r="F213" s="92"/>
    </row>
    <row r="214" spans="6:6" x14ac:dyDescent="0.25">
      <c r="F214" s="92"/>
    </row>
    <row r="215" spans="6:6" x14ac:dyDescent="0.25">
      <c r="F215" s="92"/>
    </row>
    <row r="216" spans="6:6" x14ac:dyDescent="0.25">
      <c r="F216" s="92"/>
    </row>
    <row r="217" spans="6:6" x14ac:dyDescent="0.25">
      <c r="F217" s="92"/>
    </row>
    <row r="218" spans="6:6" x14ac:dyDescent="0.25">
      <c r="F218" s="92"/>
    </row>
    <row r="219" spans="6:6" x14ac:dyDescent="0.25">
      <c r="F219" s="92"/>
    </row>
    <row r="220" spans="6:6" x14ac:dyDescent="0.25">
      <c r="F220" s="92"/>
    </row>
    <row r="221" spans="6:6" x14ac:dyDescent="0.25">
      <c r="F221" s="92"/>
    </row>
    <row r="222" spans="6:6" x14ac:dyDescent="0.25">
      <c r="F222" s="92"/>
    </row>
    <row r="223" spans="6:6" x14ac:dyDescent="0.25">
      <c r="F223" s="92"/>
    </row>
    <row r="224" spans="6:6" x14ac:dyDescent="0.25">
      <c r="F224" s="92"/>
    </row>
    <row r="225" spans="6:6" x14ac:dyDescent="0.25">
      <c r="F225" s="92"/>
    </row>
    <row r="226" spans="6:6" x14ac:dyDescent="0.25">
      <c r="F226" s="92"/>
    </row>
    <row r="227" spans="6:6" x14ac:dyDescent="0.25">
      <c r="F227" s="92"/>
    </row>
    <row r="228" spans="6:6" x14ac:dyDescent="0.25">
      <c r="F228" s="92"/>
    </row>
    <row r="229" spans="6:6" x14ac:dyDescent="0.25">
      <c r="F229" s="92"/>
    </row>
    <row r="230" spans="6:6" x14ac:dyDescent="0.25">
      <c r="F230" s="92"/>
    </row>
    <row r="231" spans="6:6" x14ac:dyDescent="0.25">
      <c r="F231" s="92"/>
    </row>
    <row r="232" spans="6:6" x14ac:dyDescent="0.25">
      <c r="F232" s="92"/>
    </row>
    <row r="233" spans="6:6" x14ac:dyDescent="0.25">
      <c r="F233" s="92"/>
    </row>
    <row r="234" spans="6:6" x14ac:dyDescent="0.25">
      <c r="F234" s="92"/>
    </row>
    <row r="235" spans="6:6" x14ac:dyDescent="0.25">
      <c r="F235" s="92"/>
    </row>
    <row r="236" spans="6:6" x14ac:dyDescent="0.25">
      <c r="F236" s="92"/>
    </row>
    <row r="237" spans="6:6" x14ac:dyDescent="0.25">
      <c r="F237" s="92"/>
    </row>
    <row r="238" spans="6:6" x14ac:dyDescent="0.25">
      <c r="F238" s="92"/>
    </row>
    <row r="239" spans="6:6" x14ac:dyDescent="0.25">
      <c r="F239" s="92"/>
    </row>
    <row r="240" spans="6:6" x14ac:dyDescent="0.25">
      <c r="F240" s="92"/>
    </row>
    <row r="241" spans="6:6" x14ac:dyDescent="0.25">
      <c r="F241" s="92"/>
    </row>
    <row r="242" spans="6:6" x14ac:dyDescent="0.25">
      <c r="F242" s="92"/>
    </row>
    <row r="243" spans="6:6" x14ac:dyDescent="0.25">
      <c r="F243" s="92"/>
    </row>
    <row r="244" spans="6:6" x14ac:dyDescent="0.25">
      <c r="F244" s="92"/>
    </row>
    <row r="245" spans="6:6" x14ac:dyDescent="0.25">
      <c r="F245" s="92"/>
    </row>
    <row r="246" spans="6:6" x14ac:dyDescent="0.25">
      <c r="F246" s="92"/>
    </row>
    <row r="247" spans="6:6" x14ac:dyDescent="0.25">
      <c r="F247" s="92"/>
    </row>
    <row r="248" spans="6:6" x14ac:dyDescent="0.25">
      <c r="F248" s="92"/>
    </row>
    <row r="249" spans="6:6" x14ac:dyDescent="0.25">
      <c r="F249" s="92"/>
    </row>
    <row r="250" spans="6:6" x14ac:dyDescent="0.25">
      <c r="F250" s="92"/>
    </row>
    <row r="251" spans="6:6" x14ac:dyDescent="0.25">
      <c r="F251" s="92"/>
    </row>
    <row r="252" spans="6:6" x14ac:dyDescent="0.25">
      <c r="F252" s="92"/>
    </row>
    <row r="253" spans="6:6" x14ac:dyDescent="0.25">
      <c r="F253" s="92"/>
    </row>
    <row r="254" spans="6:6" x14ac:dyDescent="0.25">
      <c r="F254" s="92"/>
    </row>
    <row r="255" spans="6:6" x14ac:dyDescent="0.25">
      <c r="F255" s="92"/>
    </row>
    <row r="256" spans="6:6" x14ac:dyDescent="0.25">
      <c r="F256" s="92"/>
    </row>
    <row r="257" spans="6:6" x14ac:dyDescent="0.25">
      <c r="F257" s="92"/>
    </row>
    <row r="258" spans="6:6" x14ac:dyDescent="0.25">
      <c r="F258" s="92"/>
    </row>
    <row r="259" spans="6:6" x14ac:dyDescent="0.25">
      <c r="F259" s="92"/>
    </row>
    <row r="260" spans="6:6" x14ac:dyDescent="0.25">
      <c r="F260" s="92"/>
    </row>
    <row r="261" spans="6:6" x14ac:dyDescent="0.25">
      <c r="F261" s="92"/>
    </row>
    <row r="262" spans="6:6" x14ac:dyDescent="0.25">
      <c r="F262" s="92"/>
    </row>
    <row r="263" spans="6:6" x14ac:dyDescent="0.25">
      <c r="F263" s="92"/>
    </row>
    <row r="264" spans="6:6" x14ac:dyDescent="0.25">
      <c r="F264" s="92"/>
    </row>
    <row r="265" spans="6:6" x14ac:dyDescent="0.25">
      <c r="F265" s="92"/>
    </row>
    <row r="266" spans="6:6" x14ac:dyDescent="0.25">
      <c r="F266" s="92"/>
    </row>
    <row r="267" spans="6:6" x14ac:dyDescent="0.25">
      <c r="F267" s="92"/>
    </row>
    <row r="268" spans="6:6" x14ac:dyDescent="0.25">
      <c r="F268" s="92"/>
    </row>
    <row r="269" spans="6:6" x14ac:dyDescent="0.25">
      <c r="F269" s="92"/>
    </row>
    <row r="270" spans="6:6" x14ac:dyDescent="0.25">
      <c r="F270" s="92"/>
    </row>
    <row r="271" spans="6:6" x14ac:dyDescent="0.25">
      <c r="F271" s="92"/>
    </row>
    <row r="272" spans="6:6" x14ac:dyDescent="0.25">
      <c r="F272" s="92"/>
    </row>
    <row r="273" spans="6:6" x14ac:dyDescent="0.25">
      <c r="F273" s="92"/>
    </row>
    <row r="274" spans="6:6" x14ac:dyDescent="0.25">
      <c r="F274" s="92"/>
    </row>
    <row r="275" spans="6:6" x14ac:dyDescent="0.25">
      <c r="F275" s="92"/>
    </row>
    <row r="276" spans="6:6" x14ac:dyDescent="0.25">
      <c r="F276" s="92"/>
    </row>
    <row r="277" spans="6:6" x14ac:dyDescent="0.25">
      <c r="F277" s="92"/>
    </row>
    <row r="278" spans="6:6" x14ac:dyDescent="0.25">
      <c r="F278" s="92"/>
    </row>
    <row r="279" spans="6:6" x14ac:dyDescent="0.25">
      <c r="F279" s="92"/>
    </row>
    <row r="280" spans="6:6" x14ac:dyDescent="0.25">
      <c r="F280" s="92"/>
    </row>
    <row r="281" spans="6:6" x14ac:dyDescent="0.25">
      <c r="F281" s="92"/>
    </row>
    <row r="282" spans="6:6" x14ac:dyDescent="0.25">
      <c r="F282" s="92"/>
    </row>
    <row r="283" spans="6:6" x14ac:dyDescent="0.25">
      <c r="F283" s="92"/>
    </row>
    <row r="284" spans="6:6" x14ac:dyDescent="0.25">
      <c r="F284" s="92"/>
    </row>
    <row r="285" spans="6:6" x14ac:dyDescent="0.25">
      <c r="F285" s="92"/>
    </row>
    <row r="286" spans="6:6" x14ac:dyDescent="0.25">
      <c r="F286" s="92"/>
    </row>
    <row r="287" spans="6:6" x14ac:dyDescent="0.25">
      <c r="F287" s="92"/>
    </row>
    <row r="288" spans="6:6" x14ac:dyDescent="0.25">
      <c r="F288" s="92"/>
    </row>
    <row r="289" spans="6:6" x14ac:dyDescent="0.25">
      <c r="F289" s="92"/>
    </row>
    <row r="290" spans="6:6" x14ac:dyDescent="0.25">
      <c r="F290" s="92"/>
    </row>
    <row r="291" spans="6:6" x14ac:dyDescent="0.25">
      <c r="F291" s="92"/>
    </row>
    <row r="292" spans="6:6" x14ac:dyDescent="0.25">
      <c r="F292" s="92"/>
    </row>
    <row r="293" spans="6:6" x14ac:dyDescent="0.25">
      <c r="F293" s="92"/>
    </row>
    <row r="294" spans="6:6" x14ac:dyDescent="0.25">
      <c r="F294" s="92"/>
    </row>
    <row r="295" spans="6:6" x14ac:dyDescent="0.25">
      <c r="F295" s="92"/>
    </row>
    <row r="296" spans="6:6" x14ac:dyDescent="0.25">
      <c r="F296" s="92"/>
    </row>
    <row r="297" spans="6:6" x14ac:dyDescent="0.25">
      <c r="F297" s="92"/>
    </row>
    <row r="298" spans="6:6" x14ac:dyDescent="0.25">
      <c r="F298" s="92"/>
    </row>
    <row r="299" spans="6:6" x14ac:dyDescent="0.25">
      <c r="F299" s="92"/>
    </row>
    <row r="300" spans="6:6" x14ac:dyDescent="0.25">
      <c r="F300" s="92"/>
    </row>
    <row r="301" spans="6:6" x14ac:dyDescent="0.25">
      <c r="F301" s="92"/>
    </row>
    <row r="302" spans="6:6" x14ac:dyDescent="0.25">
      <c r="F302" s="92"/>
    </row>
    <row r="303" spans="6:6" x14ac:dyDescent="0.25">
      <c r="F303" s="92"/>
    </row>
    <row r="304" spans="6:6" x14ac:dyDescent="0.25">
      <c r="F304" s="92"/>
    </row>
    <row r="305" spans="6:6" x14ac:dyDescent="0.25">
      <c r="F305" s="92"/>
    </row>
    <row r="306" spans="6:6" x14ac:dyDescent="0.25">
      <c r="F306" s="92"/>
    </row>
    <row r="307" spans="6:6" x14ac:dyDescent="0.25">
      <c r="F307" s="92"/>
    </row>
    <row r="308" spans="6:6" x14ac:dyDescent="0.25">
      <c r="F308" s="92"/>
    </row>
    <row r="309" spans="6:6" x14ac:dyDescent="0.25">
      <c r="F309" s="92"/>
    </row>
    <row r="310" spans="6:6" x14ac:dyDescent="0.25">
      <c r="F310" s="92"/>
    </row>
    <row r="311" spans="6:6" x14ac:dyDescent="0.25">
      <c r="F311" s="92"/>
    </row>
    <row r="312" spans="6:6" x14ac:dyDescent="0.25">
      <c r="F312" s="92"/>
    </row>
    <row r="313" spans="6:6" x14ac:dyDescent="0.25">
      <c r="F313" s="92"/>
    </row>
    <row r="314" spans="6:6" x14ac:dyDescent="0.25">
      <c r="F314" s="92"/>
    </row>
    <row r="315" spans="6:6" x14ac:dyDescent="0.25">
      <c r="F315" s="92"/>
    </row>
    <row r="316" spans="6:6" x14ac:dyDescent="0.25">
      <c r="F316" s="92"/>
    </row>
    <row r="317" spans="6:6" x14ac:dyDescent="0.25">
      <c r="F317" s="92"/>
    </row>
    <row r="318" spans="6:6" x14ac:dyDescent="0.25">
      <c r="F318" s="92"/>
    </row>
    <row r="319" spans="6:6" x14ac:dyDescent="0.25">
      <c r="F319" s="92"/>
    </row>
    <row r="320" spans="6:6" x14ac:dyDescent="0.25">
      <c r="F320" s="92"/>
    </row>
    <row r="321" spans="6:6" x14ac:dyDescent="0.25">
      <c r="F321" s="92"/>
    </row>
    <row r="322" spans="6:6" x14ac:dyDescent="0.25">
      <c r="F322" s="92"/>
    </row>
    <row r="323" spans="6:6" x14ac:dyDescent="0.25">
      <c r="F323" s="92"/>
    </row>
    <row r="324" spans="6:6" x14ac:dyDescent="0.25">
      <c r="F324" s="92"/>
    </row>
    <row r="325" spans="6:6" x14ac:dyDescent="0.25">
      <c r="F325" s="92"/>
    </row>
    <row r="326" spans="6:6" x14ac:dyDescent="0.25">
      <c r="F326" s="92"/>
    </row>
    <row r="327" spans="6:6" x14ac:dyDescent="0.25">
      <c r="F327" s="92"/>
    </row>
  </sheetData>
  <pageMargins left="0.7" right="0.7" top="0.75" bottom="0.75" header="0.3" footer="0.3"/>
  <ignoredErrors>
    <ignoredError sqref="F7" formula="1"/>
  </ignoredErrors>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A6CF-8E6E-487F-8ACA-096C0B56D817}">
  <dimension ref="B5:U46"/>
  <sheetViews>
    <sheetView workbookViewId="0">
      <selection activeCell="B28" activeCellId="1" sqref="B5:U5 B28:U46"/>
    </sheetView>
  </sheetViews>
  <sheetFormatPr defaultRowHeight="13.8" x14ac:dyDescent="0.25"/>
  <cols>
    <col min="1" max="5" width="8.88671875" style="12"/>
    <col min="6" max="6" width="21" style="12" customWidth="1"/>
    <col min="7" max="16384" width="8.88671875" style="12"/>
  </cols>
  <sheetData>
    <row r="5" spans="2:21" x14ac:dyDescent="0.25">
      <c r="B5" s="418" t="s">
        <v>189</v>
      </c>
      <c r="C5" s="418"/>
      <c r="D5" s="418"/>
      <c r="E5" s="418"/>
      <c r="F5" s="418"/>
      <c r="G5" s="418" t="s">
        <v>240</v>
      </c>
      <c r="H5" s="418"/>
      <c r="I5" s="418"/>
      <c r="J5" s="418" t="s">
        <v>414</v>
      </c>
      <c r="K5" s="418"/>
      <c r="L5" s="418"/>
      <c r="M5" s="418" t="s">
        <v>415</v>
      </c>
      <c r="N5" s="418"/>
      <c r="O5" s="418"/>
      <c r="P5" s="418" t="s">
        <v>416</v>
      </c>
      <c r="Q5" s="418"/>
      <c r="R5" s="418"/>
      <c r="S5" s="418" t="s">
        <v>417</v>
      </c>
      <c r="T5" s="418"/>
      <c r="U5" s="418"/>
    </row>
    <row r="6" spans="2:21" x14ac:dyDescent="0.25">
      <c r="B6" s="416" t="s">
        <v>849</v>
      </c>
      <c r="C6" s="416"/>
      <c r="D6" s="416"/>
      <c r="E6" s="416"/>
      <c r="F6" s="416"/>
      <c r="G6" s="412"/>
      <c r="H6" s="412"/>
      <c r="I6" s="412"/>
      <c r="J6" s="412"/>
      <c r="K6" s="412"/>
      <c r="L6" s="412"/>
      <c r="M6" s="412"/>
      <c r="N6" s="412"/>
      <c r="O6" s="412"/>
      <c r="P6" s="412"/>
      <c r="Q6" s="412"/>
      <c r="R6" s="412"/>
      <c r="S6" s="412"/>
      <c r="T6" s="412"/>
      <c r="U6" s="412"/>
    </row>
    <row r="7" spans="2:21" x14ac:dyDescent="0.25">
      <c r="B7" s="431" t="s">
        <v>858</v>
      </c>
      <c r="C7" s="431"/>
      <c r="D7" s="431"/>
      <c r="E7" s="431"/>
      <c r="F7" s="431"/>
      <c r="G7" s="420" t="s">
        <v>878</v>
      </c>
      <c r="H7" s="420"/>
      <c r="I7" s="420"/>
      <c r="J7" s="420" t="s">
        <v>884</v>
      </c>
      <c r="K7" s="420"/>
      <c r="L7" s="420"/>
      <c r="M7" s="420"/>
      <c r="N7" s="420"/>
      <c r="O7" s="420"/>
      <c r="P7" s="420"/>
      <c r="Q7" s="420"/>
      <c r="R7" s="420"/>
      <c r="S7" s="420"/>
      <c r="T7" s="420"/>
      <c r="U7" s="420"/>
    </row>
    <row r="8" spans="2:21" x14ac:dyDescent="0.25">
      <c r="B8" s="413" t="s">
        <v>859</v>
      </c>
      <c r="C8" s="413"/>
      <c r="D8" s="413"/>
      <c r="E8" s="413"/>
      <c r="F8" s="413"/>
      <c r="G8" s="414" t="s">
        <v>878</v>
      </c>
      <c r="H8" s="414"/>
      <c r="I8" s="414"/>
      <c r="J8" s="414" t="s">
        <v>885</v>
      </c>
      <c r="K8" s="414"/>
      <c r="L8" s="414"/>
      <c r="M8" s="414"/>
      <c r="N8" s="414"/>
      <c r="O8" s="414"/>
      <c r="P8" s="414"/>
      <c r="Q8" s="414"/>
      <c r="R8" s="414"/>
      <c r="S8" s="414"/>
      <c r="T8" s="414"/>
      <c r="U8" s="414"/>
    </row>
    <row r="9" spans="2:21" x14ac:dyDescent="0.25">
      <c r="B9" s="413" t="s">
        <v>860</v>
      </c>
      <c r="C9" s="413"/>
      <c r="D9" s="413"/>
      <c r="E9" s="413"/>
      <c r="F9" s="413"/>
      <c r="G9" s="414" t="s">
        <v>878</v>
      </c>
      <c r="H9" s="414"/>
      <c r="I9" s="414"/>
      <c r="J9" s="414" t="s">
        <v>886</v>
      </c>
      <c r="K9" s="414"/>
      <c r="L9" s="414"/>
      <c r="M9" s="414"/>
      <c r="N9" s="414"/>
      <c r="O9" s="414"/>
      <c r="P9" s="414"/>
      <c r="Q9" s="414"/>
      <c r="R9" s="414"/>
      <c r="S9" s="414"/>
      <c r="T9" s="414"/>
      <c r="U9" s="414"/>
    </row>
    <row r="10" spans="2:21" x14ac:dyDescent="0.25">
      <c r="B10" s="413" t="s">
        <v>861</v>
      </c>
      <c r="C10" s="413"/>
      <c r="D10" s="413"/>
      <c r="E10" s="413"/>
      <c r="F10" s="413"/>
      <c r="G10" s="414" t="s">
        <v>879</v>
      </c>
      <c r="H10" s="414"/>
      <c r="I10" s="414"/>
      <c r="J10" s="421" t="s">
        <v>894</v>
      </c>
      <c r="K10" s="414"/>
      <c r="L10" s="414"/>
      <c r="M10" s="414"/>
      <c r="N10" s="414"/>
      <c r="O10" s="414"/>
      <c r="P10" s="414"/>
      <c r="Q10" s="414"/>
      <c r="R10" s="414"/>
      <c r="S10" s="414"/>
      <c r="T10" s="414"/>
      <c r="U10" s="414"/>
    </row>
    <row r="11" spans="2:21" x14ac:dyDescent="0.25">
      <c r="B11" s="413" t="s">
        <v>862</v>
      </c>
      <c r="C11" s="413"/>
      <c r="D11" s="413"/>
      <c r="E11" s="413"/>
      <c r="F11" s="413"/>
      <c r="G11" s="414" t="s">
        <v>879</v>
      </c>
      <c r="H11" s="414"/>
      <c r="I11" s="414"/>
      <c r="J11" s="421" t="s">
        <v>887</v>
      </c>
      <c r="K11" s="414"/>
      <c r="L11" s="414"/>
      <c r="M11" s="414"/>
      <c r="N11" s="414"/>
      <c r="O11" s="414"/>
      <c r="P11" s="414"/>
      <c r="Q11" s="414"/>
      <c r="R11" s="414"/>
      <c r="S11" s="414"/>
      <c r="T11" s="414"/>
      <c r="U11" s="414"/>
    </row>
    <row r="12" spans="2:21" x14ac:dyDescent="0.25">
      <c r="B12" s="413" t="s">
        <v>863</v>
      </c>
      <c r="C12" s="413"/>
      <c r="D12" s="413"/>
      <c r="E12" s="413"/>
      <c r="F12" s="413"/>
      <c r="G12" s="414" t="s">
        <v>879</v>
      </c>
      <c r="H12" s="414"/>
      <c r="I12" s="414"/>
      <c r="J12" s="428" t="s">
        <v>750</v>
      </c>
      <c r="K12" s="414"/>
      <c r="L12" s="414"/>
      <c r="M12" s="414"/>
      <c r="N12" s="414"/>
      <c r="O12" s="414"/>
      <c r="P12" s="414"/>
      <c r="Q12" s="414"/>
      <c r="R12" s="414"/>
      <c r="S12" s="414"/>
      <c r="T12" s="414"/>
      <c r="U12" s="414"/>
    </row>
    <row r="13" spans="2:21" x14ac:dyDescent="0.25">
      <c r="B13" s="413" t="s">
        <v>864</v>
      </c>
      <c r="C13" s="413"/>
      <c r="D13" s="413"/>
      <c r="E13" s="413"/>
      <c r="F13" s="413"/>
      <c r="G13" s="414" t="s">
        <v>879</v>
      </c>
      <c r="H13" s="414"/>
      <c r="I13" s="414"/>
      <c r="J13" s="414" t="s">
        <v>888</v>
      </c>
      <c r="K13" s="414"/>
      <c r="L13" s="414"/>
      <c r="M13" s="414"/>
      <c r="N13" s="414"/>
      <c r="O13" s="414"/>
      <c r="P13" s="414"/>
      <c r="Q13" s="414"/>
      <c r="R13" s="414"/>
      <c r="S13" s="414"/>
      <c r="T13" s="414"/>
      <c r="U13" s="414"/>
    </row>
    <row r="14" spans="2:21" x14ac:dyDescent="0.25">
      <c r="B14" s="413" t="s">
        <v>865</v>
      </c>
      <c r="C14" s="413"/>
      <c r="D14" s="413"/>
      <c r="E14" s="413"/>
      <c r="F14" s="413"/>
      <c r="G14" s="414" t="s">
        <v>879</v>
      </c>
      <c r="H14" s="414"/>
      <c r="I14" s="414"/>
      <c r="J14" s="414" t="s">
        <v>888</v>
      </c>
      <c r="K14" s="414"/>
      <c r="L14" s="414"/>
      <c r="M14" s="414"/>
      <c r="N14" s="414"/>
      <c r="O14" s="414"/>
      <c r="P14" s="414"/>
      <c r="Q14" s="414"/>
      <c r="R14" s="414"/>
      <c r="S14" s="414"/>
      <c r="T14" s="414"/>
      <c r="U14" s="414"/>
    </row>
    <row r="15" spans="2:21" x14ac:dyDescent="0.25">
      <c r="B15" s="413" t="s">
        <v>881</v>
      </c>
      <c r="C15" s="413"/>
      <c r="D15" s="413"/>
      <c r="E15" s="413"/>
      <c r="F15" s="413"/>
      <c r="G15" s="414" t="s">
        <v>879</v>
      </c>
      <c r="H15" s="414"/>
      <c r="I15" s="414"/>
      <c r="J15" s="414" t="s">
        <v>889</v>
      </c>
      <c r="K15" s="414"/>
      <c r="L15" s="414"/>
      <c r="M15" s="414"/>
      <c r="N15" s="414"/>
      <c r="O15" s="414"/>
      <c r="P15" s="414"/>
      <c r="Q15" s="414"/>
      <c r="R15" s="414"/>
      <c r="S15" s="414"/>
      <c r="T15" s="414"/>
      <c r="U15" s="414"/>
    </row>
    <row r="16" spans="2:21" x14ac:dyDescent="0.25">
      <c r="B16" s="413" t="s">
        <v>866</v>
      </c>
      <c r="C16" s="413"/>
      <c r="D16" s="413"/>
      <c r="E16" s="413"/>
      <c r="F16" s="413"/>
      <c r="G16" s="414" t="s">
        <v>880</v>
      </c>
      <c r="H16" s="414"/>
      <c r="I16" s="414"/>
      <c r="J16" s="414" t="s">
        <v>889</v>
      </c>
      <c r="K16" s="414"/>
      <c r="L16" s="414"/>
      <c r="M16" s="414"/>
      <c r="N16" s="414"/>
      <c r="O16" s="414"/>
      <c r="P16" s="414"/>
      <c r="Q16" s="414"/>
      <c r="R16" s="414"/>
      <c r="S16" s="414"/>
      <c r="T16" s="414"/>
      <c r="U16" s="414"/>
    </row>
    <row r="17" spans="2:21" x14ac:dyDescent="0.25">
      <c r="B17" s="413" t="s">
        <v>867</v>
      </c>
      <c r="C17" s="413"/>
      <c r="D17" s="413"/>
      <c r="E17" s="413"/>
      <c r="F17" s="413"/>
      <c r="G17" s="414" t="s">
        <v>880</v>
      </c>
      <c r="H17" s="414"/>
      <c r="I17" s="414"/>
      <c r="J17" s="414" t="s">
        <v>890</v>
      </c>
      <c r="K17" s="414"/>
      <c r="L17" s="414"/>
      <c r="M17" s="414"/>
      <c r="N17" s="414"/>
      <c r="O17" s="414"/>
      <c r="P17" s="414"/>
      <c r="Q17" s="414"/>
      <c r="R17" s="414"/>
      <c r="S17" s="414"/>
      <c r="T17" s="414"/>
      <c r="U17" s="414"/>
    </row>
    <row r="18" spans="2:21" x14ac:dyDescent="0.25">
      <c r="B18" s="413" t="s">
        <v>868</v>
      </c>
      <c r="C18" s="413"/>
      <c r="D18" s="413"/>
      <c r="E18" s="413"/>
      <c r="F18" s="413"/>
      <c r="G18" s="414" t="s">
        <v>880</v>
      </c>
      <c r="H18" s="414"/>
      <c r="I18" s="414"/>
      <c r="J18" s="414" t="s">
        <v>889</v>
      </c>
      <c r="K18" s="414"/>
      <c r="L18" s="414"/>
      <c r="M18" s="414"/>
      <c r="N18" s="414"/>
      <c r="O18" s="414"/>
      <c r="P18" s="414"/>
      <c r="Q18" s="414"/>
      <c r="R18" s="414"/>
      <c r="S18" s="414"/>
      <c r="T18" s="414"/>
      <c r="U18" s="414"/>
    </row>
    <row r="19" spans="2:21" x14ac:dyDescent="0.25">
      <c r="B19" s="413" t="s">
        <v>869</v>
      </c>
      <c r="C19" s="413"/>
      <c r="D19" s="413"/>
      <c r="E19" s="413"/>
      <c r="F19" s="413"/>
      <c r="G19" s="414" t="s">
        <v>882</v>
      </c>
      <c r="H19" s="414"/>
      <c r="I19" s="414"/>
      <c r="J19" s="414" t="s">
        <v>896</v>
      </c>
      <c r="K19" s="414"/>
      <c r="L19" s="414"/>
      <c r="M19" s="414"/>
      <c r="N19" s="414"/>
      <c r="O19" s="414"/>
      <c r="P19" s="414"/>
      <c r="Q19" s="414"/>
      <c r="R19" s="414"/>
      <c r="S19" s="414"/>
      <c r="T19" s="414"/>
      <c r="U19" s="414"/>
    </row>
    <row r="20" spans="2:21" x14ac:dyDescent="0.25">
      <c r="B20" s="413" t="s">
        <v>870</v>
      </c>
      <c r="C20" s="413"/>
      <c r="D20" s="413"/>
      <c r="E20" s="413"/>
      <c r="F20" s="413"/>
      <c r="G20" s="414" t="s">
        <v>882</v>
      </c>
      <c r="H20" s="414"/>
      <c r="I20" s="414"/>
      <c r="J20" s="421" t="s">
        <v>895</v>
      </c>
      <c r="K20" s="414"/>
      <c r="L20" s="414"/>
      <c r="M20" s="414"/>
      <c r="N20" s="414"/>
      <c r="O20" s="414"/>
      <c r="P20" s="414"/>
      <c r="Q20" s="414"/>
      <c r="R20" s="414"/>
      <c r="S20" s="414"/>
      <c r="T20" s="414"/>
      <c r="U20" s="414"/>
    </row>
    <row r="21" spans="2:21" x14ac:dyDescent="0.25">
      <c r="B21" s="413" t="s">
        <v>871</v>
      </c>
      <c r="C21" s="413"/>
      <c r="D21" s="413"/>
      <c r="E21" s="413"/>
      <c r="F21" s="413"/>
      <c r="G21" s="414" t="s">
        <v>882</v>
      </c>
      <c r="H21" s="414"/>
      <c r="I21" s="414"/>
      <c r="J21" s="415" t="s">
        <v>891</v>
      </c>
      <c r="K21" s="414"/>
      <c r="L21" s="414"/>
      <c r="M21" s="414"/>
      <c r="N21" s="414"/>
      <c r="O21" s="414"/>
      <c r="P21" s="414"/>
      <c r="Q21" s="414"/>
      <c r="R21" s="414"/>
      <c r="S21" s="414"/>
      <c r="T21" s="414"/>
      <c r="U21" s="414"/>
    </row>
    <row r="22" spans="2:21" x14ac:dyDescent="0.25">
      <c r="B22" s="413" t="s">
        <v>872</v>
      </c>
      <c r="C22" s="413"/>
      <c r="D22" s="413"/>
      <c r="E22" s="413"/>
      <c r="F22" s="413"/>
      <c r="G22" s="414" t="s">
        <v>883</v>
      </c>
      <c r="H22" s="414"/>
      <c r="I22" s="414"/>
      <c r="J22" s="414" t="s">
        <v>892</v>
      </c>
      <c r="K22" s="414"/>
      <c r="L22" s="414"/>
      <c r="M22" s="414"/>
      <c r="N22" s="414"/>
      <c r="O22" s="414"/>
      <c r="P22" s="414"/>
      <c r="Q22" s="414"/>
      <c r="R22" s="414"/>
      <c r="S22" s="414"/>
      <c r="T22" s="414"/>
      <c r="U22" s="414"/>
    </row>
    <row r="23" spans="2:21" x14ac:dyDescent="0.25">
      <c r="B23" s="413" t="s">
        <v>873</v>
      </c>
      <c r="C23" s="413"/>
      <c r="D23" s="413"/>
      <c r="E23" s="413"/>
      <c r="F23" s="413"/>
      <c r="G23" s="414" t="s">
        <v>883</v>
      </c>
      <c r="H23" s="414"/>
      <c r="I23" s="414"/>
      <c r="J23" s="421" t="s">
        <v>893</v>
      </c>
      <c r="K23" s="414"/>
      <c r="L23" s="414"/>
      <c r="M23" s="414"/>
      <c r="N23" s="414"/>
      <c r="O23" s="414"/>
      <c r="P23" s="414"/>
      <c r="Q23" s="414"/>
      <c r="R23" s="414"/>
      <c r="S23" s="414"/>
      <c r="T23" s="414"/>
      <c r="U23" s="414"/>
    </row>
    <row r="24" spans="2:21" x14ac:dyDescent="0.25">
      <c r="B24" s="413" t="s">
        <v>874</v>
      </c>
      <c r="C24" s="413"/>
      <c r="D24" s="413"/>
      <c r="E24" s="413"/>
      <c r="F24" s="413"/>
      <c r="G24" s="414" t="s">
        <v>883</v>
      </c>
      <c r="H24" s="414"/>
      <c r="I24" s="414"/>
      <c r="J24" s="421" t="s">
        <v>893</v>
      </c>
      <c r="K24" s="414"/>
      <c r="L24" s="414"/>
      <c r="M24" s="414"/>
      <c r="N24" s="414"/>
      <c r="O24" s="414"/>
      <c r="P24" s="414"/>
      <c r="Q24" s="414"/>
      <c r="R24" s="414"/>
      <c r="S24" s="414"/>
      <c r="T24" s="414"/>
      <c r="U24" s="414"/>
    </row>
    <row r="25" spans="2:21" x14ac:dyDescent="0.25">
      <c r="B25" s="413" t="s">
        <v>876</v>
      </c>
      <c r="C25" s="413"/>
      <c r="D25" s="413"/>
      <c r="E25" s="413"/>
      <c r="F25" s="413"/>
      <c r="G25" s="414" t="s">
        <v>883</v>
      </c>
      <c r="H25" s="414"/>
      <c r="I25" s="414"/>
      <c r="J25" s="414" t="s">
        <v>889</v>
      </c>
      <c r="K25" s="414"/>
      <c r="L25" s="414"/>
      <c r="M25" s="414"/>
      <c r="N25" s="414"/>
      <c r="O25" s="414"/>
      <c r="P25" s="414"/>
      <c r="Q25" s="414"/>
      <c r="R25" s="414"/>
      <c r="S25" s="414"/>
      <c r="T25" s="414"/>
      <c r="U25" s="414"/>
    </row>
    <row r="26" spans="2:21" x14ac:dyDescent="0.25">
      <c r="B26" s="413" t="s">
        <v>875</v>
      </c>
      <c r="C26" s="413"/>
      <c r="D26" s="413"/>
      <c r="E26" s="413"/>
      <c r="F26" s="413"/>
      <c r="G26" s="414" t="s">
        <v>883</v>
      </c>
      <c r="H26" s="414"/>
      <c r="I26" s="414"/>
      <c r="J26" s="414" t="s">
        <v>897</v>
      </c>
      <c r="K26" s="414"/>
      <c r="L26" s="414"/>
      <c r="M26" s="414"/>
      <c r="N26" s="414"/>
      <c r="O26" s="414"/>
      <c r="P26" s="414"/>
      <c r="Q26" s="414"/>
      <c r="R26" s="414"/>
      <c r="S26" s="414"/>
      <c r="T26" s="414"/>
      <c r="U26" s="414"/>
    </row>
    <row r="27" spans="2:21" x14ac:dyDescent="0.25">
      <c r="B27" s="413" t="s">
        <v>877</v>
      </c>
      <c r="C27" s="413"/>
      <c r="D27" s="413"/>
      <c r="E27" s="413"/>
      <c r="F27" s="413"/>
      <c r="G27" s="414" t="s">
        <v>883</v>
      </c>
      <c r="H27" s="414"/>
      <c r="I27" s="414"/>
      <c r="J27" s="415" t="s">
        <v>898</v>
      </c>
      <c r="K27" s="414"/>
      <c r="L27" s="414"/>
      <c r="M27" s="414"/>
      <c r="N27" s="414"/>
      <c r="O27" s="414"/>
      <c r="P27" s="414"/>
      <c r="Q27" s="414"/>
      <c r="R27" s="414"/>
      <c r="S27" s="414"/>
      <c r="T27" s="414"/>
      <c r="U27" s="414"/>
    </row>
    <row r="28" spans="2:21" x14ac:dyDescent="0.25">
      <c r="B28" s="430" t="s">
        <v>999</v>
      </c>
      <c r="C28" s="430"/>
      <c r="D28" s="430"/>
      <c r="E28" s="430"/>
      <c r="F28" s="430"/>
      <c r="G28" s="312"/>
      <c r="H28" s="312"/>
      <c r="I28" s="312"/>
      <c r="J28" s="312"/>
      <c r="K28" s="312"/>
      <c r="L28" s="312"/>
      <c r="M28" s="312"/>
      <c r="N28" s="312"/>
      <c r="O28" s="312"/>
      <c r="P28" s="312"/>
      <c r="Q28" s="312"/>
      <c r="R28" s="312"/>
      <c r="S28" s="312"/>
      <c r="T28" s="312"/>
      <c r="U28" s="312"/>
    </row>
    <row r="29" spans="2:21" x14ac:dyDescent="0.25">
      <c r="B29" s="413" t="s">
        <v>453</v>
      </c>
      <c r="C29" s="413"/>
      <c r="D29" s="413"/>
      <c r="E29" s="413"/>
      <c r="F29" s="413"/>
      <c r="G29" s="414" t="s">
        <v>721</v>
      </c>
      <c r="H29" s="414"/>
      <c r="I29" s="414"/>
      <c r="J29" s="414" t="s">
        <v>728</v>
      </c>
      <c r="K29" s="414"/>
      <c r="L29" s="414"/>
      <c r="M29" s="414" t="s">
        <v>728</v>
      </c>
      <c r="N29" s="414"/>
      <c r="O29" s="414"/>
      <c r="P29" s="414"/>
      <c r="Q29" s="414"/>
      <c r="R29" s="414"/>
      <c r="S29" s="414"/>
      <c r="T29" s="414"/>
      <c r="U29" s="414"/>
    </row>
    <row r="30" spans="2:21" x14ac:dyDescent="0.25">
      <c r="B30" s="413" t="s">
        <v>724</v>
      </c>
      <c r="C30" s="413"/>
      <c r="D30" s="413"/>
      <c r="E30" s="413"/>
      <c r="F30" s="413"/>
      <c r="G30" s="414"/>
      <c r="H30" s="414"/>
      <c r="I30" s="414"/>
      <c r="J30" s="414"/>
      <c r="K30" s="414"/>
      <c r="L30" s="414"/>
      <c r="M30" s="414"/>
      <c r="N30" s="414"/>
      <c r="O30" s="414"/>
      <c r="P30" s="414"/>
      <c r="Q30" s="414"/>
      <c r="R30" s="414"/>
      <c r="S30" s="414"/>
      <c r="T30" s="414"/>
      <c r="U30" s="414"/>
    </row>
    <row r="31" spans="2:21" x14ac:dyDescent="0.25">
      <c r="B31" s="429" t="s">
        <v>759</v>
      </c>
      <c r="C31" s="413"/>
      <c r="D31" s="413"/>
      <c r="E31" s="413"/>
      <c r="F31" s="413"/>
      <c r="G31" s="414" t="s">
        <v>726</v>
      </c>
      <c r="H31" s="414"/>
      <c r="I31" s="414"/>
      <c r="J31" s="414" t="s">
        <v>729</v>
      </c>
      <c r="K31" s="414"/>
      <c r="L31" s="414"/>
      <c r="M31" s="414" t="s">
        <v>729</v>
      </c>
      <c r="N31" s="414"/>
      <c r="O31" s="414"/>
      <c r="P31" s="414"/>
      <c r="Q31" s="414"/>
      <c r="R31" s="414"/>
      <c r="S31" s="414"/>
      <c r="T31" s="414"/>
      <c r="U31" s="414"/>
    </row>
    <row r="32" spans="2:21" x14ac:dyDescent="0.25">
      <c r="B32" s="429" t="s">
        <v>760</v>
      </c>
      <c r="C32" s="413"/>
      <c r="D32" s="413"/>
      <c r="E32" s="413"/>
      <c r="F32" s="413"/>
      <c r="G32" s="414" t="s">
        <v>726</v>
      </c>
      <c r="H32" s="414"/>
      <c r="I32" s="414"/>
      <c r="J32" s="414" t="s">
        <v>740</v>
      </c>
      <c r="K32" s="414"/>
      <c r="L32" s="414"/>
      <c r="M32" s="414" t="s">
        <v>730</v>
      </c>
      <c r="N32" s="414"/>
      <c r="O32" s="414"/>
      <c r="P32" s="414"/>
      <c r="Q32" s="414"/>
      <c r="R32" s="414"/>
      <c r="S32" s="414"/>
      <c r="T32" s="414"/>
      <c r="U32" s="414"/>
    </row>
    <row r="33" spans="2:21" x14ac:dyDescent="0.25">
      <c r="B33" s="413" t="s">
        <v>725</v>
      </c>
      <c r="C33" s="413"/>
      <c r="D33" s="413"/>
      <c r="E33" s="413"/>
      <c r="F33" s="413"/>
      <c r="G33" s="414" t="s">
        <v>727</v>
      </c>
      <c r="H33" s="414"/>
      <c r="I33" s="414"/>
      <c r="J33" s="414" t="s">
        <v>741</v>
      </c>
      <c r="K33" s="414"/>
      <c r="L33" s="414"/>
      <c r="M33" s="414" t="s">
        <v>731</v>
      </c>
      <c r="N33" s="414"/>
      <c r="O33" s="414"/>
      <c r="P33" s="414"/>
      <c r="Q33" s="414"/>
      <c r="R33" s="414"/>
      <c r="S33" s="414"/>
      <c r="T33" s="414"/>
      <c r="U33" s="414"/>
    </row>
    <row r="34" spans="2:21" x14ac:dyDescent="0.25">
      <c r="B34" s="413" t="s">
        <v>515</v>
      </c>
      <c r="C34" s="413"/>
      <c r="D34" s="413"/>
      <c r="E34" s="413"/>
      <c r="F34" s="413"/>
      <c r="G34" s="414" t="s">
        <v>444</v>
      </c>
      <c r="H34" s="414"/>
      <c r="I34" s="414"/>
      <c r="J34" s="414" t="s">
        <v>742</v>
      </c>
      <c r="K34" s="414"/>
      <c r="L34" s="414"/>
      <c r="M34" s="414" t="s">
        <v>735</v>
      </c>
      <c r="N34" s="414"/>
      <c r="O34" s="414"/>
      <c r="P34" s="414"/>
      <c r="Q34" s="414"/>
      <c r="R34" s="414"/>
      <c r="S34" s="414"/>
      <c r="T34" s="414"/>
      <c r="U34" s="414"/>
    </row>
    <row r="35" spans="2:21" x14ac:dyDescent="0.25">
      <c r="B35" s="413" t="s">
        <v>652</v>
      </c>
      <c r="C35" s="413"/>
      <c r="D35" s="413"/>
      <c r="E35" s="413"/>
      <c r="F35" s="413"/>
      <c r="G35" s="414" t="s">
        <v>444</v>
      </c>
      <c r="H35" s="414"/>
      <c r="I35" s="414"/>
      <c r="J35" s="414" t="s">
        <v>743</v>
      </c>
      <c r="K35" s="414"/>
      <c r="L35" s="414"/>
      <c r="M35" s="414" t="s">
        <v>736</v>
      </c>
      <c r="N35" s="414"/>
      <c r="O35" s="414"/>
      <c r="P35" s="414"/>
      <c r="Q35" s="414"/>
      <c r="R35" s="414"/>
      <c r="S35" s="414"/>
      <c r="T35" s="414"/>
      <c r="U35" s="414"/>
    </row>
    <row r="36" spans="2:21" x14ac:dyDescent="0.25">
      <c r="B36" s="413" t="s">
        <v>751</v>
      </c>
      <c r="C36" s="413"/>
      <c r="D36" s="413"/>
      <c r="E36" s="413"/>
      <c r="F36" s="413"/>
      <c r="G36" s="414" t="s">
        <v>444</v>
      </c>
      <c r="H36" s="414"/>
      <c r="I36" s="414"/>
      <c r="J36" s="421" t="s">
        <v>744</v>
      </c>
      <c r="K36" s="414"/>
      <c r="L36" s="414"/>
      <c r="M36" s="421" t="s">
        <v>737</v>
      </c>
      <c r="N36" s="414"/>
      <c r="O36" s="414"/>
      <c r="P36" s="414"/>
      <c r="Q36" s="414"/>
      <c r="R36" s="414"/>
      <c r="S36" s="414"/>
      <c r="T36" s="414"/>
      <c r="U36" s="414"/>
    </row>
    <row r="37" spans="2:21" x14ac:dyDescent="0.25">
      <c r="B37" s="413" t="s">
        <v>733</v>
      </c>
      <c r="C37" s="413"/>
      <c r="D37" s="413"/>
      <c r="E37" s="413"/>
      <c r="F37" s="413"/>
      <c r="G37" s="414" t="s">
        <v>734</v>
      </c>
      <c r="H37" s="414"/>
      <c r="I37" s="414"/>
      <c r="J37" s="414"/>
      <c r="K37" s="414"/>
      <c r="L37" s="414"/>
      <c r="M37" s="414" t="s">
        <v>738</v>
      </c>
      <c r="N37" s="414"/>
      <c r="O37" s="414"/>
      <c r="P37" s="414"/>
      <c r="Q37" s="414"/>
      <c r="R37" s="414"/>
      <c r="S37" s="414"/>
      <c r="T37" s="414"/>
      <c r="U37" s="414"/>
    </row>
    <row r="38" spans="2:21" x14ac:dyDescent="0.25">
      <c r="B38" s="413" t="s">
        <v>745</v>
      </c>
      <c r="C38" s="413"/>
      <c r="D38" s="413"/>
      <c r="E38" s="413"/>
      <c r="F38" s="413"/>
      <c r="G38" s="414" t="s">
        <v>716</v>
      </c>
      <c r="H38" s="414"/>
      <c r="I38" s="414"/>
      <c r="J38" s="414" t="s">
        <v>747</v>
      </c>
      <c r="K38" s="414"/>
      <c r="L38" s="414"/>
      <c r="M38" s="414"/>
      <c r="N38" s="414"/>
      <c r="O38" s="414"/>
      <c r="P38" s="414"/>
      <c r="Q38" s="414"/>
      <c r="R38" s="414"/>
      <c r="S38" s="414"/>
      <c r="T38" s="414"/>
      <c r="U38" s="414"/>
    </row>
    <row r="39" spans="2:21" x14ac:dyDescent="0.25">
      <c r="B39" s="413" t="s">
        <v>746</v>
      </c>
      <c r="C39" s="413"/>
      <c r="D39" s="413"/>
      <c r="E39" s="413"/>
      <c r="F39" s="413"/>
      <c r="G39" s="414" t="s">
        <v>716</v>
      </c>
      <c r="H39" s="414"/>
      <c r="I39" s="414"/>
      <c r="J39" s="414" t="s">
        <v>748</v>
      </c>
      <c r="K39" s="414"/>
      <c r="L39" s="414"/>
      <c r="M39" s="414"/>
      <c r="N39" s="414"/>
      <c r="O39" s="414"/>
      <c r="P39" s="414"/>
      <c r="Q39" s="414"/>
      <c r="R39" s="414"/>
      <c r="S39" s="414"/>
      <c r="T39" s="414"/>
      <c r="U39" s="414"/>
    </row>
    <row r="40" spans="2:21" x14ac:dyDescent="0.25">
      <c r="B40" s="413" t="s">
        <v>749</v>
      </c>
      <c r="C40" s="413"/>
      <c r="D40" s="413"/>
      <c r="E40" s="413"/>
      <c r="F40" s="413"/>
      <c r="G40" s="414" t="s">
        <v>716</v>
      </c>
      <c r="H40" s="414"/>
      <c r="I40" s="414"/>
      <c r="J40" s="428" t="s">
        <v>750</v>
      </c>
      <c r="K40" s="414"/>
      <c r="L40" s="414"/>
      <c r="M40" s="414"/>
      <c r="N40" s="414"/>
      <c r="O40" s="414"/>
      <c r="P40" s="414"/>
      <c r="Q40" s="414"/>
      <c r="R40" s="414"/>
      <c r="S40" s="414"/>
      <c r="T40" s="414"/>
      <c r="U40" s="414"/>
    </row>
    <row r="41" spans="2:21" x14ac:dyDescent="0.25">
      <c r="B41" s="414"/>
      <c r="C41" s="414"/>
      <c r="D41" s="414"/>
      <c r="E41" s="414"/>
      <c r="F41" s="414"/>
      <c r="G41" s="414"/>
      <c r="H41" s="414"/>
      <c r="I41" s="414"/>
      <c r="J41" s="428"/>
      <c r="K41" s="428"/>
      <c r="L41" s="428"/>
      <c r="M41" s="414"/>
      <c r="N41" s="414"/>
      <c r="O41" s="414"/>
      <c r="P41" s="414"/>
      <c r="Q41" s="414"/>
      <c r="R41" s="414"/>
      <c r="S41" s="414"/>
      <c r="T41" s="414"/>
      <c r="U41" s="414"/>
    </row>
    <row r="42" spans="2:21" x14ac:dyDescent="0.25">
      <c r="B42" s="425" t="s">
        <v>752</v>
      </c>
      <c r="C42" s="425"/>
      <c r="D42" s="425"/>
      <c r="E42" s="425"/>
      <c r="F42" s="425"/>
      <c r="G42" s="425"/>
      <c r="H42" s="425"/>
      <c r="I42" s="425"/>
      <c r="J42" s="425"/>
      <c r="K42" s="425"/>
      <c r="L42" s="425"/>
      <c r="M42" s="425"/>
      <c r="N42" s="425"/>
      <c r="O42" s="425"/>
      <c r="P42" s="425"/>
      <c r="Q42" s="425"/>
      <c r="R42" s="425"/>
      <c r="S42" s="425"/>
      <c r="T42" s="425"/>
      <c r="U42" s="425"/>
    </row>
    <row r="43" spans="2:21" x14ac:dyDescent="0.25">
      <c r="B43" s="313" t="s">
        <v>799</v>
      </c>
      <c r="C43" s="313"/>
      <c r="D43" s="313"/>
      <c r="E43" s="115"/>
      <c r="F43" s="115"/>
      <c r="G43" s="115"/>
      <c r="H43" s="115"/>
      <c r="I43" s="115"/>
      <c r="J43" s="115"/>
      <c r="K43" s="115"/>
      <c r="L43" s="115"/>
      <c r="M43" s="115"/>
      <c r="N43" s="115"/>
      <c r="O43" s="115"/>
      <c r="P43" s="115"/>
      <c r="Q43" s="115"/>
      <c r="R43" s="115"/>
      <c r="S43" s="115"/>
      <c r="T43" s="115"/>
      <c r="U43" s="115"/>
    </row>
    <row r="44" spans="2:21" x14ac:dyDescent="0.25">
      <c r="B44" s="15" t="s">
        <v>794</v>
      </c>
      <c r="C44" s="15" t="s">
        <v>797</v>
      </c>
      <c r="D44" s="15" t="s">
        <v>798</v>
      </c>
    </row>
    <row r="45" spans="2:21" x14ac:dyDescent="0.25">
      <c r="B45" s="116" t="s">
        <v>795</v>
      </c>
      <c r="C45" s="15">
        <v>0.02</v>
      </c>
      <c r="D45" s="15">
        <v>1.7999999999999999E-2</v>
      </c>
    </row>
    <row r="46" spans="2:21" x14ac:dyDescent="0.25">
      <c r="B46" s="116" t="s">
        <v>796</v>
      </c>
      <c r="C46" s="15">
        <v>1.4E-2</v>
      </c>
      <c r="D46" s="15">
        <v>7.4999999999999997E-3</v>
      </c>
    </row>
  </sheetData>
  <mergeCells count="224">
    <mergeCell ref="B6:F6"/>
    <mergeCell ref="G6:I6"/>
    <mergeCell ref="J6:L6"/>
    <mergeCell ref="M6:O6"/>
    <mergeCell ref="P6:R6"/>
    <mergeCell ref="S6:U6"/>
    <mergeCell ref="B5:F5"/>
    <mergeCell ref="G5:I5"/>
    <mergeCell ref="J5:L5"/>
    <mergeCell ref="M5:O5"/>
    <mergeCell ref="P5:R5"/>
    <mergeCell ref="S5:U5"/>
    <mergeCell ref="B8:F8"/>
    <mergeCell ref="G8:I8"/>
    <mergeCell ref="J8:L8"/>
    <mergeCell ref="M8:O8"/>
    <mergeCell ref="P8:R8"/>
    <mergeCell ref="S8:U8"/>
    <mergeCell ref="B7:F7"/>
    <mergeCell ref="G7:I7"/>
    <mergeCell ref="J7:L7"/>
    <mergeCell ref="M7:O7"/>
    <mergeCell ref="P7:R7"/>
    <mergeCell ref="S7:U7"/>
    <mergeCell ref="B25:F25"/>
    <mergeCell ref="B16:F16"/>
    <mergeCell ref="B17:F17"/>
    <mergeCell ref="B18:F18"/>
    <mergeCell ref="B19:F19"/>
    <mergeCell ref="B20:F20"/>
    <mergeCell ref="B21:F21"/>
    <mergeCell ref="B9:F9"/>
    <mergeCell ref="B10:F10"/>
    <mergeCell ref="B11:F11"/>
    <mergeCell ref="B12:F12"/>
    <mergeCell ref="B13:F13"/>
    <mergeCell ref="B14:F14"/>
    <mergeCell ref="B26:F26"/>
    <mergeCell ref="B27:F27"/>
    <mergeCell ref="B41:F41"/>
    <mergeCell ref="G9:I9"/>
    <mergeCell ref="G10:I10"/>
    <mergeCell ref="G11:I11"/>
    <mergeCell ref="G12:I12"/>
    <mergeCell ref="G16:I16"/>
    <mergeCell ref="G17:I17"/>
    <mergeCell ref="B34:F34"/>
    <mergeCell ref="B35:F35"/>
    <mergeCell ref="B36:F36"/>
    <mergeCell ref="B37:F37"/>
    <mergeCell ref="B38:F38"/>
    <mergeCell ref="B39:F39"/>
    <mergeCell ref="B28:F28"/>
    <mergeCell ref="B29:F29"/>
    <mergeCell ref="B30:F30"/>
    <mergeCell ref="B31:F31"/>
    <mergeCell ref="B32:F32"/>
    <mergeCell ref="B33:F33"/>
    <mergeCell ref="B22:F22"/>
    <mergeCell ref="B23:F23"/>
    <mergeCell ref="B24:F24"/>
    <mergeCell ref="G23:I23"/>
    <mergeCell ref="G24:I24"/>
    <mergeCell ref="G25:I25"/>
    <mergeCell ref="G26:I26"/>
    <mergeCell ref="G27:I27"/>
    <mergeCell ref="G28:I28"/>
    <mergeCell ref="G19:I19"/>
    <mergeCell ref="G20:I20"/>
    <mergeCell ref="G21:I21"/>
    <mergeCell ref="G22:I22"/>
    <mergeCell ref="J18:L18"/>
    <mergeCell ref="J19:L19"/>
    <mergeCell ref="J20:L20"/>
    <mergeCell ref="J21:L21"/>
    <mergeCell ref="J22:L22"/>
    <mergeCell ref="J23:L23"/>
    <mergeCell ref="G41:I41"/>
    <mergeCell ref="J9:L9"/>
    <mergeCell ref="J10:L10"/>
    <mergeCell ref="J11:L11"/>
    <mergeCell ref="J12:L12"/>
    <mergeCell ref="J13:L13"/>
    <mergeCell ref="J14:L14"/>
    <mergeCell ref="J16:L16"/>
    <mergeCell ref="J17:L17"/>
    <mergeCell ref="G35:I35"/>
    <mergeCell ref="G36:I36"/>
    <mergeCell ref="G37:I37"/>
    <mergeCell ref="G38:I38"/>
    <mergeCell ref="G39:I39"/>
    <mergeCell ref="G40:I40"/>
    <mergeCell ref="G29:I29"/>
    <mergeCell ref="G30:I30"/>
    <mergeCell ref="G31:I31"/>
    <mergeCell ref="J31:L31"/>
    <mergeCell ref="J32:L32"/>
    <mergeCell ref="J33:L33"/>
    <mergeCell ref="J34:L34"/>
    <mergeCell ref="J35:L35"/>
    <mergeCell ref="J24:L24"/>
    <mergeCell ref="J25:L25"/>
    <mergeCell ref="J26:L26"/>
    <mergeCell ref="J27:L27"/>
    <mergeCell ref="J28:L28"/>
    <mergeCell ref="J29:L29"/>
    <mergeCell ref="M9:O9"/>
    <mergeCell ref="M10:O10"/>
    <mergeCell ref="M11:O11"/>
    <mergeCell ref="M12:O12"/>
    <mergeCell ref="M13:O13"/>
    <mergeCell ref="M14:O14"/>
    <mergeCell ref="M16:O16"/>
    <mergeCell ref="M17:O17"/>
    <mergeCell ref="M18:O18"/>
    <mergeCell ref="M36:O36"/>
    <mergeCell ref="P33:R33"/>
    <mergeCell ref="P35:R35"/>
    <mergeCell ref="P28:R28"/>
    <mergeCell ref="B42:U42"/>
    <mergeCell ref="J36:L36"/>
    <mergeCell ref="J37:L37"/>
    <mergeCell ref="J38:L38"/>
    <mergeCell ref="J39:L39"/>
    <mergeCell ref="J40:L40"/>
    <mergeCell ref="J41:L41"/>
    <mergeCell ref="G32:I32"/>
    <mergeCell ref="G33:I33"/>
    <mergeCell ref="G34:I34"/>
    <mergeCell ref="B40:F40"/>
    <mergeCell ref="P40:R40"/>
    <mergeCell ref="P41:R41"/>
    <mergeCell ref="P38:R38"/>
    <mergeCell ref="P39:R39"/>
    <mergeCell ref="P34:R34"/>
    <mergeCell ref="P36:R36"/>
    <mergeCell ref="P37:R37"/>
    <mergeCell ref="M37:O37"/>
    <mergeCell ref="J30:L30"/>
    <mergeCell ref="M19:O19"/>
    <mergeCell ref="M20:O20"/>
    <mergeCell ref="M21:O21"/>
    <mergeCell ref="M22:O22"/>
    <mergeCell ref="M23:O23"/>
    <mergeCell ref="M24:O24"/>
    <mergeCell ref="P24:R24"/>
    <mergeCell ref="S9:U9"/>
    <mergeCell ref="S10:U10"/>
    <mergeCell ref="S11:U11"/>
    <mergeCell ref="S12:U12"/>
    <mergeCell ref="S13:U13"/>
    <mergeCell ref="S14:U14"/>
    <mergeCell ref="S16:U16"/>
    <mergeCell ref="P9:R9"/>
    <mergeCell ref="P10:R10"/>
    <mergeCell ref="P11:R11"/>
    <mergeCell ref="P12:R12"/>
    <mergeCell ref="P13:R13"/>
    <mergeCell ref="P14:R14"/>
    <mergeCell ref="P16:R16"/>
    <mergeCell ref="P17:R17"/>
    <mergeCell ref="P18:R18"/>
    <mergeCell ref="P19:R19"/>
    <mergeCell ref="P20:R20"/>
    <mergeCell ref="P21:R21"/>
    <mergeCell ref="P25:R25"/>
    <mergeCell ref="P26:R26"/>
    <mergeCell ref="S26:U26"/>
    <mergeCell ref="S17:U17"/>
    <mergeCell ref="S18:U18"/>
    <mergeCell ref="S19:U19"/>
    <mergeCell ref="S20:U20"/>
    <mergeCell ref="S21:U21"/>
    <mergeCell ref="S22:U22"/>
    <mergeCell ref="P22:R22"/>
    <mergeCell ref="P23:R23"/>
    <mergeCell ref="B43:D43"/>
    <mergeCell ref="S24:U24"/>
    <mergeCell ref="S25:U25"/>
    <mergeCell ref="P27:R27"/>
    <mergeCell ref="S27:U27"/>
    <mergeCell ref="M38:O38"/>
    <mergeCell ref="M39:O39"/>
    <mergeCell ref="M25:O25"/>
    <mergeCell ref="M26:O26"/>
    <mergeCell ref="M27:O27"/>
    <mergeCell ref="M28:O28"/>
    <mergeCell ref="M29:O29"/>
    <mergeCell ref="M30:O30"/>
    <mergeCell ref="P29:R29"/>
    <mergeCell ref="P30:R30"/>
    <mergeCell ref="P31:R31"/>
    <mergeCell ref="P32:R32"/>
    <mergeCell ref="M40:O40"/>
    <mergeCell ref="M41:O41"/>
    <mergeCell ref="M31:O31"/>
    <mergeCell ref="M32:O32"/>
    <mergeCell ref="M33:O33"/>
    <mergeCell ref="M34:O34"/>
    <mergeCell ref="M35:O35"/>
    <mergeCell ref="G13:I13"/>
    <mergeCell ref="G14:I14"/>
    <mergeCell ref="G15:I15"/>
    <mergeCell ref="S41:U41"/>
    <mergeCell ref="B15:F15"/>
    <mergeCell ref="G18:I18"/>
    <mergeCell ref="J15:L15"/>
    <mergeCell ref="M15:O15"/>
    <mergeCell ref="P15:R15"/>
    <mergeCell ref="S15:U15"/>
    <mergeCell ref="S35:U35"/>
    <mergeCell ref="S36:U36"/>
    <mergeCell ref="S37:U37"/>
    <mergeCell ref="S38:U38"/>
    <mergeCell ref="S39:U39"/>
    <mergeCell ref="S40:U40"/>
    <mergeCell ref="S29:U29"/>
    <mergeCell ref="S30:U30"/>
    <mergeCell ref="S31:U31"/>
    <mergeCell ref="S32:U32"/>
    <mergeCell ref="S33:U33"/>
    <mergeCell ref="S34:U34"/>
    <mergeCell ref="S23:U23"/>
    <mergeCell ref="S28:U2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3148-F59F-4497-B8CC-91F477767D33}">
  <dimension ref="A4:H93"/>
  <sheetViews>
    <sheetView zoomScale="73" zoomScaleNormal="73" workbookViewId="0">
      <selection activeCell="F6" sqref="F6"/>
    </sheetView>
  </sheetViews>
  <sheetFormatPr defaultRowHeight="13.8" x14ac:dyDescent="0.25"/>
  <cols>
    <col min="1" max="1" width="8.88671875" style="12"/>
    <col min="2" max="2" width="71.44140625" style="12" customWidth="1"/>
    <col min="3" max="3" width="25" style="12" customWidth="1"/>
    <col min="4" max="4" width="22.44140625" style="12" customWidth="1"/>
    <col min="5" max="5" width="50.6640625" style="12" customWidth="1"/>
    <col min="6" max="6" width="27.5546875" style="12" customWidth="1"/>
    <col min="7" max="16384" width="8.88671875" style="12"/>
  </cols>
  <sheetData>
    <row r="4" spans="1:6" x14ac:dyDescent="0.25">
      <c r="A4" s="87" t="s">
        <v>494</v>
      </c>
      <c r="B4" s="88" t="s">
        <v>899</v>
      </c>
      <c r="C4" s="88" t="s">
        <v>495</v>
      </c>
      <c r="D4" s="88" t="s">
        <v>240</v>
      </c>
      <c r="E4" s="88" t="s">
        <v>496</v>
      </c>
      <c r="F4" s="88" t="s">
        <v>97</v>
      </c>
    </row>
    <row r="5" spans="1:6" x14ac:dyDescent="0.25">
      <c r="B5" s="84" t="s">
        <v>900</v>
      </c>
      <c r="C5" s="84" t="s">
        <v>901</v>
      </c>
      <c r="D5" s="84" t="s">
        <v>902</v>
      </c>
      <c r="E5" s="84" t="s">
        <v>903</v>
      </c>
      <c r="F5" s="89">
        <f>'Removal Efficiency'!N5</f>
        <v>97.5</v>
      </c>
    </row>
    <row r="6" spans="1:6" x14ac:dyDescent="0.25">
      <c r="B6" s="86" t="s">
        <v>904</v>
      </c>
      <c r="C6" s="86" t="s">
        <v>905</v>
      </c>
      <c r="D6" s="86" t="s">
        <v>757</v>
      </c>
      <c r="E6" s="86" t="s">
        <v>514</v>
      </c>
      <c r="F6" s="91">
        <f>'Debit Total'!L45</f>
        <v>43571.768067525481</v>
      </c>
    </row>
    <row r="7" spans="1:6" x14ac:dyDescent="0.25">
      <c r="B7" s="12" t="s">
        <v>906</v>
      </c>
      <c r="C7" s="12" t="s">
        <v>907</v>
      </c>
      <c r="D7" s="12" t="s">
        <v>908</v>
      </c>
      <c r="E7" s="12" t="s">
        <v>507</v>
      </c>
      <c r="F7" s="84">
        <v>15</v>
      </c>
    </row>
    <row r="8" spans="1:6" x14ac:dyDescent="0.25">
      <c r="B8" s="12" t="s">
        <v>909</v>
      </c>
      <c r="C8" s="12" t="s">
        <v>910</v>
      </c>
      <c r="D8" s="12" t="s">
        <v>911</v>
      </c>
      <c r="E8" s="12" t="s">
        <v>912</v>
      </c>
      <c r="F8" s="84">
        <f>F5*F6*(10^3/10^3)</f>
        <v>4248247.3865837343</v>
      </c>
    </row>
    <row r="9" spans="1:6" x14ac:dyDescent="0.25">
      <c r="B9" s="12" t="s">
        <v>913</v>
      </c>
      <c r="C9" s="12" t="s">
        <v>914</v>
      </c>
      <c r="D9" s="12" t="s">
        <v>511</v>
      </c>
      <c r="E9" s="12" t="s">
        <v>915</v>
      </c>
      <c r="F9" s="92">
        <f>F8/F7</f>
        <v>283216.49243891559</v>
      </c>
    </row>
    <row r="10" spans="1:6" x14ac:dyDescent="0.25">
      <c r="B10" s="12" t="s">
        <v>916</v>
      </c>
      <c r="C10" s="12" t="s">
        <v>917</v>
      </c>
      <c r="D10" s="12" t="s">
        <v>918</v>
      </c>
      <c r="E10" s="12" t="s">
        <v>507</v>
      </c>
      <c r="F10" s="84">
        <v>9300</v>
      </c>
    </row>
    <row r="11" spans="1:6" x14ac:dyDescent="0.25">
      <c r="B11" s="12" t="s">
        <v>919</v>
      </c>
      <c r="C11" s="12" t="s">
        <v>920</v>
      </c>
      <c r="E11" s="12" t="s">
        <v>921</v>
      </c>
      <c r="F11" s="105">
        <f>F9/F10</f>
        <v>30.453386283754366</v>
      </c>
    </row>
    <row r="12" spans="1:6" x14ac:dyDescent="0.25">
      <c r="E12" s="12" t="s">
        <v>784</v>
      </c>
      <c r="F12" s="125">
        <f>F11</f>
        <v>30.453386283754366</v>
      </c>
    </row>
    <row r="13" spans="1:6" x14ac:dyDescent="0.25">
      <c r="B13" s="12" t="s">
        <v>922</v>
      </c>
      <c r="C13" s="12" t="s">
        <v>923</v>
      </c>
      <c r="D13" s="12" t="s">
        <v>883</v>
      </c>
      <c r="E13" s="12" t="s">
        <v>924</v>
      </c>
      <c r="F13" s="84"/>
    </row>
    <row r="14" spans="1:6" x14ac:dyDescent="0.25">
      <c r="B14" s="12" t="s">
        <v>925</v>
      </c>
      <c r="C14" s="12" t="s">
        <v>926</v>
      </c>
      <c r="D14" s="12" t="s">
        <v>511</v>
      </c>
      <c r="E14" s="12" t="s">
        <v>927</v>
      </c>
      <c r="F14" s="84">
        <f>F12*F10</f>
        <v>283216.49243891559</v>
      </c>
    </row>
    <row r="15" spans="1:6" x14ac:dyDescent="0.25">
      <c r="B15" s="12" t="s">
        <v>928</v>
      </c>
      <c r="C15" s="12" t="s">
        <v>524</v>
      </c>
      <c r="D15" s="12" t="s">
        <v>883</v>
      </c>
      <c r="E15" s="12" t="s">
        <v>929</v>
      </c>
      <c r="F15" s="92">
        <f>((-1)+(SQRT(1+0.039*(F14/F6)*F5)))/(0.0195*(F14/F6))</f>
        <v>32.119283675391273</v>
      </c>
    </row>
    <row r="16" spans="1:6" x14ac:dyDescent="0.25">
      <c r="E16" s="12" t="s">
        <v>930</v>
      </c>
      <c r="F16" s="84" t="s">
        <v>995</v>
      </c>
    </row>
    <row r="17" spans="2:8" x14ac:dyDescent="0.25">
      <c r="E17" s="12" t="s">
        <v>931</v>
      </c>
      <c r="F17" s="84"/>
    </row>
    <row r="18" spans="2:8" x14ac:dyDescent="0.25">
      <c r="B18" s="12" t="s">
        <v>932</v>
      </c>
      <c r="C18" s="12" t="s">
        <v>933</v>
      </c>
      <c r="E18" s="12" t="s">
        <v>507</v>
      </c>
      <c r="F18" s="123">
        <v>20</v>
      </c>
    </row>
    <row r="19" spans="2:8" x14ac:dyDescent="0.25">
      <c r="B19" s="12" t="s">
        <v>934</v>
      </c>
      <c r="C19" s="12" t="s">
        <v>935</v>
      </c>
      <c r="D19" s="12" t="s">
        <v>511</v>
      </c>
      <c r="E19" s="12" t="s">
        <v>936</v>
      </c>
      <c r="F19" s="84">
        <f>F18*F10</f>
        <v>186000</v>
      </c>
    </row>
    <row r="20" spans="2:8" x14ac:dyDescent="0.25">
      <c r="B20" s="12" t="s">
        <v>937</v>
      </c>
      <c r="C20" s="12" t="s">
        <v>938</v>
      </c>
      <c r="D20" s="12" t="s">
        <v>883</v>
      </c>
      <c r="E20" s="12" t="s">
        <v>939</v>
      </c>
      <c r="F20" s="92">
        <f>((-1)+(SQRT(1+0.039*(F19/F6)*F15)))/(0.0195*(F19/F6))</f>
        <v>18.252736350902477</v>
      </c>
    </row>
    <row r="21" spans="2:8" x14ac:dyDescent="0.25">
      <c r="E21" s="12" t="s">
        <v>930</v>
      </c>
      <c r="F21" s="84" t="s">
        <v>998</v>
      </c>
    </row>
    <row r="22" spans="2:8" x14ac:dyDescent="0.25">
      <c r="E22" s="12" t="s">
        <v>940</v>
      </c>
      <c r="F22" s="84"/>
    </row>
    <row r="23" spans="2:8" x14ac:dyDescent="0.25">
      <c r="B23" s="12" t="s">
        <v>941</v>
      </c>
      <c r="C23" s="12" t="s">
        <v>942</v>
      </c>
      <c r="E23" s="12" t="s">
        <v>507</v>
      </c>
      <c r="F23" s="123">
        <v>12</v>
      </c>
    </row>
    <row r="24" spans="2:8" x14ac:dyDescent="0.25">
      <c r="B24" s="12" t="s">
        <v>943</v>
      </c>
      <c r="C24" s="12" t="s">
        <v>944</v>
      </c>
      <c r="D24" s="12" t="s">
        <v>511</v>
      </c>
      <c r="E24" s="12" t="s">
        <v>945</v>
      </c>
      <c r="F24" s="84">
        <f>F23*F10</f>
        <v>111600</v>
      </c>
      <c r="H24" s="12">
        <f>F24+F19+F14</f>
        <v>580816.49243891565</v>
      </c>
    </row>
    <row r="25" spans="2:8" x14ac:dyDescent="0.25">
      <c r="B25" s="12" t="s">
        <v>946</v>
      </c>
      <c r="C25" s="12" t="s">
        <v>947</v>
      </c>
      <c r="D25" s="12" t="s">
        <v>883</v>
      </c>
      <c r="E25" s="12" t="s">
        <v>948</v>
      </c>
      <c r="F25" s="92">
        <f>((-1)+(SQRT(1+0.039*(F24/F6)*F20)))/(0.0195*(F24/F6))</f>
        <v>13.620125337254088</v>
      </c>
    </row>
    <row r="26" spans="2:8" x14ac:dyDescent="0.25">
      <c r="F26" s="84" t="s">
        <v>996</v>
      </c>
    </row>
    <row r="27" spans="2:8" x14ac:dyDescent="0.25">
      <c r="F27" s="84" t="s">
        <v>949</v>
      </c>
    </row>
    <row r="28" spans="2:8" x14ac:dyDescent="0.25">
      <c r="B28" s="90" t="s">
        <v>950</v>
      </c>
      <c r="C28" s="90" t="s">
        <v>951</v>
      </c>
      <c r="D28" s="90" t="s">
        <v>726</v>
      </c>
      <c r="E28" s="90" t="s">
        <v>952</v>
      </c>
      <c r="F28" s="126">
        <f>F6/((F12+F18+F23)*F10)</f>
        <v>7.5018131603947033E-2</v>
      </c>
    </row>
    <row r="29" spans="2:8" x14ac:dyDescent="0.25">
      <c r="B29" s="12" t="s">
        <v>953</v>
      </c>
      <c r="C29" s="12" t="s">
        <v>903</v>
      </c>
      <c r="F29" s="84"/>
    </row>
    <row r="30" spans="2:8" x14ac:dyDescent="0.25">
      <c r="B30" s="12" t="s">
        <v>954</v>
      </c>
      <c r="C30" s="12" t="s">
        <v>955</v>
      </c>
      <c r="D30" s="12" t="s">
        <v>956</v>
      </c>
      <c r="E30" s="12" t="s">
        <v>957</v>
      </c>
      <c r="F30" s="84">
        <f>F6*F5*(1/(F12*F10))</f>
        <v>15.000000000000002</v>
      </c>
    </row>
    <row r="31" spans="2:8" x14ac:dyDescent="0.25">
      <c r="E31" s="12" t="s">
        <v>958</v>
      </c>
      <c r="F31" s="84" t="s">
        <v>959</v>
      </c>
    </row>
    <row r="32" spans="2:8" x14ac:dyDescent="0.25">
      <c r="B32" s="12" t="s">
        <v>960</v>
      </c>
      <c r="C32" s="12" t="s">
        <v>961</v>
      </c>
      <c r="D32" s="12" t="s">
        <v>956</v>
      </c>
      <c r="E32" s="12" t="s">
        <v>962</v>
      </c>
      <c r="F32" s="107">
        <f>F6*F15*(1/(F18*F10))</f>
        <v>7.5241611763398168</v>
      </c>
    </row>
    <row r="33" spans="1:6" x14ac:dyDescent="0.25">
      <c r="E33" s="12" t="s">
        <v>958</v>
      </c>
      <c r="F33" s="84" t="s">
        <v>963</v>
      </c>
    </row>
    <row r="34" spans="1:6" x14ac:dyDescent="0.25">
      <c r="B34" s="12" t="s">
        <v>964</v>
      </c>
      <c r="C34" s="12" t="s">
        <v>965</v>
      </c>
      <c r="D34" s="12" t="s">
        <v>966</v>
      </c>
      <c r="E34" s="12" t="s">
        <v>967</v>
      </c>
      <c r="F34" s="92">
        <f>F6*F25*(1/(F23*F10))</f>
        <v>5.3176786939557559</v>
      </c>
    </row>
    <row r="35" spans="1:6" x14ac:dyDescent="0.25">
      <c r="E35" s="12" t="s">
        <v>958</v>
      </c>
      <c r="F35" s="84" t="s">
        <v>963</v>
      </c>
    </row>
    <row r="36" spans="1:6" x14ac:dyDescent="0.25">
      <c r="B36" s="12" t="s">
        <v>968</v>
      </c>
      <c r="C36" s="12" t="s">
        <v>969</v>
      </c>
      <c r="D36" s="12" t="s">
        <v>970</v>
      </c>
      <c r="E36" s="12" t="s">
        <v>971</v>
      </c>
      <c r="F36" s="84"/>
    </row>
    <row r="37" spans="1:6" x14ac:dyDescent="0.25">
      <c r="B37" s="12" t="s">
        <v>972</v>
      </c>
      <c r="C37" s="12" t="s">
        <v>973</v>
      </c>
      <c r="D37" s="12" t="s">
        <v>970</v>
      </c>
      <c r="E37" s="12" t="s">
        <v>974</v>
      </c>
      <c r="F37" s="92">
        <f>1.5*(1-0.1*(F32))</f>
        <v>0.37137582354902737</v>
      </c>
    </row>
    <row r="38" spans="1:6" x14ac:dyDescent="0.25">
      <c r="B38" s="90" t="s">
        <v>975</v>
      </c>
      <c r="C38" s="90" t="s">
        <v>976</v>
      </c>
      <c r="D38" s="90" t="s">
        <v>970</v>
      </c>
      <c r="E38" s="90" t="s">
        <v>977</v>
      </c>
      <c r="F38" s="117">
        <f>1.5*(1-0.1*(F34))</f>
        <v>0.70234819590663655</v>
      </c>
    </row>
    <row r="39" spans="1:6" x14ac:dyDescent="0.25">
      <c r="B39" s="431" t="s">
        <v>978</v>
      </c>
      <c r="C39" s="431"/>
      <c r="D39" s="431"/>
      <c r="E39" s="431"/>
      <c r="F39" s="431"/>
    </row>
    <row r="40" spans="1:6" x14ac:dyDescent="0.25">
      <c r="B40" s="12" t="s">
        <v>972</v>
      </c>
      <c r="C40" s="12" t="s">
        <v>973</v>
      </c>
      <c r="D40" s="12" t="s">
        <v>970</v>
      </c>
      <c r="E40" s="12" t="s">
        <v>974</v>
      </c>
      <c r="F40" s="92">
        <f>1.5*(1-0.1*(F32))</f>
        <v>0.37137582354902737</v>
      </c>
    </row>
    <row r="41" spans="1:6" x14ac:dyDescent="0.25">
      <c r="B41" s="12" t="s">
        <v>979</v>
      </c>
      <c r="C41" s="12" t="s">
        <v>980</v>
      </c>
      <c r="D41" s="12" t="s">
        <v>911</v>
      </c>
      <c r="E41" s="12" t="s">
        <v>981</v>
      </c>
      <c r="F41" s="105">
        <f>F40*(F18*F10)</f>
        <v>69075.903180119087</v>
      </c>
    </row>
    <row r="42" spans="1:6" x14ac:dyDescent="0.25">
      <c r="B42" s="12" t="s">
        <v>982</v>
      </c>
      <c r="C42" s="12" t="s">
        <v>983</v>
      </c>
      <c r="D42" s="12" t="s">
        <v>883</v>
      </c>
      <c r="E42" s="12" t="s">
        <v>984</v>
      </c>
      <c r="F42" s="92">
        <f>F41/F6</f>
        <v>1.5853362450903643</v>
      </c>
    </row>
    <row r="43" spans="1:6" x14ac:dyDescent="0.25">
      <c r="B43" s="12" t="s">
        <v>985</v>
      </c>
      <c r="C43" s="12" t="s">
        <v>986</v>
      </c>
      <c r="D43" s="12" t="s">
        <v>911</v>
      </c>
      <c r="E43" s="12" t="s">
        <v>987</v>
      </c>
      <c r="F43" s="105">
        <f>F38*(F23*F10)</f>
        <v>78382.058663180636</v>
      </c>
    </row>
    <row r="44" spans="1:6" x14ac:dyDescent="0.25">
      <c r="B44" s="12" t="s">
        <v>988</v>
      </c>
      <c r="C44" s="12" t="s">
        <v>989</v>
      </c>
      <c r="D44" s="12" t="s">
        <v>883</v>
      </c>
      <c r="E44" s="12" t="s">
        <v>990</v>
      </c>
      <c r="F44" s="92">
        <f>F43/F6</f>
        <v>1.7989184772513203</v>
      </c>
    </row>
    <row r="45" spans="1:6" x14ac:dyDescent="0.25">
      <c r="B45" s="12" t="s">
        <v>991</v>
      </c>
      <c r="C45" s="12" t="s">
        <v>992</v>
      </c>
      <c r="D45" s="12" t="s">
        <v>993</v>
      </c>
      <c r="E45" s="12" t="s">
        <v>994</v>
      </c>
      <c r="F45" s="105">
        <f>27.5-F44</f>
        <v>25.70108152274868</v>
      </c>
    </row>
    <row r="46" spans="1:6" x14ac:dyDescent="0.25">
      <c r="A46" s="87" t="s">
        <v>580</v>
      </c>
      <c r="B46" s="88" t="s">
        <v>999</v>
      </c>
      <c r="C46" s="88" t="s">
        <v>495</v>
      </c>
      <c r="D46" s="88" t="s">
        <v>240</v>
      </c>
      <c r="E46" s="88" t="s">
        <v>496</v>
      </c>
      <c r="F46" s="88" t="s">
        <v>97</v>
      </c>
    </row>
    <row r="47" spans="1:6" x14ac:dyDescent="0.25">
      <c r="B47" s="12" t="s">
        <v>753</v>
      </c>
      <c r="C47" s="12" t="s">
        <v>754</v>
      </c>
      <c r="D47" s="12" t="s">
        <v>499</v>
      </c>
      <c r="E47" s="12" t="s">
        <v>754</v>
      </c>
      <c r="F47" s="92">
        <f>'Debit Total'!O45</f>
        <v>0.5043028711519153</v>
      </c>
    </row>
    <row r="48" spans="1:6" x14ac:dyDescent="0.25">
      <c r="D48" s="12" t="s">
        <v>757</v>
      </c>
      <c r="E48" s="12" t="s">
        <v>755</v>
      </c>
      <c r="F48" s="92">
        <f>F47*86400</f>
        <v>43571.768067525481</v>
      </c>
    </row>
    <row r="49" spans="1:6" x14ac:dyDescent="0.25">
      <c r="B49" s="12" t="s">
        <v>756</v>
      </c>
      <c r="C49" s="12" t="s">
        <v>540</v>
      </c>
      <c r="D49" s="12" t="s">
        <v>499</v>
      </c>
      <c r="E49" s="12" t="s">
        <v>540</v>
      </c>
      <c r="F49" s="92">
        <f>'Debit Total'!P45</f>
        <v>0.90774516807344752</v>
      </c>
    </row>
    <row r="50" spans="1:6" x14ac:dyDescent="0.25">
      <c r="D50" s="12" t="s">
        <v>757</v>
      </c>
      <c r="E50" s="12" t="s">
        <v>758</v>
      </c>
      <c r="F50" s="92">
        <f>F49*86400</f>
        <v>78429.182521545867</v>
      </c>
    </row>
    <row r="51" spans="1:6" x14ac:dyDescent="0.25">
      <c r="B51" s="12" t="s">
        <v>850</v>
      </c>
      <c r="C51" s="12" t="s">
        <v>851</v>
      </c>
      <c r="D51" s="12" t="s">
        <v>757</v>
      </c>
      <c r="E51" s="12" t="s">
        <v>852</v>
      </c>
      <c r="F51" s="92">
        <f>(F49*86400)/2</f>
        <v>39214.591260772933</v>
      </c>
    </row>
    <row r="52" spans="1:6" x14ac:dyDescent="0.25">
      <c r="A52" s="90"/>
      <c r="B52" s="90" t="s">
        <v>835</v>
      </c>
      <c r="C52" s="90" t="s">
        <v>836</v>
      </c>
      <c r="D52" s="90" t="s">
        <v>757</v>
      </c>
      <c r="E52" s="90" t="s">
        <v>853</v>
      </c>
      <c r="F52" s="117">
        <f>(F47*86400)/2</f>
        <v>21785.884033762741</v>
      </c>
    </row>
    <row r="53" spans="1:6" x14ac:dyDescent="0.25">
      <c r="B53" s="12" t="s">
        <v>724</v>
      </c>
      <c r="C53" s="12" t="s">
        <v>761</v>
      </c>
      <c r="D53" s="12" t="s">
        <v>726</v>
      </c>
      <c r="E53" s="12" t="s">
        <v>513</v>
      </c>
      <c r="F53" s="92">
        <v>40</v>
      </c>
    </row>
    <row r="54" spans="1:6" x14ac:dyDescent="0.25">
      <c r="B54" s="12" t="s">
        <v>509</v>
      </c>
      <c r="C54" s="12" t="s">
        <v>510</v>
      </c>
      <c r="D54" s="12" t="s">
        <v>511</v>
      </c>
      <c r="E54" s="12" t="s">
        <v>762</v>
      </c>
      <c r="F54" s="92">
        <f>F48/F53</f>
        <v>1089.294201688137</v>
      </c>
    </row>
    <row r="55" spans="1:6" x14ac:dyDescent="0.25">
      <c r="B55" s="12" t="s">
        <v>508</v>
      </c>
      <c r="C55" s="12" t="s">
        <v>73</v>
      </c>
      <c r="D55" s="12" t="s">
        <v>444</v>
      </c>
      <c r="E55" s="12" t="s">
        <v>513</v>
      </c>
      <c r="F55" s="92">
        <v>12</v>
      </c>
    </row>
    <row r="56" spans="1:6" x14ac:dyDescent="0.25">
      <c r="E56" s="12" t="s">
        <v>832</v>
      </c>
      <c r="F56" s="92">
        <f>2*F55</f>
        <v>24</v>
      </c>
    </row>
    <row r="57" spans="1:6" x14ac:dyDescent="0.25">
      <c r="B57" s="12" t="s">
        <v>652</v>
      </c>
      <c r="C57" s="12" t="s">
        <v>591</v>
      </c>
      <c r="D57" s="12" t="s">
        <v>444</v>
      </c>
      <c r="E57" s="12" t="s">
        <v>763</v>
      </c>
      <c r="F57" s="105">
        <f>F54/F56</f>
        <v>45.387258403672377</v>
      </c>
    </row>
    <row r="58" spans="1:6" x14ac:dyDescent="0.25">
      <c r="B58" s="12" t="s">
        <v>764</v>
      </c>
      <c r="C58" s="12" t="s">
        <v>721</v>
      </c>
      <c r="D58" s="12" t="s">
        <v>444</v>
      </c>
      <c r="E58" s="12" t="s">
        <v>507</v>
      </c>
      <c r="F58" s="92">
        <v>4</v>
      </c>
    </row>
    <row r="59" spans="1:6" x14ac:dyDescent="0.25">
      <c r="B59" s="12" t="s">
        <v>765</v>
      </c>
      <c r="C59" s="12" t="s">
        <v>650</v>
      </c>
      <c r="D59" s="12" t="s">
        <v>601</v>
      </c>
      <c r="E59" s="12" t="s">
        <v>838</v>
      </c>
      <c r="F59" s="105">
        <f>F58*(2*(F57*F55))</f>
        <v>4357.1768067525481</v>
      </c>
    </row>
    <row r="60" spans="1:6" x14ac:dyDescent="0.25">
      <c r="B60" s="12" t="s">
        <v>766</v>
      </c>
      <c r="C60" s="12" t="s">
        <v>767</v>
      </c>
      <c r="D60" s="12" t="s">
        <v>726</v>
      </c>
      <c r="E60" s="12" t="s">
        <v>839</v>
      </c>
      <c r="F60" s="92">
        <f>F48/(2*(F55*F57))</f>
        <v>40</v>
      </c>
    </row>
    <row r="61" spans="1:6" x14ac:dyDescent="0.25">
      <c r="B61" s="12" t="s">
        <v>453</v>
      </c>
      <c r="C61" s="12" t="s">
        <v>739</v>
      </c>
      <c r="D61" s="12" t="s">
        <v>768</v>
      </c>
      <c r="E61" s="12" t="s">
        <v>769</v>
      </c>
      <c r="F61" s="84">
        <f>(F59*24)/F48</f>
        <v>2.4</v>
      </c>
    </row>
    <row r="62" spans="1:6" x14ac:dyDescent="0.25">
      <c r="B62" s="12" t="s">
        <v>770</v>
      </c>
      <c r="C62" s="12" t="s">
        <v>771</v>
      </c>
      <c r="D62" s="12" t="str">
        <f>D60</f>
        <v>m3/m2.d</v>
      </c>
      <c r="E62" s="12" t="s">
        <v>840</v>
      </c>
      <c r="F62" s="84">
        <f>F50/(2*(F55*F57))</f>
        <v>72</v>
      </c>
    </row>
    <row r="63" spans="1:6" x14ac:dyDescent="0.25">
      <c r="B63" s="12" t="s">
        <v>772</v>
      </c>
      <c r="C63" s="12" t="s">
        <v>773</v>
      </c>
      <c r="D63" s="12" t="s">
        <v>768</v>
      </c>
      <c r="E63" s="12" t="s">
        <v>789</v>
      </c>
      <c r="F63" s="92">
        <f>(F59*24)/F50</f>
        <v>1.3333333333333333</v>
      </c>
    </row>
    <row r="64" spans="1:6" x14ac:dyDescent="0.25">
      <c r="B64" s="12" t="s">
        <v>774</v>
      </c>
      <c r="C64" s="12" t="s">
        <v>775</v>
      </c>
      <c r="E64" s="12" t="s">
        <v>776</v>
      </c>
      <c r="F64" s="92">
        <v>0.05</v>
      </c>
    </row>
    <row r="65" spans="2:6" x14ac:dyDescent="0.25">
      <c r="B65" s="12" t="s">
        <v>777</v>
      </c>
      <c r="C65" s="12" t="s">
        <v>778</v>
      </c>
      <c r="E65" s="12" t="s">
        <v>776</v>
      </c>
      <c r="F65" s="92">
        <v>1.25</v>
      </c>
    </row>
    <row r="66" spans="2:6" x14ac:dyDescent="0.25">
      <c r="B66" s="12" t="s">
        <v>779</v>
      </c>
      <c r="C66" s="12" t="s">
        <v>780</v>
      </c>
      <c r="D66" s="12" t="s">
        <v>781</v>
      </c>
      <c r="E66" s="12" t="s">
        <v>776</v>
      </c>
      <c r="F66" s="92">
        <v>9.81</v>
      </c>
    </row>
    <row r="67" spans="2:6" x14ac:dyDescent="0.25">
      <c r="B67" s="12" t="s">
        <v>782</v>
      </c>
      <c r="C67" s="12" t="s">
        <v>568</v>
      </c>
      <c r="D67" s="12" t="s">
        <v>783</v>
      </c>
      <c r="E67" s="12" t="s">
        <v>776</v>
      </c>
      <c r="F67" s="92">
        <v>100</v>
      </c>
    </row>
    <row r="68" spans="2:6" x14ac:dyDescent="0.25">
      <c r="D68" s="12" t="s">
        <v>444</v>
      </c>
      <c r="E68" s="12" t="s">
        <v>784</v>
      </c>
      <c r="F68" s="118">
        <f>F67*(10^-6)</f>
        <v>9.9999999999999991E-5</v>
      </c>
    </row>
    <row r="69" spans="2:6" x14ac:dyDescent="0.25">
      <c r="B69" s="12" t="s">
        <v>785</v>
      </c>
      <c r="C69" s="12" t="s">
        <v>786</v>
      </c>
      <c r="E69" s="12" t="s">
        <v>776</v>
      </c>
      <c r="F69" s="89">
        <v>2.5000000000000001E-2</v>
      </c>
    </row>
    <row r="70" spans="2:6" x14ac:dyDescent="0.25">
      <c r="B70" s="12" t="s">
        <v>787</v>
      </c>
      <c r="C70" s="12" t="s">
        <v>788</v>
      </c>
      <c r="D70" s="12" t="s">
        <v>427</v>
      </c>
      <c r="E70" s="12" t="s">
        <v>790</v>
      </c>
      <c r="F70" s="92">
        <f>((8*F64*(F65-1)*(F66)*(F68))/(F69))^(1/2)</f>
        <v>6.2641839053463294E-2</v>
      </c>
    </row>
    <row r="71" spans="2:6" x14ac:dyDescent="0.25">
      <c r="B71" s="12" t="s">
        <v>791</v>
      </c>
      <c r="C71" s="12" t="s">
        <v>792</v>
      </c>
      <c r="D71" s="12" t="s">
        <v>427</v>
      </c>
      <c r="E71" s="12" t="s">
        <v>793</v>
      </c>
      <c r="F71" s="89">
        <f>(F50/(2*(F55*F58)))*(1/(24*3600))</f>
        <v>9.4556788340984105E-3</v>
      </c>
    </row>
    <row r="72" spans="2:6" x14ac:dyDescent="0.25">
      <c r="B72" s="12" t="s">
        <v>833</v>
      </c>
      <c r="C72" s="12" t="s">
        <v>834</v>
      </c>
      <c r="D72" s="12" t="s">
        <v>726</v>
      </c>
      <c r="E72" s="12" t="s">
        <v>837</v>
      </c>
      <c r="F72" s="89">
        <f>F52/(F57*F56)</f>
        <v>20</v>
      </c>
    </row>
    <row r="73" spans="2:6" x14ac:dyDescent="0.25">
      <c r="B73" s="12" t="s">
        <v>803</v>
      </c>
      <c r="C73" s="12" t="s">
        <v>798</v>
      </c>
      <c r="E73" s="12" t="s">
        <v>776</v>
      </c>
      <c r="F73" s="89">
        <v>1.7999999999999999E-2</v>
      </c>
    </row>
    <row r="74" spans="2:6" x14ac:dyDescent="0.25">
      <c r="B74" s="12" t="s">
        <v>804</v>
      </c>
      <c r="C74" s="12" t="s">
        <v>797</v>
      </c>
      <c r="E74" s="12" t="s">
        <v>776</v>
      </c>
      <c r="F74" s="89">
        <v>0.02</v>
      </c>
    </row>
    <row r="75" spans="2:6" x14ac:dyDescent="0.25">
      <c r="B75" s="12" t="s">
        <v>800</v>
      </c>
      <c r="C75" s="12" t="s">
        <v>801</v>
      </c>
      <c r="D75" s="12" t="s">
        <v>716</v>
      </c>
      <c r="E75" s="12" t="s">
        <v>802</v>
      </c>
      <c r="F75" s="119">
        <f>F61/(F73+(F74*F61))</f>
        <v>36.36363636363636</v>
      </c>
    </row>
    <row r="76" spans="2:6" x14ac:dyDescent="0.25">
      <c r="B76" s="12" t="s">
        <v>806</v>
      </c>
      <c r="C76" s="12" t="s">
        <v>807</v>
      </c>
      <c r="D76" s="12" t="s">
        <v>716</v>
      </c>
      <c r="E76" s="12" t="s">
        <v>808</v>
      </c>
      <c r="F76" s="92">
        <f>F63/(F73+(F74*F63))</f>
        <v>29.850746268656721</v>
      </c>
    </row>
    <row r="77" spans="2:6" x14ac:dyDescent="0.25">
      <c r="B77" s="12" t="s">
        <v>805</v>
      </c>
      <c r="C77" s="12" t="s">
        <v>810</v>
      </c>
      <c r="E77" s="12" t="s">
        <v>776</v>
      </c>
      <c r="F77" s="118">
        <v>7.4999999999999997E-3</v>
      </c>
    </row>
    <row r="78" spans="2:6" x14ac:dyDescent="0.25">
      <c r="B78" s="12" t="s">
        <v>809</v>
      </c>
      <c r="C78" s="12" t="s">
        <v>811</v>
      </c>
      <c r="E78" s="12" t="s">
        <v>776</v>
      </c>
      <c r="F78" s="89">
        <v>1.4E-2</v>
      </c>
    </row>
    <row r="79" spans="2:6" x14ac:dyDescent="0.25">
      <c r="B79" s="12" t="s">
        <v>812</v>
      </c>
      <c r="C79" s="12" t="s">
        <v>814</v>
      </c>
      <c r="D79" s="12" t="s">
        <v>716</v>
      </c>
      <c r="E79" s="12" t="s">
        <v>816</v>
      </c>
      <c r="F79" s="119">
        <f>F61/(F77+(F78*F61))</f>
        <v>58.394160583941606</v>
      </c>
    </row>
    <row r="80" spans="2:6" x14ac:dyDescent="0.25">
      <c r="B80" s="12" t="s">
        <v>813</v>
      </c>
      <c r="C80" s="12" t="s">
        <v>815</v>
      </c>
      <c r="D80" s="12" t="s">
        <v>716</v>
      </c>
      <c r="E80" s="12" t="s">
        <v>817</v>
      </c>
      <c r="F80" s="92">
        <f>F63/(F77+(F78*F63))</f>
        <v>50.955414012738856</v>
      </c>
    </row>
    <row r="81" spans="1:6" x14ac:dyDescent="0.25">
      <c r="A81" s="96"/>
      <c r="B81" s="97" t="s">
        <v>539</v>
      </c>
      <c r="C81" s="98"/>
      <c r="D81" s="98"/>
      <c r="E81" s="98"/>
      <c r="F81" s="98"/>
    </row>
    <row r="82" spans="1:6" x14ac:dyDescent="0.25">
      <c r="A82" s="99"/>
      <c r="B82" s="100" t="s">
        <v>587</v>
      </c>
      <c r="C82" s="100" t="s">
        <v>73</v>
      </c>
      <c r="D82" s="100" t="s">
        <v>444</v>
      </c>
      <c r="E82" s="100"/>
      <c r="F82" s="120">
        <f>F56</f>
        <v>24</v>
      </c>
    </row>
    <row r="83" spans="1:6" x14ac:dyDescent="0.25">
      <c r="A83" s="99"/>
      <c r="B83" s="100" t="s">
        <v>588</v>
      </c>
      <c r="C83" s="100" t="s">
        <v>591</v>
      </c>
      <c r="D83" s="100" t="s">
        <v>444</v>
      </c>
      <c r="E83" s="100"/>
      <c r="F83" s="120">
        <f>F57</f>
        <v>45.387258403672377</v>
      </c>
    </row>
    <row r="84" spans="1:6" x14ac:dyDescent="0.25">
      <c r="A84" s="102"/>
      <c r="B84" s="103" t="s">
        <v>589</v>
      </c>
      <c r="C84" s="103" t="s">
        <v>592</v>
      </c>
      <c r="D84" s="103" t="s">
        <v>444</v>
      </c>
      <c r="E84" s="103"/>
      <c r="F84" s="121">
        <f>F58</f>
        <v>4</v>
      </c>
    </row>
    <row r="85" spans="1:6" x14ac:dyDescent="0.25">
      <c r="B85" s="84" t="s">
        <v>820</v>
      </c>
      <c r="C85" s="84" t="s">
        <v>821</v>
      </c>
      <c r="D85" s="84" t="s">
        <v>716</v>
      </c>
      <c r="E85" s="84" t="s">
        <v>776</v>
      </c>
      <c r="F85" s="105">
        <v>5</v>
      </c>
    </row>
    <row r="86" spans="1:6" x14ac:dyDescent="0.25">
      <c r="B86" s="84" t="s">
        <v>822</v>
      </c>
      <c r="C86" s="84" t="s">
        <v>823</v>
      </c>
      <c r="D86" s="84"/>
      <c r="E86" s="84" t="s">
        <v>776</v>
      </c>
      <c r="F86" s="92">
        <v>1.03</v>
      </c>
    </row>
    <row r="87" spans="1:6" x14ac:dyDescent="0.25">
      <c r="A87" s="90"/>
      <c r="B87" s="86" t="s">
        <v>818</v>
      </c>
      <c r="C87" s="86" t="s">
        <v>819</v>
      </c>
      <c r="D87" s="86" t="s">
        <v>757</v>
      </c>
      <c r="E87" s="90" t="s">
        <v>824</v>
      </c>
      <c r="F87" s="117">
        <f>(F79*1000)/(F85%*F86*(10^6))</f>
        <v>1.1338671958046913</v>
      </c>
    </row>
    <row r="88" spans="1:6" x14ac:dyDescent="0.25">
      <c r="B88" s="84" t="s">
        <v>825</v>
      </c>
      <c r="C88" s="84" t="s">
        <v>826</v>
      </c>
      <c r="D88" s="84" t="s">
        <v>427</v>
      </c>
      <c r="E88" s="84" t="s">
        <v>776</v>
      </c>
      <c r="F88" s="92">
        <v>1.5</v>
      </c>
    </row>
    <row r="89" spans="1:6" x14ac:dyDescent="0.25">
      <c r="B89" s="84" t="s">
        <v>827</v>
      </c>
      <c r="C89" s="84" t="s">
        <v>497</v>
      </c>
      <c r="D89" s="84" t="s">
        <v>499</v>
      </c>
      <c r="E89" s="84" t="s">
        <v>754</v>
      </c>
      <c r="F89" s="92">
        <f>F47</f>
        <v>0.5043028711519153</v>
      </c>
    </row>
    <row r="90" spans="1:6" x14ac:dyDescent="0.25">
      <c r="A90" s="90"/>
      <c r="B90" s="86" t="s">
        <v>828</v>
      </c>
      <c r="C90" s="86" t="s">
        <v>829</v>
      </c>
      <c r="D90" s="86" t="s">
        <v>511</v>
      </c>
      <c r="E90" s="86" t="s">
        <v>830</v>
      </c>
      <c r="F90" s="117">
        <f>F89/F88</f>
        <v>0.33620191410127687</v>
      </c>
    </row>
    <row r="91" spans="1:6" x14ac:dyDescent="0.25">
      <c r="A91" s="122"/>
      <c r="B91" s="123" t="s">
        <v>725</v>
      </c>
      <c r="C91" s="123" t="s">
        <v>845</v>
      </c>
      <c r="D91" s="123" t="s">
        <v>727</v>
      </c>
      <c r="E91" s="123" t="s">
        <v>513</v>
      </c>
      <c r="F91" s="124">
        <v>496</v>
      </c>
    </row>
    <row r="92" spans="1:6" x14ac:dyDescent="0.25">
      <c r="A92" s="122"/>
      <c r="B92" s="123" t="s">
        <v>843</v>
      </c>
      <c r="C92" s="123" t="s">
        <v>844</v>
      </c>
      <c r="D92" s="123" t="s">
        <v>444</v>
      </c>
      <c r="E92" s="123" t="s">
        <v>854</v>
      </c>
      <c r="F92" s="124">
        <f>F51/F91</f>
        <v>79.061675928977692</v>
      </c>
    </row>
    <row r="93" spans="1:6" x14ac:dyDescent="0.25">
      <c r="B93" s="84" t="s">
        <v>855</v>
      </c>
      <c r="C93" s="84" t="s">
        <v>856</v>
      </c>
      <c r="D93" s="84"/>
      <c r="E93" s="84" t="s">
        <v>857</v>
      </c>
      <c r="F93" s="105">
        <f>5*F92</f>
        <v>395.30837964488848</v>
      </c>
    </row>
  </sheetData>
  <mergeCells count="1">
    <mergeCell ref="B39:F39"/>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68AA-BE4A-47AC-80AD-9E7D50A4725D}">
  <dimension ref="B3:R56"/>
  <sheetViews>
    <sheetView zoomScale="83" zoomScaleNormal="83" workbookViewId="0">
      <selection activeCell="G30" sqref="G30:I30"/>
    </sheetView>
  </sheetViews>
  <sheetFormatPr defaultRowHeight="13.8" x14ac:dyDescent="0.25"/>
  <cols>
    <col min="1" max="16384" width="8.88671875" style="12"/>
  </cols>
  <sheetData>
    <row r="3" spans="2:18" x14ac:dyDescent="0.25">
      <c r="B3" s="418" t="s">
        <v>189</v>
      </c>
      <c r="C3" s="418"/>
      <c r="D3" s="418"/>
      <c r="E3" s="418"/>
      <c r="F3" s="418"/>
      <c r="G3" s="418" t="s">
        <v>240</v>
      </c>
      <c r="H3" s="418"/>
      <c r="I3" s="418"/>
      <c r="J3" s="418" t="s">
        <v>415</v>
      </c>
      <c r="K3" s="418"/>
      <c r="L3" s="418"/>
      <c r="M3" s="418" t="s">
        <v>416</v>
      </c>
      <c r="N3" s="418"/>
      <c r="O3" s="418"/>
      <c r="P3" s="418" t="s">
        <v>417</v>
      </c>
      <c r="Q3" s="418"/>
      <c r="R3" s="418"/>
    </row>
    <row r="4" spans="2:18" x14ac:dyDescent="0.25">
      <c r="B4" s="416" t="s">
        <v>1000</v>
      </c>
      <c r="C4" s="416"/>
      <c r="D4" s="416"/>
      <c r="E4" s="416"/>
      <c r="F4" s="416"/>
      <c r="G4" s="412"/>
      <c r="H4" s="412"/>
      <c r="I4" s="412"/>
      <c r="J4" s="412"/>
      <c r="K4" s="412"/>
      <c r="L4" s="412"/>
      <c r="M4" s="412"/>
      <c r="N4" s="412"/>
      <c r="O4" s="412"/>
      <c r="P4" s="412"/>
      <c r="Q4" s="412"/>
      <c r="R4" s="412"/>
    </row>
    <row r="5" spans="2:18" x14ac:dyDescent="0.25">
      <c r="B5" s="431" t="s">
        <v>1001</v>
      </c>
      <c r="C5" s="431"/>
      <c r="D5" s="431"/>
      <c r="E5" s="431"/>
      <c r="F5" s="431"/>
      <c r="G5" s="420" t="s">
        <v>73</v>
      </c>
      <c r="H5" s="420"/>
      <c r="I5" s="420"/>
      <c r="J5" s="420" t="s">
        <v>1017</v>
      </c>
      <c r="K5" s="420"/>
      <c r="L5" s="420"/>
      <c r="M5" s="420"/>
      <c r="N5" s="420"/>
      <c r="O5" s="420"/>
      <c r="P5" s="420"/>
      <c r="Q5" s="420"/>
      <c r="R5" s="420"/>
    </row>
    <row r="6" spans="2:18" x14ac:dyDescent="0.25">
      <c r="B6" s="413" t="s">
        <v>1002</v>
      </c>
      <c r="C6" s="413"/>
      <c r="D6" s="413"/>
      <c r="E6" s="413"/>
      <c r="F6" s="413"/>
      <c r="G6" s="414" t="s">
        <v>1013</v>
      </c>
      <c r="H6" s="414"/>
      <c r="I6" s="414"/>
      <c r="J6" s="414" t="s">
        <v>1018</v>
      </c>
      <c r="K6" s="414"/>
      <c r="L6" s="414"/>
      <c r="M6" s="414"/>
      <c r="N6" s="414"/>
      <c r="O6" s="414"/>
      <c r="P6" s="414"/>
      <c r="Q6" s="414"/>
      <c r="R6" s="414"/>
    </row>
    <row r="7" spans="2:18" x14ac:dyDescent="0.25">
      <c r="B7" s="413" t="s">
        <v>1003</v>
      </c>
      <c r="C7" s="413"/>
      <c r="D7" s="413"/>
      <c r="E7" s="413"/>
      <c r="F7" s="413"/>
      <c r="G7" s="414" t="s">
        <v>650</v>
      </c>
      <c r="H7" s="414"/>
      <c r="I7" s="414"/>
      <c r="J7" s="414" t="s">
        <v>1018</v>
      </c>
      <c r="K7" s="414"/>
      <c r="L7" s="414"/>
      <c r="M7" s="414"/>
      <c r="N7" s="414"/>
      <c r="O7" s="414"/>
      <c r="P7" s="414"/>
      <c r="Q7" s="414"/>
      <c r="R7" s="414"/>
    </row>
    <row r="8" spans="2:18" x14ac:dyDescent="0.25">
      <c r="B8" s="413" t="s">
        <v>1004</v>
      </c>
      <c r="C8" s="413"/>
      <c r="D8" s="413"/>
      <c r="E8" s="413"/>
      <c r="F8" s="413"/>
      <c r="G8" s="414" t="s">
        <v>716</v>
      </c>
      <c r="H8" s="414"/>
      <c r="I8" s="414"/>
      <c r="J8" s="414" t="s">
        <v>1019</v>
      </c>
      <c r="K8" s="414"/>
      <c r="L8" s="414"/>
      <c r="M8" s="414"/>
      <c r="N8" s="414"/>
      <c r="O8" s="414"/>
      <c r="P8" s="414"/>
      <c r="Q8" s="414"/>
      <c r="R8" s="414"/>
    </row>
    <row r="9" spans="2:18" x14ac:dyDescent="0.25">
      <c r="B9" s="413" t="s">
        <v>1005</v>
      </c>
      <c r="C9" s="413"/>
      <c r="D9" s="413"/>
      <c r="E9" s="413"/>
      <c r="F9" s="413"/>
      <c r="G9" s="414" t="s">
        <v>73</v>
      </c>
      <c r="H9" s="414"/>
      <c r="I9" s="414"/>
      <c r="J9" s="414" t="s">
        <v>1020</v>
      </c>
      <c r="K9" s="414"/>
      <c r="L9" s="414"/>
      <c r="M9" s="414"/>
      <c r="N9" s="414"/>
      <c r="O9" s="414"/>
      <c r="P9" s="414"/>
      <c r="Q9" s="414"/>
      <c r="R9" s="414"/>
    </row>
    <row r="10" spans="2:18" x14ac:dyDescent="0.25">
      <c r="B10" s="413" t="s">
        <v>1006</v>
      </c>
      <c r="C10" s="413"/>
      <c r="D10" s="413"/>
      <c r="E10" s="413"/>
      <c r="F10" s="413"/>
      <c r="G10" s="414" t="s">
        <v>1014</v>
      </c>
      <c r="H10" s="414"/>
      <c r="I10" s="414"/>
      <c r="J10" s="414" t="s">
        <v>1021</v>
      </c>
      <c r="K10" s="414"/>
      <c r="L10" s="414"/>
      <c r="M10" s="414"/>
      <c r="N10" s="414"/>
      <c r="O10" s="414"/>
      <c r="P10" s="414"/>
      <c r="Q10" s="414"/>
      <c r="R10" s="414"/>
    </row>
    <row r="11" spans="2:18" x14ac:dyDescent="0.25">
      <c r="B11" s="413" t="s">
        <v>1007</v>
      </c>
      <c r="C11" s="413"/>
      <c r="D11" s="413"/>
      <c r="E11" s="413"/>
      <c r="F11" s="413"/>
      <c r="G11" s="414" t="s">
        <v>1015</v>
      </c>
      <c r="H11" s="414"/>
      <c r="I11" s="414"/>
      <c r="J11" s="414" t="s">
        <v>1022</v>
      </c>
      <c r="K11" s="414"/>
      <c r="L11" s="414"/>
      <c r="M11" s="414"/>
      <c r="N11" s="414"/>
      <c r="O11" s="414"/>
      <c r="P11" s="414"/>
      <c r="Q11" s="414"/>
      <c r="R11" s="414"/>
    </row>
    <row r="12" spans="2:18" x14ac:dyDescent="0.25">
      <c r="B12" s="413" t="s">
        <v>1008</v>
      </c>
      <c r="C12" s="413"/>
      <c r="D12" s="413"/>
      <c r="E12" s="413"/>
      <c r="F12" s="413"/>
      <c r="G12" s="414" t="s">
        <v>444</v>
      </c>
      <c r="H12" s="414"/>
      <c r="I12" s="414"/>
      <c r="J12" s="414" t="s">
        <v>1023</v>
      </c>
      <c r="K12" s="414"/>
      <c r="L12" s="414"/>
      <c r="M12" s="414"/>
      <c r="N12" s="414"/>
      <c r="O12" s="414"/>
      <c r="P12" s="414"/>
      <c r="Q12" s="414"/>
      <c r="R12" s="414"/>
    </row>
    <row r="13" spans="2:18" x14ac:dyDescent="0.25">
      <c r="B13" s="413" t="s">
        <v>1009</v>
      </c>
      <c r="C13" s="413"/>
      <c r="D13" s="413"/>
      <c r="E13" s="413"/>
      <c r="F13" s="413"/>
      <c r="G13" s="414" t="s">
        <v>425</v>
      </c>
      <c r="H13" s="414"/>
      <c r="I13" s="414"/>
      <c r="J13" s="414" t="s">
        <v>1018</v>
      </c>
      <c r="K13" s="414"/>
      <c r="L13" s="414"/>
      <c r="M13" s="414"/>
      <c r="N13" s="414"/>
      <c r="O13" s="414"/>
      <c r="P13" s="414"/>
      <c r="Q13" s="414"/>
      <c r="R13" s="414"/>
    </row>
    <row r="14" spans="2:18" x14ac:dyDescent="0.25">
      <c r="B14" s="413" t="s">
        <v>1010</v>
      </c>
      <c r="C14" s="413"/>
      <c r="D14" s="413"/>
      <c r="E14" s="413"/>
      <c r="F14" s="413"/>
      <c r="G14" s="414" t="s">
        <v>1016</v>
      </c>
      <c r="H14" s="414"/>
      <c r="I14" s="414"/>
      <c r="J14" s="415" t="s">
        <v>1024</v>
      </c>
      <c r="K14" s="414"/>
      <c r="L14" s="414"/>
      <c r="M14" s="414"/>
      <c r="N14" s="414"/>
      <c r="O14" s="414"/>
      <c r="P14" s="414"/>
      <c r="Q14" s="414"/>
      <c r="R14" s="414"/>
    </row>
    <row r="15" spans="2:18" x14ac:dyDescent="0.25">
      <c r="B15" s="413" t="s">
        <v>1011</v>
      </c>
      <c r="C15" s="413"/>
      <c r="D15" s="413"/>
      <c r="E15" s="413"/>
      <c r="F15" s="413"/>
      <c r="G15" s="414" t="s">
        <v>1016</v>
      </c>
      <c r="H15" s="414"/>
      <c r="I15" s="414"/>
      <c r="J15" s="415" t="s">
        <v>1025</v>
      </c>
      <c r="K15" s="414"/>
      <c r="L15" s="414"/>
      <c r="M15" s="414"/>
      <c r="N15" s="414"/>
      <c r="O15" s="414"/>
      <c r="P15" s="414"/>
      <c r="Q15" s="414"/>
      <c r="R15" s="414"/>
    </row>
    <row r="16" spans="2:18" x14ac:dyDescent="0.25">
      <c r="B16" s="413" t="s">
        <v>1012</v>
      </c>
      <c r="C16" s="413"/>
      <c r="D16" s="413"/>
      <c r="E16" s="413"/>
      <c r="F16" s="413"/>
      <c r="G16" s="414" t="s">
        <v>721</v>
      </c>
      <c r="H16" s="414"/>
      <c r="I16" s="414"/>
      <c r="J16" s="414" t="s">
        <v>1026</v>
      </c>
      <c r="K16" s="414"/>
      <c r="L16" s="414"/>
      <c r="M16" s="414"/>
      <c r="N16" s="414"/>
      <c r="O16" s="414"/>
      <c r="P16" s="414"/>
      <c r="Q16" s="414"/>
      <c r="R16" s="414"/>
    </row>
    <row r="17" spans="2:18" x14ac:dyDescent="0.25">
      <c r="B17" s="413"/>
      <c r="C17" s="413"/>
      <c r="D17" s="413"/>
      <c r="E17" s="413"/>
      <c r="F17" s="413"/>
      <c r="G17" s="414"/>
      <c r="H17" s="414"/>
      <c r="I17" s="414"/>
      <c r="J17" s="414"/>
      <c r="K17" s="414"/>
      <c r="L17" s="414"/>
      <c r="M17" s="414"/>
      <c r="N17" s="414"/>
      <c r="O17" s="414"/>
      <c r="P17" s="414"/>
      <c r="Q17" s="414"/>
      <c r="R17" s="414"/>
    </row>
    <row r="18" spans="2:18" x14ac:dyDescent="0.25">
      <c r="B18" s="413"/>
      <c r="C18" s="413"/>
      <c r="D18" s="413"/>
      <c r="E18" s="413"/>
      <c r="F18" s="413"/>
      <c r="G18" s="414"/>
      <c r="H18" s="414"/>
      <c r="I18" s="414"/>
      <c r="J18" s="414"/>
      <c r="K18" s="414"/>
      <c r="L18" s="414"/>
      <c r="M18" s="414"/>
      <c r="N18" s="414"/>
      <c r="O18" s="414"/>
      <c r="P18" s="414"/>
      <c r="Q18" s="414"/>
      <c r="R18" s="414"/>
    </row>
    <row r="19" spans="2:18" x14ac:dyDescent="0.25">
      <c r="B19" s="413"/>
      <c r="C19" s="413"/>
      <c r="D19" s="413"/>
      <c r="E19" s="413"/>
      <c r="F19" s="413"/>
      <c r="G19" s="414"/>
      <c r="H19" s="414"/>
      <c r="I19" s="414"/>
      <c r="J19" s="414"/>
      <c r="K19" s="414"/>
      <c r="L19" s="414"/>
      <c r="M19" s="414"/>
      <c r="N19" s="414"/>
      <c r="O19" s="414"/>
      <c r="P19" s="414"/>
      <c r="Q19" s="414"/>
      <c r="R19" s="414"/>
    </row>
    <row r="20" spans="2:18" x14ac:dyDescent="0.25">
      <c r="B20" s="413"/>
      <c r="C20" s="413"/>
      <c r="D20" s="413"/>
      <c r="E20" s="413"/>
      <c r="F20" s="413"/>
      <c r="G20" s="414"/>
      <c r="H20" s="414"/>
      <c r="I20" s="414"/>
      <c r="J20" s="414"/>
      <c r="K20" s="414"/>
      <c r="L20" s="414"/>
      <c r="M20" s="414"/>
      <c r="N20" s="414"/>
      <c r="O20" s="414"/>
      <c r="P20" s="414"/>
      <c r="Q20" s="414"/>
      <c r="R20" s="414"/>
    </row>
    <row r="21" spans="2:18" x14ac:dyDescent="0.25">
      <c r="B21" s="413"/>
      <c r="C21" s="413"/>
      <c r="D21" s="413"/>
      <c r="E21" s="413"/>
      <c r="F21" s="413"/>
      <c r="G21" s="414"/>
      <c r="H21" s="414"/>
      <c r="I21" s="414"/>
      <c r="J21" s="414"/>
      <c r="K21" s="414"/>
      <c r="L21" s="414"/>
      <c r="M21" s="414"/>
      <c r="N21" s="414"/>
      <c r="O21" s="414"/>
      <c r="P21" s="414"/>
      <c r="Q21" s="414"/>
      <c r="R21" s="414"/>
    </row>
    <row r="22" spans="2:18" x14ac:dyDescent="0.25">
      <c r="B22" s="413"/>
      <c r="C22" s="413"/>
      <c r="D22" s="413"/>
      <c r="E22" s="413"/>
      <c r="F22" s="413"/>
      <c r="G22" s="414"/>
      <c r="H22" s="414"/>
      <c r="I22" s="414"/>
      <c r="J22" s="414"/>
      <c r="K22" s="414"/>
      <c r="L22" s="414"/>
      <c r="M22" s="414"/>
      <c r="N22" s="414"/>
      <c r="O22" s="414"/>
      <c r="P22" s="414"/>
      <c r="Q22" s="414"/>
      <c r="R22" s="414"/>
    </row>
    <row r="23" spans="2:18" x14ac:dyDescent="0.25">
      <c r="B23" s="413"/>
      <c r="C23" s="413"/>
      <c r="D23" s="413"/>
      <c r="E23" s="413"/>
      <c r="F23" s="413"/>
      <c r="G23" s="414"/>
      <c r="H23" s="414"/>
      <c r="I23" s="414"/>
      <c r="J23" s="414"/>
      <c r="K23" s="414"/>
      <c r="L23" s="414"/>
      <c r="M23" s="414"/>
      <c r="N23" s="414"/>
      <c r="O23" s="414"/>
      <c r="P23" s="414"/>
      <c r="Q23" s="414"/>
      <c r="R23" s="414"/>
    </row>
    <row r="24" spans="2:18" x14ac:dyDescent="0.25">
      <c r="B24" s="413"/>
      <c r="C24" s="413"/>
      <c r="D24" s="413"/>
      <c r="E24" s="413"/>
      <c r="F24" s="413"/>
      <c r="G24" s="414"/>
      <c r="H24" s="414"/>
      <c r="I24" s="414"/>
      <c r="J24" s="414"/>
      <c r="K24" s="414"/>
      <c r="L24" s="414"/>
      <c r="M24" s="414"/>
      <c r="N24" s="414"/>
      <c r="O24" s="414"/>
      <c r="P24" s="414"/>
      <c r="Q24" s="414"/>
      <c r="R24" s="414"/>
    </row>
    <row r="25" spans="2:18" x14ac:dyDescent="0.25">
      <c r="B25" s="413"/>
      <c r="C25" s="413"/>
      <c r="D25" s="413"/>
      <c r="E25" s="413"/>
      <c r="F25" s="413"/>
      <c r="G25" s="414"/>
      <c r="H25" s="414"/>
      <c r="I25" s="414"/>
      <c r="J25" s="414"/>
      <c r="K25" s="414"/>
      <c r="L25" s="414"/>
      <c r="M25" s="414"/>
      <c r="N25" s="414"/>
      <c r="O25" s="414"/>
      <c r="P25" s="414"/>
      <c r="Q25" s="414"/>
      <c r="R25" s="414"/>
    </row>
    <row r="26" spans="2:18" x14ac:dyDescent="0.25">
      <c r="B26" s="413"/>
      <c r="C26" s="413"/>
      <c r="D26" s="413"/>
      <c r="E26" s="413"/>
      <c r="F26" s="413"/>
      <c r="G26" s="414"/>
      <c r="H26" s="414"/>
      <c r="I26" s="414"/>
      <c r="J26" s="414"/>
      <c r="K26" s="414"/>
      <c r="L26" s="414"/>
      <c r="M26" s="414"/>
      <c r="N26" s="414"/>
      <c r="O26" s="414"/>
      <c r="P26" s="414"/>
      <c r="Q26" s="414"/>
      <c r="R26" s="414"/>
    </row>
    <row r="27" spans="2:18" x14ac:dyDescent="0.25">
      <c r="B27" s="413"/>
      <c r="C27" s="413"/>
      <c r="D27" s="413"/>
      <c r="E27" s="413"/>
      <c r="F27" s="413"/>
      <c r="G27" s="414"/>
      <c r="H27" s="414"/>
      <c r="I27" s="414"/>
      <c r="J27" s="414"/>
      <c r="K27" s="414"/>
      <c r="L27" s="414"/>
      <c r="M27" s="414"/>
      <c r="N27" s="414"/>
      <c r="O27" s="414"/>
      <c r="P27" s="414"/>
      <c r="Q27" s="414"/>
      <c r="R27" s="414"/>
    </row>
    <row r="28" spans="2:18" x14ac:dyDescent="0.25">
      <c r="B28" s="413"/>
      <c r="C28" s="413"/>
      <c r="D28" s="413"/>
      <c r="E28" s="413"/>
      <c r="F28" s="413"/>
      <c r="G28" s="414"/>
      <c r="H28" s="414"/>
      <c r="I28" s="414"/>
      <c r="J28" s="414"/>
      <c r="K28" s="414"/>
      <c r="L28" s="414"/>
      <c r="M28" s="414"/>
      <c r="N28" s="414"/>
      <c r="O28" s="414"/>
      <c r="P28" s="414"/>
      <c r="Q28" s="414"/>
      <c r="R28" s="414"/>
    </row>
    <row r="29" spans="2:18" x14ac:dyDescent="0.25">
      <c r="B29" s="413"/>
      <c r="C29" s="413"/>
      <c r="D29" s="413"/>
      <c r="E29" s="413"/>
      <c r="F29" s="413"/>
      <c r="G29" s="414"/>
      <c r="H29" s="414"/>
      <c r="I29" s="414"/>
      <c r="J29" s="414"/>
      <c r="K29" s="414"/>
      <c r="L29" s="414"/>
      <c r="M29" s="414"/>
      <c r="N29" s="414"/>
      <c r="O29" s="414"/>
      <c r="P29" s="414"/>
      <c r="Q29" s="414"/>
      <c r="R29" s="414"/>
    </row>
    <row r="30" spans="2:18" x14ac:dyDescent="0.25">
      <c r="B30" s="413"/>
      <c r="C30" s="413"/>
      <c r="D30" s="413"/>
      <c r="E30" s="413"/>
      <c r="F30" s="413"/>
      <c r="G30" s="414"/>
      <c r="H30" s="414"/>
      <c r="I30" s="414"/>
      <c r="J30" s="414"/>
      <c r="K30" s="414"/>
      <c r="L30" s="414"/>
      <c r="M30" s="414"/>
      <c r="N30" s="414"/>
      <c r="O30" s="414"/>
      <c r="P30" s="414"/>
      <c r="Q30" s="414"/>
      <c r="R30" s="414"/>
    </row>
    <row r="31" spans="2:18" x14ac:dyDescent="0.25">
      <c r="B31" s="413"/>
      <c r="C31" s="413"/>
      <c r="D31" s="413"/>
      <c r="E31" s="413"/>
      <c r="F31" s="413"/>
      <c r="G31" s="414"/>
      <c r="H31" s="414"/>
      <c r="I31" s="414"/>
      <c r="J31" s="414"/>
      <c r="K31" s="414"/>
      <c r="L31" s="414"/>
      <c r="M31" s="414"/>
      <c r="N31" s="414"/>
      <c r="O31" s="414"/>
      <c r="P31" s="414"/>
      <c r="Q31" s="414"/>
      <c r="R31" s="414"/>
    </row>
    <row r="32" spans="2:18" x14ac:dyDescent="0.25">
      <c r="B32" s="413"/>
      <c r="C32" s="413"/>
      <c r="D32" s="413"/>
      <c r="E32" s="413"/>
      <c r="F32" s="413"/>
      <c r="G32" s="414"/>
      <c r="H32" s="414"/>
      <c r="I32" s="414"/>
      <c r="J32" s="414"/>
      <c r="K32" s="414"/>
      <c r="L32" s="414"/>
      <c r="M32" s="414"/>
      <c r="N32" s="414"/>
      <c r="O32" s="414"/>
      <c r="P32" s="414"/>
      <c r="Q32" s="414"/>
      <c r="R32" s="414"/>
    </row>
    <row r="33" spans="2:18" x14ac:dyDescent="0.25">
      <c r="B33" s="413"/>
      <c r="C33" s="413"/>
      <c r="D33" s="413"/>
      <c r="E33" s="413"/>
      <c r="F33" s="413"/>
      <c r="G33" s="414"/>
      <c r="H33" s="414"/>
      <c r="I33" s="414"/>
      <c r="J33" s="414"/>
      <c r="K33" s="414"/>
      <c r="L33" s="414"/>
      <c r="M33" s="414"/>
      <c r="N33" s="414"/>
      <c r="O33" s="414"/>
      <c r="P33" s="414"/>
      <c r="Q33" s="414"/>
      <c r="R33" s="414"/>
    </row>
    <row r="34" spans="2:18" x14ac:dyDescent="0.25">
      <c r="B34" s="413"/>
      <c r="C34" s="413"/>
      <c r="D34" s="413"/>
      <c r="E34" s="413"/>
      <c r="F34" s="413"/>
      <c r="G34" s="414"/>
      <c r="H34" s="414"/>
      <c r="I34" s="414"/>
      <c r="J34" s="414"/>
      <c r="K34" s="414"/>
      <c r="L34" s="414"/>
      <c r="M34" s="414"/>
      <c r="N34" s="414"/>
      <c r="O34" s="414"/>
      <c r="P34" s="414"/>
      <c r="Q34" s="414"/>
      <c r="R34" s="414"/>
    </row>
    <row r="35" spans="2:18" x14ac:dyDescent="0.25">
      <c r="B35" s="413"/>
      <c r="C35" s="413"/>
      <c r="D35" s="413"/>
      <c r="E35" s="413"/>
      <c r="F35" s="413"/>
      <c r="G35" s="414"/>
      <c r="H35" s="414"/>
      <c r="I35" s="414"/>
      <c r="J35" s="414"/>
      <c r="K35" s="414"/>
      <c r="L35" s="414"/>
      <c r="M35" s="414"/>
      <c r="N35" s="414"/>
      <c r="O35" s="414"/>
      <c r="P35" s="414"/>
      <c r="Q35" s="414"/>
      <c r="R35" s="414"/>
    </row>
    <row r="36" spans="2:18" x14ac:dyDescent="0.25">
      <c r="B36" s="413"/>
      <c r="C36" s="413"/>
      <c r="D36" s="413"/>
      <c r="E36" s="413"/>
      <c r="F36" s="413"/>
      <c r="G36" s="414"/>
      <c r="H36" s="414"/>
      <c r="I36" s="414"/>
      <c r="J36" s="414"/>
      <c r="K36" s="414"/>
      <c r="L36" s="414"/>
      <c r="M36" s="414"/>
      <c r="N36" s="414"/>
      <c r="O36" s="414"/>
      <c r="P36" s="414"/>
      <c r="Q36" s="414"/>
      <c r="R36" s="414"/>
    </row>
    <row r="37" spans="2:18" x14ac:dyDescent="0.25">
      <c r="B37" s="413"/>
      <c r="C37" s="413"/>
      <c r="D37" s="413"/>
      <c r="E37" s="413"/>
      <c r="F37" s="413"/>
      <c r="G37" s="414"/>
      <c r="H37" s="414"/>
      <c r="I37" s="414"/>
      <c r="J37" s="414"/>
      <c r="K37" s="414"/>
      <c r="L37" s="414"/>
      <c r="M37" s="414"/>
      <c r="N37" s="414"/>
      <c r="O37" s="414"/>
      <c r="P37" s="414"/>
      <c r="Q37" s="414"/>
      <c r="R37" s="414"/>
    </row>
    <row r="38" spans="2:18" x14ac:dyDescent="0.25">
      <c r="B38" s="413"/>
      <c r="C38" s="413"/>
      <c r="D38" s="413"/>
      <c r="E38" s="413"/>
      <c r="F38" s="413"/>
      <c r="G38" s="414"/>
      <c r="H38" s="414"/>
      <c r="I38" s="414"/>
      <c r="J38" s="414"/>
      <c r="K38" s="414"/>
      <c r="L38" s="414"/>
      <c r="M38" s="414"/>
      <c r="N38" s="414"/>
      <c r="O38" s="414"/>
      <c r="P38" s="414"/>
      <c r="Q38" s="414"/>
      <c r="R38" s="414"/>
    </row>
    <row r="39" spans="2:18" x14ac:dyDescent="0.25">
      <c r="B39" s="413"/>
      <c r="C39" s="413"/>
      <c r="D39" s="413"/>
      <c r="E39" s="413"/>
      <c r="F39" s="413"/>
      <c r="G39" s="414"/>
      <c r="H39" s="414"/>
      <c r="I39" s="414"/>
      <c r="J39" s="414"/>
      <c r="K39" s="414"/>
      <c r="L39" s="414"/>
      <c r="M39" s="414"/>
      <c r="N39" s="414"/>
      <c r="O39" s="414"/>
      <c r="P39" s="414"/>
      <c r="Q39" s="414"/>
      <c r="R39" s="414"/>
    </row>
    <row r="40" spans="2:18" x14ac:dyDescent="0.25">
      <c r="B40" s="413"/>
      <c r="C40" s="413"/>
      <c r="D40" s="413"/>
      <c r="E40" s="413"/>
      <c r="F40" s="413"/>
      <c r="G40" s="414"/>
      <c r="H40" s="414"/>
      <c r="I40" s="414"/>
      <c r="J40" s="414"/>
      <c r="K40" s="414"/>
      <c r="L40" s="414"/>
      <c r="M40" s="414"/>
      <c r="N40" s="414"/>
      <c r="O40" s="414"/>
      <c r="P40" s="414"/>
      <c r="Q40" s="414"/>
      <c r="R40" s="414"/>
    </row>
    <row r="41" spans="2:18" x14ac:dyDescent="0.25">
      <c r="B41" s="413"/>
      <c r="C41" s="413"/>
      <c r="D41" s="413"/>
      <c r="E41" s="413"/>
      <c r="F41" s="413"/>
      <c r="G41" s="414"/>
      <c r="H41" s="414"/>
      <c r="I41" s="414"/>
      <c r="J41" s="414"/>
      <c r="K41" s="414"/>
      <c r="L41" s="414"/>
      <c r="M41" s="414"/>
      <c r="N41" s="414"/>
      <c r="O41" s="414"/>
      <c r="P41" s="414"/>
      <c r="Q41" s="414"/>
      <c r="R41" s="414"/>
    </row>
    <row r="42" spans="2:18" x14ac:dyDescent="0.25">
      <c r="B42" s="413"/>
      <c r="C42" s="413"/>
      <c r="D42" s="413"/>
      <c r="E42" s="413"/>
      <c r="F42" s="413"/>
      <c r="G42" s="414"/>
      <c r="H42" s="414"/>
      <c r="I42" s="414"/>
      <c r="J42" s="414"/>
      <c r="K42" s="414"/>
      <c r="L42" s="414"/>
      <c r="M42" s="414"/>
      <c r="N42" s="414"/>
      <c r="O42" s="414"/>
      <c r="P42" s="414"/>
      <c r="Q42" s="414"/>
      <c r="R42" s="414"/>
    </row>
    <row r="43" spans="2:18" x14ac:dyDescent="0.25">
      <c r="B43" s="413"/>
      <c r="C43" s="413"/>
      <c r="D43" s="413"/>
      <c r="E43" s="413"/>
      <c r="F43" s="413"/>
      <c r="G43" s="414"/>
      <c r="H43" s="414"/>
      <c r="I43" s="414"/>
      <c r="J43" s="414"/>
      <c r="K43" s="414"/>
      <c r="L43" s="414"/>
      <c r="M43" s="414"/>
      <c r="N43" s="414"/>
      <c r="O43" s="414"/>
      <c r="P43" s="414"/>
      <c r="Q43" s="414"/>
      <c r="R43" s="414"/>
    </row>
    <row r="44" spans="2:18" x14ac:dyDescent="0.25">
      <c r="B44" s="413"/>
      <c r="C44" s="413"/>
      <c r="D44" s="413"/>
      <c r="E44" s="413"/>
      <c r="F44" s="413"/>
      <c r="G44" s="414"/>
      <c r="H44" s="414"/>
      <c r="I44" s="414"/>
      <c r="J44" s="414"/>
      <c r="K44" s="414"/>
      <c r="L44" s="414"/>
      <c r="M44" s="414"/>
      <c r="N44" s="414"/>
      <c r="O44" s="414"/>
      <c r="P44" s="414"/>
      <c r="Q44" s="414"/>
      <c r="R44" s="414"/>
    </row>
    <row r="45" spans="2:18" x14ac:dyDescent="0.25">
      <c r="B45" s="413"/>
      <c r="C45" s="413"/>
      <c r="D45" s="413"/>
      <c r="E45" s="413"/>
      <c r="F45" s="413"/>
      <c r="G45" s="414"/>
      <c r="H45" s="414"/>
      <c r="I45" s="414"/>
      <c r="J45" s="414"/>
      <c r="K45" s="414"/>
      <c r="L45" s="414"/>
      <c r="M45" s="414"/>
      <c r="N45" s="414"/>
      <c r="O45" s="414"/>
      <c r="P45" s="414"/>
      <c r="Q45" s="414"/>
      <c r="R45" s="414"/>
    </row>
    <row r="46" spans="2:18" x14ac:dyDescent="0.25">
      <c r="B46" s="413"/>
      <c r="C46" s="413"/>
      <c r="D46" s="413"/>
      <c r="E46" s="413"/>
      <c r="F46" s="413"/>
      <c r="G46" s="414"/>
      <c r="H46" s="414"/>
      <c r="I46" s="414"/>
      <c r="J46" s="414"/>
      <c r="K46" s="414"/>
      <c r="L46" s="414"/>
      <c r="M46" s="414"/>
      <c r="N46" s="414"/>
      <c r="O46" s="414"/>
      <c r="P46" s="414"/>
      <c r="Q46" s="414"/>
      <c r="R46" s="414"/>
    </row>
    <row r="47" spans="2:18" x14ac:dyDescent="0.25">
      <c r="B47" s="413"/>
      <c r="C47" s="413"/>
      <c r="D47" s="413"/>
      <c r="E47" s="413"/>
      <c r="F47" s="413"/>
      <c r="G47" s="414"/>
      <c r="H47" s="414"/>
      <c r="I47" s="414"/>
      <c r="J47" s="414"/>
      <c r="K47" s="414"/>
      <c r="L47" s="414"/>
      <c r="M47" s="414"/>
      <c r="N47" s="414"/>
      <c r="O47" s="414"/>
      <c r="P47" s="414"/>
      <c r="Q47" s="414"/>
      <c r="R47" s="414"/>
    </row>
    <row r="48" spans="2:18" x14ac:dyDescent="0.25">
      <c r="B48" s="413"/>
      <c r="C48" s="413"/>
      <c r="D48" s="413"/>
      <c r="E48" s="413"/>
      <c r="F48" s="413"/>
      <c r="G48" s="414"/>
      <c r="H48" s="414"/>
      <c r="I48" s="414"/>
      <c r="J48" s="414"/>
      <c r="K48" s="414"/>
      <c r="L48" s="414"/>
      <c r="M48" s="414"/>
      <c r="N48" s="414"/>
      <c r="O48" s="414"/>
      <c r="P48" s="414"/>
      <c r="Q48" s="414"/>
      <c r="R48" s="414"/>
    </row>
    <row r="49" spans="2:18" x14ac:dyDescent="0.25">
      <c r="B49" s="413"/>
      <c r="C49" s="413"/>
      <c r="D49" s="413"/>
      <c r="E49" s="413"/>
      <c r="F49" s="413"/>
      <c r="G49" s="414"/>
      <c r="H49" s="414"/>
      <c r="I49" s="414"/>
      <c r="J49" s="414"/>
      <c r="K49" s="414"/>
      <c r="L49" s="414"/>
      <c r="M49" s="414"/>
      <c r="N49" s="414"/>
      <c r="O49" s="414"/>
      <c r="P49" s="414"/>
      <c r="Q49" s="414"/>
      <c r="R49" s="414"/>
    </row>
    <row r="50" spans="2:18" x14ac:dyDescent="0.25">
      <c r="B50" s="413"/>
      <c r="C50" s="413"/>
      <c r="D50" s="413"/>
      <c r="E50" s="413"/>
      <c r="F50" s="413"/>
      <c r="G50" s="414"/>
      <c r="H50" s="414"/>
      <c r="I50" s="414"/>
      <c r="J50" s="414"/>
      <c r="K50" s="414"/>
      <c r="L50" s="414"/>
      <c r="M50" s="414"/>
      <c r="N50" s="414"/>
      <c r="O50" s="414"/>
      <c r="P50" s="414"/>
      <c r="Q50" s="414"/>
      <c r="R50" s="414"/>
    </row>
    <row r="51" spans="2:18" x14ac:dyDescent="0.25">
      <c r="B51" s="413"/>
      <c r="C51" s="413"/>
      <c r="D51" s="413"/>
      <c r="E51" s="413"/>
      <c r="F51" s="413"/>
      <c r="G51" s="414"/>
      <c r="H51" s="414"/>
      <c r="I51" s="414"/>
      <c r="J51" s="414"/>
      <c r="K51" s="414"/>
      <c r="L51" s="414"/>
      <c r="M51" s="414"/>
      <c r="N51" s="414"/>
      <c r="O51" s="414"/>
      <c r="P51" s="414"/>
      <c r="Q51" s="414"/>
      <c r="R51" s="414"/>
    </row>
    <row r="52" spans="2:18" x14ac:dyDescent="0.25">
      <c r="B52" s="413"/>
      <c r="C52" s="413"/>
      <c r="D52" s="413"/>
      <c r="E52" s="413"/>
      <c r="F52" s="413"/>
      <c r="G52" s="414"/>
      <c r="H52" s="414"/>
      <c r="I52" s="414"/>
      <c r="J52" s="414"/>
      <c r="K52" s="414"/>
      <c r="L52" s="414"/>
      <c r="M52" s="414"/>
      <c r="N52" s="414"/>
      <c r="O52" s="414"/>
      <c r="P52" s="414"/>
      <c r="Q52" s="414"/>
      <c r="R52" s="414"/>
    </row>
    <row r="53" spans="2:18" x14ac:dyDescent="0.25">
      <c r="B53" s="413"/>
      <c r="C53" s="413"/>
      <c r="D53" s="413"/>
      <c r="E53" s="413"/>
      <c r="F53" s="413"/>
      <c r="G53" s="414"/>
      <c r="H53" s="414"/>
      <c r="I53" s="414"/>
      <c r="J53" s="414"/>
      <c r="K53" s="414"/>
      <c r="L53" s="414"/>
      <c r="M53" s="414"/>
      <c r="N53" s="414"/>
      <c r="O53" s="414"/>
      <c r="P53" s="414"/>
      <c r="Q53" s="414"/>
      <c r="R53" s="414"/>
    </row>
    <row r="54" spans="2:18" x14ac:dyDescent="0.25">
      <c r="B54" s="413"/>
      <c r="C54" s="413"/>
      <c r="D54" s="413"/>
      <c r="E54" s="413"/>
      <c r="F54" s="413"/>
      <c r="G54" s="414"/>
      <c r="H54" s="414"/>
      <c r="I54" s="414"/>
      <c r="J54" s="414"/>
      <c r="K54" s="414"/>
      <c r="L54" s="414"/>
      <c r="M54" s="414"/>
      <c r="N54" s="414"/>
      <c r="O54" s="414"/>
      <c r="P54" s="414"/>
      <c r="Q54" s="414"/>
      <c r="R54" s="414"/>
    </row>
    <row r="55" spans="2:18" x14ac:dyDescent="0.25">
      <c r="B55" s="413"/>
      <c r="C55" s="413"/>
      <c r="D55" s="413"/>
      <c r="E55" s="413"/>
      <c r="F55" s="413"/>
      <c r="G55" s="414"/>
      <c r="H55" s="414"/>
      <c r="I55" s="414"/>
      <c r="J55" s="414"/>
      <c r="K55" s="414"/>
      <c r="L55" s="414"/>
      <c r="M55" s="414"/>
      <c r="N55" s="414"/>
      <c r="O55" s="414"/>
      <c r="P55" s="414"/>
      <c r="Q55" s="414"/>
      <c r="R55" s="414"/>
    </row>
    <row r="56" spans="2:18" x14ac:dyDescent="0.25">
      <c r="B56" s="414"/>
      <c r="C56" s="414"/>
      <c r="D56" s="414"/>
      <c r="E56" s="414"/>
      <c r="F56" s="414"/>
      <c r="G56" s="414"/>
      <c r="H56" s="414"/>
      <c r="I56" s="414"/>
      <c r="J56" s="414"/>
      <c r="K56" s="414"/>
      <c r="L56" s="414"/>
      <c r="M56" s="414"/>
      <c r="N56" s="414"/>
      <c r="O56" s="414"/>
      <c r="P56" s="414"/>
      <c r="Q56" s="414"/>
      <c r="R56" s="414"/>
    </row>
  </sheetData>
  <mergeCells count="270">
    <mergeCell ref="P53:R53"/>
    <mergeCell ref="P54:R54"/>
    <mergeCell ref="P55:R55"/>
    <mergeCell ref="P56:R56"/>
    <mergeCell ref="P47:R47"/>
    <mergeCell ref="P48:R48"/>
    <mergeCell ref="P49:R49"/>
    <mergeCell ref="P50:R50"/>
    <mergeCell ref="P51:R51"/>
    <mergeCell ref="P52:R52"/>
    <mergeCell ref="P41:R41"/>
    <mergeCell ref="P42:R42"/>
    <mergeCell ref="P43:R43"/>
    <mergeCell ref="P44:R44"/>
    <mergeCell ref="P45:R45"/>
    <mergeCell ref="P46:R46"/>
    <mergeCell ref="P35:R35"/>
    <mergeCell ref="P36:R36"/>
    <mergeCell ref="P37:R37"/>
    <mergeCell ref="P38:R38"/>
    <mergeCell ref="P39:R39"/>
    <mergeCell ref="P40:R40"/>
    <mergeCell ref="P29:R29"/>
    <mergeCell ref="P30:R30"/>
    <mergeCell ref="P31:R31"/>
    <mergeCell ref="P32:R32"/>
    <mergeCell ref="P33:R33"/>
    <mergeCell ref="P34:R34"/>
    <mergeCell ref="P23:R23"/>
    <mergeCell ref="P24:R24"/>
    <mergeCell ref="P25:R25"/>
    <mergeCell ref="P26:R26"/>
    <mergeCell ref="P27:R27"/>
    <mergeCell ref="P28:R28"/>
    <mergeCell ref="P17:R17"/>
    <mergeCell ref="P18:R18"/>
    <mergeCell ref="P19:R19"/>
    <mergeCell ref="P20:R20"/>
    <mergeCell ref="P21:R21"/>
    <mergeCell ref="P22:R22"/>
    <mergeCell ref="P11:R11"/>
    <mergeCell ref="P12:R12"/>
    <mergeCell ref="P13:R13"/>
    <mergeCell ref="P14:R14"/>
    <mergeCell ref="P15:R15"/>
    <mergeCell ref="P16:R16"/>
    <mergeCell ref="M53:O53"/>
    <mergeCell ref="M54:O54"/>
    <mergeCell ref="M55:O55"/>
    <mergeCell ref="M56:O56"/>
    <mergeCell ref="P5:R5"/>
    <mergeCell ref="P6:R6"/>
    <mergeCell ref="P7:R7"/>
    <mergeCell ref="P8:R8"/>
    <mergeCell ref="P9:R9"/>
    <mergeCell ref="P10:R10"/>
    <mergeCell ref="M47:O47"/>
    <mergeCell ref="M48:O48"/>
    <mergeCell ref="M49:O49"/>
    <mergeCell ref="M50:O50"/>
    <mergeCell ref="M51:O51"/>
    <mergeCell ref="M52:O52"/>
    <mergeCell ref="M41:O41"/>
    <mergeCell ref="M42:O42"/>
    <mergeCell ref="M43:O43"/>
    <mergeCell ref="M44:O44"/>
    <mergeCell ref="M45:O45"/>
    <mergeCell ref="M46:O46"/>
    <mergeCell ref="M35:O35"/>
    <mergeCell ref="M36:O36"/>
    <mergeCell ref="M37:O37"/>
    <mergeCell ref="M38:O38"/>
    <mergeCell ref="M39:O39"/>
    <mergeCell ref="M40:O40"/>
    <mergeCell ref="M29:O29"/>
    <mergeCell ref="M30:O30"/>
    <mergeCell ref="M31:O31"/>
    <mergeCell ref="M32:O32"/>
    <mergeCell ref="M33:O33"/>
    <mergeCell ref="M34:O34"/>
    <mergeCell ref="J53:L53"/>
    <mergeCell ref="J54:L54"/>
    <mergeCell ref="J55:L55"/>
    <mergeCell ref="J40:L40"/>
    <mergeCell ref="J29:L29"/>
    <mergeCell ref="J30:L30"/>
    <mergeCell ref="J31:L31"/>
    <mergeCell ref="J32:L32"/>
    <mergeCell ref="J33:L33"/>
    <mergeCell ref="J34:L34"/>
    <mergeCell ref="J36:L36"/>
    <mergeCell ref="J37:L37"/>
    <mergeCell ref="J38:L38"/>
    <mergeCell ref="J39:L39"/>
    <mergeCell ref="J23:L23"/>
    <mergeCell ref="J24:L24"/>
    <mergeCell ref="J25:L25"/>
    <mergeCell ref="J11:L11"/>
    <mergeCell ref="J12:L12"/>
    <mergeCell ref="J13:L13"/>
    <mergeCell ref="J14:L14"/>
    <mergeCell ref="J15:L15"/>
    <mergeCell ref="J16:L16"/>
    <mergeCell ref="M24:O24"/>
    <mergeCell ref="M25:O25"/>
    <mergeCell ref="M26:O26"/>
    <mergeCell ref="M27:O27"/>
    <mergeCell ref="M28:O28"/>
    <mergeCell ref="M11:O11"/>
    <mergeCell ref="M12:O12"/>
    <mergeCell ref="M13:O13"/>
    <mergeCell ref="M14:O14"/>
    <mergeCell ref="M15:O15"/>
    <mergeCell ref="M16:O16"/>
    <mergeCell ref="M17:O17"/>
    <mergeCell ref="M18:O18"/>
    <mergeCell ref="M19:O19"/>
    <mergeCell ref="M20:O20"/>
    <mergeCell ref="M21:O21"/>
    <mergeCell ref="M22:O22"/>
    <mergeCell ref="J56:L56"/>
    <mergeCell ref="J52:L52"/>
    <mergeCell ref="M7:O7"/>
    <mergeCell ref="M8:O8"/>
    <mergeCell ref="M9:O9"/>
    <mergeCell ref="M10:O10"/>
    <mergeCell ref="J47:L47"/>
    <mergeCell ref="J48:L48"/>
    <mergeCell ref="J49:L49"/>
    <mergeCell ref="J50:L50"/>
    <mergeCell ref="J51:L51"/>
    <mergeCell ref="J41:L41"/>
    <mergeCell ref="J42:L42"/>
    <mergeCell ref="J43:L43"/>
    <mergeCell ref="J44:L44"/>
    <mergeCell ref="J45:L45"/>
    <mergeCell ref="J46:L46"/>
    <mergeCell ref="J35:L35"/>
    <mergeCell ref="J26:L26"/>
    <mergeCell ref="J27:L27"/>
    <mergeCell ref="J28:L28"/>
    <mergeCell ref="J17:L17"/>
    <mergeCell ref="J18:L18"/>
    <mergeCell ref="M23:O23"/>
    <mergeCell ref="G55:I55"/>
    <mergeCell ref="G56:I56"/>
    <mergeCell ref="J5:L5"/>
    <mergeCell ref="J6:L6"/>
    <mergeCell ref="J7:L7"/>
    <mergeCell ref="J8:L8"/>
    <mergeCell ref="J9:L9"/>
    <mergeCell ref="J10:L10"/>
    <mergeCell ref="G47:I47"/>
    <mergeCell ref="G48:I48"/>
    <mergeCell ref="G49:I49"/>
    <mergeCell ref="G50:I50"/>
    <mergeCell ref="G51:I51"/>
    <mergeCell ref="G52:I52"/>
    <mergeCell ref="G41:I41"/>
    <mergeCell ref="G42:I42"/>
    <mergeCell ref="G43:I43"/>
    <mergeCell ref="G44:I44"/>
    <mergeCell ref="G45:I45"/>
    <mergeCell ref="G46:I46"/>
    <mergeCell ref="G35:I35"/>
    <mergeCell ref="G36:I36"/>
    <mergeCell ref="J21:L21"/>
    <mergeCell ref="J22:L22"/>
    <mergeCell ref="G40:I40"/>
    <mergeCell ref="G29:I29"/>
    <mergeCell ref="G30:I30"/>
    <mergeCell ref="G31:I31"/>
    <mergeCell ref="G32:I32"/>
    <mergeCell ref="G33:I33"/>
    <mergeCell ref="G34:I34"/>
    <mergeCell ref="G53:I53"/>
    <mergeCell ref="G54:I54"/>
    <mergeCell ref="B32:F32"/>
    <mergeCell ref="B33:F33"/>
    <mergeCell ref="B34:F34"/>
    <mergeCell ref="B38:F38"/>
    <mergeCell ref="B39:F39"/>
    <mergeCell ref="G21:I21"/>
    <mergeCell ref="G22:I22"/>
    <mergeCell ref="G37:I37"/>
    <mergeCell ref="G38:I38"/>
    <mergeCell ref="G39:I39"/>
    <mergeCell ref="G11:I11"/>
    <mergeCell ref="G12:I12"/>
    <mergeCell ref="G13:I13"/>
    <mergeCell ref="G14:I14"/>
    <mergeCell ref="G15:I15"/>
    <mergeCell ref="G16:I16"/>
    <mergeCell ref="B53:F53"/>
    <mergeCell ref="B23:F23"/>
    <mergeCell ref="B24:F24"/>
    <mergeCell ref="B25:F25"/>
    <mergeCell ref="B26:F26"/>
    <mergeCell ref="B27:F27"/>
    <mergeCell ref="B28:F28"/>
    <mergeCell ref="B17:F17"/>
    <mergeCell ref="B18:F18"/>
    <mergeCell ref="G23:I23"/>
    <mergeCell ref="G24:I24"/>
    <mergeCell ref="G25:I25"/>
    <mergeCell ref="G26:I26"/>
    <mergeCell ref="G27:I27"/>
    <mergeCell ref="G28:I28"/>
    <mergeCell ref="G17:I17"/>
    <mergeCell ref="B21:F21"/>
    <mergeCell ref="B22:F22"/>
    <mergeCell ref="B15:F15"/>
    <mergeCell ref="B16:F16"/>
    <mergeCell ref="B56:F56"/>
    <mergeCell ref="B47:F47"/>
    <mergeCell ref="B48:F48"/>
    <mergeCell ref="B49:F49"/>
    <mergeCell ref="B50:F50"/>
    <mergeCell ref="B51:F51"/>
    <mergeCell ref="B52:F52"/>
    <mergeCell ref="B41:F41"/>
    <mergeCell ref="B42:F42"/>
    <mergeCell ref="B43:F43"/>
    <mergeCell ref="B44:F44"/>
    <mergeCell ref="B45:F45"/>
    <mergeCell ref="B46:F46"/>
    <mergeCell ref="B35:F35"/>
    <mergeCell ref="B36:F36"/>
    <mergeCell ref="B37:F37"/>
    <mergeCell ref="B54:F54"/>
    <mergeCell ref="B55:F55"/>
    <mergeCell ref="B40:F40"/>
    <mergeCell ref="B29:F29"/>
    <mergeCell ref="B30:F30"/>
    <mergeCell ref="B31:F31"/>
    <mergeCell ref="B7:F7"/>
    <mergeCell ref="B8:F8"/>
    <mergeCell ref="B9:F9"/>
    <mergeCell ref="B10:F10"/>
    <mergeCell ref="B4:F4"/>
    <mergeCell ref="G4:I4"/>
    <mergeCell ref="J4:L4"/>
    <mergeCell ref="B19:F19"/>
    <mergeCell ref="B20:F20"/>
    <mergeCell ref="G5:I5"/>
    <mergeCell ref="G6:I6"/>
    <mergeCell ref="G7:I7"/>
    <mergeCell ref="G8:I8"/>
    <mergeCell ref="G9:I9"/>
    <mergeCell ref="G10:I10"/>
    <mergeCell ref="G18:I18"/>
    <mergeCell ref="G19:I19"/>
    <mergeCell ref="G20:I20"/>
    <mergeCell ref="J19:L19"/>
    <mergeCell ref="J20:L20"/>
    <mergeCell ref="B11:F11"/>
    <mergeCell ref="B12:F12"/>
    <mergeCell ref="B13:F13"/>
    <mergeCell ref="B14:F14"/>
    <mergeCell ref="M4:O4"/>
    <mergeCell ref="P4:R4"/>
    <mergeCell ref="B3:F3"/>
    <mergeCell ref="G3:I3"/>
    <mergeCell ref="J3:L3"/>
    <mergeCell ref="M3:O3"/>
    <mergeCell ref="P3:R3"/>
    <mergeCell ref="B5:F5"/>
    <mergeCell ref="B6:F6"/>
    <mergeCell ref="M5:O5"/>
    <mergeCell ref="M6:O6"/>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AF91F-6D48-42FE-BE6D-A5BA4167F65E}">
  <dimension ref="A4:F36"/>
  <sheetViews>
    <sheetView topLeftCell="B1" zoomScale="79" zoomScaleNormal="79" workbookViewId="0">
      <selection activeCell="E36" sqref="E36"/>
    </sheetView>
  </sheetViews>
  <sheetFormatPr defaultRowHeight="13.8" x14ac:dyDescent="0.25"/>
  <cols>
    <col min="1" max="1" width="8.88671875" style="12"/>
    <col min="2" max="2" width="54.77734375" style="12" customWidth="1"/>
    <col min="3" max="3" width="21.77734375" style="12" customWidth="1"/>
    <col min="4" max="4" width="28.5546875" style="12" customWidth="1"/>
    <col min="5" max="5" width="56.33203125" style="12" customWidth="1"/>
    <col min="6" max="6" width="26.33203125" style="84" customWidth="1"/>
    <col min="7" max="16384" width="8.88671875" style="12"/>
  </cols>
  <sheetData>
    <row r="4" spans="1:6" x14ac:dyDescent="0.25">
      <c r="A4" s="87" t="s">
        <v>494</v>
      </c>
      <c r="B4" s="88" t="s">
        <v>411</v>
      </c>
      <c r="C4" s="88" t="s">
        <v>495</v>
      </c>
      <c r="D4" s="88" t="s">
        <v>240</v>
      </c>
      <c r="E4" s="88" t="s">
        <v>496</v>
      </c>
      <c r="F4" s="88" t="s">
        <v>97</v>
      </c>
    </row>
    <row r="5" spans="1:6" x14ac:dyDescent="0.25">
      <c r="B5" s="84" t="s">
        <v>1027</v>
      </c>
      <c r="C5" s="84" t="s">
        <v>514</v>
      </c>
      <c r="D5" s="84" t="s">
        <v>499</v>
      </c>
      <c r="E5" s="84" t="s">
        <v>754</v>
      </c>
      <c r="F5" s="89">
        <f>'Debit Total'!O45</f>
        <v>0.5043028711519153</v>
      </c>
    </row>
    <row r="6" spans="1:6" x14ac:dyDescent="0.25">
      <c r="B6" s="84"/>
      <c r="C6" s="84" t="s">
        <v>497</v>
      </c>
      <c r="D6" s="84" t="s">
        <v>757</v>
      </c>
      <c r="E6" s="84" t="s">
        <v>1029</v>
      </c>
      <c r="F6" s="107">
        <f>F5*86400</f>
        <v>43571.768067525481</v>
      </c>
    </row>
    <row r="7" spans="1:6" x14ac:dyDescent="0.25">
      <c r="C7" s="12" t="s">
        <v>498</v>
      </c>
      <c r="D7" s="12" t="s">
        <v>1028</v>
      </c>
      <c r="E7" s="12" t="s">
        <v>1030</v>
      </c>
      <c r="F7" s="92">
        <f>F6/1.44</f>
        <v>30258.172269114919</v>
      </c>
    </row>
    <row r="8" spans="1:6" x14ac:dyDescent="0.25">
      <c r="B8" s="12" t="s">
        <v>1031</v>
      </c>
      <c r="C8" s="12" t="s">
        <v>1032</v>
      </c>
      <c r="D8" s="12" t="s">
        <v>499</v>
      </c>
      <c r="E8" s="12" t="s">
        <v>1032</v>
      </c>
      <c r="F8" s="89">
        <f>'Debit Total'!P45</f>
        <v>0.90774516807344752</v>
      </c>
    </row>
    <row r="9" spans="1:6" x14ac:dyDescent="0.25">
      <c r="C9" s="12" t="s">
        <v>1033</v>
      </c>
      <c r="D9" s="12" t="s">
        <v>757</v>
      </c>
      <c r="E9" s="12" t="s">
        <v>1035</v>
      </c>
      <c r="F9" s="92">
        <f>F8*86400</f>
        <v>78429.182521545867</v>
      </c>
    </row>
    <row r="10" spans="1:6" x14ac:dyDescent="0.25">
      <c r="C10" s="12" t="s">
        <v>1034</v>
      </c>
      <c r="D10" s="12" t="s">
        <v>1028</v>
      </c>
      <c r="E10" s="12" t="s">
        <v>1036</v>
      </c>
      <c r="F10" s="92">
        <f>F9/1.44</f>
        <v>54464.710084406855</v>
      </c>
    </row>
    <row r="11" spans="1:6" x14ac:dyDescent="0.25">
      <c r="B11" s="12" t="s">
        <v>1037</v>
      </c>
      <c r="C11" s="12" t="s">
        <v>1038</v>
      </c>
      <c r="D11" s="12" t="s">
        <v>883</v>
      </c>
      <c r="E11" s="12" t="s">
        <v>507</v>
      </c>
      <c r="F11" s="105">
        <v>20</v>
      </c>
    </row>
    <row r="12" spans="1:6" x14ac:dyDescent="0.25">
      <c r="B12" s="12" t="s">
        <v>1039</v>
      </c>
      <c r="C12" s="12" t="s">
        <v>1040</v>
      </c>
      <c r="D12" s="12" t="s">
        <v>716</v>
      </c>
      <c r="E12" s="12" t="s">
        <v>507</v>
      </c>
      <c r="F12" s="92">
        <v>65</v>
      </c>
    </row>
    <row r="13" spans="1:6" x14ac:dyDescent="0.25">
      <c r="B13" s="12" t="s">
        <v>1041</v>
      </c>
      <c r="C13" s="12" t="s">
        <v>1042</v>
      </c>
      <c r="D13" s="12" t="s">
        <v>1043</v>
      </c>
      <c r="E13" s="12" t="s">
        <v>1044</v>
      </c>
      <c r="F13" s="84">
        <v>30</v>
      </c>
    </row>
    <row r="14" spans="1:6" x14ac:dyDescent="0.25">
      <c r="A14" s="90"/>
      <c r="B14" s="90" t="s">
        <v>1045</v>
      </c>
      <c r="C14" s="90" t="s">
        <v>1047</v>
      </c>
      <c r="D14" s="90" t="s">
        <v>1046</v>
      </c>
      <c r="E14" s="90" t="s">
        <v>507</v>
      </c>
      <c r="F14" s="86">
        <v>200</v>
      </c>
    </row>
    <row r="15" spans="1:6" x14ac:dyDescent="0.25">
      <c r="B15" s="127" t="s">
        <v>1048</v>
      </c>
    </row>
    <row r="16" spans="1:6" x14ac:dyDescent="0.25">
      <c r="B16" s="12" t="s">
        <v>1049</v>
      </c>
    </row>
    <row r="17" spans="1:6" x14ac:dyDescent="0.25">
      <c r="B17" s="12" t="s">
        <v>1050</v>
      </c>
      <c r="C17" s="12" t="s">
        <v>1051</v>
      </c>
      <c r="E17" s="12" t="s">
        <v>776</v>
      </c>
      <c r="F17" s="84">
        <v>0.75</v>
      </c>
    </row>
    <row r="18" spans="1:6" x14ac:dyDescent="0.25">
      <c r="B18" s="12" t="s">
        <v>1052</v>
      </c>
      <c r="C18" s="12" t="s">
        <v>568</v>
      </c>
      <c r="D18" s="12" t="s">
        <v>425</v>
      </c>
      <c r="E18" s="12" t="s">
        <v>507</v>
      </c>
      <c r="F18" s="84">
        <v>23</v>
      </c>
    </row>
    <row r="19" spans="1:6" x14ac:dyDescent="0.25">
      <c r="B19" s="12" t="s">
        <v>1053</v>
      </c>
      <c r="C19" s="12" t="s">
        <v>1054</v>
      </c>
      <c r="D19" s="12" t="s">
        <v>511</v>
      </c>
      <c r="E19" s="12" t="s">
        <v>507</v>
      </c>
      <c r="F19" s="84">
        <f>4.15*(10^-4)</f>
        <v>4.1500000000000006E-4</v>
      </c>
    </row>
    <row r="20" spans="1:6" x14ac:dyDescent="0.25">
      <c r="B20" s="12" t="s">
        <v>1055</v>
      </c>
      <c r="C20" s="12" t="s">
        <v>1056</v>
      </c>
      <c r="D20" s="12" t="s">
        <v>425</v>
      </c>
      <c r="E20" s="12" t="s">
        <v>507</v>
      </c>
      <c r="F20" s="84">
        <v>75</v>
      </c>
    </row>
    <row r="21" spans="1:6" x14ac:dyDescent="0.25">
      <c r="A21" s="90"/>
      <c r="B21" s="90" t="s">
        <v>1057</v>
      </c>
      <c r="C21" s="90"/>
      <c r="D21" s="90"/>
      <c r="E21" s="90"/>
      <c r="F21" s="86"/>
    </row>
    <row r="22" spans="1:6" x14ac:dyDescent="0.25">
      <c r="B22" s="12" t="s">
        <v>1058</v>
      </c>
      <c r="C22" s="12" t="s">
        <v>1059</v>
      </c>
      <c r="D22" s="12" t="s">
        <v>1060</v>
      </c>
      <c r="E22" s="12" t="s">
        <v>1061</v>
      </c>
      <c r="F22" s="105">
        <f>(F13/((10^-2.428)*(F12^3.126)*(0.64)))^(-1/0.65)</f>
        <v>258.61587951979482</v>
      </c>
    </row>
    <row r="23" spans="1:6" x14ac:dyDescent="0.25">
      <c r="B23" s="12" t="s">
        <v>1062</v>
      </c>
    </row>
    <row r="24" spans="1:6" x14ac:dyDescent="0.25">
      <c r="B24" s="12" t="s">
        <v>1063</v>
      </c>
    </row>
    <row r="25" spans="1:6" x14ac:dyDescent="0.25">
      <c r="B25" s="12" t="s">
        <v>1064</v>
      </c>
    </row>
    <row r="26" spans="1:6" x14ac:dyDescent="0.25">
      <c r="B26" s="12" t="s">
        <v>1065</v>
      </c>
    </row>
    <row r="27" spans="1:6" x14ac:dyDescent="0.25">
      <c r="B27" s="12" t="s">
        <v>1066</v>
      </c>
      <c r="C27" s="12" t="s">
        <v>1067</v>
      </c>
      <c r="D27" s="12" t="s">
        <v>1068</v>
      </c>
      <c r="E27" s="12" t="s">
        <v>1069</v>
      </c>
      <c r="F27" s="105">
        <f>24000/F22</f>
        <v>92.801726036946647</v>
      </c>
    </row>
    <row r="28" spans="1:6" x14ac:dyDescent="0.25">
      <c r="B28" s="127" t="s">
        <v>1070</v>
      </c>
    </row>
    <row r="29" spans="1:6" x14ac:dyDescent="0.25">
      <c r="B29" s="12" t="s">
        <v>1071</v>
      </c>
    </row>
    <row r="30" spans="1:6" x14ac:dyDescent="0.25">
      <c r="B30" s="12" t="s">
        <v>1072</v>
      </c>
      <c r="C30" s="12" t="s">
        <v>1076</v>
      </c>
      <c r="D30" s="12" t="s">
        <v>1074</v>
      </c>
      <c r="E30" s="12" t="s">
        <v>1075</v>
      </c>
      <c r="F30" s="84">
        <f>2*96</f>
        <v>192</v>
      </c>
    </row>
    <row r="31" spans="1:6" x14ac:dyDescent="0.25">
      <c r="B31" s="12" t="s">
        <v>1077</v>
      </c>
      <c r="C31" s="12" t="s">
        <v>1073</v>
      </c>
      <c r="D31" s="12" t="s">
        <v>1074</v>
      </c>
      <c r="E31" s="12" t="s">
        <v>1078</v>
      </c>
      <c r="F31" s="84">
        <f>3*F30</f>
        <v>576</v>
      </c>
    </row>
    <row r="32" spans="1:6" x14ac:dyDescent="0.25">
      <c r="B32" s="127" t="s">
        <v>1079</v>
      </c>
    </row>
    <row r="33" spans="2:6" x14ac:dyDescent="0.25">
      <c r="B33" s="12" t="s">
        <v>1080</v>
      </c>
      <c r="C33" s="12" t="s">
        <v>1081</v>
      </c>
      <c r="D33" s="12" t="s">
        <v>511</v>
      </c>
      <c r="E33" s="12" t="s">
        <v>1082</v>
      </c>
      <c r="F33" s="84">
        <f>(12*(F20/1000))*(8*(F20/1000))</f>
        <v>0.53999999999999992</v>
      </c>
    </row>
    <row r="34" spans="2:6" x14ac:dyDescent="0.25">
      <c r="B34" s="12" t="s">
        <v>1083</v>
      </c>
      <c r="C34" s="12" t="s">
        <v>1084</v>
      </c>
      <c r="D34" s="12" t="s">
        <v>511</v>
      </c>
      <c r="E34" s="12" t="s">
        <v>1085</v>
      </c>
      <c r="F34" s="92">
        <f>F33-(12*8)*F19</f>
        <v>0.50015999999999994</v>
      </c>
    </row>
    <row r="35" spans="2:6" x14ac:dyDescent="0.25">
      <c r="B35" s="12" t="s">
        <v>1086</v>
      </c>
      <c r="C35" s="12" t="s">
        <v>1087</v>
      </c>
      <c r="D35" s="12" t="s">
        <v>427</v>
      </c>
      <c r="E35" s="12" t="s">
        <v>1088</v>
      </c>
      <c r="F35" s="107">
        <f>(24000*0.001*(1/60))/F34</f>
        <v>0.79974408189379409</v>
      </c>
    </row>
    <row r="36" spans="2:6" x14ac:dyDescent="0.25">
      <c r="B36" s="12" t="s">
        <v>1089</v>
      </c>
      <c r="C36" s="12" t="s">
        <v>1090</v>
      </c>
      <c r="D36" s="12" t="s">
        <v>425</v>
      </c>
      <c r="E36" s="12" t="s">
        <v>1091</v>
      </c>
      <c r="F36" s="105">
        <f>((F17*(F35^2)*1000)/(2*9.81))*2</f>
        <v>48.89836364863514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FCDF-71B3-44A5-9025-5321A39DA89A}">
  <dimension ref="A4:F28"/>
  <sheetViews>
    <sheetView topLeftCell="B10" zoomScale="90" zoomScaleNormal="90" workbookViewId="0">
      <selection activeCell="E23" sqref="E23"/>
    </sheetView>
  </sheetViews>
  <sheetFormatPr defaultRowHeight="13.8" x14ac:dyDescent="0.25"/>
  <cols>
    <col min="1" max="1" width="8.88671875" style="12"/>
    <col min="2" max="2" width="48.33203125" style="12" customWidth="1"/>
    <col min="3" max="3" width="28.109375" style="12" customWidth="1"/>
    <col min="4" max="4" width="13" style="12" customWidth="1"/>
    <col min="5" max="5" width="29.77734375" style="12" customWidth="1"/>
    <col min="6" max="6" width="27" style="12" customWidth="1"/>
    <col min="7" max="16384" width="8.88671875" style="12"/>
  </cols>
  <sheetData>
    <row r="4" spans="1:6" x14ac:dyDescent="0.25">
      <c r="A4" s="87" t="s">
        <v>494</v>
      </c>
      <c r="B4" s="88" t="s">
        <v>1092</v>
      </c>
      <c r="C4" s="88" t="s">
        <v>495</v>
      </c>
      <c r="D4" s="88" t="s">
        <v>240</v>
      </c>
      <c r="E4" s="88" t="s">
        <v>496</v>
      </c>
      <c r="F4" s="88" t="s">
        <v>97</v>
      </c>
    </row>
    <row r="5" spans="1:6" x14ac:dyDescent="0.25">
      <c r="B5" s="12" t="s">
        <v>1093</v>
      </c>
      <c r="C5" s="12" t="s">
        <v>514</v>
      </c>
      <c r="D5" s="12" t="s">
        <v>499</v>
      </c>
      <c r="E5" s="12" t="s">
        <v>754</v>
      </c>
      <c r="F5" s="128">
        <f>'Debit Total'!O45</f>
        <v>0.5043028711519153</v>
      </c>
    </row>
    <row r="6" spans="1:6" x14ac:dyDescent="0.25">
      <c r="D6" s="12" t="s">
        <v>757</v>
      </c>
      <c r="E6" s="12" t="s">
        <v>755</v>
      </c>
      <c r="F6" s="129">
        <f>F5*86400</f>
        <v>43571.768067525481</v>
      </c>
    </row>
    <row r="7" spans="1:6" x14ac:dyDescent="0.25">
      <c r="B7" s="12" t="s">
        <v>1094</v>
      </c>
      <c r="C7" s="12" t="s">
        <v>1096</v>
      </c>
      <c r="D7" s="12" t="s">
        <v>883</v>
      </c>
      <c r="E7" s="12" t="s">
        <v>1098</v>
      </c>
      <c r="F7" s="12">
        <f>'Removal Efficiency'!B5</f>
        <v>200</v>
      </c>
    </row>
    <row r="8" spans="1:6" x14ac:dyDescent="0.25">
      <c r="B8" s="12" t="s">
        <v>1099</v>
      </c>
      <c r="C8" s="12" t="s">
        <v>1100</v>
      </c>
      <c r="D8" s="12" t="s">
        <v>883</v>
      </c>
      <c r="E8" s="12" t="s">
        <v>1098</v>
      </c>
      <c r="F8" s="130">
        <f>'Removal Efficiency'!R5</f>
        <v>7.3125</v>
      </c>
    </row>
    <row r="9" spans="1:6" x14ac:dyDescent="0.25">
      <c r="B9" s="12" t="s">
        <v>1095</v>
      </c>
      <c r="C9" s="12" t="s">
        <v>1097</v>
      </c>
      <c r="D9" s="12" t="s">
        <v>883</v>
      </c>
      <c r="E9" s="12" t="s">
        <v>1098</v>
      </c>
      <c r="F9" s="12">
        <f>'Removal Efficiency'!B7</f>
        <v>195</v>
      </c>
    </row>
    <row r="10" spans="1:6" x14ac:dyDescent="0.25">
      <c r="D10" s="12" t="s">
        <v>1101</v>
      </c>
      <c r="E10" s="12" t="s">
        <v>1102</v>
      </c>
      <c r="F10" s="12">
        <f>F9/1000</f>
        <v>0.19500000000000001</v>
      </c>
    </row>
    <row r="11" spans="1:6" x14ac:dyDescent="0.25">
      <c r="B11" s="12" t="s">
        <v>1103</v>
      </c>
      <c r="C11" s="12" t="s">
        <v>1104</v>
      </c>
      <c r="D11" s="12" t="s">
        <v>716</v>
      </c>
      <c r="E11" s="12" t="s">
        <v>1098</v>
      </c>
      <c r="F11" s="131">
        <v>0.6</v>
      </c>
    </row>
    <row r="12" spans="1:6" x14ac:dyDescent="0.25">
      <c r="E12" s="12" t="s">
        <v>1098</v>
      </c>
      <c r="F12" s="12">
        <f>60/100</f>
        <v>0.6</v>
      </c>
    </row>
    <row r="13" spans="1:6" x14ac:dyDescent="0.25">
      <c r="B13" s="12" t="s">
        <v>1105</v>
      </c>
      <c r="C13" s="12" t="s">
        <v>1106</v>
      </c>
      <c r="D13" s="12" t="s">
        <v>1107</v>
      </c>
      <c r="E13" s="12" t="s">
        <v>1108</v>
      </c>
      <c r="F13" s="129">
        <f>F6*F10*F12</f>
        <v>5097.8968639004815</v>
      </c>
    </row>
    <row r="14" spans="1:6" x14ac:dyDescent="0.25">
      <c r="B14" s="127" t="s">
        <v>1109</v>
      </c>
    </row>
    <row r="15" spans="1:6" x14ac:dyDescent="0.25">
      <c r="B15" s="12" t="s">
        <v>1110</v>
      </c>
      <c r="C15" s="12" t="s">
        <v>1111</v>
      </c>
      <c r="D15" s="12" t="s">
        <v>716</v>
      </c>
      <c r="E15" s="12" t="s">
        <v>1112</v>
      </c>
      <c r="F15" s="131">
        <v>0.05</v>
      </c>
    </row>
    <row r="16" spans="1:6" x14ac:dyDescent="0.25">
      <c r="B16" s="12" t="s">
        <v>1114</v>
      </c>
      <c r="C16" s="12" t="s">
        <v>1115</v>
      </c>
      <c r="E16" s="12" t="s">
        <v>1098</v>
      </c>
      <c r="F16" s="12">
        <v>1.04</v>
      </c>
    </row>
    <row r="17" spans="2:6" x14ac:dyDescent="0.25">
      <c r="B17" s="12" t="s">
        <v>1116</v>
      </c>
      <c r="C17" s="12" t="s">
        <v>1117</v>
      </c>
      <c r="D17" s="12" t="s">
        <v>1101</v>
      </c>
      <c r="E17" s="12" t="s">
        <v>1098</v>
      </c>
      <c r="F17" s="12">
        <v>1000</v>
      </c>
    </row>
    <row r="18" spans="2:6" x14ac:dyDescent="0.25">
      <c r="B18" s="12" t="s">
        <v>1119</v>
      </c>
      <c r="C18" s="12" t="s">
        <v>1113</v>
      </c>
      <c r="D18" s="12" t="s">
        <v>757</v>
      </c>
      <c r="E18" s="12" t="s">
        <v>1118</v>
      </c>
      <c r="F18" s="128">
        <f>F13/(F16*F17*F15)</f>
        <v>98.036478151932343</v>
      </c>
    </row>
    <row r="19" spans="2:6" x14ac:dyDescent="0.25">
      <c r="B19" s="12" t="s">
        <v>1120</v>
      </c>
      <c r="C19" s="12" t="s">
        <v>1121</v>
      </c>
      <c r="D19" s="12" t="s">
        <v>716</v>
      </c>
      <c r="E19" s="12" t="s">
        <v>1098</v>
      </c>
      <c r="F19" s="131">
        <v>0.35</v>
      </c>
    </row>
    <row r="20" spans="2:6" x14ac:dyDescent="0.25">
      <c r="B20" s="12" t="s">
        <v>1122</v>
      </c>
      <c r="C20" s="12" t="s">
        <v>1126</v>
      </c>
      <c r="D20" s="12" t="s">
        <v>883</v>
      </c>
      <c r="E20" s="12" t="s">
        <v>1098</v>
      </c>
      <c r="F20" s="12">
        <v>97.5</v>
      </c>
    </row>
    <row r="21" spans="2:6" x14ac:dyDescent="0.25">
      <c r="D21" s="12" t="s">
        <v>1101</v>
      </c>
      <c r="E21" s="12" t="s">
        <v>1127</v>
      </c>
      <c r="F21" s="12">
        <f>F20/1000</f>
        <v>9.7500000000000003E-2</v>
      </c>
    </row>
    <row r="22" spans="2:6" x14ac:dyDescent="0.25">
      <c r="B22" s="12" t="s">
        <v>1099</v>
      </c>
      <c r="C22" s="12" t="s">
        <v>70</v>
      </c>
      <c r="D22" s="12" t="s">
        <v>883</v>
      </c>
      <c r="E22" s="12" t="s">
        <v>1098</v>
      </c>
      <c r="F22" s="130">
        <f>F8</f>
        <v>7.3125</v>
      </c>
    </row>
    <row r="23" spans="2:6" x14ac:dyDescent="0.25">
      <c r="D23" s="12" t="s">
        <v>1101</v>
      </c>
      <c r="E23" s="12" t="s">
        <v>1128</v>
      </c>
      <c r="F23" s="132">
        <f>F22/1000</f>
        <v>7.3125000000000004E-3</v>
      </c>
    </row>
    <row r="24" spans="2:6" x14ac:dyDescent="0.25">
      <c r="B24" s="12" t="s">
        <v>1129</v>
      </c>
      <c r="C24" s="12" t="s">
        <v>1131</v>
      </c>
      <c r="D24" s="12" t="s">
        <v>1124</v>
      </c>
      <c r="E24" s="12" t="s">
        <v>1125</v>
      </c>
      <c r="F24" s="129">
        <f>F6*(F21-F23)*0.38</f>
        <v>1493.2589563841827</v>
      </c>
    </row>
    <row r="25" spans="2:6" x14ac:dyDescent="0.25">
      <c r="B25" s="12" t="s">
        <v>1114</v>
      </c>
      <c r="C25" s="12" t="s">
        <v>1130</v>
      </c>
      <c r="E25" s="12" t="s">
        <v>1098</v>
      </c>
      <c r="F25" s="12">
        <v>1.02</v>
      </c>
    </row>
    <row r="26" spans="2:6" x14ac:dyDescent="0.25">
      <c r="B26" s="12" t="s">
        <v>1123</v>
      </c>
      <c r="C26" s="12" t="s">
        <v>1132</v>
      </c>
      <c r="D26" s="12" t="s">
        <v>757</v>
      </c>
      <c r="E26" s="12" t="s">
        <v>1133</v>
      </c>
      <c r="F26" s="129">
        <f>F24/(F25*F17*F23)</f>
        <v>200.20230687235565</v>
      </c>
    </row>
    <row r="27" spans="2:6" x14ac:dyDescent="0.25">
      <c r="B27" s="12" t="s">
        <v>1134</v>
      </c>
      <c r="C27" s="12" t="s">
        <v>1135</v>
      </c>
      <c r="D27" s="12" t="s">
        <v>1124</v>
      </c>
      <c r="E27" s="12" t="s">
        <v>1136</v>
      </c>
      <c r="F27" s="129">
        <f>F13+F24</f>
        <v>6591.1558202846645</v>
      </c>
    </row>
    <row r="28" spans="2:6" x14ac:dyDescent="0.25">
      <c r="B28" s="12" t="s">
        <v>1137</v>
      </c>
      <c r="C28" s="12" t="s">
        <v>711</v>
      </c>
      <c r="D28" s="12" t="s">
        <v>757</v>
      </c>
      <c r="E28" s="12" t="s">
        <v>1138</v>
      </c>
      <c r="F28" s="128">
        <f>F18+F26</f>
        <v>298.23878502428801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2F388-A053-4A28-A012-DA8ABAA0949D}">
  <dimension ref="B3:R16"/>
  <sheetViews>
    <sheetView workbookViewId="0">
      <selection activeCell="B3" sqref="B3:R13"/>
    </sheetView>
  </sheetViews>
  <sheetFormatPr defaultRowHeight="13.8" x14ac:dyDescent="0.25"/>
  <cols>
    <col min="1" max="16384" width="8.88671875" style="12"/>
  </cols>
  <sheetData>
    <row r="3" spans="2:18" x14ac:dyDescent="0.25">
      <c r="B3" s="418" t="s">
        <v>1139</v>
      </c>
      <c r="C3" s="418"/>
      <c r="D3" s="418"/>
      <c r="E3" s="418"/>
      <c r="F3" s="418"/>
      <c r="G3" s="418" t="s">
        <v>240</v>
      </c>
      <c r="H3" s="418"/>
      <c r="I3" s="418"/>
      <c r="J3" s="418" t="s">
        <v>415</v>
      </c>
      <c r="K3" s="418"/>
      <c r="L3" s="418"/>
      <c r="M3" s="418" t="s">
        <v>1149</v>
      </c>
      <c r="N3" s="418"/>
      <c r="O3" s="418"/>
      <c r="P3" s="418" t="s">
        <v>417</v>
      </c>
      <c r="Q3" s="418"/>
      <c r="R3" s="418"/>
    </row>
    <row r="4" spans="2:18" x14ac:dyDescent="0.25">
      <c r="B4" s="413" t="s">
        <v>724</v>
      </c>
      <c r="C4" s="413"/>
      <c r="D4" s="413"/>
      <c r="E4" s="413"/>
      <c r="F4" s="413"/>
      <c r="G4" s="414" t="s">
        <v>1146</v>
      </c>
      <c r="H4" s="414"/>
      <c r="I4" s="414"/>
      <c r="J4" s="421" t="s">
        <v>1148</v>
      </c>
      <c r="K4" s="414"/>
      <c r="L4" s="414"/>
      <c r="M4" s="414"/>
      <c r="N4" s="414"/>
      <c r="O4" s="414"/>
      <c r="P4" s="414"/>
      <c r="Q4" s="414"/>
      <c r="R4" s="414"/>
    </row>
    <row r="5" spans="2:18" x14ac:dyDescent="0.25">
      <c r="B5" s="413" t="s">
        <v>1140</v>
      </c>
      <c r="C5" s="413"/>
      <c r="D5" s="413"/>
      <c r="E5" s="413"/>
      <c r="F5" s="413"/>
      <c r="G5" s="414" t="s">
        <v>1147</v>
      </c>
      <c r="H5" s="414"/>
      <c r="I5" s="414"/>
      <c r="J5" s="414"/>
      <c r="K5" s="414"/>
      <c r="L5" s="414"/>
      <c r="M5" s="414" t="s">
        <v>1150</v>
      </c>
      <c r="N5" s="414"/>
      <c r="O5" s="414"/>
      <c r="P5" s="414"/>
      <c r="Q5" s="414"/>
      <c r="R5" s="414"/>
    </row>
    <row r="6" spans="2:18" x14ac:dyDescent="0.25">
      <c r="B6" s="413" t="s">
        <v>1141</v>
      </c>
      <c r="C6" s="413"/>
      <c r="D6" s="413"/>
      <c r="E6" s="413"/>
      <c r="F6" s="413"/>
      <c r="G6" s="414" t="s">
        <v>444</v>
      </c>
      <c r="H6" s="414"/>
      <c r="I6" s="414"/>
      <c r="J6" s="414"/>
      <c r="K6" s="414"/>
      <c r="L6" s="414"/>
      <c r="M6" s="415" t="s">
        <v>1151</v>
      </c>
      <c r="N6" s="414"/>
      <c r="O6" s="414"/>
      <c r="P6" s="414"/>
      <c r="Q6" s="414"/>
      <c r="R6" s="414"/>
    </row>
    <row r="7" spans="2:18" x14ac:dyDescent="0.25">
      <c r="B7" s="413" t="s">
        <v>1142</v>
      </c>
      <c r="C7" s="413"/>
      <c r="D7" s="413"/>
      <c r="E7" s="413"/>
      <c r="F7" s="413"/>
      <c r="G7" s="414" t="s">
        <v>444</v>
      </c>
      <c r="H7" s="414"/>
      <c r="I7" s="414"/>
      <c r="J7" s="414" t="s">
        <v>1152</v>
      </c>
      <c r="K7" s="414"/>
      <c r="L7" s="414"/>
      <c r="M7" s="414"/>
      <c r="N7" s="414"/>
      <c r="O7" s="414"/>
      <c r="P7" s="414"/>
      <c r="Q7" s="414"/>
      <c r="R7" s="414"/>
    </row>
    <row r="8" spans="2:18" x14ac:dyDescent="0.25">
      <c r="B8" s="413" t="s">
        <v>1143</v>
      </c>
      <c r="C8" s="413"/>
      <c r="D8" s="413"/>
      <c r="E8" s="413"/>
      <c r="F8" s="413"/>
      <c r="G8" s="414" t="s">
        <v>716</v>
      </c>
      <c r="H8" s="414"/>
      <c r="I8" s="414"/>
      <c r="J8" s="414"/>
      <c r="K8" s="414"/>
      <c r="L8" s="414"/>
      <c r="M8" s="414" t="s">
        <v>1153</v>
      </c>
      <c r="N8" s="414"/>
      <c r="O8" s="414"/>
      <c r="P8" s="414"/>
      <c r="Q8" s="414"/>
      <c r="R8" s="414"/>
    </row>
    <row r="9" spans="2:18" x14ac:dyDescent="0.25">
      <c r="B9" s="413" t="s">
        <v>1144</v>
      </c>
      <c r="C9" s="413"/>
      <c r="D9" s="413"/>
      <c r="E9" s="413"/>
      <c r="F9" s="413"/>
      <c r="G9" s="414" t="s">
        <v>716</v>
      </c>
      <c r="H9" s="414"/>
      <c r="I9" s="414"/>
      <c r="J9" s="414"/>
      <c r="K9" s="414"/>
      <c r="L9" s="414"/>
      <c r="M9" s="415" t="s">
        <v>1024</v>
      </c>
      <c r="N9" s="414"/>
      <c r="O9" s="414"/>
      <c r="P9" s="414"/>
      <c r="Q9" s="414"/>
      <c r="R9" s="414"/>
    </row>
    <row r="10" spans="2:18" x14ac:dyDescent="0.25">
      <c r="B10" s="413" t="s">
        <v>950</v>
      </c>
      <c r="C10" s="413"/>
      <c r="D10" s="413"/>
      <c r="E10" s="413"/>
      <c r="F10" s="413"/>
      <c r="G10" s="414" t="s">
        <v>1146</v>
      </c>
      <c r="H10" s="414"/>
      <c r="I10" s="414"/>
      <c r="J10" s="414"/>
      <c r="K10" s="414"/>
      <c r="L10" s="414"/>
      <c r="M10" s="415" t="s">
        <v>1154</v>
      </c>
      <c r="N10" s="414"/>
      <c r="O10" s="414"/>
      <c r="P10" s="414"/>
      <c r="Q10" s="414"/>
      <c r="R10" s="414"/>
    </row>
    <row r="11" spans="2:18" x14ac:dyDescent="0.25">
      <c r="B11" s="413" t="s">
        <v>1140</v>
      </c>
      <c r="C11" s="413"/>
      <c r="D11" s="413"/>
      <c r="E11" s="413"/>
      <c r="F11" s="413"/>
      <c r="G11" s="414" t="s">
        <v>1147</v>
      </c>
      <c r="H11" s="414"/>
      <c r="I11" s="414"/>
      <c r="J11" s="414"/>
      <c r="K11" s="414"/>
      <c r="L11" s="414"/>
      <c r="M11" s="414" t="s">
        <v>1155</v>
      </c>
      <c r="N11" s="414"/>
      <c r="O11" s="414"/>
      <c r="P11" s="414"/>
      <c r="Q11" s="414"/>
      <c r="R11" s="414"/>
    </row>
    <row r="12" spans="2:18" x14ac:dyDescent="0.25">
      <c r="B12" s="413" t="s">
        <v>1145</v>
      </c>
      <c r="C12" s="413"/>
      <c r="D12" s="413"/>
      <c r="E12" s="413"/>
      <c r="F12" s="413"/>
      <c r="G12" s="414" t="s">
        <v>716</v>
      </c>
      <c r="H12" s="414"/>
      <c r="I12" s="414"/>
      <c r="J12" s="414"/>
      <c r="K12" s="414"/>
      <c r="L12" s="414"/>
      <c r="M12" s="414" t="s">
        <v>1156</v>
      </c>
      <c r="N12" s="414"/>
      <c r="O12" s="414"/>
      <c r="P12" s="414"/>
      <c r="Q12" s="414"/>
      <c r="R12" s="414"/>
    </row>
    <row r="13" spans="2:18" x14ac:dyDescent="0.25">
      <c r="B13" s="413" t="s">
        <v>1186</v>
      </c>
      <c r="C13" s="413"/>
      <c r="D13" s="413"/>
      <c r="E13" s="413"/>
      <c r="F13" s="413"/>
      <c r="G13" s="414" t="s">
        <v>883</v>
      </c>
      <c r="H13" s="414"/>
      <c r="I13" s="414"/>
      <c r="J13" s="414"/>
      <c r="K13" s="414"/>
      <c r="L13" s="414"/>
      <c r="M13" s="414" t="s">
        <v>1157</v>
      </c>
      <c r="N13" s="414"/>
      <c r="O13" s="414"/>
      <c r="P13" s="414"/>
      <c r="Q13" s="414"/>
      <c r="R13" s="414"/>
    </row>
    <row r="14" spans="2:18" x14ac:dyDescent="0.25">
      <c r="B14" s="413"/>
      <c r="C14" s="413"/>
      <c r="D14" s="413"/>
      <c r="E14" s="413"/>
      <c r="F14" s="413"/>
      <c r="G14" s="414"/>
      <c r="H14" s="414"/>
      <c r="I14" s="414"/>
      <c r="J14" s="414"/>
      <c r="K14" s="414"/>
      <c r="L14" s="414"/>
      <c r="M14" s="414"/>
      <c r="N14" s="414"/>
      <c r="O14" s="414"/>
      <c r="P14" s="414"/>
      <c r="Q14" s="414"/>
      <c r="R14" s="414"/>
    </row>
    <row r="15" spans="2:18" x14ac:dyDescent="0.25">
      <c r="B15" s="413"/>
      <c r="C15" s="413"/>
      <c r="D15" s="413"/>
      <c r="E15" s="413"/>
      <c r="F15" s="413"/>
      <c r="G15" s="414"/>
      <c r="H15" s="414"/>
      <c r="I15" s="414"/>
      <c r="J15" s="414"/>
      <c r="K15" s="414"/>
      <c r="L15" s="414"/>
      <c r="M15" s="414"/>
      <c r="N15" s="414"/>
      <c r="O15" s="414"/>
      <c r="P15" s="414"/>
      <c r="Q15" s="414"/>
      <c r="R15" s="414"/>
    </row>
    <row r="16" spans="2:18" x14ac:dyDescent="0.25">
      <c r="B16" s="413"/>
      <c r="C16" s="413"/>
      <c r="D16" s="413"/>
      <c r="E16" s="413"/>
      <c r="F16" s="413"/>
      <c r="G16" s="414"/>
      <c r="H16" s="414"/>
      <c r="I16" s="414"/>
      <c r="J16" s="414"/>
      <c r="K16" s="414"/>
      <c r="L16" s="414"/>
      <c r="M16" s="414"/>
      <c r="N16" s="414"/>
      <c r="O16" s="414"/>
      <c r="P16" s="414"/>
      <c r="Q16" s="414"/>
      <c r="R16" s="414"/>
    </row>
  </sheetData>
  <mergeCells count="70">
    <mergeCell ref="B4:F4"/>
    <mergeCell ref="G4:I4"/>
    <mergeCell ref="J4:L4"/>
    <mergeCell ref="M4:O4"/>
    <mergeCell ref="P4:R4"/>
    <mergeCell ref="B3:F3"/>
    <mergeCell ref="G3:I3"/>
    <mergeCell ref="J3:L3"/>
    <mergeCell ref="M3:O3"/>
    <mergeCell ref="P3:R3"/>
    <mergeCell ref="B6:F6"/>
    <mergeCell ref="G6:I6"/>
    <mergeCell ref="J6:L6"/>
    <mergeCell ref="M6:O6"/>
    <mergeCell ref="P6:R6"/>
    <mergeCell ref="B5:F5"/>
    <mergeCell ref="G5:I5"/>
    <mergeCell ref="J5:L5"/>
    <mergeCell ref="M5:O5"/>
    <mergeCell ref="P5:R5"/>
    <mergeCell ref="B8:F8"/>
    <mergeCell ref="G8:I8"/>
    <mergeCell ref="J8:L8"/>
    <mergeCell ref="M8:O8"/>
    <mergeCell ref="P8:R8"/>
    <mergeCell ref="B7:F7"/>
    <mergeCell ref="G7:I7"/>
    <mergeCell ref="J7:L7"/>
    <mergeCell ref="M7:O7"/>
    <mergeCell ref="P7:R7"/>
    <mergeCell ref="B10:F10"/>
    <mergeCell ref="G10:I10"/>
    <mergeCell ref="J10:L10"/>
    <mergeCell ref="M10:O10"/>
    <mergeCell ref="P10:R10"/>
    <mergeCell ref="B9:F9"/>
    <mergeCell ref="G9:I9"/>
    <mergeCell ref="J9:L9"/>
    <mergeCell ref="M9:O9"/>
    <mergeCell ref="P9:R9"/>
    <mergeCell ref="B12:F12"/>
    <mergeCell ref="G12:I12"/>
    <mergeCell ref="J12:L12"/>
    <mergeCell ref="M12:O12"/>
    <mergeCell ref="P12:R12"/>
    <mergeCell ref="B11:F11"/>
    <mergeCell ref="G11:I11"/>
    <mergeCell ref="J11:L11"/>
    <mergeCell ref="M11:O11"/>
    <mergeCell ref="P11:R11"/>
    <mergeCell ref="B14:F14"/>
    <mergeCell ref="G14:I14"/>
    <mergeCell ref="J14:L14"/>
    <mergeCell ref="M14:O14"/>
    <mergeCell ref="P14:R14"/>
    <mergeCell ref="B13:F13"/>
    <mergeCell ref="G13:I13"/>
    <mergeCell ref="J13:L13"/>
    <mergeCell ref="M13:O13"/>
    <mergeCell ref="P13:R13"/>
    <mergeCell ref="B16:F16"/>
    <mergeCell ref="G16:I16"/>
    <mergeCell ref="J16:L16"/>
    <mergeCell ref="M16:O16"/>
    <mergeCell ref="P16:R16"/>
    <mergeCell ref="B15:F15"/>
    <mergeCell ref="G15:I15"/>
    <mergeCell ref="J15:L15"/>
    <mergeCell ref="M15:O15"/>
    <mergeCell ref="P15:R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393EE-125C-4A5C-A0E4-C8FB242C7053}">
  <dimension ref="B3:R35"/>
  <sheetViews>
    <sheetView topLeftCell="A42" workbookViewId="0">
      <selection activeCell="K14" sqref="K14"/>
    </sheetView>
  </sheetViews>
  <sheetFormatPr defaultRowHeight="13.8" x14ac:dyDescent="0.25"/>
  <cols>
    <col min="1" max="8" width="8.88671875" style="12"/>
    <col min="9" max="9" width="10.6640625" style="12" customWidth="1"/>
    <col min="10" max="10" width="4.88671875" style="12" customWidth="1"/>
    <col min="11" max="16384" width="8.88671875" style="12"/>
  </cols>
  <sheetData>
    <row r="3" spans="2:18" x14ac:dyDescent="0.25">
      <c r="B3" s="252" t="s">
        <v>80</v>
      </c>
      <c r="C3" s="252"/>
      <c r="D3" s="252"/>
      <c r="E3" s="252"/>
      <c r="F3" s="252"/>
      <c r="G3" s="252"/>
      <c r="H3" s="252"/>
      <c r="I3" s="252"/>
      <c r="J3" s="252"/>
      <c r="K3" s="252"/>
      <c r="L3" s="252"/>
      <c r="M3" s="252"/>
      <c r="N3" s="252"/>
      <c r="O3" s="252"/>
      <c r="P3" s="252"/>
      <c r="Q3" s="252"/>
      <c r="R3" s="252"/>
    </row>
    <row r="4" spans="2:18" x14ac:dyDescent="0.25">
      <c r="B4" s="252"/>
      <c r="C4" s="252"/>
      <c r="D4" s="252"/>
      <c r="E4" s="252"/>
      <c r="F4" s="252"/>
      <c r="G4" s="252"/>
      <c r="H4" s="252"/>
      <c r="I4" s="252"/>
      <c r="J4" s="252"/>
      <c r="K4" s="252"/>
      <c r="L4" s="252"/>
      <c r="M4" s="252"/>
      <c r="N4" s="252"/>
      <c r="O4" s="252"/>
      <c r="P4" s="252"/>
      <c r="Q4" s="252"/>
      <c r="R4" s="252"/>
    </row>
    <row r="5" spans="2:18" x14ac:dyDescent="0.25">
      <c r="C5" s="241" t="s">
        <v>72</v>
      </c>
      <c r="D5" s="137" t="s">
        <v>70</v>
      </c>
      <c r="E5" s="240" t="s">
        <v>71</v>
      </c>
      <c r="F5" s="240"/>
      <c r="G5" s="240"/>
      <c r="H5" s="240"/>
      <c r="I5" s="240"/>
      <c r="J5" s="253"/>
      <c r="K5" s="137" t="s">
        <v>73</v>
      </c>
      <c r="L5" s="240" t="s">
        <v>74</v>
      </c>
      <c r="M5" s="240"/>
      <c r="N5" s="240"/>
      <c r="O5" s="240"/>
      <c r="P5" s="240"/>
      <c r="Q5" s="240"/>
    </row>
    <row r="6" spans="2:18" x14ac:dyDescent="0.25">
      <c r="C6" s="242"/>
      <c r="D6" s="15">
        <v>1</v>
      </c>
      <c r="E6" s="239" t="s">
        <v>26</v>
      </c>
      <c r="F6" s="239"/>
      <c r="G6" s="239"/>
      <c r="H6" s="239"/>
      <c r="I6" s="239"/>
      <c r="J6" s="253"/>
      <c r="K6" s="15">
        <v>1</v>
      </c>
      <c r="L6" s="248" t="s">
        <v>38</v>
      </c>
      <c r="M6" s="248"/>
      <c r="N6" s="248"/>
      <c r="O6" s="248"/>
      <c r="P6" s="248"/>
      <c r="Q6" s="248"/>
    </row>
    <row r="7" spans="2:18" ht="14.4" customHeight="1" x14ac:dyDescent="0.25">
      <c r="C7" s="242"/>
      <c r="D7" s="15">
        <v>2</v>
      </c>
      <c r="E7" s="239" t="s">
        <v>27</v>
      </c>
      <c r="F7" s="239"/>
      <c r="G7" s="239"/>
      <c r="H7" s="239"/>
      <c r="I7" s="239"/>
      <c r="J7" s="253"/>
      <c r="K7" s="244">
        <v>2</v>
      </c>
      <c r="L7" s="243" t="s">
        <v>39</v>
      </c>
      <c r="M7" s="243"/>
      <c r="N7" s="243"/>
      <c r="O7" s="243"/>
      <c r="P7" s="243"/>
      <c r="Q7" s="243"/>
    </row>
    <row r="8" spans="2:18" x14ac:dyDescent="0.25">
      <c r="C8" s="242"/>
      <c r="D8" s="15">
        <v>3</v>
      </c>
      <c r="E8" s="239" t="s">
        <v>28</v>
      </c>
      <c r="F8" s="239"/>
      <c r="G8" s="239"/>
      <c r="H8" s="239"/>
      <c r="I8" s="239"/>
      <c r="J8" s="253"/>
      <c r="K8" s="244"/>
      <c r="L8" s="243"/>
      <c r="M8" s="243"/>
      <c r="N8" s="243"/>
      <c r="O8" s="243"/>
      <c r="P8" s="243"/>
      <c r="Q8" s="243"/>
    </row>
    <row r="9" spans="2:18" ht="14.4" customHeight="1" x14ac:dyDescent="0.25">
      <c r="C9" s="242"/>
      <c r="D9" s="244">
        <v>4</v>
      </c>
      <c r="E9" s="243" t="s">
        <v>29</v>
      </c>
      <c r="F9" s="243"/>
      <c r="G9" s="243"/>
      <c r="H9" s="243"/>
      <c r="I9" s="243"/>
      <c r="J9" s="253"/>
      <c r="K9" s="15">
        <v>3</v>
      </c>
      <c r="L9" s="248" t="s">
        <v>40</v>
      </c>
      <c r="M9" s="248"/>
      <c r="N9" s="248"/>
      <c r="O9" s="248"/>
      <c r="P9" s="248"/>
      <c r="Q9" s="248"/>
    </row>
    <row r="10" spans="2:18" ht="14.4" customHeight="1" x14ac:dyDescent="0.25">
      <c r="C10" s="242"/>
      <c r="D10" s="244"/>
      <c r="E10" s="243"/>
      <c r="F10" s="243"/>
      <c r="G10" s="243"/>
      <c r="H10" s="243"/>
      <c r="I10" s="243"/>
      <c r="J10" s="253"/>
      <c r="K10" s="244">
        <v>4</v>
      </c>
      <c r="L10" s="243" t="s">
        <v>41</v>
      </c>
      <c r="M10" s="243"/>
      <c r="N10" s="243"/>
      <c r="O10" s="243"/>
      <c r="P10" s="243"/>
      <c r="Q10" s="243"/>
    </row>
    <row r="11" spans="2:18" x14ac:dyDescent="0.25">
      <c r="C11" s="242"/>
      <c r="D11" s="244"/>
      <c r="E11" s="243"/>
      <c r="F11" s="243"/>
      <c r="G11" s="243"/>
      <c r="H11" s="243"/>
      <c r="I11" s="243"/>
      <c r="J11" s="253"/>
      <c r="K11" s="244"/>
      <c r="L11" s="243"/>
      <c r="M11" s="243"/>
      <c r="N11" s="243"/>
      <c r="O11" s="243"/>
      <c r="P11" s="243"/>
      <c r="Q11" s="243"/>
    </row>
    <row r="12" spans="2:18" x14ac:dyDescent="0.25">
      <c r="C12" s="242"/>
      <c r="D12" s="15">
        <v>5</v>
      </c>
      <c r="E12" s="239" t="s">
        <v>30</v>
      </c>
      <c r="F12" s="239"/>
      <c r="G12" s="239"/>
      <c r="H12" s="239"/>
      <c r="I12" s="239"/>
      <c r="J12" s="253"/>
      <c r="K12" s="15">
        <v>5</v>
      </c>
      <c r="L12" s="248" t="s">
        <v>42</v>
      </c>
      <c r="M12" s="248"/>
      <c r="N12" s="248"/>
      <c r="O12" s="248"/>
      <c r="P12" s="248"/>
      <c r="Q12" s="248"/>
    </row>
    <row r="13" spans="2:18" x14ac:dyDescent="0.25">
      <c r="C13" s="242"/>
      <c r="D13" s="15">
        <v>6</v>
      </c>
      <c r="E13" s="239" t="s">
        <v>31</v>
      </c>
      <c r="F13" s="239"/>
      <c r="G13" s="239"/>
      <c r="H13" s="239"/>
      <c r="I13" s="239"/>
      <c r="J13" s="253"/>
      <c r="K13" s="15">
        <v>6</v>
      </c>
      <c r="L13" s="248" t="s">
        <v>43</v>
      </c>
      <c r="M13" s="248"/>
      <c r="N13" s="248"/>
      <c r="O13" s="248"/>
      <c r="P13" s="248"/>
      <c r="Q13" s="248"/>
    </row>
    <row r="14" spans="2:18" x14ac:dyDescent="0.25">
      <c r="C14" s="242"/>
      <c r="D14" s="15">
        <v>7</v>
      </c>
      <c r="E14" s="239" t="s">
        <v>32</v>
      </c>
      <c r="F14" s="239"/>
      <c r="G14" s="239"/>
      <c r="H14" s="239"/>
      <c r="I14" s="239"/>
      <c r="J14" s="253"/>
      <c r="K14" s="15">
        <v>7</v>
      </c>
      <c r="L14" s="248" t="s">
        <v>44</v>
      </c>
      <c r="M14" s="248"/>
      <c r="N14" s="248"/>
      <c r="O14" s="248"/>
      <c r="P14" s="248"/>
      <c r="Q14" s="248"/>
    </row>
    <row r="15" spans="2:18" x14ac:dyDescent="0.25">
      <c r="C15" s="242"/>
      <c r="D15" s="15">
        <v>8</v>
      </c>
      <c r="E15" s="239" t="s">
        <v>33</v>
      </c>
      <c r="F15" s="239"/>
      <c r="G15" s="239"/>
      <c r="H15" s="239"/>
      <c r="I15" s="239"/>
      <c r="J15" s="253"/>
      <c r="K15" s="15">
        <v>8</v>
      </c>
      <c r="L15" s="139" t="s">
        <v>45</v>
      </c>
      <c r="M15" s="139"/>
      <c r="N15" s="139"/>
      <c r="O15" s="139"/>
      <c r="P15" s="139"/>
      <c r="Q15" s="139"/>
    </row>
    <row r="16" spans="2:18" x14ac:dyDescent="0.25">
      <c r="C16" s="242"/>
      <c r="D16" s="15">
        <v>9</v>
      </c>
      <c r="E16" s="239" t="s">
        <v>34</v>
      </c>
      <c r="F16" s="239"/>
      <c r="G16" s="239"/>
      <c r="H16" s="239"/>
      <c r="I16" s="239"/>
      <c r="J16" s="253"/>
      <c r="K16" s="15">
        <v>9</v>
      </c>
      <c r="L16" s="248" t="s">
        <v>46</v>
      </c>
      <c r="M16" s="248"/>
      <c r="N16" s="248"/>
      <c r="O16" s="248"/>
      <c r="P16" s="248"/>
      <c r="Q16" s="248"/>
    </row>
    <row r="17" spans="3:17" x14ac:dyDescent="0.25">
      <c r="C17" s="242"/>
      <c r="D17" s="15">
        <v>10</v>
      </c>
      <c r="E17" s="239" t="s">
        <v>35</v>
      </c>
      <c r="F17" s="239"/>
      <c r="G17" s="239"/>
      <c r="H17" s="239"/>
      <c r="I17" s="239"/>
      <c r="J17" s="253"/>
      <c r="K17" s="15">
        <v>10</v>
      </c>
      <c r="L17" s="248" t="s">
        <v>47</v>
      </c>
      <c r="M17" s="248"/>
      <c r="N17" s="248"/>
      <c r="O17" s="248"/>
      <c r="P17" s="248"/>
      <c r="Q17" s="248"/>
    </row>
    <row r="18" spans="3:17" x14ac:dyDescent="0.25">
      <c r="C18" s="247"/>
      <c r="D18" s="247"/>
      <c r="E18" s="247"/>
      <c r="F18" s="247"/>
      <c r="G18" s="247"/>
      <c r="H18" s="247"/>
      <c r="I18" s="247"/>
      <c r="J18" s="253"/>
      <c r="K18" s="247"/>
      <c r="L18" s="247"/>
      <c r="M18" s="247"/>
      <c r="N18" s="247"/>
      <c r="O18" s="247"/>
      <c r="P18" s="247"/>
      <c r="Q18" s="247"/>
    </row>
    <row r="19" spans="3:17" ht="14.4" customHeight="1" x14ac:dyDescent="0.25">
      <c r="C19" s="242" t="s">
        <v>79</v>
      </c>
      <c r="D19" s="140" t="s">
        <v>75</v>
      </c>
      <c r="E19" s="245" t="s">
        <v>76</v>
      </c>
      <c r="F19" s="245"/>
      <c r="G19" s="245"/>
      <c r="H19" s="245"/>
      <c r="I19" s="245"/>
      <c r="J19" s="253"/>
      <c r="K19" s="140" t="s">
        <v>77</v>
      </c>
      <c r="L19" s="245" t="s">
        <v>78</v>
      </c>
      <c r="M19" s="245"/>
      <c r="N19" s="245"/>
      <c r="O19" s="245"/>
      <c r="P19" s="245"/>
      <c r="Q19" s="245"/>
    </row>
    <row r="20" spans="3:17" x14ac:dyDescent="0.25">
      <c r="C20" s="242"/>
      <c r="D20" s="244">
        <v>1</v>
      </c>
      <c r="E20" s="250" t="s">
        <v>51</v>
      </c>
      <c r="F20" s="250"/>
      <c r="G20" s="250"/>
      <c r="H20" s="250"/>
      <c r="I20" s="250"/>
      <c r="J20" s="253"/>
      <c r="K20" s="15">
        <v>1</v>
      </c>
      <c r="L20" s="239" t="s">
        <v>94</v>
      </c>
      <c r="M20" s="239"/>
      <c r="N20" s="239"/>
      <c r="O20" s="239"/>
      <c r="P20" s="239"/>
      <c r="Q20" s="239"/>
    </row>
    <row r="21" spans="3:17" ht="14.4" customHeight="1" x14ac:dyDescent="0.25">
      <c r="C21" s="242"/>
      <c r="D21" s="244"/>
      <c r="E21" s="250"/>
      <c r="F21" s="250"/>
      <c r="G21" s="250"/>
      <c r="H21" s="250"/>
      <c r="I21" s="250"/>
      <c r="J21" s="253"/>
      <c r="K21" s="244">
        <v>2</v>
      </c>
      <c r="L21" s="246" t="s">
        <v>59</v>
      </c>
      <c r="M21" s="246"/>
      <c r="N21" s="246"/>
      <c r="O21" s="246"/>
      <c r="P21" s="246"/>
      <c r="Q21" s="246"/>
    </row>
    <row r="22" spans="3:17" x14ac:dyDescent="0.25">
      <c r="C22" s="242"/>
      <c r="D22" s="15">
        <v>2</v>
      </c>
      <c r="E22" s="249" t="s">
        <v>52</v>
      </c>
      <c r="F22" s="249"/>
      <c r="G22" s="249"/>
      <c r="H22" s="249"/>
      <c r="I22" s="249"/>
      <c r="J22" s="253"/>
      <c r="K22" s="244"/>
      <c r="L22" s="246"/>
      <c r="M22" s="246"/>
      <c r="N22" s="246"/>
      <c r="O22" s="246"/>
      <c r="P22" s="246"/>
      <c r="Q22" s="246"/>
    </row>
    <row r="23" spans="3:17" ht="14.4" customHeight="1" x14ac:dyDescent="0.25">
      <c r="C23" s="242"/>
      <c r="D23" s="15">
        <v>3</v>
      </c>
      <c r="E23" s="249" t="s">
        <v>53</v>
      </c>
      <c r="F23" s="249"/>
      <c r="G23" s="249"/>
      <c r="H23" s="249"/>
      <c r="I23" s="249"/>
      <c r="J23" s="253"/>
      <c r="K23" s="244">
        <v>3</v>
      </c>
      <c r="L23" s="246" t="s">
        <v>60</v>
      </c>
      <c r="M23" s="246"/>
      <c r="N23" s="246"/>
      <c r="O23" s="246"/>
      <c r="P23" s="246"/>
      <c r="Q23" s="246"/>
    </row>
    <row r="24" spans="3:17" x14ac:dyDescent="0.25">
      <c r="C24" s="242"/>
      <c r="D24" s="15">
        <v>4</v>
      </c>
      <c r="E24" s="249" t="s">
        <v>54</v>
      </c>
      <c r="F24" s="249"/>
      <c r="G24" s="249"/>
      <c r="H24" s="249"/>
      <c r="I24" s="249"/>
      <c r="J24" s="253"/>
      <c r="K24" s="244"/>
      <c r="L24" s="246"/>
      <c r="M24" s="246"/>
      <c r="N24" s="246"/>
      <c r="O24" s="246"/>
      <c r="P24" s="246"/>
      <c r="Q24" s="246"/>
    </row>
    <row r="25" spans="3:17" x14ac:dyDescent="0.25">
      <c r="C25" s="242"/>
      <c r="D25" s="15">
        <v>5</v>
      </c>
      <c r="E25" s="249" t="s">
        <v>55</v>
      </c>
      <c r="F25" s="249"/>
      <c r="G25" s="249"/>
      <c r="H25" s="249"/>
      <c r="I25" s="249"/>
      <c r="J25" s="253"/>
      <c r="K25" s="15">
        <v>4</v>
      </c>
      <c r="L25" s="239" t="s">
        <v>61</v>
      </c>
      <c r="M25" s="239"/>
      <c r="N25" s="239"/>
      <c r="O25" s="239"/>
      <c r="P25" s="239"/>
      <c r="Q25" s="239"/>
    </row>
    <row r="26" spans="3:17" ht="14.4" customHeight="1" x14ac:dyDescent="0.25">
      <c r="C26" s="242"/>
      <c r="D26" s="15">
        <v>6</v>
      </c>
      <c r="E26" s="249" t="s">
        <v>56</v>
      </c>
      <c r="F26" s="249"/>
      <c r="G26" s="249"/>
      <c r="H26" s="249"/>
      <c r="I26" s="249"/>
      <c r="J26" s="253"/>
      <c r="K26" s="244">
        <v>5</v>
      </c>
      <c r="L26" s="246" t="s">
        <v>62</v>
      </c>
      <c r="M26" s="246"/>
      <c r="N26" s="246"/>
      <c r="O26" s="246"/>
      <c r="P26" s="246"/>
      <c r="Q26" s="246"/>
    </row>
    <row r="27" spans="3:17" ht="14.4" customHeight="1" x14ac:dyDescent="0.25">
      <c r="C27" s="242"/>
      <c r="D27" s="244">
        <v>7</v>
      </c>
      <c r="E27" s="250" t="s">
        <v>57</v>
      </c>
      <c r="F27" s="250"/>
      <c r="G27" s="250"/>
      <c r="H27" s="250"/>
      <c r="I27" s="250"/>
      <c r="J27" s="253"/>
      <c r="K27" s="244"/>
      <c r="L27" s="246"/>
      <c r="M27" s="246"/>
      <c r="N27" s="246"/>
      <c r="O27" s="246"/>
      <c r="P27" s="246"/>
      <c r="Q27" s="246"/>
    </row>
    <row r="28" spans="3:17" ht="14.4" customHeight="1" x14ac:dyDescent="0.25">
      <c r="C28" s="242"/>
      <c r="D28" s="244"/>
      <c r="E28" s="250"/>
      <c r="F28" s="250"/>
      <c r="G28" s="250"/>
      <c r="H28" s="250"/>
      <c r="I28" s="250"/>
      <c r="J28" s="253"/>
      <c r="K28" s="244">
        <v>6</v>
      </c>
      <c r="L28" s="246" t="s">
        <v>63</v>
      </c>
      <c r="M28" s="246"/>
      <c r="N28" s="246"/>
      <c r="O28" s="246"/>
      <c r="P28" s="246"/>
      <c r="Q28" s="246"/>
    </row>
    <row r="29" spans="3:17" x14ac:dyDescent="0.25">
      <c r="C29" s="242"/>
      <c r="D29" s="251">
        <v>8</v>
      </c>
      <c r="E29" s="248" t="s">
        <v>58</v>
      </c>
      <c r="F29" s="248"/>
      <c r="G29" s="248"/>
      <c r="H29" s="248"/>
      <c r="I29" s="248"/>
      <c r="J29" s="253"/>
      <c r="K29" s="244"/>
      <c r="L29" s="246"/>
      <c r="M29" s="246"/>
      <c r="N29" s="246"/>
      <c r="O29" s="246"/>
      <c r="P29" s="246"/>
      <c r="Q29" s="246"/>
    </row>
    <row r="30" spans="3:17" ht="14.4" customHeight="1" x14ac:dyDescent="0.25">
      <c r="C30" s="242"/>
      <c r="D30" s="251"/>
      <c r="E30" s="248"/>
      <c r="F30" s="248"/>
      <c r="G30" s="248"/>
      <c r="H30" s="248"/>
      <c r="I30" s="248"/>
      <c r="J30" s="253"/>
      <c r="K30" s="244">
        <v>7</v>
      </c>
      <c r="L30" s="246" t="s">
        <v>64</v>
      </c>
      <c r="M30" s="246"/>
      <c r="N30" s="246"/>
      <c r="O30" s="246"/>
      <c r="P30" s="246"/>
      <c r="Q30" s="246"/>
    </row>
    <row r="31" spans="3:17" x14ac:dyDescent="0.25">
      <c r="C31" s="242"/>
      <c r="D31" s="251"/>
      <c r="E31" s="248"/>
      <c r="F31" s="248"/>
      <c r="G31" s="248"/>
      <c r="H31" s="248"/>
      <c r="I31" s="248"/>
      <c r="J31" s="253"/>
      <c r="K31" s="244"/>
      <c r="L31" s="246"/>
      <c r="M31" s="246"/>
      <c r="N31" s="246"/>
      <c r="O31" s="246"/>
      <c r="P31" s="246"/>
      <c r="Q31" s="246"/>
    </row>
    <row r="32" spans="3:17" x14ac:dyDescent="0.25">
      <c r="C32" s="242"/>
      <c r="D32" s="251"/>
      <c r="E32" s="248"/>
      <c r="F32" s="248"/>
      <c r="G32" s="248"/>
      <c r="H32" s="248"/>
      <c r="I32" s="248"/>
      <c r="J32" s="253"/>
      <c r="K32" s="15">
        <v>8</v>
      </c>
      <c r="L32" s="239" t="s">
        <v>65</v>
      </c>
      <c r="M32" s="239"/>
      <c r="N32" s="239"/>
      <c r="O32" s="239"/>
      <c r="P32" s="239"/>
      <c r="Q32" s="239"/>
    </row>
    <row r="33" spans="3:17" x14ac:dyDescent="0.25">
      <c r="C33" s="242"/>
      <c r="D33" s="251"/>
      <c r="E33" s="248"/>
      <c r="F33" s="248"/>
      <c r="G33" s="248"/>
      <c r="H33" s="248"/>
      <c r="I33" s="248"/>
      <c r="J33" s="253"/>
      <c r="K33" s="15">
        <v>9</v>
      </c>
      <c r="L33" s="239" t="s">
        <v>66</v>
      </c>
      <c r="M33" s="239"/>
      <c r="N33" s="239"/>
      <c r="O33" s="239"/>
      <c r="P33" s="239"/>
      <c r="Q33" s="239"/>
    </row>
    <row r="34" spans="3:17" x14ac:dyDescent="0.25">
      <c r="C34" s="242"/>
      <c r="D34" s="251"/>
      <c r="E34" s="248"/>
      <c r="F34" s="248"/>
      <c r="G34" s="248"/>
      <c r="H34" s="248"/>
      <c r="I34" s="248"/>
      <c r="J34" s="253"/>
      <c r="K34" s="15">
        <v>10</v>
      </c>
      <c r="L34" s="239" t="s">
        <v>67</v>
      </c>
      <c r="M34" s="239"/>
      <c r="N34" s="239"/>
      <c r="O34" s="239"/>
      <c r="P34" s="239"/>
      <c r="Q34" s="239"/>
    </row>
    <row r="35" spans="3:17" x14ac:dyDescent="0.25">
      <c r="C35" s="247"/>
      <c r="D35" s="247"/>
      <c r="E35" s="247"/>
      <c r="F35" s="247"/>
      <c r="G35" s="247"/>
      <c r="H35" s="247"/>
      <c r="I35" s="247"/>
      <c r="J35" s="254"/>
      <c r="K35" s="247"/>
      <c r="L35" s="247"/>
      <c r="M35" s="247"/>
      <c r="N35" s="247"/>
      <c r="O35" s="247"/>
      <c r="P35" s="247"/>
      <c r="Q35" s="247"/>
    </row>
  </sheetData>
  <mergeCells count="60">
    <mergeCell ref="D29:D34"/>
    <mergeCell ref="C19:C34"/>
    <mergeCell ref="B3:R4"/>
    <mergeCell ref="J5:J35"/>
    <mergeCell ref="K35:Q35"/>
    <mergeCell ref="C35:I35"/>
    <mergeCell ref="L23:Q24"/>
    <mergeCell ref="L25:Q25"/>
    <mergeCell ref="L26:Q27"/>
    <mergeCell ref="L28:Q29"/>
    <mergeCell ref="L30:Q31"/>
    <mergeCell ref="L32:Q32"/>
    <mergeCell ref="K30:K31"/>
    <mergeCell ref="L33:Q33"/>
    <mergeCell ref="L34:Q34"/>
    <mergeCell ref="D27:D28"/>
    <mergeCell ref="L17:Q17"/>
    <mergeCell ref="E20:I21"/>
    <mergeCell ref="D20:D21"/>
    <mergeCell ref="E22:I22"/>
    <mergeCell ref="E23:I23"/>
    <mergeCell ref="E24:I24"/>
    <mergeCell ref="L19:Q19"/>
    <mergeCell ref="K21:K22"/>
    <mergeCell ref="K23:K24"/>
    <mergeCell ref="K26:K27"/>
    <mergeCell ref="K28:K29"/>
    <mergeCell ref="E25:I25"/>
    <mergeCell ref="E26:I26"/>
    <mergeCell ref="E27:I28"/>
    <mergeCell ref="E29:I34"/>
    <mergeCell ref="L5:Q5"/>
    <mergeCell ref="E19:I19"/>
    <mergeCell ref="L20:Q20"/>
    <mergeCell ref="L21:Q22"/>
    <mergeCell ref="C18:I18"/>
    <mergeCell ref="K18:Q18"/>
    <mergeCell ref="L12:Q12"/>
    <mergeCell ref="L10:Q11"/>
    <mergeCell ref="L9:Q9"/>
    <mergeCell ref="L7:Q8"/>
    <mergeCell ref="L6:Q6"/>
    <mergeCell ref="L16:Q16"/>
    <mergeCell ref="L14:Q14"/>
    <mergeCell ref="L13:Q13"/>
    <mergeCell ref="K7:K8"/>
    <mergeCell ref="K10:K11"/>
    <mergeCell ref="E16:I16"/>
    <mergeCell ref="E17:I17"/>
    <mergeCell ref="E5:I5"/>
    <mergeCell ref="C5:C17"/>
    <mergeCell ref="E6:I6"/>
    <mergeCell ref="E7:I7"/>
    <mergeCell ref="E8:I8"/>
    <mergeCell ref="E9:I11"/>
    <mergeCell ref="E12:I12"/>
    <mergeCell ref="E13:I13"/>
    <mergeCell ref="E14:I14"/>
    <mergeCell ref="D9:D11"/>
    <mergeCell ref="E15:I1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73A95-3C1C-4C91-99E9-0985651D0C1C}">
  <dimension ref="A3:F24"/>
  <sheetViews>
    <sheetView workbookViewId="0">
      <selection activeCell="B25" sqref="B25"/>
    </sheetView>
  </sheetViews>
  <sheetFormatPr defaultRowHeight="13.8" x14ac:dyDescent="0.25"/>
  <cols>
    <col min="1" max="1" width="8.88671875" style="12"/>
    <col min="2" max="2" width="66.5546875" style="12" customWidth="1"/>
    <col min="3" max="3" width="22.77734375" style="12" customWidth="1"/>
    <col min="4" max="4" width="15.109375" style="12" customWidth="1"/>
    <col min="5" max="5" width="32" style="12" customWidth="1"/>
    <col min="6" max="6" width="24.33203125" style="84" customWidth="1"/>
    <col min="7" max="16384" width="8.88671875" style="12"/>
  </cols>
  <sheetData>
    <row r="3" spans="1:6" x14ac:dyDescent="0.25">
      <c r="A3" s="87" t="s">
        <v>494</v>
      </c>
      <c r="B3" s="88" t="s">
        <v>1158</v>
      </c>
      <c r="C3" s="88" t="s">
        <v>495</v>
      </c>
      <c r="D3" s="88" t="s">
        <v>240</v>
      </c>
      <c r="E3" s="88" t="s">
        <v>496</v>
      </c>
      <c r="F3" s="88" t="s">
        <v>97</v>
      </c>
    </row>
    <row r="4" spans="1:6" x14ac:dyDescent="0.25">
      <c r="B4" s="12" t="s">
        <v>1159</v>
      </c>
      <c r="C4" s="12" t="s">
        <v>568</v>
      </c>
      <c r="D4" s="12" t="s">
        <v>444</v>
      </c>
      <c r="E4" s="12" t="s">
        <v>1219</v>
      </c>
      <c r="F4" s="84">
        <v>10</v>
      </c>
    </row>
    <row r="5" spans="1:6" x14ac:dyDescent="0.25">
      <c r="B5" s="12" t="s">
        <v>515</v>
      </c>
      <c r="C5" s="12" t="s">
        <v>721</v>
      </c>
      <c r="D5" s="12" t="s">
        <v>444</v>
      </c>
      <c r="E5" s="12" t="s">
        <v>1219</v>
      </c>
      <c r="F5" s="84">
        <v>5</v>
      </c>
    </row>
    <row r="6" spans="1:6" x14ac:dyDescent="0.25">
      <c r="B6" s="12" t="s">
        <v>1161</v>
      </c>
      <c r="C6" s="12" t="s">
        <v>1162</v>
      </c>
      <c r="D6" s="12" t="s">
        <v>444</v>
      </c>
      <c r="E6" s="12" t="s">
        <v>507</v>
      </c>
      <c r="F6" s="84">
        <v>1.2</v>
      </c>
    </row>
    <row r="7" spans="1:6" x14ac:dyDescent="0.25">
      <c r="B7" s="12" t="s">
        <v>1160</v>
      </c>
      <c r="C7" s="12" t="s">
        <v>1113</v>
      </c>
      <c r="D7" s="12" t="s">
        <v>757</v>
      </c>
      <c r="E7" s="12" t="s">
        <v>1098</v>
      </c>
      <c r="F7" s="92">
        <f>'Calculation Sludge Volume'!F18</f>
        <v>98.036478151932343</v>
      </c>
    </row>
    <row r="8" spans="1:6" x14ac:dyDescent="0.25">
      <c r="B8" s="12" t="s">
        <v>1163</v>
      </c>
      <c r="C8" s="12" t="s">
        <v>917</v>
      </c>
      <c r="D8" s="12" t="s">
        <v>511</v>
      </c>
      <c r="E8" s="12" t="s">
        <v>1164</v>
      </c>
      <c r="F8" s="84">
        <f>(3.14/4)*(F4^2)</f>
        <v>78.5</v>
      </c>
    </row>
    <row r="9" spans="1:6" x14ac:dyDescent="0.25">
      <c r="B9" s="12" t="s">
        <v>1165</v>
      </c>
      <c r="C9" s="12" t="s">
        <v>1166</v>
      </c>
      <c r="D9" s="12" t="s">
        <v>757</v>
      </c>
      <c r="E9" s="12" t="s">
        <v>507</v>
      </c>
      <c r="F9" s="84">
        <v>900</v>
      </c>
    </row>
    <row r="10" spans="1:6" x14ac:dyDescent="0.25">
      <c r="B10" s="127" t="s">
        <v>1167</v>
      </c>
    </row>
    <row r="11" spans="1:6" x14ac:dyDescent="0.25">
      <c r="B11" s="12" t="s">
        <v>905</v>
      </c>
      <c r="C11" s="12" t="s">
        <v>905</v>
      </c>
      <c r="D11" s="12" t="s">
        <v>757</v>
      </c>
      <c r="E11" s="12" t="s">
        <v>1168</v>
      </c>
      <c r="F11" s="92">
        <f>F7+F9</f>
        <v>998.03647815193233</v>
      </c>
    </row>
    <row r="12" spans="1:6" x14ac:dyDescent="0.25">
      <c r="B12" s="12" t="s">
        <v>1169</v>
      </c>
      <c r="C12" s="12" t="s">
        <v>1170</v>
      </c>
      <c r="D12" s="12" t="s">
        <v>757</v>
      </c>
      <c r="E12" s="12" t="s">
        <v>507</v>
      </c>
      <c r="F12" s="84">
        <v>20</v>
      </c>
    </row>
    <row r="13" spans="1:6" x14ac:dyDescent="0.25">
      <c r="B13" s="12" t="s">
        <v>1171</v>
      </c>
      <c r="C13" s="12" t="s">
        <v>1172</v>
      </c>
      <c r="D13" s="12" t="s">
        <v>757</v>
      </c>
      <c r="E13" s="12" t="s">
        <v>1173</v>
      </c>
      <c r="F13" s="92">
        <f>F11-F12</f>
        <v>978.03647815193233</v>
      </c>
    </row>
    <row r="14" spans="1:6" x14ac:dyDescent="0.25">
      <c r="B14" s="12" t="s">
        <v>724</v>
      </c>
      <c r="C14" s="12" t="s">
        <v>1174</v>
      </c>
      <c r="D14" s="12" t="s">
        <v>757</v>
      </c>
      <c r="E14" s="12" t="s">
        <v>1175</v>
      </c>
      <c r="F14" s="105">
        <f>F13/F8</f>
        <v>12.459063415948183</v>
      </c>
    </row>
    <row r="15" spans="1:6" x14ac:dyDescent="0.25">
      <c r="B15" s="127" t="s">
        <v>1176</v>
      </c>
    </row>
    <row r="16" spans="1:6" x14ac:dyDescent="0.25">
      <c r="B16" s="12" t="s">
        <v>1177</v>
      </c>
      <c r="C16" s="12" t="s">
        <v>1106</v>
      </c>
      <c r="D16" s="12" t="s">
        <v>1107</v>
      </c>
      <c r="E16" s="12" t="s">
        <v>1098</v>
      </c>
      <c r="F16" s="105">
        <f>'Calculation Sludge Volume'!F13</f>
        <v>5097.8968639004815</v>
      </c>
    </row>
    <row r="17" spans="2:6" x14ac:dyDescent="0.25">
      <c r="B17" s="12" t="s">
        <v>1178</v>
      </c>
      <c r="C17" s="12" t="s">
        <v>1179</v>
      </c>
      <c r="D17" s="12" t="s">
        <v>1180</v>
      </c>
      <c r="E17" s="12" t="s">
        <v>1181</v>
      </c>
      <c r="F17" s="105">
        <f>F16/F8</f>
        <v>64.94136132357302</v>
      </c>
    </row>
    <row r="18" spans="2:6" x14ac:dyDescent="0.25">
      <c r="B18" s="127" t="s">
        <v>1182</v>
      </c>
    </row>
    <row r="19" spans="2:6" x14ac:dyDescent="0.25">
      <c r="B19" s="12" t="s">
        <v>1183</v>
      </c>
      <c r="C19" s="12" t="s">
        <v>1184</v>
      </c>
      <c r="D19" s="12" t="s">
        <v>601</v>
      </c>
      <c r="E19" s="12" t="s">
        <v>1185</v>
      </c>
      <c r="F19" s="84">
        <f>F6*F8</f>
        <v>94.2</v>
      </c>
    </row>
    <row r="20" spans="2:6" x14ac:dyDescent="0.25">
      <c r="B20" s="12" t="s">
        <v>1182</v>
      </c>
      <c r="C20" s="12" t="s">
        <v>1187</v>
      </c>
      <c r="D20" s="12" t="s">
        <v>1188</v>
      </c>
      <c r="E20" s="12" t="s">
        <v>1189</v>
      </c>
      <c r="F20" s="84">
        <f>F19/F12</f>
        <v>4.71</v>
      </c>
    </row>
    <row r="21" spans="2:6" x14ac:dyDescent="0.25">
      <c r="B21" s="127" t="s">
        <v>1190</v>
      </c>
    </row>
    <row r="22" spans="2:6" x14ac:dyDescent="0.25">
      <c r="B22" s="12" t="s">
        <v>1191</v>
      </c>
      <c r="C22" s="12" t="s">
        <v>1106</v>
      </c>
      <c r="D22" s="12" t="s">
        <v>1107</v>
      </c>
      <c r="E22" s="12" t="s">
        <v>1098</v>
      </c>
      <c r="F22" s="105">
        <f>F16</f>
        <v>5097.8968639004815</v>
      </c>
    </row>
    <row r="23" spans="2:6" x14ac:dyDescent="0.25">
      <c r="B23" s="12" t="s">
        <v>1192</v>
      </c>
      <c r="C23" s="12" t="s">
        <v>1193</v>
      </c>
      <c r="D23" s="12" t="s">
        <v>1107</v>
      </c>
      <c r="E23" s="12" t="s">
        <v>1194</v>
      </c>
      <c r="F23" s="84">
        <f>F12*0.07*1000</f>
        <v>1400.0000000000002</v>
      </c>
    </row>
    <row r="24" spans="2:6" x14ac:dyDescent="0.25">
      <c r="B24" s="12" t="s">
        <v>1190</v>
      </c>
      <c r="C24" s="12" t="s">
        <v>1195</v>
      </c>
      <c r="D24" s="12" t="s">
        <v>716</v>
      </c>
      <c r="E24" s="12" t="s">
        <v>1196</v>
      </c>
      <c r="F24" s="133">
        <f>(F23/F22)*100%</f>
        <v>0.27462305287377631</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B57B-527A-45FE-96B9-E9D27C419202}">
  <dimension ref="B3:R7"/>
  <sheetViews>
    <sheetView workbookViewId="0">
      <selection activeCell="Q19" sqref="Q19"/>
    </sheetView>
  </sheetViews>
  <sheetFormatPr defaultRowHeight="13.8" x14ac:dyDescent="0.25"/>
  <cols>
    <col min="1" max="16384" width="8.88671875" style="12"/>
  </cols>
  <sheetData>
    <row r="3" spans="2:18" x14ac:dyDescent="0.25">
      <c r="B3" s="418" t="s">
        <v>1281</v>
      </c>
      <c r="C3" s="418"/>
      <c r="D3" s="418"/>
      <c r="E3" s="418"/>
      <c r="F3" s="418"/>
      <c r="G3" s="418" t="s">
        <v>240</v>
      </c>
      <c r="H3" s="418"/>
      <c r="I3" s="418"/>
      <c r="J3" s="418" t="s">
        <v>414</v>
      </c>
      <c r="K3" s="418"/>
      <c r="L3" s="418"/>
      <c r="M3" s="418" t="s">
        <v>1149</v>
      </c>
      <c r="N3" s="418"/>
      <c r="O3" s="418"/>
      <c r="P3" s="418" t="s">
        <v>417</v>
      </c>
      <c r="Q3" s="418"/>
      <c r="R3" s="418"/>
    </row>
    <row r="4" spans="2:18" x14ac:dyDescent="0.25">
      <c r="B4" s="413" t="s">
        <v>1197</v>
      </c>
      <c r="C4" s="413"/>
      <c r="D4" s="413"/>
      <c r="E4" s="413"/>
      <c r="F4" s="413"/>
      <c r="G4" s="414" t="s">
        <v>444</v>
      </c>
      <c r="H4" s="414"/>
      <c r="I4" s="414"/>
      <c r="J4" s="421" t="s">
        <v>1202</v>
      </c>
      <c r="K4" s="414"/>
      <c r="L4" s="414"/>
      <c r="M4" s="414"/>
      <c r="N4" s="414"/>
      <c r="O4" s="414"/>
      <c r="P4" s="414"/>
      <c r="Q4" s="414"/>
      <c r="R4" s="414"/>
    </row>
    <row r="5" spans="2:18" x14ac:dyDescent="0.25">
      <c r="B5" s="413" t="s">
        <v>1198</v>
      </c>
      <c r="C5" s="413"/>
      <c r="D5" s="413"/>
      <c r="E5" s="413"/>
      <c r="F5" s="413"/>
      <c r="G5" s="414" t="s">
        <v>1200</v>
      </c>
      <c r="H5" s="414"/>
      <c r="I5" s="414"/>
      <c r="J5" s="414" t="s">
        <v>1203</v>
      </c>
      <c r="K5" s="414"/>
      <c r="L5" s="414"/>
      <c r="M5" s="414"/>
      <c r="N5" s="414"/>
      <c r="O5" s="414"/>
      <c r="P5" s="414"/>
      <c r="Q5" s="414"/>
      <c r="R5" s="414"/>
    </row>
    <row r="6" spans="2:18" x14ac:dyDescent="0.25">
      <c r="B6" s="413" t="s">
        <v>1199</v>
      </c>
      <c r="C6" s="413"/>
      <c r="D6" s="413"/>
      <c r="E6" s="413"/>
      <c r="F6" s="413"/>
      <c r="G6" s="414" t="s">
        <v>1201</v>
      </c>
      <c r="H6" s="414"/>
      <c r="I6" s="414"/>
      <c r="J6" s="414" t="s">
        <v>1204</v>
      </c>
      <c r="K6" s="414"/>
      <c r="L6" s="414"/>
      <c r="M6" s="415"/>
      <c r="N6" s="414"/>
      <c r="O6" s="414"/>
      <c r="P6" s="414"/>
      <c r="Q6" s="414"/>
      <c r="R6" s="414"/>
    </row>
    <row r="7" spans="2:18" x14ac:dyDescent="0.25">
      <c r="B7" s="413"/>
      <c r="C7" s="413"/>
      <c r="D7" s="413"/>
      <c r="E7" s="413"/>
      <c r="F7" s="413"/>
      <c r="G7" s="414"/>
      <c r="H7" s="414"/>
      <c r="I7" s="414"/>
      <c r="J7" s="414"/>
      <c r="K7" s="414"/>
      <c r="L7" s="414"/>
      <c r="M7" s="414"/>
      <c r="N7" s="414"/>
      <c r="O7" s="414"/>
      <c r="P7" s="414"/>
      <c r="Q7" s="414"/>
      <c r="R7" s="414"/>
    </row>
  </sheetData>
  <mergeCells count="25">
    <mergeCell ref="B4:F4"/>
    <mergeCell ref="G4:I4"/>
    <mergeCell ref="J4:L4"/>
    <mergeCell ref="M4:O4"/>
    <mergeCell ref="P4:R4"/>
    <mergeCell ref="B3:F3"/>
    <mergeCell ref="G3:I3"/>
    <mergeCell ref="J3:L3"/>
    <mergeCell ref="M3:O3"/>
    <mergeCell ref="P3:R3"/>
    <mergeCell ref="B6:F6"/>
    <mergeCell ref="G6:I6"/>
    <mergeCell ref="J6:L6"/>
    <mergeCell ref="M6:O6"/>
    <mergeCell ref="P6:R6"/>
    <mergeCell ref="B5:F5"/>
    <mergeCell ref="G5:I5"/>
    <mergeCell ref="J5:L5"/>
    <mergeCell ref="M5:O5"/>
    <mergeCell ref="P5:R5"/>
    <mergeCell ref="B7:F7"/>
    <mergeCell ref="G7:I7"/>
    <mergeCell ref="J7:L7"/>
    <mergeCell ref="M7:O7"/>
    <mergeCell ref="P7:R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11B64-2CAB-48FF-8027-ED5315FA3F6E}">
  <dimension ref="A3:F39"/>
  <sheetViews>
    <sheetView zoomScale="62" zoomScaleNormal="62" workbookViewId="0">
      <selection activeCell="F39" sqref="F39"/>
    </sheetView>
  </sheetViews>
  <sheetFormatPr defaultRowHeight="14.4" x14ac:dyDescent="0.3"/>
  <cols>
    <col min="2" max="2" width="53.109375" customWidth="1"/>
    <col min="3" max="3" width="20" customWidth="1"/>
    <col min="4" max="4" width="18.88671875" customWidth="1"/>
    <col min="5" max="5" width="66.44140625" customWidth="1"/>
    <col min="6" max="6" width="31.21875" style="7" customWidth="1"/>
  </cols>
  <sheetData>
    <row r="3" spans="1:6" x14ac:dyDescent="0.3">
      <c r="A3" s="78" t="s">
        <v>494</v>
      </c>
      <c r="B3" s="79" t="s">
        <v>1205</v>
      </c>
      <c r="C3" s="79" t="s">
        <v>495</v>
      </c>
      <c r="D3" s="79" t="s">
        <v>240</v>
      </c>
      <c r="E3" s="79" t="s">
        <v>496</v>
      </c>
      <c r="F3" s="78" t="s">
        <v>97</v>
      </c>
    </row>
    <row r="4" spans="1:6" x14ac:dyDescent="0.3">
      <c r="B4" t="s">
        <v>1206</v>
      </c>
      <c r="C4" t="s">
        <v>1210</v>
      </c>
      <c r="D4" t="s">
        <v>670</v>
      </c>
      <c r="E4" t="s">
        <v>1172</v>
      </c>
      <c r="F4" s="80">
        <f>'Sludge Thickening Sizing'!F13</f>
        <v>978.03647815193233</v>
      </c>
    </row>
    <row r="5" spans="1:6" x14ac:dyDescent="0.3">
      <c r="D5" t="s">
        <v>1211</v>
      </c>
      <c r="E5" t="s">
        <v>1212</v>
      </c>
      <c r="F5" s="81">
        <f>F4*1000</f>
        <v>978036.47815193236</v>
      </c>
    </row>
    <row r="6" spans="1:6" x14ac:dyDescent="0.3">
      <c r="B6" t="s">
        <v>1207</v>
      </c>
      <c r="C6" t="s">
        <v>1213</v>
      </c>
      <c r="D6" t="s">
        <v>716</v>
      </c>
      <c r="E6" t="s">
        <v>507</v>
      </c>
      <c r="F6" s="82">
        <v>0.03</v>
      </c>
    </row>
    <row r="7" spans="1:6" x14ac:dyDescent="0.3">
      <c r="B7" t="s">
        <v>1208</v>
      </c>
      <c r="C7" t="s">
        <v>1214</v>
      </c>
      <c r="D7" t="s">
        <v>1215</v>
      </c>
      <c r="E7" t="s">
        <v>507</v>
      </c>
      <c r="F7" s="7">
        <v>8</v>
      </c>
    </row>
    <row r="8" spans="1:6" x14ac:dyDescent="0.3">
      <c r="D8" t="s">
        <v>1216</v>
      </c>
      <c r="E8" t="s">
        <v>507</v>
      </c>
      <c r="F8" s="7">
        <v>5</v>
      </c>
    </row>
    <row r="9" spans="1:6" x14ac:dyDescent="0.3">
      <c r="B9" t="s">
        <v>1209</v>
      </c>
      <c r="C9" t="s">
        <v>1217</v>
      </c>
      <c r="D9" t="s">
        <v>1218</v>
      </c>
      <c r="E9" t="s">
        <v>1219</v>
      </c>
      <c r="F9" s="7">
        <v>600</v>
      </c>
    </row>
    <row r="10" spans="1:6" x14ac:dyDescent="0.3">
      <c r="B10" s="40" t="s">
        <v>1220</v>
      </c>
    </row>
    <row r="11" spans="1:6" x14ac:dyDescent="0.3">
      <c r="B11" t="s">
        <v>1221</v>
      </c>
      <c r="C11" t="s">
        <v>1222</v>
      </c>
      <c r="D11" t="s">
        <v>1223</v>
      </c>
      <c r="E11" t="s">
        <v>1224</v>
      </c>
      <c r="F11" s="81">
        <f>F5*7*(10^3)*(1/(10^3))*1.02</f>
        <v>6983180.4540047972</v>
      </c>
    </row>
    <row r="12" spans="1:6" x14ac:dyDescent="0.3">
      <c r="B12" t="s">
        <v>1225</v>
      </c>
      <c r="C12" t="s">
        <v>1226</v>
      </c>
      <c r="D12" t="s">
        <v>1223</v>
      </c>
      <c r="E12" t="s">
        <v>1227</v>
      </c>
      <c r="F12" s="81">
        <f>F11*F6</f>
        <v>209495.4136201439</v>
      </c>
    </row>
    <row r="13" spans="1:6" x14ac:dyDescent="0.3">
      <c r="B13" s="40" t="s">
        <v>1228</v>
      </c>
    </row>
    <row r="14" spans="1:6" x14ac:dyDescent="0.3">
      <c r="B14" t="s">
        <v>1229</v>
      </c>
      <c r="C14" t="s">
        <v>1230</v>
      </c>
      <c r="D14" t="s">
        <v>1107</v>
      </c>
      <c r="E14" t="s">
        <v>1231</v>
      </c>
      <c r="F14" s="81">
        <f>F12*(1/5)</f>
        <v>41899.082724028784</v>
      </c>
    </row>
    <row r="15" spans="1:6" x14ac:dyDescent="0.3">
      <c r="B15" t="s">
        <v>1232</v>
      </c>
      <c r="C15" t="s">
        <v>1233</v>
      </c>
      <c r="D15" t="s">
        <v>1234</v>
      </c>
      <c r="E15" t="s">
        <v>1235</v>
      </c>
      <c r="F15" s="81">
        <f>F14/8</f>
        <v>5237.3853405035979</v>
      </c>
    </row>
    <row r="16" spans="1:6" x14ac:dyDescent="0.3">
      <c r="B16" s="40" t="s">
        <v>1236</v>
      </c>
    </row>
    <row r="17" spans="2:6" x14ac:dyDescent="0.3">
      <c r="B17" t="s">
        <v>1238</v>
      </c>
      <c r="C17" t="s">
        <v>109</v>
      </c>
      <c r="D17" t="s">
        <v>600</v>
      </c>
      <c r="E17" t="s">
        <v>507</v>
      </c>
      <c r="F17" s="81">
        <v>3</v>
      </c>
    </row>
    <row r="18" spans="2:6" x14ac:dyDescent="0.3">
      <c r="B18" t="s">
        <v>1239</v>
      </c>
      <c r="C18" t="s">
        <v>1237</v>
      </c>
      <c r="D18" t="s">
        <v>444</v>
      </c>
      <c r="E18" t="s">
        <v>1240</v>
      </c>
      <c r="F18" s="81">
        <f>F15/F9/F17</f>
        <v>2.9096585225019989</v>
      </c>
    </row>
    <row r="19" spans="2:6" x14ac:dyDescent="0.3">
      <c r="B19" t="s">
        <v>1241</v>
      </c>
    </row>
    <row r="20" spans="2:6" x14ac:dyDescent="0.3">
      <c r="B20" s="40" t="s">
        <v>1242</v>
      </c>
    </row>
    <row r="21" spans="2:6" x14ac:dyDescent="0.3">
      <c r="B21" t="s">
        <v>1243</v>
      </c>
      <c r="C21" t="s">
        <v>1244</v>
      </c>
      <c r="E21" t="s">
        <v>1245</v>
      </c>
      <c r="F21" s="7" t="s">
        <v>1246</v>
      </c>
    </row>
    <row r="22" spans="2:6" x14ac:dyDescent="0.3">
      <c r="B22" t="s">
        <v>1247</v>
      </c>
    </row>
    <row r="23" spans="2:6" x14ac:dyDescent="0.3">
      <c r="B23" t="s">
        <v>1248</v>
      </c>
    </row>
    <row r="24" spans="2:6" x14ac:dyDescent="0.3">
      <c r="B24" t="s">
        <v>1249</v>
      </c>
      <c r="C24" t="s">
        <v>1250</v>
      </c>
      <c r="E24" t="s">
        <v>1251</v>
      </c>
    </row>
    <row r="25" spans="2:6" x14ac:dyDescent="0.3">
      <c r="B25" t="s">
        <v>1252</v>
      </c>
      <c r="C25" t="s">
        <v>1253</v>
      </c>
      <c r="D25" t="s">
        <v>1107</v>
      </c>
      <c r="E25" t="s">
        <v>1254</v>
      </c>
      <c r="F25" s="81">
        <f>F11/F8</f>
        <v>1396636.0908009594</v>
      </c>
    </row>
    <row r="26" spans="2:6" x14ac:dyDescent="0.3">
      <c r="B26" t="s">
        <v>1255</v>
      </c>
      <c r="C26" t="s">
        <v>1256</v>
      </c>
      <c r="D26" t="s">
        <v>1107</v>
      </c>
      <c r="E26" t="s">
        <v>1257</v>
      </c>
      <c r="F26" s="81">
        <f>500*F18*60*8*1*1</f>
        <v>698318.04540047981</v>
      </c>
    </row>
    <row r="27" spans="2:6" x14ac:dyDescent="0.3">
      <c r="B27" t="s">
        <v>1258</v>
      </c>
      <c r="C27" t="s">
        <v>1259</v>
      </c>
      <c r="D27" t="s">
        <v>1107</v>
      </c>
      <c r="E27" t="s">
        <v>1260</v>
      </c>
      <c r="F27" s="81">
        <f>F25+F26</f>
        <v>2094954.1362014392</v>
      </c>
    </row>
    <row r="28" spans="2:6" x14ac:dyDescent="0.3">
      <c r="B28" t="s">
        <v>70</v>
      </c>
      <c r="C28" t="s">
        <v>778</v>
      </c>
      <c r="E28" t="s">
        <v>1261</v>
      </c>
    </row>
    <row r="29" spans="2:6" x14ac:dyDescent="0.3">
      <c r="B29" t="s">
        <v>1262</v>
      </c>
      <c r="C29" t="s">
        <v>1262</v>
      </c>
      <c r="D29" t="s">
        <v>1211</v>
      </c>
      <c r="E29" t="s">
        <v>1263</v>
      </c>
      <c r="F29" s="7" t="s">
        <v>1264</v>
      </c>
    </row>
    <row r="30" spans="2:6" x14ac:dyDescent="0.3">
      <c r="F30" s="7">
        <f>0.22*2094954</f>
        <v>460889.88</v>
      </c>
    </row>
    <row r="31" spans="2:6" x14ac:dyDescent="0.3">
      <c r="F31" s="7" t="s">
        <v>1265</v>
      </c>
    </row>
    <row r="32" spans="2:6" x14ac:dyDescent="0.3">
      <c r="F32" s="7">
        <f>(460889.88-41899)/0.2209</f>
        <v>1896744.5903123585</v>
      </c>
    </row>
    <row r="33" spans="2:6" x14ac:dyDescent="0.3">
      <c r="E33" t="s">
        <v>1266</v>
      </c>
      <c r="F33" s="7">
        <f>F32*1*1.01</f>
        <v>1915712.036215482</v>
      </c>
    </row>
    <row r="34" spans="2:6" x14ac:dyDescent="0.3">
      <c r="B34" t="s">
        <v>1145</v>
      </c>
      <c r="C34" t="s">
        <v>1111</v>
      </c>
      <c r="D34" t="s">
        <v>716</v>
      </c>
      <c r="E34" t="s">
        <v>1267</v>
      </c>
      <c r="F34" s="83">
        <f>(F14-(F32*0.0009))/F14</f>
        <v>0.95925757748624574</v>
      </c>
    </row>
    <row r="35" spans="2:6" x14ac:dyDescent="0.3">
      <c r="B35" s="40" t="s">
        <v>1268</v>
      </c>
    </row>
    <row r="36" spans="2:6" x14ac:dyDescent="0.3">
      <c r="B36" t="s">
        <v>1269</v>
      </c>
      <c r="C36" t="s">
        <v>1270</v>
      </c>
      <c r="D36" t="s">
        <v>1211</v>
      </c>
      <c r="E36" t="s">
        <v>1271</v>
      </c>
      <c r="F36" s="7">
        <f>F5*2</f>
        <v>1956072.9563038647</v>
      </c>
    </row>
    <row r="37" spans="2:6" x14ac:dyDescent="0.3">
      <c r="B37" s="40" t="s">
        <v>1272</v>
      </c>
    </row>
    <row r="38" spans="2:6" x14ac:dyDescent="0.3">
      <c r="B38" t="s">
        <v>1273</v>
      </c>
      <c r="C38" t="s">
        <v>1274</v>
      </c>
      <c r="D38" t="s">
        <v>1107</v>
      </c>
      <c r="E38" t="s">
        <v>1275</v>
      </c>
      <c r="F38" s="7">
        <f>F36*1*1.02*0.03</f>
        <v>59855.832462898259</v>
      </c>
    </row>
    <row r="39" spans="2:6" x14ac:dyDescent="0.3">
      <c r="B39" t="s">
        <v>1276</v>
      </c>
      <c r="C39" t="s">
        <v>1277</v>
      </c>
      <c r="D39" t="s">
        <v>1215</v>
      </c>
      <c r="E39" t="s">
        <v>1278</v>
      </c>
      <c r="F39" s="81">
        <f>F38/(F9*9)</f>
        <v>11.084413419055233</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607D-993A-4CC6-A81F-7882B0665C24}">
  <dimension ref="C4:R106"/>
  <sheetViews>
    <sheetView topLeftCell="B42" workbookViewId="0">
      <selection activeCell="O4" sqref="O4:R4"/>
    </sheetView>
  </sheetViews>
  <sheetFormatPr defaultRowHeight="13.8" x14ac:dyDescent="0.25"/>
  <cols>
    <col min="1" max="2" width="8.88671875" style="147"/>
    <col min="3" max="3" width="18.88671875" style="147" customWidth="1"/>
    <col min="4" max="4" width="19.21875" style="147" customWidth="1"/>
    <col min="5" max="8" width="8.88671875" style="147"/>
    <col min="9" max="9" width="20" style="147" customWidth="1"/>
    <col min="10" max="10" width="14.21875" style="147" customWidth="1"/>
    <col min="11" max="14" width="8.88671875" style="147"/>
    <col min="15" max="15" width="19.88671875" style="147" customWidth="1"/>
    <col min="16" max="16384" width="8.88671875" style="147"/>
  </cols>
  <sheetData>
    <row r="4" spans="3:18" x14ac:dyDescent="0.25">
      <c r="C4" s="438" t="s">
        <v>1321</v>
      </c>
      <c r="D4" s="438"/>
      <c r="E4" s="438"/>
      <c r="F4" s="438"/>
      <c r="I4" s="438" t="s">
        <v>1320</v>
      </c>
      <c r="J4" s="438"/>
      <c r="K4" s="438"/>
      <c r="L4" s="438"/>
      <c r="O4" s="438" t="s">
        <v>1322</v>
      </c>
      <c r="P4" s="438"/>
      <c r="Q4" s="438"/>
      <c r="R4" s="438"/>
    </row>
    <row r="5" spans="3:18" x14ac:dyDescent="0.25">
      <c r="C5" s="167" t="s">
        <v>1303</v>
      </c>
      <c r="D5" s="175">
        <f>D18+D29+E31+D36</f>
        <v>9.2951450165572282</v>
      </c>
      <c r="E5" s="363" t="s">
        <v>444</v>
      </c>
      <c r="F5" s="363"/>
      <c r="I5" s="167" t="s">
        <v>1303</v>
      </c>
      <c r="J5" s="175">
        <f>J18+J29+K31+J36</f>
        <v>6.2707128545793909</v>
      </c>
      <c r="K5" s="363" t="s">
        <v>444</v>
      </c>
      <c r="L5" s="363"/>
      <c r="O5" s="167" t="s">
        <v>1303</v>
      </c>
      <c r="P5" s="175">
        <f>P18+P29+Q31+P36</f>
        <v>6.2480933131786491</v>
      </c>
      <c r="Q5" s="363" t="s">
        <v>444</v>
      </c>
      <c r="R5" s="363"/>
    </row>
    <row r="6" spans="3:18" x14ac:dyDescent="0.25">
      <c r="C6" s="167"/>
      <c r="D6" s="179">
        <v>15</v>
      </c>
      <c r="E6" s="363" t="s">
        <v>444</v>
      </c>
      <c r="F6" s="363"/>
      <c r="I6" s="167"/>
      <c r="J6" s="179">
        <v>15</v>
      </c>
      <c r="K6" s="363" t="s">
        <v>444</v>
      </c>
      <c r="L6" s="363"/>
      <c r="O6" s="167"/>
      <c r="P6" s="179">
        <v>15</v>
      </c>
      <c r="Q6" s="363" t="s">
        <v>444</v>
      </c>
      <c r="R6" s="363"/>
    </row>
    <row r="7" spans="3:18" x14ac:dyDescent="0.25">
      <c r="C7" s="172" t="s">
        <v>1304</v>
      </c>
      <c r="D7" s="176">
        <f>0.5/64</f>
        <v>7.8125E-3</v>
      </c>
      <c r="E7" s="432" t="s">
        <v>499</v>
      </c>
      <c r="F7" s="432"/>
      <c r="I7" s="172" t="s">
        <v>1304</v>
      </c>
      <c r="J7" s="176">
        <v>0.5</v>
      </c>
      <c r="K7" s="432" t="s">
        <v>499</v>
      </c>
      <c r="L7" s="432"/>
      <c r="O7" s="172" t="s">
        <v>1304</v>
      </c>
      <c r="P7" s="176">
        <v>0.5</v>
      </c>
      <c r="Q7" s="432" t="s">
        <v>499</v>
      </c>
      <c r="R7" s="432"/>
    </row>
    <row r="8" spans="3:18" x14ac:dyDescent="0.25">
      <c r="C8" s="172" t="s">
        <v>1087</v>
      </c>
      <c r="D8" s="176">
        <v>2</v>
      </c>
      <c r="E8" s="432" t="s">
        <v>427</v>
      </c>
      <c r="F8" s="432"/>
      <c r="I8" s="172" t="s">
        <v>1087</v>
      </c>
      <c r="J8" s="176">
        <v>2</v>
      </c>
      <c r="K8" s="432" t="s">
        <v>427</v>
      </c>
      <c r="L8" s="432"/>
      <c r="O8" s="172" t="s">
        <v>1087</v>
      </c>
      <c r="P8" s="176">
        <v>2</v>
      </c>
      <c r="Q8" s="432" t="s">
        <v>427</v>
      </c>
      <c r="R8" s="432"/>
    </row>
    <row r="9" spans="3:18" x14ac:dyDescent="0.25">
      <c r="C9" s="172" t="s">
        <v>516</v>
      </c>
      <c r="D9" s="176">
        <f>SQRT((D7*4)/(D8*3.14))</f>
        <v>7.0541580997887543E-2</v>
      </c>
      <c r="E9" s="432" t="s">
        <v>444</v>
      </c>
      <c r="F9" s="432"/>
      <c r="I9" s="172" t="s">
        <v>516</v>
      </c>
      <c r="J9" s="176">
        <f>SQRT((J7*4)/(J8*3.14))</f>
        <v>0.56433264798310034</v>
      </c>
      <c r="K9" s="432" t="s">
        <v>444</v>
      </c>
      <c r="L9" s="432"/>
      <c r="O9" s="172" t="s">
        <v>516</v>
      </c>
      <c r="P9" s="176">
        <f>SQRT((P7*4)/(P8*3.14))</f>
        <v>0.56433264798310034</v>
      </c>
      <c r="Q9" s="432" t="s">
        <v>444</v>
      </c>
      <c r="R9" s="432"/>
    </row>
    <row r="10" spans="3:18" x14ac:dyDescent="0.25">
      <c r="C10" s="172"/>
      <c r="D10" s="176">
        <f>D9*1000</f>
        <v>70.541580997887536</v>
      </c>
      <c r="E10" s="432" t="s">
        <v>425</v>
      </c>
      <c r="F10" s="432"/>
      <c r="I10" s="172"/>
      <c r="J10" s="176">
        <f>J9*1000</f>
        <v>564.33264798310029</v>
      </c>
      <c r="K10" s="432" t="s">
        <v>425</v>
      </c>
      <c r="L10" s="432"/>
      <c r="O10" s="172"/>
      <c r="P10" s="176">
        <f>P9*1000</f>
        <v>564.33264798310029</v>
      </c>
      <c r="Q10" s="432" t="s">
        <v>425</v>
      </c>
      <c r="R10" s="432"/>
    </row>
    <row r="11" spans="3:18" x14ac:dyDescent="0.25">
      <c r="C11" s="172" t="s">
        <v>1305</v>
      </c>
      <c r="D11" s="176">
        <v>70</v>
      </c>
      <c r="E11" s="432" t="s">
        <v>425</v>
      </c>
      <c r="F11" s="432"/>
      <c r="I11" s="172" t="s">
        <v>1305</v>
      </c>
      <c r="J11" s="176">
        <v>600</v>
      </c>
      <c r="K11" s="432" t="s">
        <v>425</v>
      </c>
      <c r="L11" s="432"/>
      <c r="O11" s="172" t="s">
        <v>1305</v>
      </c>
      <c r="P11" s="176">
        <v>600</v>
      </c>
      <c r="Q11" s="432" t="s">
        <v>425</v>
      </c>
      <c r="R11" s="432"/>
    </row>
    <row r="12" spans="3:18" x14ac:dyDescent="0.25">
      <c r="C12" s="436" t="s">
        <v>1306</v>
      </c>
      <c r="D12" s="436"/>
      <c r="E12" s="436"/>
      <c r="F12" s="436"/>
      <c r="I12" s="436" t="s">
        <v>1306</v>
      </c>
      <c r="J12" s="436"/>
      <c r="K12" s="436"/>
      <c r="L12" s="436"/>
      <c r="O12" s="436" t="s">
        <v>1306</v>
      </c>
      <c r="P12" s="436"/>
      <c r="Q12" s="436"/>
      <c r="R12" s="436"/>
    </row>
    <row r="13" spans="3:18" x14ac:dyDescent="0.25">
      <c r="C13" s="363" t="s">
        <v>1307</v>
      </c>
      <c r="D13" s="363"/>
      <c r="E13" s="363"/>
      <c r="F13" s="363"/>
      <c r="I13" s="363" t="s">
        <v>1307</v>
      </c>
      <c r="J13" s="363"/>
      <c r="K13" s="363"/>
      <c r="L13" s="363"/>
      <c r="O13" s="363" t="s">
        <v>1307</v>
      </c>
      <c r="P13" s="363"/>
      <c r="Q13" s="363"/>
      <c r="R13" s="363"/>
    </row>
    <row r="14" spans="3:18" x14ac:dyDescent="0.25">
      <c r="C14" s="172" t="s">
        <v>514</v>
      </c>
      <c r="D14" s="432">
        <f>D7</f>
        <v>7.8125E-3</v>
      </c>
      <c r="E14" s="432"/>
      <c r="F14" s="172" t="s">
        <v>499</v>
      </c>
      <c r="I14" s="172" t="s">
        <v>514</v>
      </c>
      <c r="J14" s="432">
        <f>J7</f>
        <v>0.5</v>
      </c>
      <c r="K14" s="432"/>
      <c r="L14" s="172" t="s">
        <v>499</v>
      </c>
      <c r="O14" s="172" t="s">
        <v>514</v>
      </c>
      <c r="P14" s="432">
        <f>P7</f>
        <v>0.5</v>
      </c>
      <c r="Q14" s="432"/>
      <c r="R14" s="172" t="s">
        <v>499</v>
      </c>
    </row>
    <row r="15" spans="3:18" x14ac:dyDescent="0.25">
      <c r="C15" s="168" t="s">
        <v>1308</v>
      </c>
      <c r="D15" s="363">
        <v>150</v>
      </c>
      <c r="E15" s="363"/>
      <c r="F15" s="168"/>
      <c r="I15" s="168" t="s">
        <v>1308</v>
      </c>
      <c r="J15" s="363">
        <v>150</v>
      </c>
      <c r="K15" s="363"/>
      <c r="L15" s="168"/>
      <c r="O15" s="168" t="s">
        <v>1308</v>
      </c>
      <c r="P15" s="363">
        <v>150</v>
      </c>
      <c r="Q15" s="363"/>
      <c r="R15" s="168"/>
    </row>
    <row r="16" spans="3:18" x14ac:dyDescent="0.25">
      <c r="C16" s="172" t="s">
        <v>516</v>
      </c>
      <c r="D16" s="432">
        <f>D9</f>
        <v>7.0541580997887543E-2</v>
      </c>
      <c r="E16" s="432"/>
      <c r="F16" s="172" t="s">
        <v>444</v>
      </c>
      <c r="I16" s="172" t="s">
        <v>516</v>
      </c>
      <c r="J16" s="432">
        <f>J9</f>
        <v>0.56433264798310034</v>
      </c>
      <c r="K16" s="432"/>
      <c r="L16" s="172" t="s">
        <v>444</v>
      </c>
      <c r="O16" s="172" t="s">
        <v>516</v>
      </c>
      <c r="P16" s="432">
        <f>P9</f>
        <v>0.56433264798310034</v>
      </c>
      <c r="Q16" s="432"/>
      <c r="R16" s="172" t="s">
        <v>444</v>
      </c>
    </row>
    <row r="17" spans="3:18" x14ac:dyDescent="0.25">
      <c r="C17" s="172" t="s">
        <v>591</v>
      </c>
      <c r="D17" s="432">
        <v>60</v>
      </c>
      <c r="E17" s="432"/>
      <c r="F17" s="172" t="s">
        <v>444</v>
      </c>
      <c r="I17" s="172" t="s">
        <v>591</v>
      </c>
      <c r="J17" s="432">
        <v>15</v>
      </c>
      <c r="K17" s="432"/>
      <c r="L17" s="172" t="s">
        <v>444</v>
      </c>
      <c r="O17" s="172" t="s">
        <v>591</v>
      </c>
      <c r="P17" s="432">
        <v>10</v>
      </c>
      <c r="Q17" s="432"/>
      <c r="R17" s="172" t="s">
        <v>444</v>
      </c>
    </row>
    <row r="18" spans="3:18" x14ac:dyDescent="0.25">
      <c r="C18" s="172" t="s">
        <v>1309</v>
      </c>
      <c r="D18" s="437">
        <f>(((10.67)*(D14^1.85))/((D15^1.85)*(D16^4.87)))*D17</f>
        <v>3.0922907861800626</v>
      </c>
      <c r="E18" s="437"/>
      <c r="F18" s="172" t="s">
        <v>444</v>
      </c>
      <c r="I18" s="172" t="s">
        <v>1309</v>
      </c>
      <c r="J18" s="437">
        <f>(((10.67)*(J14^1.85))/((J15^1.85)*(J16^4.87)))*J17</f>
        <v>6.7858624202225229E-2</v>
      </c>
      <c r="K18" s="437"/>
      <c r="L18" s="172" t="s">
        <v>444</v>
      </c>
      <c r="O18" s="172" t="s">
        <v>1309</v>
      </c>
      <c r="P18" s="437">
        <f>(((10.67)*(P14^1.85))/((P15^1.85)*(P16^4.87)))*P17</f>
        <v>4.5239082801483484E-2</v>
      </c>
      <c r="Q18" s="437"/>
      <c r="R18" s="172" t="s">
        <v>444</v>
      </c>
    </row>
    <row r="19" spans="3:18" x14ac:dyDescent="0.25">
      <c r="C19" s="432" t="s">
        <v>1310</v>
      </c>
      <c r="D19" s="432"/>
      <c r="E19" s="432"/>
      <c r="F19" s="432"/>
      <c r="I19" s="432" t="s">
        <v>1310</v>
      </c>
      <c r="J19" s="432"/>
      <c r="K19" s="432"/>
      <c r="L19" s="432"/>
      <c r="O19" s="432" t="s">
        <v>1310</v>
      </c>
      <c r="P19" s="432"/>
      <c r="Q19" s="432"/>
      <c r="R19" s="432"/>
    </row>
    <row r="20" spans="3:18" x14ac:dyDescent="0.25">
      <c r="C20" s="172" t="s">
        <v>1311</v>
      </c>
      <c r="D20" s="172" t="s">
        <v>122</v>
      </c>
      <c r="E20" s="172" t="s">
        <v>775</v>
      </c>
      <c r="F20" s="172" t="s">
        <v>1312</v>
      </c>
      <c r="I20" s="172" t="s">
        <v>1311</v>
      </c>
      <c r="J20" s="172" t="s">
        <v>122</v>
      </c>
      <c r="K20" s="172" t="s">
        <v>775</v>
      </c>
      <c r="L20" s="172" t="s">
        <v>1312</v>
      </c>
      <c r="O20" s="172" t="s">
        <v>1311</v>
      </c>
      <c r="P20" s="172" t="s">
        <v>122</v>
      </c>
      <c r="Q20" s="172" t="s">
        <v>775</v>
      </c>
      <c r="R20" s="172" t="s">
        <v>1312</v>
      </c>
    </row>
    <row r="21" spans="3:18" x14ac:dyDescent="0.25">
      <c r="C21" s="172" t="s">
        <v>1313</v>
      </c>
      <c r="D21" s="172">
        <v>7</v>
      </c>
      <c r="E21" s="172">
        <v>0.7</v>
      </c>
      <c r="F21" s="172">
        <f>D21*E21</f>
        <v>4.8999999999999995</v>
      </c>
      <c r="I21" s="172" t="s">
        <v>1313</v>
      </c>
      <c r="J21" s="172">
        <v>7</v>
      </c>
      <c r="K21" s="172">
        <v>0.7</v>
      </c>
      <c r="L21" s="172">
        <f>J21*K21</f>
        <v>4.8999999999999995</v>
      </c>
      <c r="O21" s="172" t="s">
        <v>1313</v>
      </c>
      <c r="P21" s="172">
        <v>7</v>
      </c>
      <c r="Q21" s="172">
        <v>0.7</v>
      </c>
      <c r="R21" s="172">
        <f>P21*Q21</f>
        <v>4.8999999999999995</v>
      </c>
    </row>
    <row r="22" spans="3:18" x14ac:dyDescent="0.25">
      <c r="C22" s="172"/>
      <c r="D22" s="172"/>
      <c r="E22" s="172"/>
      <c r="F22" s="172"/>
      <c r="I22" s="172"/>
      <c r="J22" s="172"/>
      <c r="K22" s="172"/>
      <c r="L22" s="172"/>
      <c r="O22" s="172"/>
      <c r="P22" s="172"/>
      <c r="Q22" s="172"/>
      <c r="R22" s="172"/>
    </row>
    <row r="23" spans="3:18" x14ac:dyDescent="0.25">
      <c r="C23" s="432" t="s">
        <v>1314</v>
      </c>
      <c r="D23" s="432"/>
      <c r="E23" s="432"/>
      <c r="F23" s="172">
        <f>SUM(F21:F22)</f>
        <v>4.8999999999999995</v>
      </c>
      <c r="I23" s="432" t="s">
        <v>1314</v>
      </c>
      <c r="J23" s="432"/>
      <c r="K23" s="432"/>
      <c r="L23" s="172">
        <f>SUM(L21:L22)</f>
        <v>4.8999999999999995</v>
      </c>
      <c r="O23" s="432" t="s">
        <v>1314</v>
      </c>
      <c r="P23" s="432"/>
      <c r="Q23" s="432"/>
      <c r="R23" s="172">
        <f>SUM(R21:R22)</f>
        <v>4.8999999999999995</v>
      </c>
    </row>
    <row r="24" spans="3:18" x14ac:dyDescent="0.25">
      <c r="C24" s="432"/>
      <c r="D24" s="432"/>
      <c r="E24" s="432"/>
      <c r="F24" s="432"/>
      <c r="I24" s="432"/>
      <c r="J24" s="432"/>
      <c r="K24" s="432"/>
      <c r="L24" s="432"/>
      <c r="O24" s="432"/>
      <c r="P24" s="432"/>
      <c r="Q24" s="432"/>
      <c r="R24" s="432"/>
    </row>
    <row r="25" spans="3:18" x14ac:dyDescent="0.25">
      <c r="C25" s="172" t="s">
        <v>1087</v>
      </c>
      <c r="D25" s="363">
        <f>D8</f>
        <v>2</v>
      </c>
      <c r="E25" s="363"/>
      <c r="F25" s="172" t="s">
        <v>427</v>
      </c>
      <c r="I25" s="172" t="s">
        <v>1087</v>
      </c>
      <c r="J25" s="363">
        <f>J8</f>
        <v>2</v>
      </c>
      <c r="K25" s="363"/>
      <c r="L25" s="172" t="s">
        <v>427</v>
      </c>
      <c r="O25" s="172" t="s">
        <v>1087</v>
      </c>
      <c r="P25" s="363">
        <f>P8</f>
        <v>2</v>
      </c>
      <c r="Q25" s="363"/>
      <c r="R25" s="172" t="s">
        <v>427</v>
      </c>
    </row>
    <row r="26" spans="3:18" x14ac:dyDescent="0.25">
      <c r="C26" s="172" t="s">
        <v>521</v>
      </c>
      <c r="D26" s="363">
        <f>D25^2</f>
        <v>4</v>
      </c>
      <c r="E26" s="363"/>
      <c r="F26" s="172" t="s">
        <v>1315</v>
      </c>
      <c r="I26" s="172" t="s">
        <v>521</v>
      </c>
      <c r="J26" s="363">
        <f>J25^2</f>
        <v>4</v>
      </c>
      <c r="K26" s="363"/>
      <c r="L26" s="172" t="s">
        <v>1315</v>
      </c>
      <c r="O26" s="172" t="s">
        <v>521</v>
      </c>
      <c r="P26" s="363">
        <f>P25^2</f>
        <v>4</v>
      </c>
      <c r="Q26" s="363"/>
      <c r="R26" s="172" t="s">
        <v>1315</v>
      </c>
    </row>
    <row r="27" spans="3:18" x14ac:dyDescent="0.25">
      <c r="C27" s="172" t="s">
        <v>780</v>
      </c>
      <c r="D27" s="363">
        <v>9.81</v>
      </c>
      <c r="E27" s="363"/>
      <c r="F27" s="172" t="s">
        <v>781</v>
      </c>
      <c r="I27" s="172" t="s">
        <v>780</v>
      </c>
      <c r="J27" s="363">
        <v>9.81</v>
      </c>
      <c r="K27" s="363"/>
      <c r="L27" s="172" t="s">
        <v>781</v>
      </c>
      <c r="O27" s="172" t="s">
        <v>780</v>
      </c>
      <c r="P27" s="363">
        <v>9.81</v>
      </c>
      <c r="Q27" s="363"/>
      <c r="R27" s="172" t="s">
        <v>781</v>
      </c>
    </row>
    <row r="28" spans="3:18" x14ac:dyDescent="0.25">
      <c r="C28" s="172" t="s">
        <v>1316</v>
      </c>
      <c r="D28" s="432">
        <f>2*D27</f>
        <v>19.62</v>
      </c>
      <c r="E28" s="432"/>
      <c r="F28" s="172" t="s">
        <v>781</v>
      </c>
      <c r="I28" s="172" t="s">
        <v>1316</v>
      </c>
      <c r="J28" s="432">
        <f>2*J27</f>
        <v>19.62</v>
      </c>
      <c r="K28" s="432"/>
      <c r="L28" s="172" t="s">
        <v>781</v>
      </c>
      <c r="O28" s="172" t="s">
        <v>1316</v>
      </c>
      <c r="P28" s="432">
        <f>2*P27</f>
        <v>19.62</v>
      </c>
      <c r="Q28" s="432"/>
      <c r="R28" s="172" t="s">
        <v>781</v>
      </c>
    </row>
    <row r="29" spans="3:18" x14ac:dyDescent="0.25">
      <c r="C29" s="172" t="s">
        <v>1309</v>
      </c>
      <c r="D29" s="435">
        <f>(F23)*(D26/D28)</f>
        <v>0.99898063200815479</v>
      </c>
      <c r="E29" s="435"/>
      <c r="F29" s="172" t="s">
        <v>444</v>
      </c>
      <c r="I29" s="172" t="s">
        <v>1309</v>
      </c>
      <c r="J29" s="435">
        <f>(L23)*(J26/J28)</f>
        <v>0.99898063200815479</v>
      </c>
      <c r="K29" s="435"/>
      <c r="L29" s="172" t="s">
        <v>444</v>
      </c>
      <c r="O29" s="172" t="s">
        <v>1309</v>
      </c>
      <c r="P29" s="435">
        <f>(R23)*(P26/P28)</f>
        <v>0.99898063200815479</v>
      </c>
      <c r="Q29" s="435"/>
      <c r="R29" s="172" t="s">
        <v>444</v>
      </c>
    </row>
    <row r="30" spans="3:18" x14ac:dyDescent="0.25">
      <c r="C30" s="436" t="s">
        <v>1317</v>
      </c>
      <c r="D30" s="436"/>
      <c r="E30" s="436"/>
      <c r="F30" s="436"/>
      <c r="I30" s="436" t="s">
        <v>1317</v>
      </c>
      <c r="J30" s="436"/>
      <c r="K30" s="436"/>
      <c r="L30" s="436"/>
      <c r="O30" s="436" t="s">
        <v>1317</v>
      </c>
      <c r="P30" s="436"/>
      <c r="Q30" s="436"/>
      <c r="R30" s="436"/>
    </row>
    <row r="31" spans="3:18" x14ac:dyDescent="0.25">
      <c r="C31" s="432" t="s">
        <v>1318</v>
      </c>
      <c r="D31" s="432"/>
      <c r="E31" s="172">
        <f>5000/1000</f>
        <v>5</v>
      </c>
      <c r="F31" s="172" t="s">
        <v>444</v>
      </c>
      <c r="I31" s="432" t="s">
        <v>1318</v>
      </c>
      <c r="J31" s="432"/>
      <c r="K31" s="172">
        <f>5000/1000</f>
        <v>5</v>
      </c>
      <c r="L31" s="172" t="s">
        <v>444</v>
      </c>
      <c r="O31" s="432" t="s">
        <v>1318</v>
      </c>
      <c r="P31" s="432"/>
      <c r="Q31" s="172">
        <f>5000/1000</f>
        <v>5</v>
      </c>
      <c r="R31" s="172" t="s">
        <v>444</v>
      </c>
    </row>
    <row r="32" spans="3:18" x14ac:dyDescent="0.25">
      <c r="C32" s="364" t="s">
        <v>1319</v>
      </c>
      <c r="D32" s="364"/>
      <c r="E32" s="364"/>
      <c r="F32" s="364"/>
      <c r="I32" s="364" t="s">
        <v>1319</v>
      </c>
      <c r="J32" s="364"/>
      <c r="K32" s="364"/>
      <c r="L32" s="364"/>
      <c r="O32" s="364" t="s">
        <v>1319</v>
      </c>
      <c r="P32" s="364"/>
      <c r="Q32" s="364"/>
      <c r="R32" s="364"/>
    </row>
    <row r="33" spans="3:18" x14ac:dyDescent="0.25">
      <c r="C33" s="172" t="s">
        <v>1087</v>
      </c>
      <c r="D33" s="172">
        <f>D8</f>
        <v>2</v>
      </c>
      <c r="E33" s="432" t="s">
        <v>427</v>
      </c>
      <c r="F33" s="432"/>
      <c r="I33" s="172" t="s">
        <v>1087</v>
      </c>
      <c r="J33" s="172">
        <f>J8</f>
        <v>2</v>
      </c>
      <c r="K33" s="432" t="s">
        <v>427</v>
      </c>
      <c r="L33" s="432"/>
      <c r="O33" s="172" t="s">
        <v>1087</v>
      </c>
      <c r="P33" s="172">
        <f>P8</f>
        <v>2</v>
      </c>
      <c r="Q33" s="432" t="s">
        <v>427</v>
      </c>
      <c r="R33" s="432"/>
    </row>
    <row r="34" spans="3:18" x14ac:dyDescent="0.25">
      <c r="C34" s="172" t="s">
        <v>521</v>
      </c>
      <c r="D34" s="172">
        <f>D33^2</f>
        <v>4</v>
      </c>
      <c r="E34" s="432" t="s">
        <v>1315</v>
      </c>
      <c r="F34" s="432"/>
      <c r="I34" s="172" t="s">
        <v>521</v>
      </c>
      <c r="J34" s="172">
        <f>J33^2</f>
        <v>4</v>
      </c>
      <c r="K34" s="432" t="s">
        <v>1315</v>
      </c>
      <c r="L34" s="432"/>
      <c r="O34" s="172" t="s">
        <v>521</v>
      </c>
      <c r="P34" s="172">
        <f>P33^2</f>
        <v>4</v>
      </c>
      <c r="Q34" s="432" t="s">
        <v>1315</v>
      </c>
      <c r="R34" s="432"/>
    </row>
    <row r="35" spans="3:18" x14ac:dyDescent="0.25">
      <c r="C35" s="172" t="s">
        <v>780</v>
      </c>
      <c r="D35" s="172">
        <v>9.81</v>
      </c>
      <c r="E35" s="432" t="s">
        <v>781</v>
      </c>
      <c r="F35" s="432"/>
      <c r="I35" s="172" t="s">
        <v>780</v>
      </c>
      <c r="J35" s="172">
        <v>9.81</v>
      </c>
      <c r="K35" s="432" t="s">
        <v>781</v>
      </c>
      <c r="L35" s="432"/>
      <c r="O35" s="172" t="s">
        <v>780</v>
      </c>
      <c r="P35" s="172">
        <v>9.81</v>
      </c>
      <c r="Q35" s="432" t="s">
        <v>781</v>
      </c>
      <c r="R35" s="432"/>
    </row>
    <row r="36" spans="3:18" x14ac:dyDescent="0.25">
      <c r="C36" s="173" t="s">
        <v>1319</v>
      </c>
      <c r="D36" s="174">
        <f>D34/(2*D35)</f>
        <v>0.2038735983690112</v>
      </c>
      <c r="E36" s="433" t="s">
        <v>444</v>
      </c>
      <c r="F36" s="434"/>
      <c r="I36" s="173" t="s">
        <v>1319</v>
      </c>
      <c r="J36" s="174">
        <f>J34/(2*J35)</f>
        <v>0.2038735983690112</v>
      </c>
      <c r="K36" s="433" t="s">
        <v>444</v>
      </c>
      <c r="L36" s="434"/>
      <c r="O36" s="173" t="s">
        <v>1319</v>
      </c>
      <c r="P36" s="174">
        <f>P34/(2*P35)</f>
        <v>0.2038735983690112</v>
      </c>
      <c r="Q36" s="433" t="s">
        <v>444</v>
      </c>
      <c r="R36" s="434"/>
    </row>
    <row r="39" spans="3:18" x14ac:dyDescent="0.25">
      <c r="C39" s="438" t="s">
        <v>1323</v>
      </c>
      <c r="D39" s="438"/>
      <c r="E39" s="438"/>
      <c r="F39" s="438"/>
      <c r="I39" s="438" t="s">
        <v>1324</v>
      </c>
      <c r="J39" s="438"/>
      <c r="K39" s="438"/>
      <c r="L39" s="438"/>
      <c r="O39" s="438" t="s">
        <v>1325</v>
      </c>
      <c r="P39" s="438"/>
      <c r="Q39" s="438"/>
      <c r="R39" s="438"/>
    </row>
    <row r="40" spans="3:18" x14ac:dyDescent="0.25">
      <c r="C40" s="167" t="s">
        <v>1303</v>
      </c>
      <c r="D40" s="175">
        <f>D53+D64+E66+D71</f>
        <v>6.2933323959801326</v>
      </c>
      <c r="E40" s="363" t="s">
        <v>444</v>
      </c>
      <c r="F40" s="363"/>
      <c r="I40" s="167" t="s">
        <v>1303</v>
      </c>
      <c r="J40" s="175">
        <f>J53+J64+K66+J71</f>
        <v>6.429049644384583</v>
      </c>
      <c r="K40" s="363" t="s">
        <v>444</v>
      </c>
      <c r="L40" s="363"/>
      <c r="O40" s="167" t="s">
        <v>1303</v>
      </c>
      <c r="P40" s="175">
        <f>P53+P64+Q66+P71</f>
        <v>6.8814404723994178</v>
      </c>
      <c r="Q40" s="363" t="s">
        <v>444</v>
      </c>
      <c r="R40" s="363"/>
    </row>
    <row r="41" spans="3:18" x14ac:dyDescent="0.25">
      <c r="C41" s="167"/>
      <c r="D41" s="179">
        <v>15</v>
      </c>
      <c r="E41" s="363" t="s">
        <v>444</v>
      </c>
      <c r="F41" s="363"/>
      <c r="I41" s="167"/>
      <c r="J41" s="179">
        <v>15</v>
      </c>
      <c r="K41" s="363" t="s">
        <v>444</v>
      </c>
      <c r="L41" s="363"/>
      <c r="O41" s="167"/>
      <c r="P41" s="179">
        <v>15</v>
      </c>
      <c r="Q41" s="363" t="s">
        <v>444</v>
      </c>
      <c r="R41" s="363"/>
    </row>
    <row r="42" spans="3:18" x14ac:dyDescent="0.25">
      <c r="C42" s="172" t="s">
        <v>1304</v>
      </c>
      <c r="D42" s="176">
        <v>0.5</v>
      </c>
      <c r="E42" s="432" t="s">
        <v>499</v>
      </c>
      <c r="F42" s="432"/>
      <c r="I42" s="172" t="s">
        <v>1304</v>
      </c>
      <c r="J42" s="176">
        <v>0.5</v>
      </c>
      <c r="K42" s="432" t="s">
        <v>499</v>
      </c>
      <c r="L42" s="432"/>
      <c r="O42" s="172" t="s">
        <v>1304</v>
      </c>
      <c r="P42" s="176">
        <v>0.5</v>
      </c>
      <c r="Q42" s="432" t="s">
        <v>499</v>
      </c>
      <c r="R42" s="432"/>
    </row>
    <row r="43" spans="3:18" x14ac:dyDescent="0.25">
      <c r="C43" s="172" t="s">
        <v>1087</v>
      </c>
      <c r="D43" s="176">
        <v>2</v>
      </c>
      <c r="E43" s="432" t="s">
        <v>427</v>
      </c>
      <c r="F43" s="432"/>
      <c r="I43" s="172" t="s">
        <v>1087</v>
      </c>
      <c r="J43" s="176">
        <v>2</v>
      </c>
      <c r="K43" s="432" t="s">
        <v>427</v>
      </c>
      <c r="L43" s="432"/>
      <c r="O43" s="172" t="s">
        <v>1087</v>
      </c>
      <c r="P43" s="176">
        <v>2</v>
      </c>
      <c r="Q43" s="432" t="s">
        <v>427</v>
      </c>
      <c r="R43" s="432"/>
    </row>
    <row r="44" spans="3:18" x14ac:dyDescent="0.25">
      <c r="C44" s="172" t="s">
        <v>516</v>
      </c>
      <c r="D44" s="176">
        <f>SQRT((D42*4)/(D43*3.14))</f>
        <v>0.56433264798310034</v>
      </c>
      <c r="E44" s="432" t="s">
        <v>444</v>
      </c>
      <c r="F44" s="432"/>
      <c r="I44" s="172" t="s">
        <v>516</v>
      </c>
      <c r="J44" s="176">
        <f>SQRT((J42*4)/(J43*3.14))</f>
        <v>0.56433264798310034</v>
      </c>
      <c r="K44" s="432" t="s">
        <v>444</v>
      </c>
      <c r="L44" s="432"/>
      <c r="O44" s="172" t="s">
        <v>516</v>
      </c>
      <c r="P44" s="176">
        <f>SQRT((P42*4)/(P43*3.14))</f>
        <v>0.56433264798310034</v>
      </c>
      <c r="Q44" s="432" t="s">
        <v>444</v>
      </c>
      <c r="R44" s="432"/>
    </row>
    <row r="45" spans="3:18" x14ac:dyDescent="0.25">
      <c r="C45" s="172"/>
      <c r="D45" s="176">
        <f>D44*1000</f>
        <v>564.33264798310029</v>
      </c>
      <c r="E45" s="432" t="s">
        <v>425</v>
      </c>
      <c r="F45" s="432"/>
      <c r="I45" s="172"/>
      <c r="J45" s="176">
        <f>J44*1000</f>
        <v>564.33264798310029</v>
      </c>
      <c r="K45" s="432" t="s">
        <v>425</v>
      </c>
      <c r="L45" s="432"/>
      <c r="O45" s="172"/>
      <c r="P45" s="176">
        <f>P44*1000</f>
        <v>564.33264798310029</v>
      </c>
      <c r="Q45" s="432" t="s">
        <v>425</v>
      </c>
      <c r="R45" s="432"/>
    </row>
    <row r="46" spans="3:18" x14ac:dyDescent="0.25">
      <c r="C46" s="172" t="s">
        <v>1305</v>
      </c>
      <c r="D46" s="176">
        <v>600</v>
      </c>
      <c r="E46" s="432" t="s">
        <v>425</v>
      </c>
      <c r="F46" s="432"/>
      <c r="I46" s="172" t="s">
        <v>1305</v>
      </c>
      <c r="J46" s="176">
        <v>600</v>
      </c>
      <c r="K46" s="432" t="s">
        <v>425</v>
      </c>
      <c r="L46" s="432"/>
      <c r="O46" s="172" t="s">
        <v>1305</v>
      </c>
      <c r="P46" s="176">
        <v>600</v>
      </c>
      <c r="Q46" s="432" t="s">
        <v>425</v>
      </c>
      <c r="R46" s="432"/>
    </row>
    <row r="47" spans="3:18" x14ac:dyDescent="0.25">
      <c r="C47" s="436" t="s">
        <v>1306</v>
      </c>
      <c r="D47" s="436"/>
      <c r="E47" s="436"/>
      <c r="F47" s="436"/>
      <c r="I47" s="436" t="s">
        <v>1306</v>
      </c>
      <c r="J47" s="436"/>
      <c r="K47" s="436"/>
      <c r="L47" s="436"/>
      <c r="O47" s="436" t="s">
        <v>1306</v>
      </c>
      <c r="P47" s="436"/>
      <c r="Q47" s="436"/>
      <c r="R47" s="436"/>
    </row>
    <row r="48" spans="3:18" x14ac:dyDescent="0.25">
      <c r="C48" s="363" t="s">
        <v>1307</v>
      </c>
      <c r="D48" s="363"/>
      <c r="E48" s="363"/>
      <c r="F48" s="363"/>
      <c r="I48" s="363" t="s">
        <v>1307</v>
      </c>
      <c r="J48" s="363"/>
      <c r="K48" s="363"/>
      <c r="L48" s="363"/>
      <c r="O48" s="363" t="s">
        <v>1307</v>
      </c>
      <c r="P48" s="363"/>
      <c r="Q48" s="363"/>
      <c r="R48" s="363"/>
    </row>
    <row r="49" spans="3:18" x14ac:dyDescent="0.25">
      <c r="C49" s="172" t="s">
        <v>514</v>
      </c>
      <c r="D49" s="432">
        <f>D42</f>
        <v>0.5</v>
      </c>
      <c r="E49" s="432"/>
      <c r="F49" s="172" t="s">
        <v>499</v>
      </c>
      <c r="I49" s="172" t="s">
        <v>514</v>
      </c>
      <c r="J49" s="432">
        <f>J42</f>
        <v>0.5</v>
      </c>
      <c r="K49" s="432"/>
      <c r="L49" s="172" t="s">
        <v>499</v>
      </c>
      <c r="O49" s="172" t="s">
        <v>514</v>
      </c>
      <c r="P49" s="432">
        <f>P42</f>
        <v>0.5</v>
      </c>
      <c r="Q49" s="432"/>
      <c r="R49" s="172" t="s">
        <v>499</v>
      </c>
    </row>
    <row r="50" spans="3:18" x14ac:dyDescent="0.25">
      <c r="C50" s="168" t="s">
        <v>1308</v>
      </c>
      <c r="D50" s="363">
        <v>150</v>
      </c>
      <c r="E50" s="363"/>
      <c r="F50" s="168"/>
      <c r="I50" s="168" t="s">
        <v>1308</v>
      </c>
      <c r="J50" s="363">
        <v>150</v>
      </c>
      <c r="K50" s="363"/>
      <c r="L50" s="168"/>
      <c r="O50" s="168" t="s">
        <v>1308</v>
      </c>
      <c r="P50" s="363">
        <v>150</v>
      </c>
      <c r="Q50" s="363"/>
      <c r="R50" s="168"/>
    </row>
    <row r="51" spans="3:18" x14ac:dyDescent="0.25">
      <c r="C51" s="172" t="s">
        <v>516</v>
      </c>
      <c r="D51" s="432">
        <f>D44</f>
        <v>0.56433264798310034</v>
      </c>
      <c r="E51" s="432"/>
      <c r="F51" s="172" t="s">
        <v>444</v>
      </c>
      <c r="I51" s="172" t="s">
        <v>516</v>
      </c>
      <c r="J51" s="432">
        <f>J44</f>
        <v>0.56433264798310034</v>
      </c>
      <c r="K51" s="432"/>
      <c r="L51" s="172" t="s">
        <v>444</v>
      </c>
      <c r="O51" s="172" t="s">
        <v>516</v>
      </c>
      <c r="P51" s="432">
        <f>P44</f>
        <v>0.56433264798310034</v>
      </c>
      <c r="Q51" s="432"/>
      <c r="R51" s="172" t="s">
        <v>444</v>
      </c>
    </row>
    <row r="52" spans="3:18" x14ac:dyDescent="0.25">
      <c r="C52" s="172" t="s">
        <v>591</v>
      </c>
      <c r="D52" s="432">
        <v>20</v>
      </c>
      <c r="E52" s="432"/>
      <c r="F52" s="172" t="s">
        <v>444</v>
      </c>
      <c r="I52" s="172" t="s">
        <v>591</v>
      </c>
      <c r="J52" s="432">
        <v>50</v>
      </c>
      <c r="K52" s="432"/>
      <c r="L52" s="172" t="s">
        <v>444</v>
      </c>
      <c r="O52" s="172" t="s">
        <v>591</v>
      </c>
      <c r="P52" s="432">
        <v>150</v>
      </c>
      <c r="Q52" s="432"/>
      <c r="R52" s="172" t="s">
        <v>444</v>
      </c>
    </row>
    <row r="53" spans="3:18" x14ac:dyDescent="0.25">
      <c r="C53" s="172" t="s">
        <v>1309</v>
      </c>
      <c r="D53" s="437">
        <f>(((10.67)*(D49^1.85))/((D50^1.85)*(D51^4.87)))*D52</f>
        <v>9.0478165602966967E-2</v>
      </c>
      <c r="E53" s="437"/>
      <c r="F53" s="172" t="s">
        <v>444</v>
      </c>
      <c r="I53" s="172" t="s">
        <v>1309</v>
      </c>
      <c r="J53" s="437">
        <f>(((10.67)*(J49^1.85))/((J50^1.85)*(J51^4.87)))*J52</f>
        <v>0.22619541400741741</v>
      </c>
      <c r="K53" s="437"/>
      <c r="L53" s="172" t="s">
        <v>444</v>
      </c>
      <c r="O53" s="172" t="s">
        <v>1309</v>
      </c>
      <c r="P53" s="437">
        <f>(((10.67)*(P49^1.85))/((P50^1.85)*(P51^4.87)))*P52</f>
        <v>0.67858624202225226</v>
      </c>
      <c r="Q53" s="437"/>
      <c r="R53" s="172" t="s">
        <v>444</v>
      </c>
    </row>
    <row r="54" spans="3:18" x14ac:dyDescent="0.25">
      <c r="C54" s="432" t="s">
        <v>1310</v>
      </c>
      <c r="D54" s="432"/>
      <c r="E54" s="432"/>
      <c r="F54" s="432"/>
      <c r="I54" s="432" t="s">
        <v>1310</v>
      </c>
      <c r="J54" s="432"/>
      <c r="K54" s="432"/>
      <c r="L54" s="432"/>
      <c r="O54" s="432" t="s">
        <v>1310</v>
      </c>
      <c r="P54" s="432"/>
      <c r="Q54" s="432"/>
      <c r="R54" s="432"/>
    </row>
    <row r="55" spans="3:18" x14ac:dyDescent="0.25">
      <c r="C55" s="172" t="s">
        <v>1311</v>
      </c>
      <c r="D55" s="172" t="s">
        <v>122</v>
      </c>
      <c r="E55" s="172" t="s">
        <v>775</v>
      </c>
      <c r="F55" s="172" t="s">
        <v>1312</v>
      </c>
      <c r="I55" s="172" t="s">
        <v>1311</v>
      </c>
      <c r="J55" s="172" t="s">
        <v>122</v>
      </c>
      <c r="K55" s="172" t="s">
        <v>775</v>
      </c>
      <c r="L55" s="172" t="s">
        <v>1312</v>
      </c>
      <c r="O55" s="172" t="s">
        <v>1311</v>
      </c>
      <c r="P55" s="172" t="s">
        <v>122</v>
      </c>
      <c r="Q55" s="172" t="s">
        <v>775</v>
      </c>
      <c r="R55" s="172" t="s">
        <v>1312</v>
      </c>
    </row>
    <row r="56" spans="3:18" x14ac:dyDescent="0.25">
      <c r="C56" s="172" t="s">
        <v>1313</v>
      </c>
      <c r="D56" s="172">
        <v>7</v>
      </c>
      <c r="E56" s="172">
        <v>0.7</v>
      </c>
      <c r="F56" s="172">
        <f>D56*E56</f>
        <v>4.8999999999999995</v>
      </c>
      <c r="I56" s="172" t="s">
        <v>1313</v>
      </c>
      <c r="J56" s="172">
        <v>7</v>
      </c>
      <c r="K56" s="172">
        <v>0.7</v>
      </c>
      <c r="L56" s="172">
        <f>J56*K56</f>
        <v>4.8999999999999995</v>
      </c>
      <c r="O56" s="172" t="s">
        <v>1313</v>
      </c>
      <c r="P56" s="172">
        <v>7</v>
      </c>
      <c r="Q56" s="172">
        <v>0.7</v>
      </c>
      <c r="R56" s="172">
        <f>P56*Q56</f>
        <v>4.8999999999999995</v>
      </c>
    </row>
    <row r="57" spans="3:18" x14ac:dyDescent="0.25">
      <c r="C57" s="172"/>
      <c r="D57" s="172"/>
      <c r="E57" s="172"/>
      <c r="F57" s="172"/>
      <c r="I57" s="172"/>
      <c r="J57" s="172"/>
      <c r="K57" s="172"/>
      <c r="L57" s="172"/>
      <c r="O57" s="172"/>
      <c r="P57" s="172"/>
      <c r="Q57" s="172"/>
      <c r="R57" s="172"/>
    </row>
    <row r="58" spans="3:18" x14ac:dyDescent="0.25">
      <c r="C58" s="432" t="s">
        <v>1314</v>
      </c>
      <c r="D58" s="432"/>
      <c r="E58" s="432"/>
      <c r="F58" s="172">
        <f>SUM(F56:F57)</f>
        <v>4.8999999999999995</v>
      </c>
      <c r="I58" s="432" t="s">
        <v>1314</v>
      </c>
      <c r="J58" s="432"/>
      <c r="K58" s="432"/>
      <c r="L58" s="172">
        <f>SUM(L56:L57)</f>
        <v>4.8999999999999995</v>
      </c>
      <c r="O58" s="432" t="s">
        <v>1314</v>
      </c>
      <c r="P58" s="432"/>
      <c r="Q58" s="432"/>
      <c r="R58" s="172">
        <f>SUM(R56:R57)</f>
        <v>4.8999999999999995</v>
      </c>
    </row>
    <row r="59" spans="3:18" x14ac:dyDescent="0.25">
      <c r="C59" s="432"/>
      <c r="D59" s="432"/>
      <c r="E59" s="432"/>
      <c r="F59" s="432"/>
      <c r="I59" s="432"/>
      <c r="J59" s="432"/>
      <c r="K59" s="432"/>
      <c r="L59" s="432"/>
      <c r="O59" s="432"/>
      <c r="P59" s="432"/>
      <c r="Q59" s="432"/>
      <c r="R59" s="432"/>
    </row>
    <row r="60" spans="3:18" x14ac:dyDescent="0.25">
      <c r="C60" s="172" t="s">
        <v>1087</v>
      </c>
      <c r="D60" s="363">
        <f>D43</f>
        <v>2</v>
      </c>
      <c r="E60" s="363"/>
      <c r="F60" s="172" t="s">
        <v>427</v>
      </c>
      <c r="I60" s="172" t="s">
        <v>1087</v>
      </c>
      <c r="J60" s="363">
        <f>J43</f>
        <v>2</v>
      </c>
      <c r="K60" s="363"/>
      <c r="L60" s="172" t="s">
        <v>427</v>
      </c>
      <c r="O60" s="172" t="s">
        <v>1087</v>
      </c>
      <c r="P60" s="363">
        <f>P43</f>
        <v>2</v>
      </c>
      <c r="Q60" s="363"/>
      <c r="R60" s="172" t="s">
        <v>427</v>
      </c>
    </row>
    <row r="61" spans="3:18" x14ac:dyDescent="0.25">
      <c r="C61" s="172" t="s">
        <v>521</v>
      </c>
      <c r="D61" s="363">
        <f>D60^2</f>
        <v>4</v>
      </c>
      <c r="E61" s="363"/>
      <c r="F61" s="172" t="s">
        <v>1315</v>
      </c>
      <c r="I61" s="172" t="s">
        <v>521</v>
      </c>
      <c r="J61" s="363">
        <f>J60^2</f>
        <v>4</v>
      </c>
      <c r="K61" s="363"/>
      <c r="L61" s="172" t="s">
        <v>1315</v>
      </c>
      <c r="O61" s="172" t="s">
        <v>521</v>
      </c>
      <c r="P61" s="363">
        <f>P60^2</f>
        <v>4</v>
      </c>
      <c r="Q61" s="363"/>
      <c r="R61" s="172" t="s">
        <v>1315</v>
      </c>
    </row>
    <row r="62" spans="3:18" x14ac:dyDescent="0.25">
      <c r="C62" s="172" t="s">
        <v>780</v>
      </c>
      <c r="D62" s="363">
        <v>9.81</v>
      </c>
      <c r="E62" s="363"/>
      <c r="F62" s="172" t="s">
        <v>781</v>
      </c>
      <c r="I62" s="172" t="s">
        <v>780</v>
      </c>
      <c r="J62" s="363">
        <v>9.81</v>
      </c>
      <c r="K62" s="363"/>
      <c r="L62" s="172" t="s">
        <v>781</v>
      </c>
      <c r="O62" s="172" t="s">
        <v>780</v>
      </c>
      <c r="P62" s="363">
        <v>9.81</v>
      </c>
      <c r="Q62" s="363"/>
      <c r="R62" s="172" t="s">
        <v>781</v>
      </c>
    </row>
    <row r="63" spans="3:18" x14ac:dyDescent="0.25">
      <c r="C63" s="172" t="s">
        <v>1316</v>
      </c>
      <c r="D63" s="432">
        <f>2*D62</f>
        <v>19.62</v>
      </c>
      <c r="E63" s="432"/>
      <c r="F63" s="172" t="s">
        <v>781</v>
      </c>
      <c r="I63" s="172" t="s">
        <v>1316</v>
      </c>
      <c r="J63" s="432">
        <f>2*J62</f>
        <v>19.62</v>
      </c>
      <c r="K63" s="432"/>
      <c r="L63" s="172" t="s">
        <v>781</v>
      </c>
      <c r="O63" s="172" t="s">
        <v>1316</v>
      </c>
      <c r="P63" s="432">
        <f>2*P62</f>
        <v>19.62</v>
      </c>
      <c r="Q63" s="432"/>
      <c r="R63" s="172" t="s">
        <v>781</v>
      </c>
    </row>
    <row r="64" spans="3:18" x14ac:dyDescent="0.25">
      <c r="C64" s="172" t="s">
        <v>1309</v>
      </c>
      <c r="D64" s="435">
        <f>(F58)*(D61/D63)</f>
        <v>0.99898063200815479</v>
      </c>
      <c r="E64" s="435"/>
      <c r="F64" s="172" t="s">
        <v>444</v>
      </c>
      <c r="I64" s="172" t="s">
        <v>1309</v>
      </c>
      <c r="J64" s="435">
        <f>(L58)*(J61/J63)</f>
        <v>0.99898063200815479</v>
      </c>
      <c r="K64" s="435"/>
      <c r="L64" s="172" t="s">
        <v>444</v>
      </c>
      <c r="O64" s="172" t="s">
        <v>1309</v>
      </c>
      <c r="P64" s="435">
        <f>(R58)*(P61/P63)</f>
        <v>0.99898063200815479</v>
      </c>
      <c r="Q64" s="435"/>
      <c r="R64" s="172" t="s">
        <v>444</v>
      </c>
    </row>
    <row r="65" spans="3:18" x14ac:dyDescent="0.25">
      <c r="C65" s="436" t="s">
        <v>1317</v>
      </c>
      <c r="D65" s="436"/>
      <c r="E65" s="436"/>
      <c r="F65" s="436"/>
      <c r="I65" s="436" t="s">
        <v>1317</v>
      </c>
      <c r="J65" s="436"/>
      <c r="K65" s="436"/>
      <c r="L65" s="436"/>
      <c r="O65" s="436" t="s">
        <v>1317</v>
      </c>
      <c r="P65" s="436"/>
      <c r="Q65" s="436"/>
      <c r="R65" s="436"/>
    </row>
    <row r="66" spans="3:18" x14ac:dyDescent="0.25">
      <c r="C66" s="432" t="s">
        <v>1318</v>
      </c>
      <c r="D66" s="432"/>
      <c r="E66" s="172">
        <f>5000/1000</f>
        <v>5</v>
      </c>
      <c r="F66" s="172" t="s">
        <v>444</v>
      </c>
      <c r="I66" s="432" t="s">
        <v>1318</v>
      </c>
      <c r="J66" s="432"/>
      <c r="K66" s="172">
        <f>5000/1000</f>
        <v>5</v>
      </c>
      <c r="L66" s="172" t="s">
        <v>444</v>
      </c>
      <c r="O66" s="432" t="s">
        <v>1318</v>
      </c>
      <c r="P66" s="432"/>
      <c r="Q66" s="172">
        <f>5000/1000</f>
        <v>5</v>
      </c>
      <c r="R66" s="172" t="s">
        <v>444</v>
      </c>
    </row>
    <row r="67" spans="3:18" x14ac:dyDescent="0.25">
      <c r="C67" s="364" t="s">
        <v>1319</v>
      </c>
      <c r="D67" s="364"/>
      <c r="E67" s="364"/>
      <c r="F67" s="364"/>
      <c r="I67" s="364" t="s">
        <v>1319</v>
      </c>
      <c r="J67" s="364"/>
      <c r="K67" s="364"/>
      <c r="L67" s="364"/>
      <c r="O67" s="364" t="s">
        <v>1319</v>
      </c>
      <c r="P67" s="364"/>
      <c r="Q67" s="364"/>
      <c r="R67" s="364"/>
    </row>
    <row r="68" spans="3:18" x14ac:dyDescent="0.25">
      <c r="C68" s="172" t="s">
        <v>1087</v>
      </c>
      <c r="D68" s="172">
        <f>D43</f>
        <v>2</v>
      </c>
      <c r="E68" s="432" t="s">
        <v>427</v>
      </c>
      <c r="F68" s="432"/>
      <c r="I68" s="172" t="s">
        <v>1087</v>
      </c>
      <c r="J68" s="172">
        <f>J43</f>
        <v>2</v>
      </c>
      <c r="K68" s="432" t="s">
        <v>427</v>
      </c>
      <c r="L68" s="432"/>
      <c r="O68" s="172" t="s">
        <v>1087</v>
      </c>
      <c r="P68" s="172">
        <f>P43</f>
        <v>2</v>
      </c>
      <c r="Q68" s="432" t="s">
        <v>427</v>
      </c>
      <c r="R68" s="432"/>
    </row>
    <row r="69" spans="3:18" x14ac:dyDescent="0.25">
      <c r="C69" s="172" t="s">
        <v>521</v>
      </c>
      <c r="D69" s="172">
        <f>D68^2</f>
        <v>4</v>
      </c>
      <c r="E69" s="432" t="s">
        <v>1315</v>
      </c>
      <c r="F69" s="432"/>
      <c r="I69" s="172" t="s">
        <v>521</v>
      </c>
      <c r="J69" s="172">
        <f>J68^2</f>
        <v>4</v>
      </c>
      <c r="K69" s="432" t="s">
        <v>1315</v>
      </c>
      <c r="L69" s="432"/>
      <c r="O69" s="172" t="s">
        <v>521</v>
      </c>
      <c r="P69" s="172">
        <f>P68^2</f>
        <v>4</v>
      </c>
      <c r="Q69" s="432" t="s">
        <v>1315</v>
      </c>
      <c r="R69" s="432"/>
    </row>
    <row r="70" spans="3:18" x14ac:dyDescent="0.25">
      <c r="C70" s="172" t="s">
        <v>780</v>
      </c>
      <c r="D70" s="172">
        <v>9.81</v>
      </c>
      <c r="E70" s="432" t="s">
        <v>781</v>
      </c>
      <c r="F70" s="432"/>
      <c r="I70" s="172" t="s">
        <v>780</v>
      </c>
      <c r="J70" s="172">
        <v>9.81</v>
      </c>
      <c r="K70" s="432" t="s">
        <v>781</v>
      </c>
      <c r="L70" s="432"/>
      <c r="O70" s="172" t="s">
        <v>780</v>
      </c>
      <c r="P70" s="172">
        <v>9.81</v>
      </c>
      <c r="Q70" s="432" t="s">
        <v>781</v>
      </c>
      <c r="R70" s="432"/>
    </row>
    <row r="71" spans="3:18" x14ac:dyDescent="0.25">
      <c r="C71" s="173" t="s">
        <v>1319</v>
      </c>
      <c r="D71" s="174">
        <f>D69/(2*D70)</f>
        <v>0.2038735983690112</v>
      </c>
      <c r="E71" s="433" t="s">
        <v>444</v>
      </c>
      <c r="F71" s="434"/>
      <c r="I71" s="173" t="s">
        <v>1319</v>
      </c>
      <c r="J71" s="174">
        <f>J69/(2*J70)</f>
        <v>0.2038735983690112</v>
      </c>
      <c r="K71" s="433" t="s">
        <v>444</v>
      </c>
      <c r="L71" s="434"/>
      <c r="O71" s="173" t="s">
        <v>1319</v>
      </c>
      <c r="P71" s="174">
        <f>P69/(2*P70)</f>
        <v>0.2038735983690112</v>
      </c>
      <c r="Q71" s="433" t="s">
        <v>444</v>
      </c>
      <c r="R71" s="434"/>
    </row>
    <row r="74" spans="3:18" x14ac:dyDescent="0.25">
      <c r="C74" s="438" t="s">
        <v>1326</v>
      </c>
      <c r="D74" s="438"/>
      <c r="E74" s="438"/>
      <c r="F74" s="438"/>
    </row>
    <row r="75" spans="3:18" x14ac:dyDescent="0.25">
      <c r="C75" s="167" t="s">
        <v>1303</v>
      </c>
      <c r="D75" s="175">
        <f>D88+D99+E101+D106</f>
        <v>6.2933323959801326</v>
      </c>
      <c r="E75" s="363" t="s">
        <v>444</v>
      </c>
      <c r="F75" s="363"/>
    </row>
    <row r="76" spans="3:18" x14ac:dyDescent="0.25">
      <c r="C76" s="167"/>
      <c r="D76" s="179">
        <v>15</v>
      </c>
      <c r="E76" s="363" t="s">
        <v>444</v>
      </c>
      <c r="F76" s="363"/>
    </row>
    <row r="77" spans="3:18" x14ac:dyDescent="0.25">
      <c r="C77" s="172" t="s">
        <v>1304</v>
      </c>
      <c r="D77" s="176">
        <v>0.5</v>
      </c>
      <c r="E77" s="432" t="s">
        <v>499</v>
      </c>
      <c r="F77" s="432"/>
    </row>
    <row r="78" spans="3:18" x14ac:dyDescent="0.25">
      <c r="C78" s="172" t="s">
        <v>1087</v>
      </c>
      <c r="D78" s="176">
        <v>2</v>
      </c>
      <c r="E78" s="432" t="s">
        <v>427</v>
      </c>
      <c r="F78" s="432"/>
    </row>
    <row r="79" spans="3:18" x14ac:dyDescent="0.25">
      <c r="C79" s="172" t="s">
        <v>516</v>
      </c>
      <c r="D79" s="176">
        <f>SQRT((D77*4)/(D78*3.14))</f>
        <v>0.56433264798310034</v>
      </c>
      <c r="E79" s="432" t="s">
        <v>444</v>
      </c>
      <c r="F79" s="432"/>
    </row>
    <row r="80" spans="3:18" x14ac:dyDescent="0.25">
      <c r="C80" s="172"/>
      <c r="D80" s="176">
        <f>D79*1000</f>
        <v>564.33264798310029</v>
      </c>
      <c r="E80" s="432" t="s">
        <v>425</v>
      </c>
      <c r="F80" s="432"/>
    </row>
    <row r="81" spans="3:6" x14ac:dyDescent="0.25">
      <c r="C81" s="172" t="s">
        <v>1305</v>
      </c>
      <c r="D81" s="176">
        <v>600</v>
      </c>
      <c r="E81" s="432" t="s">
        <v>425</v>
      </c>
      <c r="F81" s="432"/>
    </row>
    <row r="82" spans="3:6" x14ac:dyDescent="0.25">
      <c r="C82" s="436" t="s">
        <v>1306</v>
      </c>
      <c r="D82" s="436"/>
      <c r="E82" s="436"/>
      <c r="F82" s="436"/>
    </row>
    <row r="83" spans="3:6" x14ac:dyDescent="0.25">
      <c r="C83" s="363" t="s">
        <v>1307</v>
      </c>
      <c r="D83" s="363"/>
      <c r="E83" s="363"/>
      <c r="F83" s="363"/>
    </row>
    <row r="84" spans="3:6" x14ac:dyDescent="0.25">
      <c r="C84" s="172" t="s">
        <v>514</v>
      </c>
      <c r="D84" s="432">
        <f>D77</f>
        <v>0.5</v>
      </c>
      <c r="E84" s="432"/>
      <c r="F84" s="172" t="s">
        <v>499</v>
      </c>
    </row>
    <row r="85" spans="3:6" x14ac:dyDescent="0.25">
      <c r="C85" s="168" t="s">
        <v>1308</v>
      </c>
      <c r="D85" s="363">
        <v>150</v>
      </c>
      <c r="E85" s="363"/>
      <c r="F85" s="168"/>
    </row>
    <row r="86" spans="3:6" x14ac:dyDescent="0.25">
      <c r="C86" s="172" t="s">
        <v>516</v>
      </c>
      <c r="D86" s="432">
        <f>D79</f>
        <v>0.56433264798310034</v>
      </c>
      <c r="E86" s="432"/>
      <c r="F86" s="172" t="s">
        <v>444</v>
      </c>
    </row>
    <row r="87" spans="3:6" x14ac:dyDescent="0.25">
      <c r="C87" s="172" t="s">
        <v>591</v>
      </c>
      <c r="D87" s="432">
        <v>20</v>
      </c>
      <c r="E87" s="432"/>
      <c r="F87" s="172" t="s">
        <v>444</v>
      </c>
    </row>
    <row r="88" spans="3:6" x14ac:dyDescent="0.25">
      <c r="C88" s="172" t="s">
        <v>1309</v>
      </c>
      <c r="D88" s="437">
        <f>(((10.67)*(D84^1.85))/((D85^1.85)*(D86^4.87)))*D87</f>
        <v>9.0478165602966967E-2</v>
      </c>
      <c r="E88" s="437"/>
      <c r="F88" s="172" t="s">
        <v>444</v>
      </c>
    </row>
    <row r="89" spans="3:6" x14ac:dyDescent="0.25">
      <c r="C89" s="432" t="s">
        <v>1310</v>
      </c>
      <c r="D89" s="432"/>
      <c r="E89" s="432"/>
      <c r="F89" s="432"/>
    </row>
    <row r="90" spans="3:6" x14ac:dyDescent="0.25">
      <c r="C90" s="172" t="s">
        <v>1311</v>
      </c>
      <c r="D90" s="172" t="s">
        <v>122</v>
      </c>
      <c r="E90" s="172" t="s">
        <v>775</v>
      </c>
      <c r="F90" s="172" t="s">
        <v>1312</v>
      </c>
    </row>
    <row r="91" spans="3:6" x14ac:dyDescent="0.25">
      <c r="C91" s="172" t="s">
        <v>1313</v>
      </c>
      <c r="D91" s="172">
        <v>7</v>
      </c>
      <c r="E91" s="172">
        <v>0.7</v>
      </c>
      <c r="F91" s="172">
        <f>D91*E91</f>
        <v>4.8999999999999995</v>
      </c>
    </row>
    <row r="92" spans="3:6" x14ac:dyDescent="0.25">
      <c r="C92" s="172"/>
      <c r="D92" s="172"/>
      <c r="E92" s="172"/>
      <c r="F92" s="172"/>
    </row>
    <row r="93" spans="3:6" x14ac:dyDescent="0.25">
      <c r="C93" s="432" t="s">
        <v>1314</v>
      </c>
      <c r="D93" s="432"/>
      <c r="E93" s="432"/>
      <c r="F93" s="172">
        <f>SUM(F91:F92)</f>
        <v>4.8999999999999995</v>
      </c>
    </row>
    <row r="94" spans="3:6" x14ac:dyDescent="0.25">
      <c r="C94" s="432"/>
      <c r="D94" s="432"/>
      <c r="E94" s="432"/>
      <c r="F94" s="432"/>
    </row>
    <row r="95" spans="3:6" x14ac:dyDescent="0.25">
      <c r="C95" s="172" t="s">
        <v>1087</v>
      </c>
      <c r="D95" s="363">
        <f>D78</f>
        <v>2</v>
      </c>
      <c r="E95" s="363"/>
      <c r="F95" s="172" t="s">
        <v>427</v>
      </c>
    </row>
    <row r="96" spans="3:6" x14ac:dyDescent="0.25">
      <c r="C96" s="172" t="s">
        <v>521</v>
      </c>
      <c r="D96" s="363">
        <f>D95^2</f>
        <v>4</v>
      </c>
      <c r="E96" s="363"/>
      <c r="F96" s="172" t="s">
        <v>1315</v>
      </c>
    </row>
    <row r="97" spans="3:6" x14ac:dyDescent="0.25">
      <c r="C97" s="172" t="s">
        <v>780</v>
      </c>
      <c r="D97" s="363">
        <v>9.81</v>
      </c>
      <c r="E97" s="363"/>
      <c r="F97" s="172" t="s">
        <v>781</v>
      </c>
    </row>
    <row r="98" spans="3:6" x14ac:dyDescent="0.25">
      <c r="C98" s="172" t="s">
        <v>1316</v>
      </c>
      <c r="D98" s="432">
        <f>2*D97</f>
        <v>19.62</v>
      </c>
      <c r="E98" s="432"/>
      <c r="F98" s="172" t="s">
        <v>781</v>
      </c>
    </row>
    <row r="99" spans="3:6" x14ac:dyDescent="0.25">
      <c r="C99" s="172" t="s">
        <v>1309</v>
      </c>
      <c r="D99" s="435">
        <f>(F93)*(D96/D98)</f>
        <v>0.99898063200815479</v>
      </c>
      <c r="E99" s="435"/>
      <c r="F99" s="172" t="s">
        <v>444</v>
      </c>
    </row>
    <row r="100" spans="3:6" x14ac:dyDescent="0.25">
      <c r="C100" s="436" t="s">
        <v>1317</v>
      </c>
      <c r="D100" s="436"/>
      <c r="E100" s="436"/>
      <c r="F100" s="436"/>
    </row>
    <row r="101" spans="3:6" x14ac:dyDescent="0.25">
      <c r="C101" s="432" t="s">
        <v>1318</v>
      </c>
      <c r="D101" s="432"/>
      <c r="E101" s="172">
        <f>5000/1000</f>
        <v>5</v>
      </c>
      <c r="F101" s="172" t="s">
        <v>444</v>
      </c>
    </row>
    <row r="102" spans="3:6" x14ac:dyDescent="0.25">
      <c r="C102" s="364" t="s">
        <v>1319</v>
      </c>
      <c r="D102" s="364"/>
      <c r="E102" s="364"/>
      <c r="F102" s="364"/>
    </row>
    <row r="103" spans="3:6" x14ac:dyDescent="0.25">
      <c r="C103" s="172" t="s">
        <v>1087</v>
      </c>
      <c r="D103" s="172">
        <f>D78</f>
        <v>2</v>
      </c>
      <c r="E103" s="432" t="s">
        <v>427</v>
      </c>
      <c r="F103" s="432"/>
    </row>
    <row r="104" spans="3:6" x14ac:dyDescent="0.25">
      <c r="C104" s="172" t="s">
        <v>521</v>
      </c>
      <c r="D104" s="172">
        <f>D103^2</f>
        <v>4</v>
      </c>
      <c r="E104" s="432" t="s">
        <v>1315</v>
      </c>
      <c r="F104" s="432"/>
    </row>
    <row r="105" spans="3:6" x14ac:dyDescent="0.25">
      <c r="C105" s="172" t="s">
        <v>780</v>
      </c>
      <c r="D105" s="172">
        <v>9.81</v>
      </c>
      <c r="E105" s="432" t="s">
        <v>781</v>
      </c>
      <c r="F105" s="432"/>
    </row>
    <row r="106" spans="3:6" x14ac:dyDescent="0.25">
      <c r="C106" s="173" t="s">
        <v>1319</v>
      </c>
      <c r="D106" s="174">
        <f>D104/(2*D105)</f>
        <v>0.2038735983690112</v>
      </c>
      <c r="E106" s="433" t="s">
        <v>444</v>
      </c>
      <c r="F106" s="434"/>
    </row>
  </sheetData>
  <mergeCells count="210">
    <mergeCell ref="D15:E15"/>
    <mergeCell ref="D16:E16"/>
    <mergeCell ref="E9:F9"/>
    <mergeCell ref="E10:F10"/>
    <mergeCell ref="E11:F11"/>
    <mergeCell ref="C32:F32"/>
    <mergeCell ref="E33:F33"/>
    <mergeCell ref="E34:F34"/>
    <mergeCell ref="E35:F35"/>
    <mergeCell ref="E36:F36"/>
    <mergeCell ref="C4:F4"/>
    <mergeCell ref="E5:F5"/>
    <mergeCell ref="E7:F7"/>
    <mergeCell ref="E8:F8"/>
    <mergeCell ref="D26:E26"/>
    <mergeCell ref="D27:E27"/>
    <mergeCell ref="D28:E28"/>
    <mergeCell ref="D29:E29"/>
    <mergeCell ref="C30:F30"/>
    <mergeCell ref="C31:D31"/>
    <mergeCell ref="D17:E17"/>
    <mergeCell ref="D18:E18"/>
    <mergeCell ref="C19:F19"/>
    <mergeCell ref="C23:E23"/>
    <mergeCell ref="C24:F24"/>
    <mergeCell ref="D25:E25"/>
    <mergeCell ref="C12:F12"/>
    <mergeCell ref="C13:F13"/>
    <mergeCell ref="D14:E14"/>
    <mergeCell ref="K35:L35"/>
    <mergeCell ref="K36:L36"/>
    <mergeCell ref="E6:F6"/>
    <mergeCell ref="K6:L6"/>
    <mergeCell ref="J26:K26"/>
    <mergeCell ref="J27:K27"/>
    <mergeCell ref="J28:K28"/>
    <mergeCell ref="J29:K29"/>
    <mergeCell ref="I30:L30"/>
    <mergeCell ref="I31:J31"/>
    <mergeCell ref="J17:K17"/>
    <mergeCell ref="J18:K18"/>
    <mergeCell ref="I19:L19"/>
    <mergeCell ref="I23:K23"/>
    <mergeCell ref="I24:L24"/>
    <mergeCell ref="J25:K25"/>
    <mergeCell ref="K11:L11"/>
    <mergeCell ref="I12:L12"/>
    <mergeCell ref="I13:L13"/>
    <mergeCell ref="J14:K14"/>
    <mergeCell ref="J15:K15"/>
    <mergeCell ref="J16:K16"/>
    <mergeCell ref="K7:L7"/>
    <mergeCell ref="K8:L8"/>
    <mergeCell ref="O4:R4"/>
    <mergeCell ref="Q5:R5"/>
    <mergeCell ref="Q6:R6"/>
    <mergeCell ref="Q7:R7"/>
    <mergeCell ref="Q8:R8"/>
    <mergeCell ref="Q9:R9"/>
    <mergeCell ref="I32:L32"/>
    <mergeCell ref="K33:L33"/>
    <mergeCell ref="K34:L34"/>
    <mergeCell ref="I4:L4"/>
    <mergeCell ref="K5:L5"/>
    <mergeCell ref="K9:L9"/>
    <mergeCell ref="K10:L10"/>
    <mergeCell ref="P16:Q16"/>
    <mergeCell ref="P17:Q17"/>
    <mergeCell ref="P18:Q18"/>
    <mergeCell ref="O19:R19"/>
    <mergeCell ref="O23:Q23"/>
    <mergeCell ref="O24:R24"/>
    <mergeCell ref="Q10:R10"/>
    <mergeCell ref="Q11:R11"/>
    <mergeCell ref="O12:R12"/>
    <mergeCell ref="O13:R13"/>
    <mergeCell ref="P14:Q14"/>
    <mergeCell ref="P15:Q15"/>
    <mergeCell ref="O31:P31"/>
    <mergeCell ref="O32:R32"/>
    <mergeCell ref="Q33:R33"/>
    <mergeCell ref="Q34:R34"/>
    <mergeCell ref="Q35:R35"/>
    <mergeCell ref="Q36:R36"/>
    <mergeCell ref="P25:Q25"/>
    <mergeCell ref="P26:Q26"/>
    <mergeCell ref="P27:Q27"/>
    <mergeCell ref="P28:Q28"/>
    <mergeCell ref="P29:Q29"/>
    <mergeCell ref="O30:R30"/>
    <mergeCell ref="E45:F45"/>
    <mergeCell ref="E46:F46"/>
    <mergeCell ref="C47:F47"/>
    <mergeCell ref="C48:F48"/>
    <mergeCell ref="D49:E49"/>
    <mergeCell ref="D50:E50"/>
    <mergeCell ref="C39:F39"/>
    <mergeCell ref="E40:F40"/>
    <mergeCell ref="E41:F41"/>
    <mergeCell ref="E42:F42"/>
    <mergeCell ref="E43:F43"/>
    <mergeCell ref="E44:F44"/>
    <mergeCell ref="D60:E60"/>
    <mergeCell ref="D61:E61"/>
    <mergeCell ref="D62:E62"/>
    <mergeCell ref="D63:E63"/>
    <mergeCell ref="D64:E64"/>
    <mergeCell ref="C65:F65"/>
    <mergeCell ref="D51:E51"/>
    <mergeCell ref="D52:E52"/>
    <mergeCell ref="D53:E53"/>
    <mergeCell ref="C54:F54"/>
    <mergeCell ref="C58:E58"/>
    <mergeCell ref="C59:F59"/>
    <mergeCell ref="K45:L45"/>
    <mergeCell ref="K46:L46"/>
    <mergeCell ref="I47:L47"/>
    <mergeCell ref="I48:L48"/>
    <mergeCell ref="J49:K49"/>
    <mergeCell ref="J50:K50"/>
    <mergeCell ref="I39:L39"/>
    <mergeCell ref="K40:L40"/>
    <mergeCell ref="K41:L41"/>
    <mergeCell ref="K42:L42"/>
    <mergeCell ref="K43:L43"/>
    <mergeCell ref="K44:L44"/>
    <mergeCell ref="J60:K60"/>
    <mergeCell ref="J61:K61"/>
    <mergeCell ref="J62:K62"/>
    <mergeCell ref="J63:K63"/>
    <mergeCell ref="J64:K64"/>
    <mergeCell ref="I65:L65"/>
    <mergeCell ref="J51:K51"/>
    <mergeCell ref="J52:K52"/>
    <mergeCell ref="J53:K53"/>
    <mergeCell ref="I54:L54"/>
    <mergeCell ref="I58:K58"/>
    <mergeCell ref="I59:L59"/>
    <mergeCell ref="Q45:R45"/>
    <mergeCell ref="Q46:R46"/>
    <mergeCell ref="O47:R47"/>
    <mergeCell ref="O48:R48"/>
    <mergeCell ref="P49:Q49"/>
    <mergeCell ref="P50:Q50"/>
    <mergeCell ref="O39:R39"/>
    <mergeCell ref="Q40:R40"/>
    <mergeCell ref="Q41:R41"/>
    <mergeCell ref="Q42:R42"/>
    <mergeCell ref="Q43:R43"/>
    <mergeCell ref="Q44:R44"/>
    <mergeCell ref="P60:Q60"/>
    <mergeCell ref="P61:Q61"/>
    <mergeCell ref="P62:Q62"/>
    <mergeCell ref="P63:Q63"/>
    <mergeCell ref="P64:Q64"/>
    <mergeCell ref="O65:R65"/>
    <mergeCell ref="P51:Q51"/>
    <mergeCell ref="P52:Q52"/>
    <mergeCell ref="P53:Q53"/>
    <mergeCell ref="O54:R54"/>
    <mergeCell ref="O58:Q58"/>
    <mergeCell ref="O59:R59"/>
    <mergeCell ref="C74:F74"/>
    <mergeCell ref="E75:F75"/>
    <mergeCell ref="E76:F76"/>
    <mergeCell ref="E77:F77"/>
    <mergeCell ref="E78:F78"/>
    <mergeCell ref="E79:F79"/>
    <mergeCell ref="O66:P66"/>
    <mergeCell ref="O67:R67"/>
    <mergeCell ref="Q68:R68"/>
    <mergeCell ref="Q69:R69"/>
    <mergeCell ref="Q70:R70"/>
    <mergeCell ref="Q71:R71"/>
    <mergeCell ref="I66:J66"/>
    <mergeCell ref="I67:L67"/>
    <mergeCell ref="K68:L68"/>
    <mergeCell ref="K69:L69"/>
    <mergeCell ref="K70:L70"/>
    <mergeCell ref="K71:L71"/>
    <mergeCell ref="C66:D66"/>
    <mergeCell ref="C67:F67"/>
    <mergeCell ref="E68:F68"/>
    <mergeCell ref="E69:F69"/>
    <mergeCell ref="E70:F70"/>
    <mergeCell ref="E71:F71"/>
    <mergeCell ref="D86:E86"/>
    <mergeCell ref="D87:E87"/>
    <mergeCell ref="D88:E88"/>
    <mergeCell ref="C89:F89"/>
    <mergeCell ref="C93:E93"/>
    <mergeCell ref="C94:F94"/>
    <mergeCell ref="E80:F80"/>
    <mergeCell ref="E81:F81"/>
    <mergeCell ref="C82:F82"/>
    <mergeCell ref="C83:F83"/>
    <mergeCell ref="D84:E84"/>
    <mergeCell ref="D85:E85"/>
    <mergeCell ref="C101:D101"/>
    <mergeCell ref="C102:F102"/>
    <mergeCell ref="E103:F103"/>
    <mergeCell ref="E104:F104"/>
    <mergeCell ref="E105:F105"/>
    <mergeCell ref="E106:F106"/>
    <mergeCell ref="D95:E95"/>
    <mergeCell ref="D96:E96"/>
    <mergeCell ref="D97:E97"/>
    <mergeCell ref="D98:E98"/>
    <mergeCell ref="D99:E99"/>
    <mergeCell ref="C100:F10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2B99A-620C-4C96-A551-AF754ED894C6}">
  <dimension ref="B2:O40"/>
  <sheetViews>
    <sheetView topLeftCell="A10" workbookViewId="0">
      <selection activeCell="F13" sqref="F13:K25"/>
    </sheetView>
  </sheetViews>
  <sheetFormatPr defaultRowHeight="13.8" x14ac:dyDescent="0.25"/>
  <cols>
    <col min="1" max="1" width="8.88671875" style="12"/>
    <col min="2" max="2" width="38" style="12" customWidth="1"/>
    <col min="3" max="3" width="14.88671875" style="12" customWidth="1"/>
    <col min="4" max="4" width="13.88671875" style="12" customWidth="1"/>
    <col min="5" max="5" width="12.44140625" style="12" customWidth="1"/>
    <col min="6" max="6" width="23.77734375" style="12" customWidth="1"/>
    <col min="7" max="7" width="21.88671875" style="12" customWidth="1"/>
    <col min="8" max="8" width="13.6640625" style="12" customWidth="1"/>
    <col min="9" max="9" width="18" style="12" customWidth="1"/>
    <col min="10" max="10" width="15.5546875" style="12" customWidth="1"/>
    <col min="11" max="11" width="14.77734375" style="12" customWidth="1"/>
    <col min="12" max="12" width="15.44140625" style="12" customWidth="1"/>
    <col min="13" max="13" width="15.5546875" style="12" customWidth="1"/>
    <col min="14" max="14" width="17.21875" style="12" customWidth="1"/>
    <col min="15" max="15" width="15.44140625" style="12" customWidth="1"/>
    <col min="16" max="16384" width="8.88671875" style="12"/>
  </cols>
  <sheetData>
    <row r="2" spans="2:15" x14ac:dyDescent="0.25">
      <c r="B2" s="244" t="s">
        <v>1292</v>
      </c>
      <c r="C2" s="244"/>
      <c r="D2" s="244"/>
      <c r="E2" s="244"/>
      <c r="F2" s="244"/>
      <c r="G2" s="244"/>
      <c r="H2" s="244"/>
      <c r="I2" s="244"/>
      <c r="J2" s="244"/>
      <c r="K2" s="244"/>
      <c r="L2" s="244"/>
      <c r="M2" s="244"/>
      <c r="N2" s="244"/>
      <c r="O2" s="244"/>
    </row>
    <row r="3" spans="2:15" x14ac:dyDescent="0.25">
      <c r="B3" s="310" t="s">
        <v>1282</v>
      </c>
      <c r="C3" s="310" t="s">
        <v>1283</v>
      </c>
      <c r="D3" s="247" t="s">
        <v>1289</v>
      </c>
      <c r="E3" s="247"/>
      <c r="F3" s="247"/>
      <c r="G3" s="247"/>
      <c r="H3" s="247"/>
      <c r="I3" s="247" t="s">
        <v>1293</v>
      </c>
      <c r="J3" s="247"/>
      <c r="K3" s="247"/>
      <c r="L3" s="247"/>
      <c r="M3" s="247"/>
      <c r="N3" s="310" t="s">
        <v>1290</v>
      </c>
      <c r="O3" s="310" t="s">
        <v>1291</v>
      </c>
    </row>
    <row r="4" spans="2:15" x14ac:dyDescent="0.25">
      <c r="B4" s="311"/>
      <c r="C4" s="311"/>
      <c r="D4" s="14" t="s">
        <v>1284</v>
      </c>
      <c r="E4" s="14" t="s">
        <v>1285</v>
      </c>
      <c r="F4" s="14" t="s">
        <v>1286</v>
      </c>
      <c r="G4" s="14" t="s">
        <v>1287</v>
      </c>
      <c r="H4" s="14" t="s">
        <v>1288</v>
      </c>
      <c r="I4" s="14" t="s">
        <v>1284</v>
      </c>
      <c r="J4" s="14" t="s">
        <v>1285</v>
      </c>
      <c r="K4" s="14" t="s">
        <v>1286</v>
      </c>
      <c r="L4" s="14" t="s">
        <v>1287</v>
      </c>
      <c r="M4" s="14" t="s">
        <v>1288</v>
      </c>
      <c r="N4" s="311"/>
      <c r="O4" s="311"/>
    </row>
    <row r="5" spans="2:15" x14ac:dyDescent="0.25">
      <c r="B5" s="138" t="s">
        <v>1294</v>
      </c>
      <c r="C5" s="14">
        <v>1</v>
      </c>
      <c r="D5" s="14">
        <v>5</v>
      </c>
      <c r="E5" s="14">
        <v>1.6</v>
      </c>
      <c r="F5" s="14">
        <v>1.79</v>
      </c>
      <c r="G5" s="14"/>
      <c r="H5" s="14">
        <f>C5*D5*E5*F5</f>
        <v>14.32</v>
      </c>
      <c r="I5" s="14">
        <f>D5+0.4</f>
        <v>5.4</v>
      </c>
      <c r="J5" s="14">
        <f>E5+0.4</f>
        <v>2</v>
      </c>
      <c r="K5" s="14">
        <f>F5+0.4</f>
        <v>2.19</v>
      </c>
      <c r="L5" s="14"/>
      <c r="M5" s="112">
        <f t="shared" ref="M5:M10" si="0">C5*I5*J5*K5</f>
        <v>23.652000000000001</v>
      </c>
      <c r="N5" s="112">
        <f>M5-H5</f>
        <v>9.3320000000000007</v>
      </c>
      <c r="O5" s="14">
        <f t="shared" ref="O5:O10" si="1">C5*D5*E5</f>
        <v>8</v>
      </c>
    </row>
    <row r="6" spans="2:15" x14ac:dyDescent="0.25">
      <c r="B6" s="138" t="s">
        <v>1295</v>
      </c>
      <c r="C6" s="14">
        <v>1</v>
      </c>
      <c r="D6" s="14">
        <v>9</v>
      </c>
      <c r="E6" s="14">
        <v>7</v>
      </c>
      <c r="F6" s="14">
        <v>8.5</v>
      </c>
      <c r="G6" s="14"/>
      <c r="H6" s="14">
        <f t="shared" ref="H6:H10" si="2">C6*D6*E6*F6</f>
        <v>535.5</v>
      </c>
      <c r="I6" s="14">
        <f t="shared" ref="I6:I10" si="3">D6+0.4</f>
        <v>9.4</v>
      </c>
      <c r="J6" s="14">
        <f t="shared" ref="J6:J10" si="4">E6+0.4</f>
        <v>7.4</v>
      </c>
      <c r="K6" s="14">
        <f t="shared" ref="K6:K10" si="5">F6+0.4</f>
        <v>8.9</v>
      </c>
      <c r="L6" s="14"/>
      <c r="M6" s="112">
        <f t="shared" si="0"/>
        <v>619.08400000000006</v>
      </c>
      <c r="N6" s="112">
        <f t="shared" ref="N6:N10" si="6">M6-H6</f>
        <v>83.58400000000006</v>
      </c>
      <c r="O6" s="14">
        <f t="shared" si="1"/>
        <v>63</v>
      </c>
    </row>
    <row r="7" spans="2:15" x14ac:dyDescent="0.25">
      <c r="B7" s="138" t="s">
        <v>1296</v>
      </c>
      <c r="C7" s="14">
        <v>2</v>
      </c>
      <c r="D7" s="14">
        <v>5.56</v>
      </c>
      <c r="E7" s="14">
        <v>4.2</v>
      </c>
      <c r="F7" s="14">
        <v>5.5</v>
      </c>
      <c r="G7" s="14"/>
      <c r="H7" s="14">
        <f t="shared" si="2"/>
        <v>256.87200000000001</v>
      </c>
      <c r="I7" s="14">
        <f t="shared" si="3"/>
        <v>5.96</v>
      </c>
      <c r="J7" s="14">
        <f t="shared" si="4"/>
        <v>4.6000000000000005</v>
      </c>
      <c r="K7" s="14">
        <f t="shared" si="5"/>
        <v>5.9</v>
      </c>
      <c r="L7" s="14"/>
      <c r="M7" s="112">
        <f t="shared" si="0"/>
        <v>323.50880000000006</v>
      </c>
      <c r="N7" s="112">
        <f t="shared" si="6"/>
        <v>66.636800000000051</v>
      </c>
      <c r="O7" s="14">
        <f t="shared" si="1"/>
        <v>46.704000000000001</v>
      </c>
    </row>
    <row r="8" spans="2:15" x14ac:dyDescent="0.25">
      <c r="B8" s="138" t="s">
        <v>674</v>
      </c>
      <c r="C8" s="14">
        <v>1</v>
      </c>
      <c r="D8" s="14">
        <v>50</v>
      </c>
      <c r="E8" s="14">
        <v>44.2</v>
      </c>
      <c r="F8" s="14">
        <v>4.5</v>
      </c>
      <c r="G8" s="14"/>
      <c r="H8" s="14">
        <f t="shared" si="2"/>
        <v>9945</v>
      </c>
      <c r="I8" s="14">
        <f t="shared" si="3"/>
        <v>50.4</v>
      </c>
      <c r="J8" s="14">
        <f t="shared" si="4"/>
        <v>44.6</v>
      </c>
      <c r="K8" s="14">
        <f t="shared" si="5"/>
        <v>4.9000000000000004</v>
      </c>
      <c r="L8" s="14"/>
      <c r="M8" s="112">
        <f t="shared" si="0"/>
        <v>11014.416000000001</v>
      </c>
      <c r="N8" s="112">
        <f t="shared" si="6"/>
        <v>1069.4160000000011</v>
      </c>
      <c r="O8" s="14">
        <f t="shared" si="1"/>
        <v>2210</v>
      </c>
    </row>
    <row r="9" spans="2:15" x14ac:dyDescent="0.25">
      <c r="B9" s="138" t="s">
        <v>1297</v>
      </c>
      <c r="C9" s="14">
        <v>1</v>
      </c>
      <c r="D9" s="14">
        <v>45</v>
      </c>
      <c r="E9" s="14">
        <v>24</v>
      </c>
      <c r="F9" s="14">
        <v>4</v>
      </c>
      <c r="G9" s="14"/>
      <c r="H9" s="14">
        <f t="shared" si="2"/>
        <v>4320</v>
      </c>
      <c r="I9" s="14">
        <f t="shared" si="3"/>
        <v>45.4</v>
      </c>
      <c r="J9" s="14">
        <f t="shared" si="4"/>
        <v>24.4</v>
      </c>
      <c r="K9" s="14">
        <f t="shared" si="5"/>
        <v>4.4000000000000004</v>
      </c>
      <c r="L9" s="14"/>
      <c r="M9" s="112">
        <f t="shared" si="0"/>
        <v>4874.1440000000002</v>
      </c>
      <c r="N9" s="112">
        <f t="shared" si="6"/>
        <v>554.14400000000023</v>
      </c>
      <c r="O9" s="14">
        <f t="shared" si="1"/>
        <v>1080</v>
      </c>
    </row>
    <row r="10" spans="2:15" x14ac:dyDescent="0.25">
      <c r="B10" s="138" t="s">
        <v>1298</v>
      </c>
      <c r="C10" s="14">
        <v>1</v>
      </c>
      <c r="D10" s="14">
        <v>45</v>
      </c>
      <c r="E10" s="14">
        <v>24</v>
      </c>
      <c r="F10" s="14">
        <v>4</v>
      </c>
      <c r="G10" s="14"/>
      <c r="H10" s="14">
        <f t="shared" si="2"/>
        <v>4320</v>
      </c>
      <c r="I10" s="14">
        <f t="shared" si="3"/>
        <v>45.4</v>
      </c>
      <c r="J10" s="14">
        <f t="shared" si="4"/>
        <v>24.4</v>
      </c>
      <c r="K10" s="14">
        <f t="shared" si="5"/>
        <v>4.4000000000000004</v>
      </c>
      <c r="L10" s="14"/>
      <c r="M10" s="112">
        <f t="shared" si="0"/>
        <v>4874.1440000000002</v>
      </c>
      <c r="N10" s="112">
        <f t="shared" si="6"/>
        <v>554.14400000000023</v>
      </c>
      <c r="O10" s="14">
        <f t="shared" si="1"/>
        <v>1080</v>
      </c>
    </row>
    <row r="11" spans="2:15" x14ac:dyDescent="0.25">
      <c r="B11" s="247" t="s">
        <v>36</v>
      </c>
      <c r="C11" s="247"/>
      <c r="D11" s="247"/>
      <c r="E11" s="247"/>
      <c r="F11" s="247"/>
      <c r="G11" s="247"/>
      <c r="H11" s="247"/>
      <c r="I11" s="247"/>
      <c r="J11" s="247"/>
      <c r="K11" s="247"/>
      <c r="L11" s="247"/>
      <c r="M11" s="112">
        <f>SUM(M5:M10)</f>
        <v>21728.948800000002</v>
      </c>
      <c r="N11" s="112">
        <f>SUM(N5:N10)</f>
        <v>2337.2568000000019</v>
      </c>
      <c r="O11" s="14">
        <f>SUM(O5:O10)</f>
        <v>4487.7039999999997</v>
      </c>
    </row>
    <row r="13" spans="2:15" x14ac:dyDescent="0.25">
      <c r="B13" s="247" t="s">
        <v>1299</v>
      </c>
      <c r="C13" s="247"/>
      <c r="F13" s="313" t="s">
        <v>1338</v>
      </c>
      <c r="G13" s="313"/>
      <c r="H13" s="313"/>
      <c r="I13" s="313"/>
      <c r="J13" s="313"/>
      <c r="K13" s="313"/>
    </row>
    <row r="14" spans="2:15" ht="14.4" customHeight="1" x14ac:dyDescent="0.25">
      <c r="B14" s="313" t="s">
        <v>1282</v>
      </c>
      <c r="C14" s="313" t="s">
        <v>1283</v>
      </c>
      <c r="F14" s="313" t="s">
        <v>1332</v>
      </c>
      <c r="G14" s="313" t="s">
        <v>1333</v>
      </c>
      <c r="H14" s="313" t="s">
        <v>1334</v>
      </c>
      <c r="I14" s="313" t="s">
        <v>1335</v>
      </c>
      <c r="J14" s="313" t="s">
        <v>1336</v>
      </c>
      <c r="K14" s="313" t="s">
        <v>1337</v>
      </c>
    </row>
    <row r="15" spans="2:15" x14ac:dyDescent="0.25">
      <c r="B15" s="313"/>
      <c r="C15" s="313"/>
      <c r="F15" s="313"/>
      <c r="G15" s="313"/>
      <c r="H15" s="313"/>
      <c r="I15" s="313"/>
      <c r="J15" s="313"/>
      <c r="K15" s="313"/>
    </row>
    <row r="16" spans="2:15" x14ac:dyDescent="0.25">
      <c r="B16" s="138" t="s">
        <v>1300</v>
      </c>
      <c r="C16" s="18">
        <f>'Secondary Sizing'!F12+'Secondary Sizing'!F18+'Secondary Sizing'!F23</f>
        <v>62.453386283754369</v>
      </c>
      <c r="F16" s="116" t="s">
        <v>1339</v>
      </c>
      <c r="G16" s="116" t="s">
        <v>1341</v>
      </c>
      <c r="H16" s="14">
        <v>2</v>
      </c>
      <c r="I16" s="14">
        <v>500</v>
      </c>
      <c r="J16" s="14">
        <v>6</v>
      </c>
      <c r="K16" s="14">
        <v>1</v>
      </c>
    </row>
    <row r="17" spans="2:11" x14ac:dyDescent="0.25">
      <c r="B17" s="138" t="s">
        <v>411</v>
      </c>
      <c r="C17" s="14">
        <v>2</v>
      </c>
      <c r="F17" s="116" t="s">
        <v>1341</v>
      </c>
      <c r="G17" s="116" t="s">
        <v>1342</v>
      </c>
      <c r="H17" s="14">
        <v>30</v>
      </c>
      <c r="I17" s="14">
        <v>500</v>
      </c>
      <c r="J17" s="14">
        <v>6</v>
      </c>
      <c r="K17" s="14">
        <f>H17*J17</f>
        <v>180</v>
      </c>
    </row>
    <row r="18" spans="2:11" x14ac:dyDescent="0.25">
      <c r="B18" s="138" t="s">
        <v>1301</v>
      </c>
      <c r="C18" s="14">
        <v>1</v>
      </c>
      <c r="F18" s="116" t="s">
        <v>1342</v>
      </c>
      <c r="G18" s="116" t="s">
        <v>674</v>
      </c>
      <c r="H18" s="14">
        <v>15</v>
      </c>
      <c r="I18" s="14">
        <v>500</v>
      </c>
      <c r="J18" s="14">
        <v>6</v>
      </c>
      <c r="K18" s="14">
        <f t="shared" ref="K18:K25" si="7">H18*J18</f>
        <v>90</v>
      </c>
    </row>
    <row r="19" spans="2:11" x14ac:dyDescent="0.25">
      <c r="B19" s="138" t="s">
        <v>1302</v>
      </c>
      <c r="C19" s="14">
        <v>2</v>
      </c>
      <c r="F19" s="116" t="s">
        <v>674</v>
      </c>
      <c r="G19" s="116" t="s">
        <v>1297</v>
      </c>
      <c r="H19" s="14">
        <v>30</v>
      </c>
      <c r="I19" s="14">
        <v>500</v>
      </c>
      <c r="J19" s="14">
        <v>6</v>
      </c>
      <c r="K19" s="14">
        <f t="shared" si="7"/>
        <v>180</v>
      </c>
    </row>
    <row r="20" spans="2:11" x14ac:dyDescent="0.25">
      <c r="B20" s="116" t="s">
        <v>1340</v>
      </c>
      <c r="C20" s="14">
        <v>1</v>
      </c>
      <c r="F20" s="116" t="s">
        <v>1297</v>
      </c>
      <c r="G20" s="116" t="s">
        <v>256</v>
      </c>
      <c r="H20" s="14">
        <v>20</v>
      </c>
      <c r="I20" s="14">
        <v>500</v>
      </c>
      <c r="J20" s="14">
        <v>6</v>
      </c>
      <c r="K20" s="14">
        <f t="shared" si="7"/>
        <v>120</v>
      </c>
    </row>
    <row r="21" spans="2:11" x14ac:dyDescent="0.25">
      <c r="B21" s="116" t="s">
        <v>1416</v>
      </c>
      <c r="C21" s="14">
        <v>1</v>
      </c>
      <c r="F21" s="116" t="s">
        <v>256</v>
      </c>
      <c r="G21" s="116" t="s">
        <v>256</v>
      </c>
      <c r="H21" s="14">
        <f>(64*2)+(5*32)+(5*12)</f>
        <v>348</v>
      </c>
      <c r="I21" s="14">
        <v>75</v>
      </c>
      <c r="J21" s="14">
        <v>6</v>
      </c>
      <c r="K21" s="14">
        <f t="shared" si="7"/>
        <v>2088</v>
      </c>
    </row>
    <row r="22" spans="2:11" x14ac:dyDescent="0.25">
      <c r="F22" s="116" t="s">
        <v>1300</v>
      </c>
      <c r="G22" s="116" t="s">
        <v>1298</v>
      </c>
      <c r="H22" s="14">
        <v>15</v>
      </c>
      <c r="I22" s="14">
        <v>500</v>
      </c>
      <c r="J22" s="14">
        <v>6</v>
      </c>
      <c r="K22" s="14">
        <f t="shared" si="7"/>
        <v>90</v>
      </c>
    </row>
    <row r="23" spans="2:11" x14ac:dyDescent="0.25">
      <c r="B23" s="247" t="s">
        <v>1327</v>
      </c>
      <c r="C23" s="247"/>
      <c r="F23" s="116" t="s">
        <v>1298</v>
      </c>
      <c r="G23" s="116" t="s">
        <v>411</v>
      </c>
      <c r="H23" s="14">
        <v>15</v>
      </c>
      <c r="I23" s="14">
        <v>500</v>
      </c>
      <c r="J23" s="14">
        <v>6</v>
      </c>
      <c r="K23" s="14">
        <f t="shared" si="7"/>
        <v>90</v>
      </c>
    </row>
    <row r="24" spans="2:11" x14ac:dyDescent="0.25">
      <c r="B24" s="313" t="s">
        <v>1282</v>
      </c>
      <c r="C24" s="313" t="s">
        <v>1283</v>
      </c>
      <c r="F24" s="116" t="s">
        <v>1298</v>
      </c>
      <c r="G24" s="116" t="s">
        <v>1301</v>
      </c>
      <c r="H24" s="14">
        <v>20</v>
      </c>
      <c r="I24" s="14">
        <v>500</v>
      </c>
      <c r="J24" s="14">
        <v>6</v>
      </c>
      <c r="K24" s="14">
        <f t="shared" si="7"/>
        <v>120</v>
      </c>
    </row>
    <row r="25" spans="2:11" x14ac:dyDescent="0.25">
      <c r="B25" s="313"/>
      <c r="C25" s="313"/>
      <c r="F25" s="116" t="s">
        <v>1297</v>
      </c>
      <c r="G25" s="116" t="s">
        <v>1343</v>
      </c>
      <c r="H25" s="14">
        <v>20</v>
      </c>
      <c r="I25" s="14">
        <v>500</v>
      </c>
      <c r="J25" s="14">
        <v>6</v>
      </c>
      <c r="K25" s="14">
        <f t="shared" si="7"/>
        <v>120</v>
      </c>
    </row>
    <row r="26" spans="2:11" x14ac:dyDescent="0.25">
      <c r="B26" s="138" t="s">
        <v>1331</v>
      </c>
      <c r="C26" s="136">
        <v>7</v>
      </c>
    </row>
    <row r="27" spans="2:11" x14ac:dyDescent="0.25">
      <c r="B27" s="138" t="s">
        <v>1328</v>
      </c>
      <c r="C27" s="18">
        <v>62</v>
      </c>
    </row>
    <row r="28" spans="2:11" x14ac:dyDescent="0.25">
      <c r="B28" s="138" t="str">
        <f>'Preliminary Sizing'!B88</f>
        <v>Diameter 500 mm x 30 m x 25 kw unit</v>
      </c>
      <c r="C28" s="14">
        <v>2</v>
      </c>
    </row>
    <row r="29" spans="2:11" x14ac:dyDescent="0.25">
      <c r="B29" s="138" t="str">
        <f>'Preliminary Sizing'!B89</f>
        <v>Diameter 1000 mm x 30 m x 50 kw unit</v>
      </c>
      <c r="C29" s="14">
        <v>2</v>
      </c>
    </row>
    <row r="32" spans="2:11" x14ac:dyDescent="0.25">
      <c r="B32" s="247" t="s">
        <v>1344</v>
      </c>
      <c r="C32" s="247"/>
      <c r="D32" s="247"/>
      <c r="E32" s="247"/>
      <c r="F32" s="247"/>
      <c r="G32" s="247"/>
      <c r="H32" s="247"/>
    </row>
    <row r="33" spans="2:8" x14ac:dyDescent="0.25">
      <c r="B33" s="310" t="s">
        <v>1282</v>
      </c>
      <c r="C33" s="310" t="s">
        <v>1283</v>
      </c>
      <c r="D33" s="247" t="s">
        <v>1345</v>
      </c>
      <c r="E33" s="247"/>
      <c r="F33" s="247"/>
      <c r="G33" s="247"/>
      <c r="H33" s="247"/>
    </row>
    <row r="34" spans="2:8" x14ac:dyDescent="0.25">
      <c r="B34" s="311"/>
      <c r="C34" s="311"/>
      <c r="D34" s="14" t="s">
        <v>1284</v>
      </c>
      <c r="E34" s="14" t="s">
        <v>1285</v>
      </c>
      <c r="F34" s="14" t="s">
        <v>1286</v>
      </c>
      <c r="G34" s="14" t="s">
        <v>1287</v>
      </c>
      <c r="H34" s="14" t="s">
        <v>1288</v>
      </c>
    </row>
    <row r="35" spans="2:8" x14ac:dyDescent="0.25">
      <c r="B35" s="138" t="s">
        <v>1294</v>
      </c>
      <c r="C35" s="14">
        <v>1</v>
      </c>
      <c r="D35" s="14">
        <v>5</v>
      </c>
      <c r="E35" s="14">
        <v>1.6</v>
      </c>
      <c r="F35" s="14">
        <v>1.79</v>
      </c>
      <c r="G35" s="14"/>
      <c r="H35" s="112">
        <f>M5</f>
        <v>23.652000000000001</v>
      </c>
    </row>
    <row r="36" spans="2:8" x14ac:dyDescent="0.25">
      <c r="B36" s="138" t="s">
        <v>1295</v>
      </c>
      <c r="C36" s="14">
        <v>1</v>
      </c>
      <c r="D36" s="14">
        <v>9</v>
      </c>
      <c r="E36" s="14">
        <v>7</v>
      </c>
      <c r="F36" s="14">
        <v>8.5</v>
      </c>
      <c r="G36" s="14"/>
      <c r="H36" s="112">
        <f>M6</f>
        <v>619.08400000000006</v>
      </c>
    </row>
    <row r="37" spans="2:8" x14ac:dyDescent="0.25">
      <c r="B37" s="138" t="s">
        <v>1296</v>
      </c>
      <c r="C37" s="14">
        <v>2</v>
      </c>
      <c r="D37" s="14">
        <v>5.56</v>
      </c>
      <c r="E37" s="14">
        <v>4.2</v>
      </c>
      <c r="F37" s="14">
        <v>5.5</v>
      </c>
      <c r="G37" s="14"/>
      <c r="H37" s="112">
        <f>M7</f>
        <v>323.50880000000006</v>
      </c>
    </row>
    <row r="38" spans="2:8" x14ac:dyDescent="0.25">
      <c r="B38" s="138" t="s">
        <v>674</v>
      </c>
      <c r="C38" s="14">
        <v>1</v>
      </c>
      <c r="D38" s="14">
        <v>50</v>
      </c>
      <c r="E38" s="14">
        <v>44.2</v>
      </c>
      <c r="F38" s="14">
        <v>4.5</v>
      </c>
      <c r="G38" s="14"/>
      <c r="H38" s="112">
        <f>M8</f>
        <v>11014.416000000001</v>
      </c>
    </row>
    <row r="39" spans="2:8" x14ac:dyDescent="0.25">
      <c r="B39" s="138" t="s">
        <v>1297</v>
      </c>
      <c r="C39" s="14">
        <v>1</v>
      </c>
      <c r="D39" s="14">
        <v>45</v>
      </c>
      <c r="E39" s="14">
        <v>24</v>
      </c>
      <c r="F39" s="14">
        <v>4</v>
      </c>
      <c r="G39" s="14"/>
      <c r="H39" s="112">
        <f>M9</f>
        <v>4874.1440000000002</v>
      </c>
    </row>
    <row r="40" spans="2:8" x14ac:dyDescent="0.25">
      <c r="B40" s="138" t="s">
        <v>1298</v>
      </c>
      <c r="C40" s="14">
        <v>1</v>
      </c>
      <c r="D40" s="14">
        <v>45</v>
      </c>
      <c r="E40" s="14">
        <v>24</v>
      </c>
      <c r="F40" s="14">
        <v>4</v>
      </c>
      <c r="G40" s="14"/>
      <c r="H40" s="112">
        <f t="shared" ref="H40" si="8">M10</f>
        <v>4874.1440000000002</v>
      </c>
    </row>
  </sheetData>
  <mergeCells count="25">
    <mergeCell ref="B2:O2"/>
    <mergeCell ref="I3:M3"/>
    <mergeCell ref="B24:B25"/>
    <mergeCell ref="C24:C25"/>
    <mergeCell ref="D3:H3"/>
    <mergeCell ref="N3:N4"/>
    <mergeCell ref="O3:O4"/>
    <mergeCell ref="C3:C4"/>
    <mergeCell ref="B3:B4"/>
    <mergeCell ref="F13:K13"/>
    <mergeCell ref="B11:L11"/>
    <mergeCell ref="B33:B34"/>
    <mergeCell ref="C33:C34"/>
    <mergeCell ref="D33:H33"/>
    <mergeCell ref="B32:H32"/>
    <mergeCell ref="H14:H15"/>
    <mergeCell ref="I14:I15"/>
    <mergeCell ref="J14:J15"/>
    <mergeCell ref="K14:K15"/>
    <mergeCell ref="G14:G15"/>
    <mergeCell ref="F14:F15"/>
    <mergeCell ref="B14:B15"/>
    <mergeCell ref="C14:C15"/>
    <mergeCell ref="B13:C13"/>
    <mergeCell ref="B23:C23"/>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E3894-144C-4CD5-91EA-FDFFAC5581A6}">
  <dimension ref="B3:T126"/>
  <sheetViews>
    <sheetView topLeftCell="G1" zoomScale="81" zoomScaleNormal="81" workbookViewId="0">
      <selection activeCell="R3" sqref="R3:S10"/>
    </sheetView>
  </sheetViews>
  <sheetFormatPr defaultColWidth="8.77734375" defaultRowHeight="13.8" x14ac:dyDescent="0.25"/>
  <cols>
    <col min="1" max="2" width="8.77734375" style="12"/>
    <col min="3" max="3" width="25.109375" style="12" customWidth="1"/>
    <col min="4" max="4" width="12.5546875" style="12" customWidth="1"/>
    <col min="5" max="5" width="13.21875" style="12" customWidth="1"/>
    <col min="6" max="6" width="18.44140625" style="12" customWidth="1"/>
    <col min="7" max="7" width="24.109375" style="12" customWidth="1"/>
    <col min="8" max="10" width="8.77734375" style="12"/>
    <col min="11" max="11" width="15.6640625" style="12" customWidth="1"/>
    <col min="12" max="12" width="19.109375" style="12" customWidth="1"/>
    <col min="13" max="13" width="20.33203125" style="12" customWidth="1"/>
    <col min="14" max="14" width="21.88671875" style="12" customWidth="1"/>
    <col min="15" max="15" width="24.6640625" style="12" customWidth="1"/>
    <col min="16" max="16" width="27" style="12" customWidth="1"/>
    <col min="17" max="17" width="8.77734375" style="12"/>
    <col min="18" max="18" width="33.44140625" style="12" customWidth="1"/>
    <col min="19" max="19" width="42.44140625" style="12" customWidth="1"/>
    <col min="20" max="16384" width="8.77734375" style="12"/>
  </cols>
  <sheetData>
    <row r="3" spans="2:20" x14ac:dyDescent="0.25">
      <c r="B3" s="487" t="s">
        <v>1</v>
      </c>
      <c r="C3" s="487" t="s">
        <v>1346</v>
      </c>
      <c r="D3" s="487" t="s">
        <v>1347</v>
      </c>
      <c r="E3" s="487" t="s">
        <v>240</v>
      </c>
      <c r="F3" s="485" t="s">
        <v>1348</v>
      </c>
      <c r="G3" s="487" t="s">
        <v>36</v>
      </c>
      <c r="K3" s="481" t="s">
        <v>1349</v>
      </c>
      <c r="L3" s="482"/>
      <c r="M3" s="485" t="s">
        <v>1350</v>
      </c>
      <c r="N3" s="485" t="s">
        <v>1425</v>
      </c>
      <c r="O3" s="487" t="s">
        <v>240</v>
      </c>
      <c r="P3" s="487" t="s">
        <v>1351</v>
      </c>
      <c r="Q3" s="147"/>
      <c r="R3" s="488" t="s">
        <v>1352</v>
      </c>
      <c r="S3" s="488"/>
      <c r="T3" s="147"/>
    </row>
    <row r="4" spans="2:20" x14ac:dyDescent="0.25">
      <c r="B4" s="486"/>
      <c r="C4" s="486"/>
      <c r="D4" s="486"/>
      <c r="E4" s="486"/>
      <c r="F4" s="486"/>
      <c r="G4" s="486"/>
      <c r="K4" s="483"/>
      <c r="L4" s="484"/>
      <c r="M4" s="486"/>
      <c r="N4" s="486"/>
      <c r="O4" s="486"/>
      <c r="P4" s="486"/>
      <c r="Q4" s="147"/>
      <c r="R4" s="178" t="s">
        <v>2</v>
      </c>
      <c r="S4" s="178" t="s">
        <v>1353</v>
      </c>
      <c r="T4" s="147"/>
    </row>
    <row r="5" spans="2:20" x14ac:dyDescent="0.25">
      <c r="B5" s="443" t="s">
        <v>1354</v>
      </c>
      <c r="C5" s="441"/>
      <c r="D5" s="441"/>
      <c r="E5" s="441"/>
      <c r="F5" s="441"/>
      <c r="G5" s="442"/>
      <c r="K5" s="443" t="s">
        <v>1355</v>
      </c>
      <c r="L5" s="479"/>
      <c r="M5" s="479"/>
      <c r="N5" s="479"/>
      <c r="O5" s="479"/>
      <c r="P5" s="480"/>
      <c r="Q5" s="147"/>
      <c r="R5" s="177" t="s">
        <v>1356</v>
      </c>
      <c r="S5" s="194">
        <f>G46</f>
        <v>2014912.8149999999</v>
      </c>
      <c r="T5" s="147"/>
    </row>
    <row r="6" spans="2:20" x14ac:dyDescent="0.25">
      <c r="B6" s="464" t="s">
        <v>1357</v>
      </c>
      <c r="C6" s="458"/>
      <c r="D6" s="458"/>
      <c r="E6" s="458"/>
      <c r="F6" s="458"/>
      <c r="G6" s="459"/>
      <c r="K6" s="464" t="s">
        <v>1417</v>
      </c>
      <c r="L6" s="458"/>
      <c r="M6" s="458"/>
      <c r="N6" s="458"/>
      <c r="O6" s="458"/>
      <c r="P6" s="459"/>
      <c r="Q6" s="147"/>
      <c r="R6" s="177" t="s">
        <v>1362</v>
      </c>
      <c r="S6" s="194">
        <f>P30</f>
        <v>1734485806365.8037</v>
      </c>
      <c r="T6" s="147"/>
    </row>
    <row r="7" spans="2:20" x14ac:dyDescent="0.25">
      <c r="B7" s="180" t="s">
        <v>510</v>
      </c>
      <c r="C7" s="465" t="s">
        <v>1358</v>
      </c>
      <c r="D7" s="454"/>
      <c r="E7" s="454"/>
      <c r="F7" s="454"/>
      <c r="G7" s="455"/>
      <c r="K7" s="474" t="s">
        <v>1359</v>
      </c>
      <c r="L7" s="475"/>
      <c r="M7" s="186">
        <f>BOQ!H5</f>
        <v>14.32</v>
      </c>
      <c r="N7" s="204">
        <f>$G$74</f>
        <v>104255.11874999999</v>
      </c>
      <c r="O7" s="187" t="s">
        <v>601</v>
      </c>
      <c r="P7" s="204">
        <f>N7*M7</f>
        <v>1492933.3004999999</v>
      </c>
      <c r="Q7" s="147"/>
      <c r="R7" s="177" t="s">
        <v>1338</v>
      </c>
      <c r="S7" s="190">
        <f>P37</f>
        <v>134733350</v>
      </c>
      <c r="T7" s="147"/>
    </row>
    <row r="8" spans="2:20" x14ac:dyDescent="0.25">
      <c r="B8" s="463"/>
      <c r="C8" s="182" t="s">
        <v>1360</v>
      </c>
      <c r="D8" s="181">
        <v>0.35</v>
      </c>
      <c r="E8" s="181" t="s">
        <v>511</v>
      </c>
      <c r="F8" s="197">
        <v>282500</v>
      </c>
      <c r="G8" s="197">
        <f t="shared" ref="G8:G12" si="0">F8*D8</f>
        <v>98875</v>
      </c>
      <c r="K8" s="474" t="s">
        <v>1361</v>
      </c>
      <c r="L8" s="475"/>
      <c r="M8" s="186">
        <f>BOQ!M5</f>
        <v>23.652000000000001</v>
      </c>
      <c r="N8" s="204">
        <f>$G$126</f>
        <v>79730691.952000007</v>
      </c>
      <c r="O8" s="187" t="s">
        <v>601</v>
      </c>
      <c r="P8" s="204">
        <f t="shared" ref="P8" si="1">N8*M8</f>
        <v>1885790326.0487041</v>
      </c>
      <c r="Q8" s="147"/>
      <c r="R8" s="177" t="s">
        <v>1299</v>
      </c>
      <c r="S8" s="190">
        <f>O47</f>
        <v>8139018360.9132967</v>
      </c>
      <c r="T8" s="147"/>
    </row>
    <row r="9" spans="2:20" x14ac:dyDescent="0.25">
      <c r="B9" s="447"/>
      <c r="C9" s="182" t="s">
        <v>1363</v>
      </c>
      <c r="D9" s="181">
        <v>7.6999999999999999E-2</v>
      </c>
      <c r="E9" s="181" t="s">
        <v>601</v>
      </c>
      <c r="F9" s="197">
        <v>9500000</v>
      </c>
      <c r="G9" s="197">
        <f t="shared" si="0"/>
        <v>731500</v>
      </c>
      <c r="K9" s="476" t="s">
        <v>1419</v>
      </c>
      <c r="L9" s="477"/>
      <c r="M9" s="477"/>
      <c r="N9" s="477"/>
      <c r="O9" s="478"/>
      <c r="P9" s="205">
        <f>SUM(P7:P8)</f>
        <v>1887283259.3492041</v>
      </c>
      <c r="Q9" s="147"/>
      <c r="R9" s="177" t="s">
        <v>1432</v>
      </c>
      <c r="S9" s="190">
        <f>O55</f>
        <v>908618340</v>
      </c>
      <c r="T9" s="147"/>
    </row>
    <row r="10" spans="2:20" x14ac:dyDescent="0.25">
      <c r="B10" s="447"/>
      <c r="C10" s="182" t="s">
        <v>1364</v>
      </c>
      <c r="D10" s="181">
        <v>5.8</v>
      </c>
      <c r="E10" s="181" t="s">
        <v>511</v>
      </c>
      <c r="F10" s="197">
        <v>69500</v>
      </c>
      <c r="G10" s="197">
        <f t="shared" si="0"/>
        <v>403100</v>
      </c>
      <c r="K10" s="464" t="s">
        <v>390</v>
      </c>
      <c r="L10" s="458"/>
      <c r="M10" s="458"/>
      <c r="N10" s="458"/>
      <c r="O10" s="458"/>
      <c r="P10" s="459"/>
      <c r="Q10" s="147"/>
      <c r="R10" s="188" t="s">
        <v>1365</v>
      </c>
      <c r="S10" s="195">
        <f>SUM(S5:S9)</f>
        <v>1743670191329.532</v>
      </c>
      <c r="T10" s="147"/>
    </row>
    <row r="11" spans="2:20" x14ac:dyDescent="0.25">
      <c r="B11" s="447"/>
      <c r="C11" s="182" t="s">
        <v>1366</v>
      </c>
      <c r="D11" s="181">
        <v>1.25</v>
      </c>
      <c r="E11" s="181" t="s">
        <v>1367</v>
      </c>
      <c r="F11" s="197">
        <v>24000</v>
      </c>
      <c r="G11" s="197">
        <f t="shared" si="0"/>
        <v>30000</v>
      </c>
      <c r="K11" s="474" t="s">
        <v>1359</v>
      </c>
      <c r="L11" s="475"/>
      <c r="M11" s="186">
        <f>BOQ!H6</f>
        <v>535.5</v>
      </c>
      <c r="N11" s="204">
        <f>$G$74</f>
        <v>104255.11874999999</v>
      </c>
      <c r="O11" s="187" t="s">
        <v>601</v>
      </c>
      <c r="P11" s="204">
        <f>N11*M11</f>
        <v>55828616.090624996</v>
      </c>
      <c r="Q11" s="147"/>
      <c r="R11" s="147"/>
      <c r="S11" s="147"/>
      <c r="T11" s="147"/>
    </row>
    <row r="12" spans="2:20" x14ac:dyDescent="0.25">
      <c r="B12" s="448"/>
      <c r="C12" s="182" t="s">
        <v>1368</v>
      </c>
      <c r="D12" s="181">
        <v>2.5</v>
      </c>
      <c r="E12" s="181" t="s">
        <v>1367</v>
      </c>
      <c r="F12" s="197">
        <v>52500</v>
      </c>
      <c r="G12" s="197">
        <f t="shared" si="0"/>
        <v>131250</v>
      </c>
      <c r="K12" s="474" t="s">
        <v>1361</v>
      </c>
      <c r="L12" s="475"/>
      <c r="M12" s="186">
        <f>BOQ!M6</f>
        <v>619.08400000000006</v>
      </c>
      <c r="N12" s="204">
        <f>$G$126</f>
        <v>79730691.952000007</v>
      </c>
      <c r="O12" s="187" t="s">
        <v>601</v>
      </c>
      <c r="P12" s="204">
        <f t="shared" ref="P12" si="2">N12*M12</f>
        <v>49359995696.41198</v>
      </c>
      <c r="Q12" s="147"/>
      <c r="R12" s="147"/>
      <c r="S12" s="147"/>
      <c r="T12" s="147"/>
    </row>
    <row r="13" spans="2:20" ht="14.4" x14ac:dyDescent="0.3">
      <c r="B13" s="452" t="s">
        <v>1369</v>
      </c>
      <c r="C13" s="450"/>
      <c r="D13" s="450"/>
      <c r="E13" s="450"/>
      <c r="F13" s="451"/>
      <c r="G13" s="196">
        <f>SUM(G8:G12)</f>
        <v>1394725</v>
      </c>
      <c r="K13" s="476" t="s">
        <v>1420</v>
      </c>
      <c r="L13" s="477"/>
      <c r="M13" s="477"/>
      <c r="N13" s="477"/>
      <c r="O13" s="478"/>
      <c r="P13" s="205">
        <f>SUM(P11:P12)</f>
        <v>49415824312.502602</v>
      </c>
      <c r="Q13" s="147"/>
      <c r="R13" s="70"/>
      <c r="S13" s="70"/>
      <c r="T13" s="147"/>
    </row>
    <row r="14" spans="2:20" x14ac:dyDescent="0.25">
      <c r="B14" s="180" t="s">
        <v>1370</v>
      </c>
      <c r="C14" s="465" t="s">
        <v>1371</v>
      </c>
      <c r="D14" s="454"/>
      <c r="E14" s="454"/>
      <c r="F14" s="454"/>
      <c r="G14" s="455"/>
      <c r="K14" s="464" t="s">
        <v>645</v>
      </c>
      <c r="L14" s="458"/>
      <c r="M14" s="458"/>
      <c r="N14" s="458"/>
      <c r="O14" s="458"/>
      <c r="P14" s="459"/>
      <c r="Q14" s="147"/>
      <c r="R14" s="147"/>
      <c r="S14" s="147"/>
      <c r="T14" s="147"/>
    </row>
    <row r="15" spans="2:20" x14ac:dyDescent="0.25">
      <c r="B15" s="463"/>
      <c r="C15" s="182" t="s">
        <v>1372</v>
      </c>
      <c r="D15" s="181">
        <v>1</v>
      </c>
      <c r="E15" s="181" t="s">
        <v>1373</v>
      </c>
      <c r="F15" s="197">
        <v>70000</v>
      </c>
      <c r="G15" s="197">
        <f t="shared" ref="G15:G18" si="3">F15*D15</f>
        <v>70000</v>
      </c>
      <c r="K15" s="474" t="s">
        <v>1359</v>
      </c>
      <c r="L15" s="475"/>
      <c r="M15" s="186">
        <f>BOQ!H7</f>
        <v>256.87200000000001</v>
      </c>
      <c r="N15" s="204">
        <f>$G$74</f>
        <v>104255.11874999999</v>
      </c>
      <c r="O15" s="187" t="s">
        <v>601</v>
      </c>
      <c r="P15" s="204">
        <f>N15*M15</f>
        <v>26780220.86355</v>
      </c>
      <c r="Q15" s="147"/>
      <c r="R15" s="147"/>
      <c r="S15" s="147"/>
      <c r="T15" s="147"/>
    </row>
    <row r="16" spans="2:20" x14ac:dyDescent="0.25">
      <c r="B16" s="447"/>
      <c r="C16" s="182" t="s">
        <v>1374</v>
      </c>
      <c r="D16" s="181">
        <v>1.5</v>
      </c>
      <c r="E16" s="181" t="s">
        <v>1373</v>
      </c>
      <c r="F16" s="197">
        <v>70000</v>
      </c>
      <c r="G16" s="197">
        <f t="shared" si="3"/>
        <v>105000</v>
      </c>
      <c r="K16" s="474" t="s">
        <v>1361</v>
      </c>
      <c r="L16" s="475"/>
      <c r="M16" s="186">
        <f>BOQ!M7</f>
        <v>323.50880000000006</v>
      </c>
      <c r="N16" s="204">
        <f>$G$126</f>
        <v>79730691.952000007</v>
      </c>
      <c r="O16" s="187" t="s">
        <v>601</v>
      </c>
      <c r="P16" s="204">
        <f t="shared" ref="P16" si="4">N16*M16</f>
        <v>25793580476.561184</v>
      </c>
      <c r="Q16" s="147"/>
      <c r="R16" s="147"/>
      <c r="S16" s="147"/>
      <c r="T16" s="147"/>
    </row>
    <row r="17" spans="2:20" x14ac:dyDescent="0.25">
      <c r="B17" s="447"/>
      <c r="C17" s="182" t="s">
        <v>1375</v>
      </c>
      <c r="D17" s="181">
        <v>1</v>
      </c>
      <c r="E17" s="181" t="s">
        <v>1373</v>
      </c>
      <c r="F17" s="197">
        <v>67000</v>
      </c>
      <c r="G17" s="197">
        <f t="shared" si="3"/>
        <v>67000</v>
      </c>
      <c r="K17" s="476" t="s">
        <v>1421</v>
      </c>
      <c r="L17" s="477"/>
      <c r="M17" s="477"/>
      <c r="N17" s="477"/>
      <c r="O17" s="478"/>
      <c r="P17" s="205">
        <f>SUM(P15:P16)</f>
        <v>25820360697.424732</v>
      </c>
      <c r="Q17" s="147"/>
      <c r="R17" s="147"/>
      <c r="S17" s="147"/>
      <c r="T17" s="147"/>
    </row>
    <row r="18" spans="2:20" x14ac:dyDescent="0.25">
      <c r="B18" s="448"/>
      <c r="C18" s="182" t="s">
        <v>1376</v>
      </c>
      <c r="D18" s="181">
        <v>0.1</v>
      </c>
      <c r="E18" s="181" t="s">
        <v>1373</v>
      </c>
      <c r="F18" s="197">
        <v>85000</v>
      </c>
      <c r="G18" s="197">
        <f t="shared" si="3"/>
        <v>8500</v>
      </c>
      <c r="K18" s="464" t="s">
        <v>393</v>
      </c>
      <c r="L18" s="458"/>
      <c r="M18" s="458"/>
      <c r="N18" s="458"/>
      <c r="O18" s="458"/>
      <c r="P18" s="459"/>
      <c r="Q18" s="147"/>
      <c r="R18" s="147"/>
      <c r="S18" s="147"/>
      <c r="T18" s="147"/>
    </row>
    <row r="19" spans="2:20" x14ac:dyDescent="0.25">
      <c r="B19" s="452" t="s">
        <v>1377</v>
      </c>
      <c r="C19" s="450"/>
      <c r="D19" s="450"/>
      <c r="E19" s="450"/>
      <c r="F19" s="451"/>
      <c r="G19" s="196">
        <f>SUM(G15:G18)</f>
        <v>250500</v>
      </c>
      <c r="K19" s="474" t="s">
        <v>1359</v>
      </c>
      <c r="L19" s="475"/>
      <c r="M19" s="186">
        <f>BOQ!H8</f>
        <v>9945</v>
      </c>
      <c r="N19" s="204">
        <f>$G$74</f>
        <v>104255.11874999999</v>
      </c>
      <c r="O19" s="187" t="s">
        <v>601</v>
      </c>
      <c r="P19" s="204">
        <f>N19*M19</f>
        <v>1036817155.96875</v>
      </c>
      <c r="Q19" s="147"/>
      <c r="R19" s="147"/>
      <c r="S19" s="147"/>
      <c r="T19" s="147"/>
    </row>
    <row r="20" spans="2:20" x14ac:dyDescent="0.25">
      <c r="B20" s="467" t="s">
        <v>1378</v>
      </c>
      <c r="C20" s="468"/>
      <c r="D20" s="468"/>
      <c r="E20" s="468"/>
      <c r="F20" s="469"/>
      <c r="G20" s="198">
        <f>G13+G19</f>
        <v>1645225</v>
      </c>
      <c r="K20" s="474" t="s">
        <v>1361</v>
      </c>
      <c r="L20" s="475"/>
      <c r="M20" s="186">
        <f>BOQ!M8</f>
        <v>11014.416000000001</v>
      </c>
      <c r="N20" s="204">
        <f>$G$126</f>
        <v>79730691.952000007</v>
      </c>
      <c r="O20" s="187" t="s">
        <v>601</v>
      </c>
      <c r="P20" s="204">
        <f t="shared" ref="P20" si="5">N20*M20</f>
        <v>878187009127.18018</v>
      </c>
      <c r="Q20" s="147"/>
      <c r="R20" s="147"/>
      <c r="S20" s="147"/>
      <c r="T20" s="147"/>
    </row>
    <row r="21" spans="2:20" x14ac:dyDescent="0.25">
      <c r="B21" s="467" t="s">
        <v>1379</v>
      </c>
      <c r="C21" s="468"/>
      <c r="D21" s="468"/>
      <c r="E21" s="468"/>
      <c r="F21" s="469"/>
      <c r="G21" s="199">
        <f>15%*G20</f>
        <v>246783.75</v>
      </c>
      <c r="K21" s="476" t="s">
        <v>1422</v>
      </c>
      <c r="L21" s="477"/>
      <c r="M21" s="477"/>
      <c r="N21" s="477"/>
      <c r="O21" s="478"/>
      <c r="P21" s="205">
        <f>SUM(P19:P20)</f>
        <v>879223826283.14893</v>
      </c>
      <c r="Q21" s="147"/>
      <c r="R21" s="147"/>
      <c r="S21" s="147"/>
      <c r="T21" s="147"/>
    </row>
    <row r="22" spans="2:20" x14ac:dyDescent="0.25">
      <c r="B22" s="456" t="s">
        <v>1380</v>
      </c>
      <c r="C22" s="450"/>
      <c r="D22" s="450"/>
      <c r="E22" s="450"/>
      <c r="F22" s="451"/>
      <c r="G22" s="200">
        <f>G21+G20</f>
        <v>1892008.75</v>
      </c>
      <c r="K22" s="464" t="s">
        <v>394</v>
      </c>
      <c r="L22" s="458"/>
      <c r="M22" s="458"/>
      <c r="N22" s="458"/>
      <c r="O22" s="458"/>
      <c r="P22" s="459"/>
      <c r="Q22" s="147"/>
      <c r="R22" s="147"/>
      <c r="S22" s="147"/>
      <c r="T22" s="147"/>
    </row>
    <row r="23" spans="2:20" x14ac:dyDescent="0.25">
      <c r="B23" s="464" t="s">
        <v>1381</v>
      </c>
      <c r="C23" s="458"/>
      <c r="D23" s="458"/>
      <c r="E23" s="458"/>
      <c r="F23" s="458"/>
      <c r="G23" s="459"/>
      <c r="K23" s="474" t="s">
        <v>1359</v>
      </c>
      <c r="L23" s="475"/>
      <c r="M23" s="186">
        <f>BOQ!H9</f>
        <v>4320</v>
      </c>
      <c r="N23" s="204">
        <f>$G$74</f>
        <v>104255.11874999999</v>
      </c>
      <c r="O23" s="187" t="s">
        <v>601</v>
      </c>
      <c r="P23" s="204">
        <f>N23*M23</f>
        <v>450382113</v>
      </c>
      <c r="Q23" s="147"/>
      <c r="R23" s="147"/>
      <c r="S23" s="147"/>
      <c r="T23" s="147"/>
    </row>
    <row r="24" spans="2:20" x14ac:dyDescent="0.25">
      <c r="B24" s="180" t="s">
        <v>510</v>
      </c>
      <c r="C24" s="465" t="s">
        <v>1358</v>
      </c>
      <c r="D24" s="454"/>
      <c r="E24" s="454"/>
      <c r="F24" s="454"/>
      <c r="G24" s="455"/>
      <c r="K24" s="474" t="s">
        <v>1361</v>
      </c>
      <c r="L24" s="475"/>
      <c r="M24" s="186">
        <f>BOQ!M9</f>
        <v>4874.1440000000002</v>
      </c>
      <c r="N24" s="204">
        <f>$G$126</f>
        <v>79730691.952000007</v>
      </c>
      <c r="O24" s="187" t="s">
        <v>601</v>
      </c>
      <c r="P24" s="204">
        <f t="shared" ref="P24" si="6">N24*M24</f>
        <v>388618873793.68915</v>
      </c>
      <c r="Q24" s="147"/>
      <c r="R24" s="147"/>
      <c r="S24" s="147"/>
      <c r="T24" s="147"/>
    </row>
    <row r="25" spans="2:20" x14ac:dyDescent="0.25">
      <c r="B25" s="463"/>
      <c r="C25" s="182" t="s">
        <v>1382</v>
      </c>
      <c r="D25" s="181">
        <v>1.2999999999999999E-2</v>
      </c>
      <c r="E25" s="181" t="s">
        <v>601</v>
      </c>
      <c r="F25" s="197">
        <v>3692500</v>
      </c>
      <c r="G25" s="197">
        <f t="shared" ref="G25:G27" si="7">F25*D25</f>
        <v>48002.5</v>
      </c>
      <c r="K25" s="476" t="s">
        <v>1423</v>
      </c>
      <c r="L25" s="477"/>
      <c r="M25" s="477"/>
      <c r="N25" s="477"/>
      <c r="O25" s="478"/>
      <c r="P25" s="205">
        <f>SUM(P23:P24)</f>
        <v>389069255906.68915</v>
      </c>
      <c r="Q25" s="147"/>
      <c r="R25" s="147"/>
      <c r="S25" s="147"/>
      <c r="T25" s="147"/>
    </row>
    <row r="26" spans="2:20" x14ac:dyDescent="0.25">
      <c r="B26" s="472"/>
      <c r="C26" s="182" t="s">
        <v>1383</v>
      </c>
      <c r="D26" s="181">
        <v>7.0000000000000001E-3</v>
      </c>
      <c r="E26" s="181" t="s">
        <v>511</v>
      </c>
      <c r="F26" s="197">
        <v>6405800</v>
      </c>
      <c r="G26" s="197">
        <f t="shared" si="7"/>
        <v>44840.6</v>
      </c>
      <c r="K26" s="464" t="s">
        <v>1418</v>
      </c>
      <c r="L26" s="458"/>
      <c r="M26" s="458"/>
      <c r="N26" s="458"/>
      <c r="O26" s="458"/>
      <c r="P26" s="459"/>
      <c r="Q26" s="147"/>
      <c r="R26" s="147"/>
      <c r="S26" s="147"/>
      <c r="T26" s="147"/>
    </row>
    <row r="27" spans="2:20" x14ac:dyDescent="0.25">
      <c r="B27" s="473"/>
      <c r="C27" s="182" t="s">
        <v>1366</v>
      </c>
      <c r="D27" s="181">
        <v>0.02</v>
      </c>
      <c r="E27" s="181" t="s">
        <v>1367</v>
      </c>
      <c r="F27" s="197">
        <v>24000</v>
      </c>
      <c r="G27" s="197">
        <f t="shared" si="7"/>
        <v>480</v>
      </c>
      <c r="K27" s="474" t="s">
        <v>1359</v>
      </c>
      <c r="L27" s="475"/>
      <c r="M27" s="186">
        <f>BOQ!H10</f>
        <v>4320</v>
      </c>
      <c r="N27" s="204">
        <f>$G$74</f>
        <v>104255.11874999999</v>
      </c>
      <c r="O27" s="187" t="s">
        <v>601</v>
      </c>
      <c r="P27" s="204">
        <f>N27*M27</f>
        <v>450382113</v>
      </c>
      <c r="Q27" s="147"/>
      <c r="R27" s="147"/>
      <c r="S27" s="147"/>
      <c r="T27" s="147"/>
    </row>
    <row r="28" spans="2:20" x14ac:dyDescent="0.25">
      <c r="B28" s="452" t="s">
        <v>1369</v>
      </c>
      <c r="C28" s="444"/>
      <c r="D28" s="444"/>
      <c r="E28" s="444"/>
      <c r="F28" s="445"/>
      <c r="G28" s="196">
        <f>SUM(G25:G27)</f>
        <v>93323.1</v>
      </c>
      <c r="K28" s="474" t="s">
        <v>1361</v>
      </c>
      <c r="L28" s="475"/>
      <c r="M28" s="186">
        <f>BOQ!M10</f>
        <v>4874.1440000000002</v>
      </c>
      <c r="N28" s="204">
        <f>$G$126</f>
        <v>79730691.952000007</v>
      </c>
      <c r="O28" s="187" t="s">
        <v>601</v>
      </c>
      <c r="P28" s="204">
        <f t="shared" ref="P28" si="8">N28*M28</f>
        <v>388618873793.68915</v>
      </c>
      <c r="Q28" s="147"/>
      <c r="R28" s="147"/>
      <c r="S28" s="147"/>
      <c r="T28" s="147"/>
    </row>
    <row r="29" spans="2:20" x14ac:dyDescent="0.25">
      <c r="B29" s="180" t="s">
        <v>1370</v>
      </c>
      <c r="C29" s="465" t="s">
        <v>1384</v>
      </c>
      <c r="D29" s="470"/>
      <c r="E29" s="470"/>
      <c r="F29" s="470"/>
      <c r="G29" s="471"/>
      <c r="K29" s="476" t="s">
        <v>1424</v>
      </c>
      <c r="L29" s="477"/>
      <c r="M29" s="477"/>
      <c r="N29" s="477"/>
      <c r="O29" s="478"/>
      <c r="P29" s="205">
        <f>SUM(P27:P28)</f>
        <v>389069255906.68915</v>
      </c>
      <c r="Q29" s="147"/>
      <c r="R29" s="147"/>
      <c r="S29" s="147"/>
      <c r="T29" s="147"/>
    </row>
    <row r="30" spans="2:20" x14ac:dyDescent="0.25">
      <c r="B30" s="463"/>
      <c r="C30" s="182" t="s">
        <v>1375</v>
      </c>
      <c r="D30" s="181">
        <v>0.1</v>
      </c>
      <c r="E30" s="181" t="s">
        <v>1373</v>
      </c>
      <c r="F30" s="197">
        <f>F17</f>
        <v>67000</v>
      </c>
      <c r="G30" s="197">
        <f>F30*D30</f>
        <v>6700</v>
      </c>
      <c r="K30" s="466" t="s">
        <v>1460</v>
      </c>
      <c r="L30" s="466"/>
      <c r="M30" s="466"/>
      <c r="N30" s="466"/>
      <c r="O30" s="466"/>
      <c r="P30" s="206">
        <f>SUM(P9,P13,P17,P21,P25,P29)</f>
        <v>1734485806365.8037</v>
      </c>
      <c r="Q30" s="147"/>
      <c r="R30" s="147"/>
      <c r="S30" s="147"/>
      <c r="T30" s="147"/>
    </row>
    <row r="31" spans="2:20" ht="14.4" x14ac:dyDescent="0.3">
      <c r="B31" s="472"/>
      <c r="C31" s="182" t="s">
        <v>1372</v>
      </c>
      <c r="D31" s="181">
        <v>0.01</v>
      </c>
      <c r="E31" s="181" t="s">
        <v>1373</v>
      </c>
      <c r="F31" s="197">
        <f>F15</f>
        <v>70000</v>
      </c>
      <c r="G31" s="197">
        <f>F30*D31</f>
        <v>670</v>
      </c>
      <c r="K31"/>
      <c r="L31"/>
      <c r="M31"/>
      <c r="N31"/>
      <c r="O31"/>
      <c r="P31"/>
      <c r="Q31" s="147"/>
      <c r="R31" s="147"/>
      <c r="S31" s="147"/>
      <c r="T31" s="147"/>
    </row>
    <row r="32" spans="2:20" x14ac:dyDescent="0.25">
      <c r="B32" s="472"/>
      <c r="C32" s="182" t="s">
        <v>1385</v>
      </c>
      <c r="D32" s="181">
        <v>0.01</v>
      </c>
      <c r="E32" s="181" t="s">
        <v>1373</v>
      </c>
      <c r="F32" s="197">
        <v>80000</v>
      </c>
      <c r="G32" s="197">
        <f>F32*D32</f>
        <v>800</v>
      </c>
      <c r="Q32" s="147"/>
      <c r="R32" s="147"/>
      <c r="S32" s="147"/>
      <c r="T32" s="147"/>
    </row>
    <row r="33" spans="2:20" x14ac:dyDescent="0.25">
      <c r="B33" s="473"/>
      <c r="C33" s="182" t="s">
        <v>1376</v>
      </c>
      <c r="D33" s="181">
        <v>0.01</v>
      </c>
      <c r="E33" s="181" t="s">
        <v>1373</v>
      </c>
      <c r="F33" s="197">
        <f>F18</f>
        <v>85000</v>
      </c>
      <c r="G33" s="197">
        <f>F33*D33</f>
        <v>850</v>
      </c>
      <c r="K33" s="443" t="s">
        <v>1429</v>
      </c>
      <c r="L33" s="444"/>
      <c r="M33" s="444"/>
      <c r="N33" s="444"/>
      <c r="O33" s="444"/>
      <c r="P33" s="445"/>
      <c r="Q33" s="147"/>
      <c r="R33" s="147"/>
      <c r="S33" s="147"/>
      <c r="T33" s="147"/>
    </row>
    <row r="34" spans="2:20" x14ac:dyDescent="0.25">
      <c r="B34" s="452" t="s">
        <v>1377</v>
      </c>
      <c r="C34" s="450"/>
      <c r="D34" s="450"/>
      <c r="E34" s="450"/>
      <c r="F34" s="451"/>
      <c r="G34" s="196">
        <f>SUM(G30:G33)</f>
        <v>9020</v>
      </c>
      <c r="K34" s="113" t="s">
        <v>1335</v>
      </c>
      <c r="L34" s="113" t="s">
        <v>1284</v>
      </c>
      <c r="M34" s="113" t="s">
        <v>1426</v>
      </c>
      <c r="N34" s="113" t="s">
        <v>1427</v>
      </c>
      <c r="O34" s="192" t="s">
        <v>1428</v>
      </c>
      <c r="P34" s="192" t="s">
        <v>1351</v>
      </c>
      <c r="Q34" s="147"/>
      <c r="R34" s="147"/>
      <c r="S34" s="147"/>
      <c r="T34" s="147"/>
    </row>
    <row r="35" spans="2:20" x14ac:dyDescent="0.25">
      <c r="B35" s="467" t="s">
        <v>1378</v>
      </c>
      <c r="C35" s="468"/>
      <c r="D35" s="468"/>
      <c r="E35" s="468"/>
      <c r="F35" s="469"/>
      <c r="G35" s="198">
        <f>G34+G28</f>
        <v>102343.1</v>
      </c>
      <c r="K35" s="14">
        <v>75</v>
      </c>
      <c r="L35" s="14">
        <f>BOQ!H21</f>
        <v>348</v>
      </c>
      <c r="M35" s="14">
        <v>6</v>
      </c>
      <c r="N35" s="14">
        <f>L35/M35</f>
        <v>58</v>
      </c>
      <c r="O35" s="189">
        <v>105200</v>
      </c>
      <c r="P35" s="189">
        <f>N35*O35</f>
        <v>6101600</v>
      </c>
      <c r="Q35" s="147"/>
      <c r="R35" s="147"/>
      <c r="S35" s="147"/>
      <c r="T35" s="147"/>
    </row>
    <row r="36" spans="2:20" x14ac:dyDescent="0.25">
      <c r="B36" s="467" t="s">
        <v>1379</v>
      </c>
      <c r="C36" s="468"/>
      <c r="D36" s="468"/>
      <c r="E36" s="468"/>
      <c r="F36" s="469"/>
      <c r="G36" s="199">
        <f>15%*G35</f>
        <v>15351.465</v>
      </c>
      <c r="K36" s="14">
        <v>500</v>
      </c>
      <c r="L36" s="14">
        <f>SUM(BOQ!H16:H20,BOQ!H22:H25)</f>
        <v>167</v>
      </c>
      <c r="M36" s="14">
        <v>6</v>
      </c>
      <c r="N36" s="18">
        <f>L36/M36</f>
        <v>27.833333333333332</v>
      </c>
      <c r="O36" s="189">
        <v>4621500</v>
      </c>
      <c r="P36" s="189">
        <f>N36*O36</f>
        <v>128631750</v>
      </c>
      <c r="Q36" s="147"/>
      <c r="R36" s="147"/>
      <c r="S36" s="147"/>
      <c r="T36" s="147"/>
    </row>
    <row r="37" spans="2:20" x14ac:dyDescent="0.25">
      <c r="B37" s="456" t="s">
        <v>1380</v>
      </c>
      <c r="C37" s="450"/>
      <c r="D37" s="450"/>
      <c r="E37" s="450"/>
      <c r="F37" s="451"/>
      <c r="G37" s="200">
        <f>G36+G35</f>
        <v>117694.565</v>
      </c>
      <c r="K37" s="439" t="s">
        <v>1430</v>
      </c>
      <c r="L37" s="439"/>
      <c r="M37" s="439"/>
      <c r="N37" s="439"/>
      <c r="O37" s="439"/>
      <c r="P37" s="193">
        <f>SUM(P35:P36)</f>
        <v>134733350</v>
      </c>
      <c r="Q37" s="147"/>
      <c r="R37" s="147"/>
      <c r="S37" s="147"/>
      <c r="T37" s="147"/>
    </row>
    <row r="38" spans="2:20" ht="14.4" x14ac:dyDescent="0.3">
      <c r="B38" s="464" t="s">
        <v>1386</v>
      </c>
      <c r="C38" s="458"/>
      <c r="D38" s="458"/>
      <c r="E38" s="458"/>
      <c r="F38" s="458"/>
      <c r="G38" s="459"/>
      <c r="K38"/>
      <c r="L38"/>
      <c r="M38"/>
      <c r="N38"/>
      <c r="O38"/>
      <c r="P38"/>
      <c r="Q38" s="147"/>
      <c r="R38" s="147"/>
      <c r="S38" s="147"/>
      <c r="T38" s="147"/>
    </row>
    <row r="39" spans="2:20" ht="14.4" x14ac:dyDescent="0.3">
      <c r="B39" s="180" t="s">
        <v>510</v>
      </c>
      <c r="C39" s="465" t="s">
        <v>1371</v>
      </c>
      <c r="D39" s="454"/>
      <c r="E39" s="454"/>
      <c r="F39" s="454"/>
      <c r="G39" s="455"/>
      <c r="K39" s="264" t="s">
        <v>1433</v>
      </c>
      <c r="L39" s="264"/>
      <c r="M39" s="264"/>
      <c r="N39" s="264"/>
      <c r="O39" s="264"/>
      <c r="P39"/>
      <c r="Q39" s="147"/>
      <c r="R39" s="147"/>
      <c r="S39" s="147"/>
      <c r="T39" s="147"/>
    </row>
    <row r="40" spans="2:20" ht="14.4" x14ac:dyDescent="0.3">
      <c r="B40" s="463"/>
      <c r="C40" s="182" t="s">
        <v>1375</v>
      </c>
      <c r="D40" s="181">
        <v>0.06</v>
      </c>
      <c r="E40" s="181" t="s">
        <v>1373</v>
      </c>
      <c r="F40" s="197">
        <f>F30</f>
        <v>67000</v>
      </c>
      <c r="G40" s="197">
        <f t="shared" ref="G40:G41" si="9">F40*D40</f>
        <v>4020</v>
      </c>
      <c r="K40" s="264" t="s">
        <v>189</v>
      </c>
      <c r="L40" s="264"/>
      <c r="M40" s="113" t="s">
        <v>1283</v>
      </c>
      <c r="N40" s="113" t="s">
        <v>1431</v>
      </c>
      <c r="O40" s="113" t="s">
        <v>1351</v>
      </c>
      <c r="P40"/>
      <c r="Q40" s="147"/>
      <c r="R40" s="147"/>
      <c r="S40" s="147"/>
      <c r="T40" s="147"/>
    </row>
    <row r="41" spans="2:20" ht="14.4" x14ac:dyDescent="0.3">
      <c r="B41" s="448"/>
      <c r="C41" s="182" t="s">
        <v>1376</v>
      </c>
      <c r="D41" s="181">
        <v>6.0000000000000001E-3</v>
      </c>
      <c r="E41" s="181" t="s">
        <v>1373</v>
      </c>
      <c r="F41" s="197">
        <f>F33</f>
        <v>85000</v>
      </c>
      <c r="G41" s="197">
        <f t="shared" si="9"/>
        <v>510</v>
      </c>
      <c r="K41" s="239" t="s">
        <v>1300</v>
      </c>
      <c r="L41" s="239"/>
      <c r="M41" s="18">
        <f>BOQ!C16</f>
        <v>62.453386283754369</v>
      </c>
      <c r="N41" s="191">
        <v>118892979</v>
      </c>
      <c r="O41" s="191">
        <f>M41*N41</f>
        <v>7425269143.9132967</v>
      </c>
      <c r="P41"/>
      <c r="Q41" s="147"/>
      <c r="R41" s="147"/>
      <c r="S41" s="147"/>
      <c r="T41" s="147"/>
    </row>
    <row r="42" spans="2:20" ht="14.4" x14ac:dyDescent="0.3">
      <c r="B42" s="452" t="s">
        <v>1369</v>
      </c>
      <c r="C42" s="450"/>
      <c r="D42" s="450"/>
      <c r="E42" s="450"/>
      <c r="F42" s="451"/>
      <c r="G42" s="196">
        <f>SUM(G40:G41)</f>
        <v>4530</v>
      </c>
      <c r="K42" s="239" t="s">
        <v>411</v>
      </c>
      <c r="L42" s="239"/>
      <c r="M42" s="18">
        <f>BOQ!C17</f>
        <v>2</v>
      </c>
      <c r="N42" s="191">
        <v>183500000</v>
      </c>
      <c r="O42" s="191">
        <f>M42*N42</f>
        <v>367000000</v>
      </c>
      <c r="P42"/>
      <c r="Q42" s="147"/>
      <c r="R42" s="147"/>
      <c r="S42" s="147"/>
      <c r="T42" s="147"/>
    </row>
    <row r="43" spans="2:20" ht="14.4" x14ac:dyDescent="0.3">
      <c r="B43" s="452" t="s">
        <v>1369</v>
      </c>
      <c r="C43" s="450"/>
      <c r="D43" s="450"/>
      <c r="E43" s="450"/>
      <c r="F43" s="451"/>
      <c r="G43" s="196">
        <f>G42</f>
        <v>4530</v>
      </c>
      <c r="K43" s="239" t="s">
        <v>1301</v>
      </c>
      <c r="L43" s="239"/>
      <c r="M43" s="18">
        <f>BOQ!C18</f>
        <v>1</v>
      </c>
      <c r="N43" s="191">
        <v>90260100</v>
      </c>
      <c r="O43" s="191">
        <f>M43*N43</f>
        <v>90260100</v>
      </c>
      <c r="P43"/>
      <c r="Q43" s="147"/>
      <c r="R43" s="147"/>
      <c r="S43" s="147"/>
      <c r="T43" s="147"/>
    </row>
    <row r="44" spans="2:20" ht="14.4" x14ac:dyDescent="0.3">
      <c r="B44" s="453" t="s">
        <v>1379</v>
      </c>
      <c r="C44" s="454"/>
      <c r="D44" s="454"/>
      <c r="E44" s="454"/>
      <c r="F44" s="455"/>
      <c r="G44" s="201">
        <f>15%*G43</f>
        <v>679.5</v>
      </c>
      <c r="K44" s="239" t="s">
        <v>1302</v>
      </c>
      <c r="L44" s="239"/>
      <c r="M44" s="18">
        <f>BOQ!C19</f>
        <v>2</v>
      </c>
      <c r="N44" s="191">
        <v>112825125</v>
      </c>
      <c r="O44" s="191">
        <f t="shared" ref="O44:O46" si="10">M44*N44</f>
        <v>225650250</v>
      </c>
      <c r="P44"/>
      <c r="Q44" s="147"/>
      <c r="R44" s="147"/>
      <c r="S44" s="147"/>
      <c r="T44" s="147"/>
    </row>
    <row r="45" spans="2:20" ht="14.4" x14ac:dyDescent="0.3">
      <c r="B45" s="456" t="s">
        <v>1380</v>
      </c>
      <c r="C45" s="450"/>
      <c r="D45" s="450"/>
      <c r="E45" s="450"/>
      <c r="F45" s="451"/>
      <c r="G45" s="200">
        <f>G44+G43</f>
        <v>5209.5</v>
      </c>
      <c r="K45" s="239" t="s">
        <v>1340</v>
      </c>
      <c r="L45" s="239"/>
      <c r="M45" s="18">
        <f>BOQ!C20</f>
        <v>1</v>
      </c>
      <c r="N45" s="191">
        <v>16547685</v>
      </c>
      <c r="O45" s="191">
        <f t="shared" si="10"/>
        <v>16547685</v>
      </c>
      <c r="P45"/>
      <c r="Q45" s="147"/>
      <c r="R45" s="147"/>
      <c r="S45" s="147"/>
      <c r="T45" s="147"/>
    </row>
    <row r="46" spans="2:20" ht="14.4" x14ac:dyDescent="0.3">
      <c r="B46" s="440" t="s">
        <v>1387</v>
      </c>
      <c r="C46" s="441"/>
      <c r="D46" s="441"/>
      <c r="E46" s="441"/>
      <c r="F46" s="442"/>
      <c r="G46" s="202">
        <f>G22+G37+G45</f>
        <v>2014912.8149999999</v>
      </c>
      <c r="K46" s="239" t="s">
        <v>1416</v>
      </c>
      <c r="L46" s="239"/>
      <c r="M46" s="18">
        <f>BOQ!C21</f>
        <v>1</v>
      </c>
      <c r="N46" s="191">
        <v>14291182</v>
      </c>
      <c r="O46" s="191">
        <f t="shared" si="10"/>
        <v>14291182</v>
      </c>
      <c r="P46"/>
      <c r="Q46" s="147"/>
      <c r="R46" s="147"/>
      <c r="S46" s="147"/>
      <c r="T46" s="147"/>
    </row>
    <row r="47" spans="2:20" ht="14.4" x14ac:dyDescent="0.3">
      <c r="K47" s="439" t="s">
        <v>1434</v>
      </c>
      <c r="L47" s="439"/>
      <c r="M47" s="439"/>
      <c r="N47" s="439"/>
      <c r="O47" s="192">
        <f>SUM(O41:O46)</f>
        <v>8139018360.9132967</v>
      </c>
      <c r="P47"/>
      <c r="Q47" s="147"/>
      <c r="R47" s="147"/>
      <c r="S47" s="147"/>
      <c r="T47" s="147"/>
    </row>
    <row r="48" spans="2:20" ht="14.4" x14ac:dyDescent="0.3">
      <c r="B48" s="443" t="s">
        <v>1388</v>
      </c>
      <c r="C48" s="441"/>
      <c r="D48" s="441"/>
      <c r="E48" s="441"/>
      <c r="F48" s="441"/>
      <c r="G48" s="442"/>
      <c r="K48"/>
      <c r="L48"/>
      <c r="M48"/>
      <c r="N48"/>
      <c r="O48"/>
      <c r="P48"/>
      <c r="Q48" s="147"/>
      <c r="R48" s="147"/>
      <c r="S48" s="147"/>
      <c r="T48" s="147"/>
    </row>
    <row r="49" spans="2:20" ht="14.4" x14ac:dyDescent="0.3">
      <c r="B49" s="464" t="s">
        <v>1389</v>
      </c>
      <c r="C49" s="458"/>
      <c r="D49" s="458"/>
      <c r="E49" s="458"/>
      <c r="F49" s="458"/>
      <c r="G49" s="459"/>
      <c r="K49" s="264" t="s">
        <v>1435</v>
      </c>
      <c r="L49" s="264"/>
      <c r="M49" s="264"/>
      <c r="N49" s="264"/>
      <c r="O49" s="264"/>
      <c r="P49"/>
      <c r="Q49" s="147"/>
      <c r="R49" s="147"/>
      <c r="S49" s="147"/>
      <c r="T49" s="147"/>
    </row>
    <row r="50" spans="2:20" ht="14.4" x14ac:dyDescent="0.3">
      <c r="B50" s="180" t="s">
        <v>510</v>
      </c>
      <c r="C50" s="465" t="s">
        <v>1371</v>
      </c>
      <c r="D50" s="454"/>
      <c r="E50" s="454"/>
      <c r="F50" s="454"/>
      <c r="G50" s="455"/>
      <c r="K50" s="264" t="s">
        <v>189</v>
      </c>
      <c r="L50" s="264"/>
      <c r="M50" s="113" t="s">
        <v>1283</v>
      </c>
      <c r="N50" s="113" t="s">
        <v>1431</v>
      </c>
      <c r="O50" s="113" t="s">
        <v>1351</v>
      </c>
      <c r="P50"/>
      <c r="Q50" s="147"/>
      <c r="R50" s="147"/>
      <c r="S50" s="147"/>
      <c r="T50" s="147"/>
    </row>
    <row r="51" spans="2:20" ht="14.4" x14ac:dyDescent="0.3">
      <c r="B51" s="463"/>
      <c r="C51" s="182" t="s">
        <v>1375</v>
      </c>
      <c r="D51" s="181">
        <v>7.4999999999999997E-2</v>
      </c>
      <c r="E51" s="181" t="s">
        <v>1373</v>
      </c>
      <c r="F51" s="197">
        <f>F40</f>
        <v>67000</v>
      </c>
      <c r="G51" s="197">
        <f t="shared" ref="G51:G52" si="11">F51*D51</f>
        <v>5025</v>
      </c>
      <c r="K51" s="378" t="str">
        <f>BOQ!B26</f>
        <v>Diameter 600 mm x 15 m</v>
      </c>
      <c r="L51" s="380"/>
      <c r="M51" s="18">
        <f>BOQ!C26</f>
        <v>7</v>
      </c>
      <c r="N51" s="191">
        <v>27078030</v>
      </c>
      <c r="O51" s="191">
        <f>M51*N51</f>
        <v>189546210</v>
      </c>
      <c r="P51"/>
      <c r="Q51" s="147"/>
      <c r="R51" s="147"/>
      <c r="S51" s="147"/>
      <c r="T51" s="147"/>
    </row>
    <row r="52" spans="2:20" x14ac:dyDescent="0.25">
      <c r="B52" s="448"/>
      <c r="C52" s="182" t="s">
        <v>1376</v>
      </c>
      <c r="D52" s="181">
        <v>7.4999999999999997E-3</v>
      </c>
      <c r="E52" s="181" t="s">
        <v>1373</v>
      </c>
      <c r="F52" s="197">
        <f>F41</f>
        <v>85000</v>
      </c>
      <c r="G52" s="197">
        <f t="shared" si="11"/>
        <v>637.5</v>
      </c>
      <c r="K52" s="378" t="str">
        <f>BOQ!B27</f>
        <v>Diameter 70 mm x 15 m</v>
      </c>
      <c r="L52" s="380"/>
      <c r="M52" s="18">
        <f>BOQ!C27</f>
        <v>62</v>
      </c>
      <c r="N52" s="191">
        <v>9026010</v>
      </c>
      <c r="O52" s="191">
        <f>M52*N52</f>
        <v>559612620</v>
      </c>
      <c r="Q52" s="147"/>
      <c r="R52" s="147"/>
      <c r="S52" s="147"/>
      <c r="T52" s="147"/>
    </row>
    <row r="53" spans="2:20" x14ac:dyDescent="0.25">
      <c r="B53" s="452" t="s">
        <v>1369</v>
      </c>
      <c r="C53" s="450"/>
      <c r="D53" s="450"/>
      <c r="E53" s="450"/>
      <c r="F53" s="451"/>
      <c r="G53" s="196">
        <f>SUM(G51:G52)</f>
        <v>5662.5</v>
      </c>
      <c r="K53" s="378" t="str">
        <f>BOQ!B28</f>
        <v>Diameter 500 mm x 30 m x 25 kw unit</v>
      </c>
      <c r="L53" s="380"/>
      <c r="M53" s="18">
        <f>BOQ!C28</f>
        <v>2</v>
      </c>
      <c r="N53" s="191">
        <v>34599705</v>
      </c>
      <c r="O53" s="191">
        <f>M53*N53</f>
        <v>69199410</v>
      </c>
      <c r="Q53" s="147"/>
      <c r="R53" s="147"/>
      <c r="S53" s="147"/>
      <c r="T53" s="147"/>
    </row>
    <row r="54" spans="2:20" x14ac:dyDescent="0.25">
      <c r="B54" s="452" t="s">
        <v>1369</v>
      </c>
      <c r="C54" s="450"/>
      <c r="D54" s="450"/>
      <c r="E54" s="450"/>
      <c r="F54" s="451"/>
      <c r="G54" s="196">
        <f>G53</f>
        <v>5662.5</v>
      </c>
      <c r="K54" s="378" t="str">
        <f>BOQ!B29</f>
        <v>Diameter 1000 mm x 30 m x 50 kw unit</v>
      </c>
      <c r="L54" s="380"/>
      <c r="M54" s="18">
        <f>BOQ!C29</f>
        <v>2</v>
      </c>
      <c r="N54" s="191">
        <v>45130050</v>
      </c>
      <c r="O54" s="191">
        <f t="shared" ref="O54" si="12">M54*N54</f>
        <v>90260100</v>
      </c>
      <c r="Q54" s="147"/>
      <c r="R54" s="147"/>
      <c r="S54" s="147"/>
      <c r="T54" s="147"/>
    </row>
    <row r="55" spans="2:20" x14ac:dyDescent="0.25">
      <c r="B55" s="453" t="s">
        <v>1379</v>
      </c>
      <c r="C55" s="454"/>
      <c r="D55" s="454"/>
      <c r="E55" s="454"/>
      <c r="F55" s="455"/>
      <c r="G55" s="201">
        <f>15%*G54</f>
        <v>849.375</v>
      </c>
      <c r="K55" s="439" t="s">
        <v>1436</v>
      </c>
      <c r="L55" s="439"/>
      <c r="M55" s="439"/>
      <c r="N55" s="439"/>
      <c r="O55" s="192">
        <f>SUM(O51:O54)</f>
        <v>908618340</v>
      </c>
      <c r="Q55" s="147"/>
      <c r="R55" s="147"/>
      <c r="S55" s="147"/>
      <c r="T55" s="147"/>
    </row>
    <row r="56" spans="2:20" x14ac:dyDescent="0.25">
      <c r="B56" s="456" t="s">
        <v>1380</v>
      </c>
      <c r="C56" s="450"/>
      <c r="D56" s="450"/>
      <c r="E56" s="450"/>
      <c r="F56" s="451"/>
      <c r="G56" s="200">
        <f>G55+G54</f>
        <v>6511.875</v>
      </c>
      <c r="Q56" s="147"/>
      <c r="R56" s="147"/>
      <c r="S56" s="147"/>
      <c r="T56" s="147"/>
    </row>
    <row r="57" spans="2:20" x14ac:dyDescent="0.25">
      <c r="B57" s="457" t="s">
        <v>1390</v>
      </c>
      <c r="C57" s="458"/>
      <c r="D57" s="458"/>
      <c r="E57" s="458"/>
      <c r="F57" s="458"/>
      <c r="G57" s="459"/>
      <c r="Q57" s="147"/>
      <c r="R57" s="147"/>
      <c r="S57" s="147"/>
      <c r="T57" s="147"/>
    </row>
    <row r="58" spans="2:20" x14ac:dyDescent="0.25">
      <c r="B58" s="183" t="s">
        <v>510</v>
      </c>
      <c r="C58" s="460" t="s">
        <v>1371</v>
      </c>
      <c r="D58" s="454"/>
      <c r="E58" s="454"/>
      <c r="F58" s="454"/>
      <c r="G58" s="455"/>
      <c r="Q58" s="147"/>
      <c r="R58" s="147"/>
      <c r="S58" s="147"/>
      <c r="T58" s="147"/>
    </row>
    <row r="59" spans="2:20" x14ac:dyDescent="0.25">
      <c r="B59" s="446"/>
      <c r="C59" s="184" t="s">
        <v>1375</v>
      </c>
      <c r="D59" s="185">
        <v>0.33</v>
      </c>
      <c r="E59" s="185" t="s">
        <v>1373</v>
      </c>
      <c r="F59" s="201">
        <f>F51</f>
        <v>67000</v>
      </c>
      <c r="G59" s="201">
        <f t="shared" ref="G59" si="13">F59*D59</f>
        <v>22110</v>
      </c>
      <c r="Q59" s="147"/>
      <c r="R59" s="147"/>
      <c r="S59" s="147"/>
      <c r="T59" s="147"/>
    </row>
    <row r="60" spans="2:20" x14ac:dyDescent="0.25">
      <c r="B60" s="448"/>
      <c r="C60" s="184" t="s">
        <v>1376</v>
      </c>
      <c r="D60" s="185">
        <v>3.3000000000000002E-2</v>
      </c>
      <c r="E60" s="185" t="s">
        <v>1373</v>
      </c>
      <c r="F60" s="201">
        <f>F52</f>
        <v>85000</v>
      </c>
      <c r="G60" s="201">
        <f>F60*D60</f>
        <v>2805</v>
      </c>
      <c r="Q60" s="147"/>
      <c r="R60" s="147"/>
      <c r="S60" s="147"/>
      <c r="T60" s="147"/>
    </row>
    <row r="61" spans="2:20" x14ac:dyDescent="0.25">
      <c r="B61" s="449" t="s">
        <v>1369</v>
      </c>
      <c r="C61" s="450"/>
      <c r="D61" s="450"/>
      <c r="E61" s="450"/>
      <c r="F61" s="451"/>
      <c r="G61" s="203">
        <f>SUM(G59:G60)</f>
        <v>24915</v>
      </c>
      <c r="K61" s="147"/>
      <c r="L61" s="147"/>
      <c r="M61" s="147"/>
      <c r="N61" s="147"/>
      <c r="O61" s="147"/>
      <c r="P61" s="147"/>
      <c r="Q61" s="147"/>
      <c r="R61" s="147"/>
      <c r="S61" s="147"/>
      <c r="T61" s="147"/>
    </row>
    <row r="62" spans="2:20" ht="14.4" x14ac:dyDescent="0.3">
      <c r="B62" s="449" t="s">
        <v>1369</v>
      </c>
      <c r="C62" s="450"/>
      <c r="D62" s="450"/>
      <c r="E62" s="450"/>
      <c r="F62" s="451"/>
      <c r="G62" s="203">
        <f>G61</f>
        <v>24915</v>
      </c>
      <c r="K62"/>
      <c r="L62"/>
      <c r="M62"/>
      <c r="N62"/>
      <c r="O62"/>
      <c r="P62"/>
      <c r="Q62" s="147"/>
      <c r="R62" s="147"/>
      <c r="S62" s="147"/>
      <c r="T62" s="147"/>
    </row>
    <row r="63" spans="2:20" ht="14.4" x14ac:dyDescent="0.3">
      <c r="B63" s="453" t="s">
        <v>1379</v>
      </c>
      <c r="C63" s="454"/>
      <c r="D63" s="454"/>
      <c r="E63" s="454"/>
      <c r="F63" s="455"/>
      <c r="G63" s="201">
        <f>15%*G62</f>
        <v>3737.25</v>
      </c>
      <c r="K63"/>
      <c r="L63"/>
      <c r="M63"/>
      <c r="N63"/>
      <c r="O63"/>
      <c r="P63"/>
      <c r="Q63" s="147"/>
      <c r="R63" s="147"/>
      <c r="S63" s="147"/>
      <c r="T63" s="147"/>
    </row>
    <row r="64" spans="2:20" ht="14.4" x14ac:dyDescent="0.3">
      <c r="B64" s="456" t="s">
        <v>1380</v>
      </c>
      <c r="C64" s="450"/>
      <c r="D64" s="450"/>
      <c r="E64" s="450"/>
      <c r="F64" s="451"/>
      <c r="G64" s="200">
        <f>G63+G62</f>
        <v>28652.25</v>
      </c>
      <c r="K64"/>
      <c r="L64"/>
      <c r="M64"/>
      <c r="N64"/>
      <c r="O64"/>
      <c r="P64"/>
      <c r="Q64" s="147"/>
      <c r="R64" s="147"/>
      <c r="S64" s="147"/>
      <c r="T64" s="147"/>
    </row>
    <row r="65" spans="2:20" ht="14.4" x14ac:dyDescent="0.3">
      <c r="B65" s="464" t="s">
        <v>1391</v>
      </c>
      <c r="C65" s="458"/>
      <c r="D65" s="458"/>
      <c r="E65" s="458"/>
      <c r="F65" s="458"/>
      <c r="G65" s="459"/>
      <c r="K65"/>
      <c r="L65"/>
      <c r="M65"/>
      <c r="N65"/>
      <c r="O65"/>
      <c r="P65"/>
      <c r="Q65" s="147"/>
      <c r="R65" s="147"/>
      <c r="S65" s="147"/>
      <c r="T65" s="147"/>
    </row>
    <row r="66" spans="2:20" ht="14.4" x14ac:dyDescent="0.3">
      <c r="B66" s="180" t="s">
        <v>510</v>
      </c>
      <c r="C66" s="465" t="s">
        <v>1371</v>
      </c>
      <c r="D66" s="454"/>
      <c r="E66" s="454"/>
      <c r="F66" s="454"/>
      <c r="G66" s="455"/>
      <c r="K66"/>
      <c r="L66"/>
      <c r="M66"/>
      <c r="N66"/>
      <c r="O66"/>
      <c r="P66"/>
    </row>
    <row r="67" spans="2:20" ht="14.4" x14ac:dyDescent="0.3">
      <c r="B67" s="463"/>
      <c r="C67" s="182" t="s">
        <v>1375</v>
      </c>
      <c r="D67" s="181">
        <v>0.33</v>
      </c>
      <c r="E67" s="181" t="s">
        <v>1373</v>
      </c>
      <c r="F67" s="197">
        <f>F59</f>
        <v>67000</v>
      </c>
      <c r="G67" s="197">
        <f t="shared" ref="G67:G68" si="14">F67*D67</f>
        <v>22110</v>
      </c>
      <c r="K67"/>
      <c r="L67"/>
      <c r="M67"/>
      <c r="N67"/>
      <c r="O67"/>
      <c r="P67"/>
    </row>
    <row r="68" spans="2:20" ht="14.4" x14ac:dyDescent="0.3">
      <c r="B68" s="448"/>
      <c r="C68" s="182" t="s">
        <v>1376</v>
      </c>
      <c r="D68" s="181">
        <v>3.3000000000000002E-2</v>
      </c>
      <c r="E68" s="181" t="s">
        <v>1373</v>
      </c>
      <c r="F68" s="197">
        <f>F60</f>
        <v>85000</v>
      </c>
      <c r="G68" s="197">
        <f t="shared" si="14"/>
        <v>2805</v>
      </c>
      <c r="K68"/>
      <c r="L68"/>
      <c r="M68"/>
      <c r="N68"/>
      <c r="O68"/>
      <c r="P68"/>
    </row>
    <row r="69" spans="2:20" ht="14.4" x14ac:dyDescent="0.3">
      <c r="B69" s="452" t="s">
        <v>1369</v>
      </c>
      <c r="C69" s="450"/>
      <c r="D69" s="450"/>
      <c r="E69" s="450"/>
      <c r="F69" s="451"/>
      <c r="G69" s="196">
        <f>SUM(G67:G68)</f>
        <v>24915</v>
      </c>
      <c r="K69"/>
      <c r="L69"/>
      <c r="M69"/>
      <c r="N69"/>
      <c r="O69"/>
      <c r="P69"/>
    </row>
    <row r="70" spans="2:20" ht="14.4" x14ac:dyDescent="0.3">
      <c r="B70" s="452" t="s">
        <v>1369</v>
      </c>
      <c r="C70" s="450"/>
      <c r="D70" s="450"/>
      <c r="E70" s="450"/>
      <c r="F70" s="451"/>
      <c r="G70" s="196">
        <f>G69</f>
        <v>24915</v>
      </c>
      <c r="K70"/>
      <c r="L70"/>
      <c r="M70"/>
      <c r="N70"/>
      <c r="O70"/>
      <c r="P70"/>
    </row>
    <row r="71" spans="2:20" ht="14.4" x14ac:dyDescent="0.3">
      <c r="B71" s="452" t="s">
        <v>1392</v>
      </c>
      <c r="C71" s="450"/>
      <c r="D71" s="450"/>
      <c r="E71" s="450"/>
      <c r="F71" s="451"/>
      <c r="G71" s="196">
        <f>G56+G64+G70</f>
        <v>60079.125</v>
      </c>
      <c r="K71"/>
      <c r="L71"/>
      <c r="M71"/>
      <c r="N71"/>
      <c r="O71"/>
      <c r="P71"/>
    </row>
    <row r="72" spans="2:20" ht="14.4" x14ac:dyDescent="0.3">
      <c r="B72" s="453" t="s">
        <v>1379</v>
      </c>
      <c r="C72" s="454"/>
      <c r="D72" s="454"/>
      <c r="E72" s="454"/>
      <c r="F72" s="455"/>
      <c r="G72" s="201">
        <f>15%*G71</f>
        <v>9011.8687499999996</v>
      </c>
      <c r="K72"/>
      <c r="L72"/>
      <c r="M72"/>
      <c r="N72"/>
      <c r="O72"/>
      <c r="P72"/>
    </row>
    <row r="73" spans="2:20" ht="14.4" x14ac:dyDescent="0.3">
      <c r="B73" s="456" t="s">
        <v>1380</v>
      </c>
      <c r="C73" s="450"/>
      <c r="D73" s="450"/>
      <c r="E73" s="450"/>
      <c r="F73" s="451"/>
      <c r="G73" s="200">
        <f>G72+G71</f>
        <v>69090.993749999994</v>
      </c>
      <c r="K73"/>
      <c r="L73"/>
      <c r="M73"/>
      <c r="N73"/>
      <c r="O73"/>
      <c r="P73"/>
    </row>
    <row r="74" spans="2:20" x14ac:dyDescent="0.25">
      <c r="B74" s="440" t="s">
        <v>1393</v>
      </c>
      <c r="C74" s="441"/>
      <c r="D74" s="441"/>
      <c r="E74" s="441"/>
      <c r="F74" s="442"/>
      <c r="G74" s="202">
        <f>G56+G64+G73</f>
        <v>104255.11874999999</v>
      </c>
    </row>
    <row r="75" spans="2:20" x14ac:dyDescent="0.25">
      <c r="B75" s="462" t="s">
        <v>1394</v>
      </c>
      <c r="C75" s="441"/>
      <c r="D75" s="441"/>
      <c r="E75" s="441"/>
      <c r="F75" s="441"/>
      <c r="G75" s="442"/>
    </row>
    <row r="76" spans="2:20" x14ac:dyDescent="0.25">
      <c r="B76" s="457" t="s">
        <v>1394</v>
      </c>
      <c r="C76" s="458"/>
      <c r="D76" s="458"/>
      <c r="E76" s="458"/>
      <c r="F76" s="458"/>
      <c r="G76" s="459"/>
    </row>
    <row r="77" spans="2:20" x14ac:dyDescent="0.25">
      <c r="B77" s="183" t="s">
        <v>510</v>
      </c>
      <c r="C77" s="460" t="s">
        <v>1395</v>
      </c>
      <c r="D77" s="454"/>
      <c r="E77" s="454"/>
      <c r="F77" s="454"/>
      <c r="G77" s="455"/>
    </row>
    <row r="78" spans="2:20" x14ac:dyDescent="0.25">
      <c r="B78" s="185"/>
      <c r="C78" s="184" t="s">
        <v>1396</v>
      </c>
      <c r="D78" s="185">
        <v>0.25</v>
      </c>
      <c r="E78" s="185" t="s">
        <v>1397</v>
      </c>
      <c r="F78" s="201">
        <f>290000*8</f>
        <v>2320000</v>
      </c>
      <c r="G78" s="201">
        <f>F78*D78</f>
        <v>580000</v>
      </c>
    </row>
    <row r="79" spans="2:20" x14ac:dyDescent="0.25">
      <c r="B79" s="449" t="s">
        <v>1369</v>
      </c>
      <c r="C79" s="450"/>
      <c r="D79" s="450"/>
      <c r="E79" s="450"/>
      <c r="F79" s="451"/>
      <c r="G79" s="203">
        <f>G78</f>
        <v>580000</v>
      </c>
    </row>
    <row r="80" spans="2:20" x14ac:dyDescent="0.25">
      <c r="B80" s="183" t="s">
        <v>1370</v>
      </c>
      <c r="C80" s="460" t="s">
        <v>1358</v>
      </c>
      <c r="D80" s="454"/>
      <c r="E80" s="454"/>
      <c r="F80" s="454"/>
      <c r="G80" s="455"/>
    </row>
    <row r="81" spans="2:7" x14ac:dyDescent="0.25">
      <c r="B81" s="446"/>
      <c r="C81" s="184" t="s">
        <v>1398</v>
      </c>
      <c r="D81" s="185">
        <v>247</v>
      </c>
      <c r="E81" s="185" t="s">
        <v>1399</v>
      </c>
      <c r="F81" s="201">
        <v>77400</v>
      </c>
      <c r="G81" s="201">
        <f t="shared" ref="G81:G84" si="15">F81*D81</f>
        <v>19117800</v>
      </c>
    </row>
    <row r="82" spans="2:7" x14ac:dyDescent="0.25">
      <c r="B82" s="447"/>
      <c r="C82" s="184" t="s">
        <v>1400</v>
      </c>
      <c r="D82" s="185">
        <v>0.621</v>
      </c>
      <c r="E82" s="185" t="s">
        <v>601</v>
      </c>
      <c r="F82" s="201">
        <v>264140</v>
      </c>
      <c r="G82" s="201">
        <f t="shared" si="15"/>
        <v>164030.94</v>
      </c>
    </row>
    <row r="83" spans="2:7" x14ac:dyDescent="0.25">
      <c r="B83" s="447"/>
      <c r="C83" s="184" t="s">
        <v>1401</v>
      </c>
      <c r="D83" s="185">
        <v>0.74</v>
      </c>
      <c r="E83" s="185" t="s">
        <v>601</v>
      </c>
      <c r="F83" s="201">
        <v>231240</v>
      </c>
      <c r="G83" s="201">
        <f t="shared" si="15"/>
        <v>171117.6</v>
      </c>
    </row>
    <row r="84" spans="2:7" x14ac:dyDescent="0.25">
      <c r="B84" s="448"/>
      <c r="C84" s="184" t="s">
        <v>1402</v>
      </c>
      <c r="D84" s="185">
        <v>215</v>
      </c>
      <c r="E84" s="185" t="s">
        <v>1403</v>
      </c>
      <c r="F84" s="201">
        <v>350</v>
      </c>
      <c r="G84" s="201">
        <f t="shared" si="15"/>
        <v>75250</v>
      </c>
    </row>
    <row r="85" spans="2:7" x14ac:dyDescent="0.25">
      <c r="B85" s="449" t="s">
        <v>1377</v>
      </c>
      <c r="C85" s="450"/>
      <c r="D85" s="450"/>
      <c r="E85" s="450"/>
      <c r="F85" s="451"/>
      <c r="G85" s="203">
        <f>SUM(G81:G84)</f>
        <v>19528198.540000003</v>
      </c>
    </row>
    <row r="86" spans="2:7" x14ac:dyDescent="0.25">
      <c r="B86" s="183" t="s">
        <v>1308</v>
      </c>
      <c r="C86" s="460" t="s">
        <v>1371</v>
      </c>
      <c r="D86" s="454"/>
      <c r="E86" s="454"/>
      <c r="F86" s="454"/>
      <c r="G86" s="455"/>
    </row>
    <row r="87" spans="2:7" x14ac:dyDescent="0.25">
      <c r="B87" s="446"/>
      <c r="C87" s="184" t="s">
        <v>1375</v>
      </c>
      <c r="D87" s="185">
        <v>1.323</v>
      </c>
      <c r="E87" s="185" t="s">
        <v>1373</v>
      </c>
      <c r="F87" s="201">
        <f>F67</f>
        <v>67000</v>
      </c>
      <c r="G87" s="201">
        <f t="shared" ref="G87:G90" si="16">F87*D87</f>
        <v>88641</v>
      </c>
    </row>
    <row r="88" spans="2:7" x14ac:dyDescent="0.25">
      <c r="B88" s="447"/>
      <c r="C88" s="184" t="s">
        <v>1404</v>
      </c>
      <c r="D88" s="185">
        <v>0.189</v>
      </c>
      <c r="E88" s="185" t="s">
        <v>1373</v>
      </c>
      <c r="F88" s="201">
        <v>70000</v>
      </c>
      <c r="G88" s="201">
        <f t="shared" si="16"/>
        <v>13230</v>
      </c>
    </row>
    <row r="89" spans="2:7" x14ac:dyDescent="0.25">
      <c r="B89" s="447"/>
      <c r="C89" s="184" t="s">
        <v>1405</v>
      </c>
      <c r="D89" s="185">
        <v>1.9E-2</v>
      </c>
      <c r="E89" s="185" t="s">
        <v>1373</v>
      </c>
      <c r="F89" s="201">
        <f>F32</f>
        <v>80000</v>
      </c>
      <c r="G89" s="201">
        <f t="shared" si="16"/>
        <v>1520</v>
      </c>
    </row>
    <row r="90" spans="2:7" x14ac:dyDescent="0.25">
      <c r="B90" s="448"/>
      <c r="C90" s="184" t="s">
        <v>1376</v>
      </c>
      <c r="D90" s="185">
        <v>0.13200000000000001</v>
      </c>
      <c r="E90" s="185" t="s">
        <v>1373</v>
      </c>
      <c r="F90" s="201">
        <f>F68</f>
        <v>85000</v>
      </c>
      <c r="G90" s="201">
        <f t="shared" si="16"/>
        <v>11220</v>
      </c>
    </row>
    <row r="91" spans="2:7" x14ac:dyDescent="0.25">
      <c r="B91" s="449" t="s">
        <v>1406</v>
      </c>
      <c r="C91" s="450"/>
      <c r="D91" s="450"/>
      <c r="E91" s="450"/>
      <c r="F91" s="451"/>
      <c r="G91" s="203">
        <f>SUM(G87:G90)</f>
        <v>114611</v>
      </c>
    </row>
    <row r="92" spans="2:7" x14ac:dyDescent="0.25">
      <c r="B92" s="449" t="s">
        <v>1407</v>
      </c>
      <c r="C92" s="450"/>
      <c r="D92" s="450"/>
      <c r="E92" s="450"/>
      <c r="F92" s="451"/>
      <c r="G92" s="203">
        <f>G79+G85+G91</f>
        <v>20222809.540000003</v>
      </c>
    </row>
    <row r="93" spans="2:7" x14ac:dyDescent="0.25">
      <c r="B93" s="453" t="s">
        <v>1379</v>
      </c>
      <c r="C93" s="454"/>
      <c r="D93" s="454"/>
      <c r="E93" s="454"/>
      <c r="F93" s="455"/>
      <c r="G93" s="201">
        <f>15%*G92</f>
        <v>3033421.4310000003</v>
      </c>
    </row>
    <row r="94" spans="2:7" x14ac:dyDescent="0.25">
      <c r="B94" s="456" t="s">
        <v>1380</v>
      </c>
      <c r="C94" s="450"/>
      <c r="D94" s="450"/>
      <c r="E94" s="450"/>
      <c r="F94" s="451"/>
      <c r="G94" s="200">
        <f>G93+G92</f>
        <v>23256230.971000005</v>
      </c>
    </row>
    <row r="95" spans="2:7" x14ac:dyDescent="0.25">
      <c r="B95" s="457" t="s">
        <v>1408</v>
      </c>
      <c r="C95" s="458"/>
      <c r="D95" s="458"/>
      <c r="E95" s="458"/>
      <c r="F95" s="458"/>
      <c r="G95" s="459"/>
    </row>
    <row r="96" spans="2:7" x14ac:dyDescent="0.25">
      <c r="B96" s="183" t="s">
        <v>510</v>
      </c>
      <c r="C96" s="461" t="s">
        <v>1395</v>
      </c>
      <c r="D96" s="441"/>
      <c r="E96" s="441"/>
      <c r="F96" s="441"/>
      <c r="G96" s="442"/>
    </row>
    <row r="97" spans="2:7" x14ac:dyDescent="0.25">
      <c r="B97" s="185"/>
      <c r="C97" s="184" t="s">
        <v>1396</v>
      </c>
      <c r="D97" s="185">
        <v>0.1</v>
      </c>
      <c r="E97" s="185" t="s">
        <v>1397</v>
      </c>
      <c r="F97" s="201">
        <f>F78</f>
        <v>2320000</v>
      </c>
      <c r="G97" s="201">
        <f>F97*D97</f>
        <v>232000</v>
      </c>
    </row>
    <row r="98" spans="2:7" x14ac:dyDescent="0.25">
      <c r="B98" s="449" t="s">
        <v>1369</v>
      </c>
      <c r="C98" s="450"/>
      <c r="D98" s="450"/>
      <c r="E98" s="450"/>
      <c r="F98" s="451"/>
      <c r="G98" s="203">
        <f>G97</f>
        <v>232000</v>
      </c>
    </row>
    <row r="99" spans="2:7" x14ac:dyDescent="0.25">
      <c r="B99" s="183" t="s">
        <v>1370</v>
      </c>
      <c r="C99" s="460" t="s">
        <v>1358</v>
      </c>
      <c r="D99" s="454"/>
      <c r="E99" s="454"/>
      <c r="F99" s="454"/>
      <c r="G99" s="455"/>
    </row>
    <row r="100" spans="2:7" x14ac:dyDescent="0.25">
      <c r="B100" s="446"/>
      <c r="C100" s="184" t="s">
        <v>1409</v>
      </c>
      <c r="D100" s="185">
        <v>1.2</v>
      </c>
      <c r="E100" s="185" t="s">
        <v>1367</v>
      </c>
      <c r="F100" s="201">
        <v>210000</v>
      </c>
      <c r="G100" s="201">
        <f t="shared" ref="G100:G102" si="17">F100*D100</f>
        <v>252000</v>
      </c>
    </row>
    <row r="101" spans="2:7" x14ac:dyDescent="0.25">
      <c r="B101" s="447"/>
      <c r="C101" s="184" t="s">
        <v>1410</v>
      </c>
      <c r="D101" s="185">
        <v>175</v>
      </c>
      <c r="E101" s="185" t="s">
        <v>1399</v>
      </c>
      <c r="F101" s="201">
        <f>F81</f>
        <v>77400</v>
      </c>
      <c r="G101" s="201">
        <f t="shared" si="17"/>
        <v>13545000</v>
      </c>
    </row>
    <row r="102" spans="2:7" x14ac:dyDescent="0.25">
      <c r="B102" s="448"/>
      <c r="C102" s="184" t="s">
        <v>1411</v>
      </c>
      <c r="D102" s="185">
        <v>0.33</v>
      </c>
      <c r="E102" s="185" t="s">
        <v>601</v>
      </c>
      <c r="F102" s="201">
        <v>241390</v>
      </c>
      <c r="G102" s="201">
        <f t="shared" si="17"/>
        <v>79658.7</v>
      </c>
    </row>
    <row r="103" spans="2:7" x14ac:dyDescent="0.25">
      <c r="B103" s="449" t="s">
        <v>1377</v>
      </c>
      <c r="C103" s="450"/>
      <c r="D103" s="450"/>
      <c r="E103" s="450"/>
      <c r="F103" s="451"/>
      <c r="G103" s="203">
        <f>SUM(G100:G102)</f>
        <v>13876658.699999999</v>
      </c>
    </row>
    <row r="104" spans="2:7" x14ac:dyDescent="0.25">
      <c r="B104" s="183" t="s">
        <v>1308</v>
      </c>
      <c r="C104" s="460" t="s">
        <v>1371</v>
      </c>
      <c r="D104" s="454"/>
      <c r="E104" s="454"/>
      <c r="F104" s="454"/>
      <c r="G104" s="455"/>
    </row>
    <row r="105" spans="2:7" x14ac:dyDescent="0.25">
      <c r="B105" s="446"/>
      <c r="C105" s="184" t="s">
        <v>1375</v>
      </c>
      <c r="D105" s="185">
        <v>1.5</v>
      </c>
      <c r="E105" s="185" t="s">
        <v>1373</v>
      </c>
      <c r="F105" s="201">
        <f>F87</f>
        <v>67000</v>
      </c>
      <c r="G105" s="201">
        <f t="shared" ref="G105:G107" si="18">F105*D105</f>
        <v>100500</v>
      </c>
    </row>
    <row r="106" spans="2:7" x14ac:dyDescent="0.25">
      <c r="B106" s="447"/>
      <c r="C106" s="184" t="s">
        <v>1404</v>
      </c>
      <c r="D106" s="185">
        <v>1.2</v>
      </c>
      <c r="E106" s="185" t="s">
        <v>1373</v>
      </c>
      <c r="F106" s="201">
        <v>70000</v>
      </c>
      <c r="G106" s="201">
        <f t="shared" si="18"/>
        <v>84000</v>
      </c>
    </row>
    <row r="107" spans="2:7" x14ac:dyDescent="0.25">
      <c r="B107" s="448"/>
      <c r="C107" s="184" t="s">
        <v>1376</v>
      </c>
      <c r="D107" s="185">
        <v>0.15</v>
      </c>
      <c r="E107" s="185" t="s">
        <v>1373</v>
      </c>
      <c r="F107" s="201">
        <f>F90</f>
        <v>85000</v>
      </c>
      <c r="G107" s="201">
        <f t="shared" si="18"/>
        <v>12750</v>
      </c>
    </row>
    <row r="108" spans="2:7" x14ac:dyDescent="0.25">
      <c r="B108" s="449" t="s">
        <v>1406</v>
      </c>
      <c r="C108" s="450"/>
      <c r="D108" s="450"/>
      <c r="E108" s="450"/>
      <c r="F108" s="451"/>
      <c r="G108" s="203">
        <f>SUM(G105:G107)</f>
        <v>197250</v>
      </c>
    </row>
    <row r="109" spans="2:7" x14ac:dyDescent="0.25">
      <c r="B109" s="449" t="s">
        <v>1407</v>
      </c>
      <c r="C109" s="450"/>
      <c r="D109" s="450"/>
      <c r="E109" s="450"/>
      <c r="F109" s="451"/>
      <c r="G109" s="203">
        <f>G98+G103+G108</f>
        <v>14305908.699999999</v>
      </c>
    </row>
    <row r="110" spans="2:7" x14ac:dyDescent="0.25">
      <c r="B110" s="453" t="s">
        <v>1379</v>
      </c>
      <c r="C110" s="454"/>
      <c r="D110" s="454"/>
      <c r="E110" s="454"/>
      <c r="F110" s="455"/>
      <c r="G110" s="201">
        <f>15%*G109</f>
        <v>2145886.3049999997</v>
      </c>
    </row>
    <row r="111" spans="2:7" x14ac:dyDescent="0.25">
      <c r="B111" s="456" t="s">
        <v>1380</v>
      </c>
      <c r="C111" s="450"/>
      <c r="D111" s="450"/>
      <c r="E111" s="450"/>
      <c r="F111" s="451"/>
      <c r="G111" s="200">
        <f>G110+G109</f>
        <v>16451795.004999999</v>
      </c>
    </row>
    <row r="112" spans="2:7" x14ac:dyDescent="0.25">
      <c r="B112" s="457" t="s">
        <v>1412</v>
      </c>
      <c r="C112" s="458"/>
      <c r="D112" s="458"/>
      <c r="E112" s="458"/>
      <c r="F112" s="458"/>
      <c r="G112" s="459"/>
    </row>
    <row r="113" spans="2:7" x14ac:dyDescent="0.25">
      <c r="B113" s="183" t="s">
        <v>510</v>
      </c>
      <c r="C113" s="460" t="s">
        <v>1358</v>
      </c>
      <c r="D113" s="454"/>
      <c r="E113" s="454"/>
      <c r="F113" s="454"/>
      <c r="G113" s="455"/>
    </row>
    <row r="114" spans="2:7" x14ac:dyDescent="0.25">
      <c r="B114" s="185"/>
      <c r="C114" s="184" t="s">
        <v>1413</v>
      </c>
      <c r="D114" s="185">
        <v>3.25</v>
      </c>
      <c r="E114" s="185" t="s">
        <v>1399</v>
      </c>
      <c r="F114" s="201">
        <f>F101</f>
        <v>77400</v>
      </c>
      <c r="G114" s="201">
        <f>F114*D114</f>
        <v>251550</v>
      </c>
    </row>
    <row r="115" spans="2:7" x14ac:dyDescent="0.25">
      <c r="B115" s="449" t="s">
        <v>1369</v>
      </c>
      <c r="C115" s="450"/>
      <c r="D115" s="450"/>
      <c r="E115" s="450"/>
      <c r="F115" s="451"/>
      <c r="G115" s="203">
        <f>G114</f>
        <v>251550</v>
      </c>
    </row>
    <row r="116" spans="2:7" x14ac:dyDescent="0.25">
      <c r="B116" s="183" t="s">
        <v>1370</v>
      </c>
      <c r="C116" s="460" t="s">
        <v>1371</v>
      </c>
      <c r="D116" s="454"/>
      <c r="E116" s="454"/>
      <c r="F116" s="454"/>
      <c r="G116" s="455"/>
    </row>
    <row r="117" spans="2:7" x14ac:dyDescent="0.25">
      <c r="B117" s="446"/>
      <c r="C117" s="184" t="s">
        <v>1375</v>
      </c>
      <c r="D117" s="185">
        <v>0.2</v>
      </c>
      <c r="E117" s="185" t="s">
        <v>1373</v>
      </c>
      <c r="F117" s="201">
        <f>F105</f>
        <v>67000</v>
      </c>
      <c r="G117" s="201">
        <f t="shared" ref="G117:G120" si="19">F117*D117</f>
        <v>13400</v>
      </c>
    </row>
    <row r="118" spans="2:7" x14ac:dyDescent="0.25">
      <c r="B118" s="447"/>
      <c r="C118" s="184" t="s">
        <v>1404</v>
      </c>
      <c r="D118" s="185">
        <v>0.1</v>
      </c>
      <c r="E118" s="185" t="s">
        <v>1373</v>
      </c>
      <c r="F118" s="201">
        <f>F106</f>
        <v>70000</v>
      </c>
      <c r="G118" s="201">
        <f t="shared" si="19"/>
        <v>7000</v>
      </c>
    </row>
    <row r="119" spans="2:7" x14ac:dyDescent="0.25">
      <c r="B119" s="447"/>
      <c r="C119" s="184" t="s">
        <v>1405</v>
      </c>
      <c r="D119" s="185">
        <v>0.01</v>
      </c>
      <c r="E119" s="185" t="s">
        <v>1373</v>
      </c>
      <c r="F119" s="201">
        <f>F89</f>
        <v>80000</v>
      </c>
      <c r="G119" s="201">
        <f t="shared" si="19"/>
        <v>800</v>
      </c>
    </row>
    <row r="120" spans="2:7" x14ac:dyDescent="0.25">
      <c r="B120" s="448"/>
      <c r="C120" s="184" t="s">
        <v>1376</v>
      </c>
      <c r="D120" s="185">
        <v>0.01</v>
      </c>
      <c r="E120" s="185" t="s">
        <v>1373</v>
      </c>
      <c r="F120" s="201">
        <f>F107</f>
        <v>85000</v>
      </c>
      <c r="G120" s="201">
        <f t="shared" si="19"/>
        <v>850</v>
      </c>
    </row>
    <row r="121" spans="2:7" x14ac:dyDescent="0.25">
      <c r="B121" s="449" t="s">
        <v>1377</v>
      </c>
      <c r="C121" s="450"/>
      <c r="D121" s="450"/>
      <c r="E121" s="450"/>
      <c r="F121" s="451"/>
      <c r="G121" s="203">
        <f>SUM(G117:G120)</f>
        <v>22050</v>
      </c>
    </row>
    <row r="122" spans="2:7" x14ac:dyDescent="0.25">
      <c r="B122" s="452" t="s">
        <v>1378</v>
      </c>
      <c r="C122" s="450"/>
      <c r="D122" s="450"/>
      <c r="E122" s="450"/>
      <c r="F122" s="451"/>
      <c r="G122" s="203">
        <f>G115+G121</f>
        <v>273600</v>
      </c>
    </row>
    <row r="123" spans="2:7" x14ac:dyDescent="0.25">
      <c r="B123" s="452" t="s">
        <v>1414</v>
      </c>
      <c r="C123" s="450"/>
      <c r="D123" s="450"/>
      <c r="E123" s="450"/>
      <c r="F123" s="451"/>
      <c r="G123" s="203">
        <f>G92+G109+G122</f>
        <v>34802318.240000002</v>
      </c>
    </row>
    <row r="124" spans="2:7" x14ac:dyDescent="0.25">
      <c r="B124" s="453" t="s">
        <v>1379</v>
      </c>
      <c r="C124" s="454"/>
      <c r="D124" s="454"/>
      <c r="E124" s="454"/>
      <c r="F124" s="455"/>
      <c r="G124" s="201">
        <f>15%*G123</f>
        <v>5220347.7360000005</v>
      </c>
    </row>
    <row r="125" spans="2:7" x14ac:dyDescent="0.25">
      <c r="B125" s="456" t="s">
        <v>1380</v>
      </c>
      <c r="C125" s="450"/>
      <c r="D125" s="450"/>
      <c r="E125" s="450"/>
      <c r="F125" s="451"/>
      <c r="G125" s="200">
        <f>G124+G123</f>
        <v>40022665.976000004</v>
      </c>
    </row>
    <row r="126" spans="2:7" x14ac:dyDescent="0.25">
      <c r="B126" s="440" t="s">
        <v>1415</v>
      </c>
      <c r="C126" s="441"/>
      <c r="D126" s="441"/>
      <c r="E126" s="441"/>
      <c r="F126" s="442"/>
      <c r="G126" s="202">
        <f>G94+G111+G125</f>
        <v>79730691.952000007</v>
      </c>
    </row>
  </sheetData>
  <mergeCells count="145">
    <mergeCell ref="K3:L4"/>
    <mergeCell ref="M3:M4"/>
    <mergeCell ref="N3:N4"/>
    <mergeCell ref="O3:O4"/>
    <mergeCell ref="P3:P4"/>
    <mergeCell ref="R3:S3"/>
    <mergeCell ref="B3:B4"/>
    <mergeCell ref="C3:C4"/>
    <mergeCell ref="D3:D4"/>
    <mergeCell ref="E3:E4"/>
    <mergeCell ref="F3:F4"/>
    <mergeCell ref="G3:G4"/>
    <mergeCell ref="B8:B12"/>
    <mergeCell ref="K8:L8"/>
    <mergeCell ref="K9:O9"/>
    <mergeCell ref="K10:P10"/>
    <mergeCell ref="K11:L11"/>
    <mergeCell ref="K12:L12"/>
    <mergeCell ref="B5:G5"/>
    <mergeCell ref="K5:P5"/>
    <mergeCell ref="B6:G6"/>
    <mergeCell ref="K6:P6"/>
    <mergeCell ref="C7:G7"/>
    <mergeCell ref="K7:L7"/>
    <mergeCell ref="B19:F19"/>
    <mergeCell ref="K19:L19"/>
    <mergeCell ref="B20:F20"/>
    <mergeCell ref="K20:L20"/>
    <mergeCell ref="B21:F21"/>
    <mergeCell ref="K21:O21"/>
    <mergeCell ref="B13:F13"/>
    <mergeCell ref="K13:O13"/>
    <mergeCell ref="C14:G14"/>
    <mergeCell ref="K14:P14"/>
    <mergeCell ref="B15:B18"/>
    <mergeCell ref="K15:L15"/>
    <mergeCell ref="K16:L16"/>
    <mergeCell ref="K17:O17"/>
    <mergeCell ref="K18:P18"/>
    <mergeCell ref="C29:G29"/>
    <mergeCell ref="B30:B33"/>
    <mergeCell ref="B25:B27"/>
    <mergeCell ref="K26:P26"/>
    <mergeCell ref="K27:L27"/>
    <mergeCell ref="K28:L28"/>
    <mergeCell ref="B28:F28"/>
    <mergeCell ref="K29:O29"/>
    <mergeCell ref="B22:F22"/>
    <mergeCell ref="K22:P22"/>
    <mergeCell ref="K23:L23"/>
    <mergeCell ref="B23:G23"/>
    <mergeCell ref="K24:L24"/>
    <mergeCell ref="C24:G24"/>
    <mergeCell ref="K25:O25"/>
    <mergeCell ref="B55:F55"/>
    <mergeCell ref="B56:F56"/>
    <mergeCell ref="B51:B52"/>
    <mergeCell ref="B53:F53"/>
    <mergeCell ref="B54:F54"/>
    <mergeCell ref="K54:L54"/>
    <mergeCell ref="K49:O49"/>
    <mergeCell ref="B48:G48"/>
    <mergeCell ref="K30:O30"/>
    <mergeCell ref="B49:G49"/>
    <mergeCell ref="C50:G50"/>
    <mergeCell ref="B44:F44"/>
    <mergeCell ref="B45:F45"/>
    <mergeCell ref="B46:F46"/>
    <mergeCell ref="B40:B41"/>
    <mergeCell ref="B42:F42"/>
    <mergeCell ref="B43:F43"/>
    <mergeCell ref="B37:F37"/>
    <mergeCell ref="B38:G38"/>
    <mergeCell ref="C39:G39"/>
    <mergeCell ref="B34:F34"/>
    <mergeCell ref="B35:F35"/>
    <mergeCell ref="B36:F36"/>
    <mergeCell ref="B61:F61"/>
    <mergeCell ref="B62:F62"/>
    <mergeCell ref="B63:F63"/>
    <mergeCell ref="B64:F64"/>
    <mergeCell ref="B65:G65"/>
    <mergeCell ref="C66:G66"/>
    <mergeCell ref="B57:G57"/>
    <mergeCell ref="C58:G58"/>
    <mergeCell ref="B59:B60"/>
    <mergeCell ref="B74:F74"/>
    <mergeCell ref="B75:G75"/>
    <mergeCell ref="B76:G76"/>
    <mergeCell ref="C77:G77"/>
    <mergeCell ref="B79:F79"/>
    <mergeCell ref="C80:G80"/>
    <mergeCell ref="B67:B68"/>
    <mergeCell ref="B69:F69"/>
    <mergeCell ref="B70:F70"/>
    <mergeCell ref="B71:F71"/>
    <mergeCell ref="B72:F72"/>
    <mergeCell ref="B73:F73"/>
    <mergeCell ref="B93:F93"/>
    <mergeCell ref="B94:F94"/>
    <mergeCell ref="B95:G95"/>
    <mergeCell ref="C96:G96"/>
    <mergeCell ref="B98:F98"/>
    <mergeCell ref="C99:G99"/>
    <mergeCell ref="B81:B84"/>
    <mergeCell ref="B85:F85"/>
    <mergeCell ref="C86:G86"/>
    <mergeCell ref="B87:B90"/>
    <mergeCell ref="B91:F91"/>
    <mergeCell ref="B92:F92"/>
    <mergeCell ref="B111:F111"/>
    <mergeCell ref="B112:G112"/>
    <mergeCell ref="C113:G113"/>
    <mergeCell ref="B115:F115"/>
    <mergeCell ref="C116:G116"/>
    <mergeCell ref="B100:B102"/>
    <mergeCell ref="B103:F103"/>
    <mergeCell ref="C104:G104"/>
    <mergeCell ref="B105:B107"/>
    <mergeCell ref="B108:F108"/>
    <mergeCell ref="B109:F109"/>
    <mergeCell ref="K55:N55"/>
    <mergeCell ref="K46:L46"/>
    <mergeCell ref="K47:N47"/>
    <mergeCell ref="K50:L50"/>
    <mergeCell ref="K51:L51"/>
    <mergeCell ref="K52:L52"/>
    <mergeCell ref="K53:L53"/>
    <mergeCell ref="B126:F126"/>
    <mergeCell ref="K33:P33"/>
    <mergeCell ref="K37:O37"/>
    <mergeCell ref="K39:O39"/>
    <mergeCell ref="K40:L40"/>
    <mergeCell ref="K41:L41"/>
    <mergeCell ref="K42:L42"/>
    <mergeCell ref="K43:L43"/>
    <mergeCell ref="K44:L44"/>
    <mergeCell ref="K45:L45"/>
    <mergeCell ref="B117:B120"/>
    <mergeCell ref="B121:F121"/>
    <mergeCell ref="B122:F122"/>
    <mergeCell ref="B123:F123"/>
    <mergeCell ref="B124:F124"/>
    <mergeCell ref="B125:F125"/>
    <mergeCell ref="B110:F11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9A8F-F8B9-4377-9587-59F517997D7E}">
  <dimension ref="B4:I23"/>
  <sheetViews>
    <sheetView workbookViewId="0">
      <selection activeCell="B19" sqref="B19:C23"/>
    </sheetView>
  </sheetViews>
  <sheetFormatPr defaultRowHeight="14.4" x14ac:dyDescent="0.3"/>
  <cols>
    <col min="1" max="1" width="8.88671875" style="70"/>
    <col min="2" max="2" width="38.21875" style="70" customWidth="1"/>
    <col min="3" max="3" width="17.6640625" style="70" customWidth="1"/>
    <col min="4" max="4" width="25.6640625" style="70" customWidth="1"/>
    <col min="5" max="5" width="28.88671875" style="70" customWidth="1"/>
    <col min="6" max="6" width="18.109375" style="70" customWidth="1"/>
    <col min="7" max="7" width="20.6640625" style="70" customWidth="1"/>
    <col min="8" max="8" width="22.77734375" style="70" customWidth="1"/>
    <col min="9" max="9" width="20.33203125" style="70" customWidth="1"/>
    <col min="10" max="10" width="22" style="70" customWidth="1"/>
    <col min="11" max="11" width="18.88671875" style="70" customWidth="1"/>
    <col min="12" max="14" width="15.88671875" style="70" customWidth="1"/>
    <col min="15" max="16384" width="8.88671875" style="70"/>
  </cols>
  <sheetData>
    <row r="4" spans="2:9" x14ac:dyDescent="0.3">
      <c r="B4" s="438" t="s">
        <v>1437</v>
      </c>
      <c r="C4" s="438"/>
      <c r="D4" s="438"/>
      <c r="E4" s="438"/>
      <c r="F4" s="147"/>
      <c r="G4" s="147"/>
      <c r="H4" s="147"/>
      <c r="I4" s="147"/>
    </row>
    <row r="5" spans="2:9" x14ac:dyDescent="0.3">
      <c r="B5" s="178" t="s">
        <v>2</v>
      </c>
      <c r="C5" s="178" t="s">
        <v>1438</v>
      </c>
      <c r="D5" s="178" t="s">
        <v>1439</v>
      </c>
      <c r="E5" s="178" t="s">
        <v>1440</v>
      </c>
      <c r="F5" s="147"/>
      <c r="G5" s="147"/>
      <c r="H5" s="147"/>
      <c r="I5" s="147"/>
    </row>
    <row r="6" spans="2:9" x14ac:dyDescent="0.3">
      <c r="B6" s="489" t="s">
        <v>1459</v>
      </c>
      <c r="C6" s="363">
        <f>(50+25)+(9.6*6.2)+(2250*2)</f>
        <v>4634.5200000000004</v>
      </c>
      <c r="D6" s="490">
        <v>1444.7</v>
      </c>
      <c r="E6" s="491">
        <f>C6*D6</f>
        <v>6695491.0440000007</v>
      </c>
      <c r="F6" s="147"/>
      <c r="G6" s="147"/>
      <c r="H6" s="147"/>
      <c r="I6" s="147"/>
    </row>
    <row r="7" spans="2:9" x14ac:dyDescent="0.3">
      <c r="B7" s="489"/>
      <c r="C7" s="363"/>
      <c r="D7" s="490"/>
      <c r="E7" s="491"/>
      <c r="F7" s="147"/>
      <c r="G7" s="147"/>
      <c r="H7" s="147"/>
      <c r="I7" s="147"/>
    </row>
    <row r="8" spans="2:9" x14ac:dyDescent="0.3">
      <c r="B8" s="177" t="s">
        <v>1441</v>
      </c>
      <c r="C8" s="172">
        <v>10</v>
      </c>
      <c r="D8" s="207">
        <v>1444.7</v>
      </c>
      <c r="E8" s="208">
        <f>C8*D8</f>
        <v>14447</v>
      </c>
      <c r="F8" s="147"/>
      <c r="G8" s="147"/>
      <c r="H8" s="147"/>
      <c r="I8" s="147"/>
    </row>
    <row r="9" spans="2:9" x14ac:dyDescent="0.3">
      <c r="B9" s="438" t="s">
        <v>1442</v>
      </c>
      <c r="C9" s="438"/>
      <c r="D9" s="438"/>
      <c r="E9" s="208">
        <f>SUM(E6:E8)</f>
        <v>6709938.0440000007</v>
      </c>
      <c r="F9" s="147"/>
      <c r="G9" s="147"/>
      <c r="H9" s="147"/>
      <c r="I9" s="147"/>
    </row>
    <row r="10" spans="2:9" x14ac:dyDescent="0.3">
      <c r="B10" s="147"/>
      <c r="C10" s="147"/>
      <c r="D10" s="147"/>
      <c r="E10" s="147"/>
      <c r="F10" s="147"/>
      <c r="G10" s="147"/>
      <c r="H10" s="147"/>
      <c r="I10" s="147"/>
    </row>
    <row r="12" spans="2:9" x14ac:dyDescent="0.3">
      <c r="B12" s="438" t="s">
        <v>1443</v>
      </c>
      <c r="C12" s="438"/>
      <c r="D12" s="438"/>
      <c r="E12" s="438"/>
      <c r="F12" s="438"/>
      <c r="G12" s="438"/>
    </row>
    <row r="13" spans="2:9" x14ac:dyDescent="0.3">
      <c r="B13" s="178" t="s">
        <v>1444</v>
      </c>
      <c r="C13" s="178" t="s">
        <v>1445</v>
      </c>
      <c r="D13" s="209" t="s">
        <v>1431</v>
      </c>
      <c r="E13" s="178" t="s">
        <v>1446</v>
      </c>
      <c r="F13" s="178" t="s">
        <v>1447</v>
      </c>
      <c r="G13" s="178" t="s">
        <v>1448</v>
      </c>
    </row>
    <row r="14" spans="2:9" x14ac:dyDescent="0.3">
      <c r="B14" s="177" t="s">
        <v>1449</v>
      </c>
      <c r="C14" s="172">
        <v>1</v>
      </c>
      <c r="D14" s="210">
        <v>3500000</v>
      </c>
      <c r="E14" s="210">
        <f>C14*D14*12</f>
        <v>42000000</v>
      </c>
      <c r="F14" s="210">
        <f>C14*D14</f>
        <v>3500000</v>
      </c>
      <c r="G14" s="210">
        <f>F14/27</f>
        <v>129629.62962962964</v>
      </c>
    </row>
    <row r="15" spans="2:9" x14ac:dyDescent="0.3">
      <c r="B15" s="177" t="s">
        <v>1450</v>
      </c>
      <c r="C15" s="172">
        <v>10</v>
      </c>
      <c r="D15" s="210">
        <v>3200000</v>
      </c>
      <c r="E15" s="210">
        <f>C15*D15*12</f>
        <v>384000000</v>
      </c>
      <c r="F15" s="210">
        <f>C15*D15</f>
        <v>32000000</v>
      </c>
      <c r="G15" s="210">
        <f>F15/27</f>
        <v>1185185.1851851852</v>
      </c>
    </row>
    <row r="16" spans="2:9" x14ac:dyDescent="0.3">
      <c r="B16" s="177" t="s">
        <v>1451</v>
      </c>
      <c r="C16" s="172">
        <v>5</v>
      </c>
      <c r="D16" s="210">
        <v>2800000</v>
      </c>
      <c r="E16" s="210">
        <f>C16*D16*12</f>
        <v>168000000</v>
      </c>
      <c r="F16" s="210">
        <f>C16*D16</f>
        <v>14000000</v>
      </c>
      <c r="G16" s="210">
        <f>F16/27</f>
        <v>518518.51851851854</v>
      </c>
    </row>
    <row r="17" spans="2:9" x14ac:dyDescent="0.3">
      <c r="B17" s="178" t="s">
        <v>1452</v>
      </c>
      <c r="C17" s="172">
        <f>SUM(C14:C16)</f>
        <v>16</v>
      </c>
      <c r="D17" s="209" t="s">
        <v>1453</v>
      </c>
      <c r="E17" s="210">
        <v>114000000</v>
      </c>
      <c r="F17" s="210">
        <f>SUM(F14:F16)</f>
        <v>49500000</v>
      </c>
      <c r="G17" s="210">
        <f>SUM(G14:G16)</f>
        <v>1833333.3333333335</v>
      </c>
      <c r="H17" s="147"/>
      <c r="I17" s="147"/>
    </row>
    <row r="18" spans="2:9" x14ac:dyDescent="0.3">
      <c r="B18" s="147"/>
      <c r="C18" s="147"/>
      <c r="D18" s="147"/>
      <c r="E18" s="147"/>
      <c r="F18" s="147"/>
      <c r="G18" s="147"/>
      <c r="H18" s="147"/>
      <c r="I18" s="147"/>
    </row>
    <row r="19" spans="2:9" x14ac:dyDescent="0.3">
      <c r="B19" s="438" t="s">
        <v>1454</v>
      </c>
      <c r="C19" s="438"/>
      <c r="D19" s="147"/>
      <c r="E19" s="147"/>
      <c r="F19" s="147"/>
    </row>
    <row r="20" spans="2:9" x14ac:dyDescent="0.3">
      <c r="B20" s="178" t="s">
        <v>2</v>
      </c>
      <c r="C20" s="178" t="s">
        <v>1455</v>
      </c>
      <c r="D20" s="147"/>
      <c r="E20" s="147"/>
      <c r="F20" s="147"/>
    </row>
    <row r="21" spans="2:9" x14ac:dyDescent="0.3">
      <c r="B21" s="177" t="s">
        <v>1456</v>
      </c>
      <c r="C21" s="212">
        <f>E9</f>
        <v>6709938.0440000007</v>
      </c>
      <c r="D21" s="213"/>
      <c r="E21" s="147"/>
      <c r="F21" s="147"/>
    </row>
    <row r="22" spans="2:9" x14ac:dyDescent="0.3">
      <c r="B22" s="177" t="s">
        <v>1457</v>
      </c>
      <c r="C22" s="210">
        <f>G17</f>
        <v>1833333.3333333335</v>
      </c>
      <c r="D22" s="147"/>
      <c r="E22" s="147"/>
      <c r="F22" s="147"/>
    </row>
    <row r="23" spans="2:9" x14ac:dyDescent="0.3">
      <c r="B23" s="177" t="s">
        <v>1458</v>
      </c>
      <c r="C23" s="211">
        <f>SUM(C21:C22)</f>
        <v>8543271.3773333337</v>
      </c>
      <c r="D23" s="147"/>
      <c r="E23" s="147"/>
      <c r="F23" s="147"/>
    </row>
  </sheetData>
  <mergeCells count="8">
    <mergeCell ref="B9:D9"/>
    <mergeCell ref="B12:G12"/>
    <mergeCell ref="B19:C19"/>
    <mergeCell ref="B4:E4"/>
    <mergeCell ref="B6:B7"/>
    <mergeCell ref="C6:C7"/>
    <mergeCell ref="D6:D7"/>
    <mergeCell ref="E6: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978AB-7FD0-4FB4-ACBA-67F0832461A8}">
  <dimension ref="A1:V88"/>
  <sheetViews>
    <sheetView topLeftCell="A64" workbookViewId="0">
      <selection activeCell="B78" sqref="B78:F78"/>
    </sheetView>
  </sheetViews>
  <sheetFormatPr defaultRowHeight="14.4" x14ac:dyDescent="0.3"/>
  <cols>
    <col min="3" max="3" width="17" customWidth="1"/>
    <col min="4" max="4" width="34.88671875" customWidth="1"/>
    <col min="5" max="5" width="12.6640625" customWidth="1"/>
    <col min="6" max="6" width="17.21875" customWidth="1"/>
    <col min="7" max="7" width="19.44140625" customWidth="1"/>
  </cols>
  <sheetData>
    <row r="1" spans="1:22" x14ac:dyDescent="0.3">
      <c r="A1" s="12"/>
      <c r="B1" s="12"/>
      <c r="C1" s="12"/>
      <c r="D1" s="12"/>
      <c r="E1" s="12"/>
      <c r="F1" s="12"/>
      <c r="G1" s="12"/>
    </row>
    <row r="2" spans="1:22" ht="55.8" customHeight="1" x14ac:dyDescent="0.3">
      <c r="A2" s="12"/>
      <c r="B2" s="141" t="s">
        <v>19</v>
      </c>
      <c r="C2" s="262" t="s">
        <v>20</v>
      </c>
      <c r="D2" s="262"/>
      <c r="E2" s="141" t="s">
        <v>21</v>
      </c>
      <c r="F2" s="141" t="s">
        <v>22</v>
      </c>
      <c r="G2" s="141" t="s">
        <v>23</v>
      </c>
    </row>
    <row r="3" spans="1:22" x14ac:dyDescent="0.3">
      <c r="A3" s="12"/>
      <c r="B3" s="263" t="s">
        <v>24</v>
      </c>
      <c r="C3" s="263"/>
      <c r="D3" s="263"/>
      <c r="E3" s="263"/>
      <c r="F3" s="263"/>
      <c r="G3" s="263"/>
    </row>
    <row r="4" spans="1:22" x14ac:dyDescent="0.3">
      <c r="A4" s="12"/>
      <c r="B4" s="263" t="s">
        <v>25</v>
      </c>
      <c r="C4" s="263"/>
      <c r="D4" s="263"/>
      <c r="E4" s="263"/>
      <c r="F4" s="263"/>
      <c r="G4" s="263"/>
      <c r="J4" s="70"/>
      <c r="K4" s="70"/>
      <c r="L4" s="70"/>
      <c r="M4" s="70"/>
      <c r="N4" s="70"/>
      <c r="O4" s="70"/>
      <c r="P4" s="70"/>
      <c r="Q4" s="70"/>
      <c r="R4" s="70"/>
      <c r="S4" s="70"/>
      <c r="T4" s="70"/>
      <c r="U4" s="70"/>
      <c r="V4" s="70"/>
    </row>
    <row r="5" spans="1:22" x14ac:dyDescent="0.3">
      <c r="A5" s="12"/>
      <c r="B5" s="15">
        <v>1</v>
      </c>
      <c r="C5" s="116" t="s">
        <v>26</v>
      </c>
      <c r="D5" s="116"/>
      <c r="E5" s="142">
        <v>0.1013</v>
      </c>
      <c r="F5" s="15">
        <v>4</v>
      </c>
      <c r="G5" s="114">
        <f>E5*F5</f>
        <v>0.4052</v>
      </c>
      <c r="J5" s="70"/>
      <c r="K5" s="147"/>
      <c r="L5" s="147"/>
      <c r="M5" s="275" t="s">
        <v>96</v>
      </c>
      <c r="N5" s="275"/>
      <c r="O5" s="275"/>
      <c r="P5" s="275"/>
      <c r="Q5" s="275"/>
      <c r="R5" s="275"/>
      <c r="S5" s="147"/>
      <c r="T5" s="147"/>
      <c r="U5" s="147"/>
      <c r="V5" s="70"/>
    </row>
    <row r="6" spans="1:22" x14ac:dyDescent="0.3">
      <c r="A6" s="12"/>
      <c r="B6" s="15">
        <v>2</v>
      </c>
      <c r="C6" s="116" t="s">
        <v>27</v>
      </c>
      <c r="D6" s="116"/>
      <c r="E6" s="142">
        <v>0.1323</v>
      </c>
      <c r="F6" s="15">
        <v>4</v>
      </c>
      <c r="G6" s="114">
        <f>E6*F6</f>
        <v>0.5292</v>
      </c>
      <c r="J6" s="70"/>
      <c r="K6" s="147"/>
      <c r="L6" s="147"/>
      <c r="M6" s="147"/>
      <c r="N6" s="147"/>
      <c r="O6" s="147" t="s">
        <v>81</v>
      </c>
      <c r="P6" s="147"/>
      <c r="Q6" s="147"/>
      <c r="R6" s="147"/>
      <c r="S6" s="147"/>
      <c r="T6" s="147"/>
      <c r="U6" s="147"/>
      <c r="V6" s="70"/>
    </row>
    <row r="7" spans="1:22" x14ac:dyDescent="0.3">
      <c r="A7" s="12"/>
      <c r="B7" s="15">
        <v>3</v>
      </c>
      <c r="C7" s="116" t="s">
        <v>28</v>
      </c>
      <c r="D7" s="116"/>
      <c r="E7" s="142">
        <v>3.7699999999999997E-2</v>
      </c>
      <c r="F7" s="15">
        <v>3</v>
      </c>
      <c r="G7" s="114">
        <f>E7*F7</f>
        <v>0.11309999999999999</v>
      </c>
      <c r="J7" s="70"/>
      <c r="K7" s="147"/>
      <c r="L7" s="147"/>
      <c r="M7" s="147"/>
      <c r="N7" s="147"/>
      <c r="O7" s="148"/>
      <c r="P7" s="276" t="s">
        <v>82</v>
      </c>
      <c r="Q7" s="275"/>
      <c r="R7" s="147"/>
      <c r="S7" s="147"/>
      <c r="T7" s="147"/>
      <c r="U7" s="147"/>
      <c r="V7" s="70"/>
    </row>
    <row r="8" spans="1:22" x14ac:dyDescent="0.3">
      <c r="A8" s="12"/>
      <c r="B8" s="244">
        <v>4</v>
      </c>
      <c r="C8" s="243" t="s">
        <v>29</v>
      </c>
      <c r="D8" s="243"/>
      <c r="E8" s="270">
        <v>4.2999999999999997E-2</v>
      </c>
      <c r="F8" s="266">
        <v>3</v>
      </c>
      <c r="G8" s="268">
        <f>E8*F8</f>
        <v>0.129</v>
      </c>
      <c r="J8" s="70"/>
      <c r="K8" s="147"/>
      <c r="L8" s="147"/>
      <c r="M8" s="147"/>
      <c r="N8" s="147"/>
      <c r="O8" s="277">
        <v>0.8</v>
      </c>
      <c r="P8" s="149"/>
      <c r="Q8" s="147"/>
      <c r="R8" s="147"/>
      <c r="S8" s="147"/>
      <c r="T8" s="147"/>
      <c r="U8" s="147"/>
      <c r="V8" s="70"/>
    </row>
    <row r="9" spans="1:22" x14ac:dyDescent="0.3">
      <c r="A9" s="12"/>
      <c r="B9" s="244"/>
      <c r="C9" s="243"/>
      <c r="D9" s="243"/>
      <c r="E9" s="271"/>
      <c r="F9" s="267"/>
      <c r="G9" s="269"/>
      <c r="J9" s="70"/>
      <c r="K9" s="147"/>
      <c r="L9" s="147"/>
      <c r="M9" s="147"/>
      <c r="N9" s="147"/>
      <c r="O9" s="277"/>
      <c r="P9" s="149"/>
      <c r="Q9" s="147"/>
      <c r="R9" s="147"/>
      <c r="S9" s="147"/>
      <c r="T9" s="147"/>
      <c r="U9" s="147"/>
      <c r="V9" s="70"/>
    </row>
    <row r="10" spans="1:22" x14ac:dyDescent="0.3">
      <c r="A10" s="12"/>
      <c r="B10" s="15">
        <v>5</v>
      </c>
      <c r="C10" s="239" t="s">
        <v>30</v>
      </c>
      <c r="D10" s="239"/>
      <c r="E10" s="142">
        <v>0.191</v>
      </c>
      <c r="F10" s="15">
        <v>4</v>
      </c>
      <c r="G10" s="114">
        <f>E10*F10</f>
        <v>0.76400000000000001</v>
      </c>
      <c r="J10" s="70"/>
      <c r="K10" s="147"/>
      <c r="L10" s="147"/>
      <c r="M10" s="147"/>
      <c r="N10" s="147"/>
      <c r="O10" s="277">
        <v>0.6</v>
      </c>
      <c r="P10" s="149"/>
      <c r="Q10" s="147"/>
      <c r="R10" s="147"/>
      <c r="S10" s="147"/>
      <c r="T10" s="147"/>
      <c r="U10" s="147"/>
      <c r="V10" s="70"/>
    </row>
    <row r="11" spans="1:22" x14ac:dyDescent="0.3">
      <c r="A11" s="12"/>
      <c r="B11" s="15">
        <v>6</v>
      </c>
      <c r="C11" s="239" t="s">
        <v>31</v>
      </c>
      <c r="D11" s="239"/>
      <c r="E11" s="142">
        <v>0.25130000000000002</v>
      </c>
      <c r="F11" s="15">
        <v>4</v>
      </c>
      <c r="G11" s="114">
        <f t="shared" ref="G11:G15" si="0">E11*F11</f>
        <v>1.0052000000000001</v>
      </c>
      <c r="J11" s="70"/>
      <c r="K11" s="147"/>
      <c r="L11" s="147"/>
      <c r="M11" s="147"/>
      <c r="N11" s="147"/>
      <c r="O11" s="277"/>
      <c r="P11" s="149"/>
      <c r="Q11" s="147"/>
      <c r="R11" s="147"/>
      <c r="S11" s="147"/>
      <c r="T11" s="147"/>
      <c r="U11" s="147"/>
      <c r="V11" s="70"/>
    </row>
    <row r="12" spans="1:22" x14ac:dyDescent="0.3">
      <c r="A12" s="12"/>
      <c r="B12" s="15">
        <v>7</v>
      </c>
      <c r="C12" s="239" t="s">
        <v>32</v>
      </c>
      <c r="D12" s="239"/>
      <c r="E12" s="142">
        <v>7.5300000000000006E-2</v>
      </c>
      <c r="F12" s="15">
        <v>3</v>
      </c>
      <c r="G12" s="114">
        <f t="shared" si="0"/>
        <v>0.22590000000000002</v>
      </c>
      <c r="J12" s="70"/>
      <c r="K12" s="147"/>
      <c r="L12" s="147"/>
      <c r="M12" s="274" t="s">
        <v>95</v>
      </c>
      <c r="N12" s="274"/>
      <c r="O12" s="277">
        <v>0.4</v>
      </c>
      <c r="P12" s="149"/>
      <c r="Q12" s="147"/>
      <c r="R12" s="147"/>
      <c r="S12" s="147"/>
      <c r="T12" s="147"/>
      <c r="U12" s="147"/>
      <c r="V12" s="70"/>
    </row>
    <row r="13" spans="1:22" x14ac:dyDescent="0.3">
      <c r="A13" s="12"/>
      <c r="B13" s="15">
        <v>8</v>
      </c>
      <c r="C13" s="239" t="s">
        <v>33</v>
      </c>
      <c r="D13" s="239"/>
      <c r="E13" s="142">
        <v>6.5299999999999997E-2</v>
      </c>
      <c r="F13" s="15">
        <v>3</v>
      </c>
      <c r="G13" s="114">
        <f t="shared" si="0"/>
        <v>0.19589999999999999</v>
      </c>
      <c r="J13" s="70"/>
      <c r="K13" s="147"/>
      <c r="L13" s="147"/>
      <c r="M13" s="147"/>
      <c r="N13" s="147"/>
      <c r="O13" s="277"/>
      <c r="P13" s="149"/>
      <c r="Q13" s="147"/>
      <c r="R13" s="147"/>
      <c r="S13" s="147"/>
      <c r="T13" s="147"/>
      <c r="U13" s="147"/>
      <c r="V13" s="70"/>
    </row>
    <row r="14" spans="1:22" x14ac:dyDescent="0.3">
      <c r="A14" s="12"/>
      <c r="B14" s="15">
        <v>9</v>
      </c>
      <c r="C14" s="239" t="s">
        <v>34</v>
      </c>
      <c r="D14" s="239"/>
      <c r="E14" s="142">
        <v>5.67E-2</v>
      </c>
      <c r="F14" s="15">
        <v>3</v>
      </c>
      <c r="G14" s="114">
        <f t="shared" si="0"/>
        <v>0.1701</v>
      </c>
      <c r="J14" s="70"/>
      <c r="K14" s="147"/>
      <c r="L14" s="147"/>
      <c r="M14" s="147"/>
      <c r="N14" s="147"/>
      <c r="O14" s="277">
        <v>0.2</v>
      </c>
      <c r="P14" s="149"/>
      <c r="Q14" s="147"/>
      <c r="R14" s="147"/>
      <c r="S14" s="147"/>
      <c r="T14" s="147"/>
      <c r="U14" s="147"/>
      <c r="V14" s="70"/>
    </row>
    <row r="15" spans="1:22" x14ac:dyDescent="0.3">
      <c r="A15" s="12"/>
      <c r="B15" s="15">
        <v>10</v>
      </c>
      <c r="C15" s="239" t="s">
        <v>35</v>
      </c>
      <c r="D15" s="239"/>
      <c r="E15" s="142">
        <v>4.6300000000000001E-2</v>
      </c>
      <c r="F15" s="15">
        <v>3</v>
      </c>
      <c r="G15" s="114">
        <f t="shared" si="0"/>
        <v>0.1389</v>
      </c>
      <c r="J15" s="70"/>
      <c r="K15" s="147"/>
      <c r="L15" s="147"/>
      <c r="M15" s="147"/>
      <c r="N15" s="147"/>
      <c r="O15" s="277"/>
      <c r="P15" s="149"/>
      <c r="Q15" s="147"/>
      <c r="R15" s="147"/>
      <c r="S15" s="147"/>
      <c r="T15" s="147"/>
      <c r="U15" s="147"/>
      <c r="V15" s="70"/>
    </row>
    <row r="16" spans="1:22" ht="15" thickBot="1" x14ac:dyDescent="0.35">
      <c r="A16" s="12"/>
      <c r="B16" s="264" t="s">
        <v>36</v>
      </c>
      <c r="C16" s="264"/>
      <c r="D16" s="264"/>
      <c r="E16" s="143">
        <f>SUM(E5:E15)</f>
        <v>1.0002</v>
      </c>
      <c r="F16" s="15"/>
      <c r="G16" s="114">
        <f>SUM(G5:G15)</f>
        <v>3.6765000000000008</v>
      </c>
      <c r="J16" s="70"/>
      <c r="K16" s="147"/>
      <c r="L16" s="278" t="s">
        <v>83</v>
      </c>
      <c r="M16" s="278"/>
      <c r="N16" s="147"/>
      <c r="O16" s="150"/>
      <c r="P16" s="149"/>
      <c r="Q16" s="147"/>
      <c r="R16" s="279" t="s">
        <v>84</v>
      </c>
      <c r="S16" s="279"/>
      <c r="T16" s="147" t="s">
        <v>85</v>
      </c>
      <c r="U16" s="147"/>
      <c r="V16" s="70"/>
    </row>
    <row r="17" spans="1:22" x14ac:dyDescent="0.3">
      <c r="A17" s="12"/>
      <c r="B17" s="263" t="s">
        <v>37</v>
      </c>
      <c r="C17" s="263"/>
      <c r="D17" s="263"/>
      <c r="E17" s="263"/>
      <c r="F17" s="263"/>
      <c r="G17" s="263"/>
      <c r="J17" s="70"/>
      <c r="K17" s="151" t="s">
        <v>86</v>
      </c>
      <c r="L17" s="152" t="s">
        <v>87</v>
      </c>
      <c r="M17" s="152" t="s">
        <v>88</v>
      </c>
      <c r="N17" s="152" t="s">
        <v>89</v>
      </c>
      <c r="O17" s="153" t="s">
        <v>90</v>
      </c>
      <c r="P17" s="154">
        <v>0.2</v>
      </c>
      <c r="Q17" s="155">
        <v>0.4</v>
      </c>
      <c r="R17" s="155">
        <v>0.6</v>
      </c>
      <c r="S17" s="155">
        <v>0.8</v>
      </c>
      <c r="T17" s="147"/>
      <c r="U17" s="147"/>
      <c r="V17" s="70"/>
    </row>
    <row r="18" spans="1:22" x14ac:dyDescent="0.3">
      <c r="A18" s="12"/>
      <c r="B18" s="15">
        <v>1</v>
      </c>
      <c r="C18" s="248" t="s">
        <v>38</v>
      </c>
      <c r="D18" s="248"/>
      <c r="E18" s="142">
        <v>5.57E-2</v>
      </c>
      <c r="F18" s="15">
        <v>3</v>
      </c>
      <c r="G18" s="114">
        <f>E18*F18</f>
        <v>0.1671</v>
      </c>
      <c r="J18" s="70"/>
      <c r="K18" s="147"/>
      <c r="L18" s="147"/>
      <c r="M18" s="147"/>
      <c r="N18" s="147"/>
      <c r="O18" s="280" t="s">
        <v>89</v>
      </c>
      <c r="P18" s="149"/>
      <c r="Q18" s="147"/>
      <c r="R18" s="147"/>
      <c r="S18" s="147"/>
      <c r="T18" s="147"/>
      <c r="U18" s="147"/>
      <c r="V18" s="70"/>
    </row>
    <row r="19" spans="1:22" x14ac:dyDescent="0.3">
      <c r="A19" s="12"/>
      <c r="B19" s="244">
        <v>2</v>
      </c>
      <c r="C19" s="243" t="s">
        <v>39</v>
      </c>
      <c r="D19" s="243"/>
      <c r="E19" s="270">
        <v>0.22670000000000001</v>
      </c>
      <c r="F19" s="266">
        <v>4</v>
      </c>
      <c r="G19" s="268">
        <f>E19*F19</f>
        <v>0.90680000000000005</v>
      </c>
      <c r="J19" s="70"/>
      <c r="K19" s="147"/>
      <c r="L19" s="147"/>
      <c r="M19" s="147"/>
      <c r="N19" s="147"/>
      <c r="O19" s="280"/>
      <c r="P19" s="149"/>
      <c r="Q19" s="147"/>
      <c r="R19" s="147"/>
      <c r="S19" s="147"/>
      <c r="T19" s="147"/>
      <c r="U19" s="147"/>
      <c r="V19" s="70"/>
    </row>
    <row r="20" spans="1:22" x14ac:dyDescent="0.3">
      <c r="A20" s="12"/>
      <c r="B20" s="244"/>
      <c r="C20" s="243"/>
      <c r="D20" s="243"/>
      <c r="E20" s="271"/>
      <c r="F20" s="267"/>
      <c r="G20" s="269"/>
      <c r="J20" s="70"/>
      <c r="K20" s="147"/>
      <c r="L20" s="147"/>
      <c r="M20" s="147"/>
      <c r="N20" s="147"/>
      <c r="O20" s="280" t="s">
        <v>88</v>
      </c>
      <c r="P20" s="149"/>
      <c r="Q20" s="147"/>
      <c r="R20" s="147"/>
      <c r="S20" s="147"/>
      <c r="T20" s="147"/>
      <c r="U20" s="147"/>
      <c r="V20" s="70"/>
    </row>
    <row r="21" spans="1:22" x14ac:dyDescent="0.3">
      <c r="A21" s="12"/>
      <c r="B21" s="15">
        <v>3</v>
      </c>
      <c r="C21" s="248" t="s">
        <v>40</v>
      </c>
      <c r="D21" s="248"/>
      <c r="E21" s="142">
        <v>7.9000000000000001E-2</v>
      </c>
      <c r="F21" s="15">
        <v>3</v>
      </c>
      <c r="G21" s="114">
        <f>E21*F21</f>
        <v>0.23699999999999999</v>
      </c>
      <c r="J21" s="70"/>
      <c r="K21" s="147"/>
      <c r="L21" s="147"/>
      <c r="M21" s="147"/>
      <c r="N21" s="147"/>
      <c r="O21" s="280"/>
      <c r="P21" s="149"/>
      <c r="Q21" s="147"/>
      <c r="R21" s="147"/>
      <c r="S21" s="147"/>
      <c r="T21" s="147"/>
      <c r="U21" s="147"/>
      <c r="V21" s="70"/>
    </row>
    <row r="22" spans="1:22" x14ac:dyDescent="0.3">
      <c r="A22" s="12"/>
      <c r="B22" s="244">
        <v>4</v>
      </c>
      <c r="C22" s="243" t="s">
        <v>41</v>
      </c>
      <c r="D22" s="243"/>
      <c r="E22" s="270">
        <v>0.13830000000000001</v>
      </c>
      <c r="F22" s="266">
        <v>4</v>
      </c>
      <c r="G22" s="268">
        <f>E22*F22</f>
        <v>0.55320000000000003</v>
      </c>
      <c r="J22" s="70"/>
      <c r="K22" s="147"/>
      <c r="L22" s="147"/>
      <c r="M22" s="147"/>
      <c r="N22" s="147"/>
      <c r="O22" s="280" t="s">
        <v>87</v>
      </c>
      <c r="P22" s="149"/>
      <c r="Q22" s="147"/>
      <c r="R22" s="147"/>
      <c r="S22" s="147"/>
      <c r="T22" s="147"/>
      <c r="U22" s="147"/>
      <c r="V22" s="70"/>
    </row>
    <row r="23" spans="1:22" x14ac:dyDescent="0.3">
      <c r="A23" s="12"/>
      <c r="B23" s="244"/>
      <c r="C23" s="243"/>
      <c r="D23" s="243"/>
      <c r="E23" s="271"/>
      <c r="F23" s="267"/>
      <c r="G23" s="269"/>
      <c r="J23" s="70"/>
      <c r="K23" s="147"/>
      <c r="L23" s="147"/>
      <c r="M23" s="147"/>
      <c r="N23" s="147"/>
      <c r="O23" s="280"/>
      <c r="P23" s="149"/>
      <c r="Q23" s="147"/>
      <c r="R23" s="147"/>
      <c r="S23" s="147"/>
      <c r="T23" s="147"/>
      <c r="U23" s="147"/>
      <c r="V23" s="70"/>
    </row>
    <row r="24" spans="1:22" x14ac:dyDescent="0.3">
      <c r="A24" s="12"/>
      <c r="B24" s="15">
        <v>5</v>
      </c>
      <c r="C24" s="248" t="s">
        <v>42</v>
      </c>
      <c r="D24" s="248"/>
      <c r="E24" s="142">
        <v>2.6700000000000002E-2</v>
      </c>
      <c r="F24" s="15">
        <v>3</v>
      </c>
      <c r="G24" s="114">
        <f>E24*F24</f>
        <v>8.0100000000000005E-2</v>
      </c>
      <c r="J24" s="70"/>
      <c r="K24" s="147"/>
      <c r="L24" s="147"/>
      <c r="M24" s="147"/>
      <c r="N24" s="147"/>
      <c r="O24" s="280" t="s">
        <v>86</v>
      </c>
      <c r="P24" s="149"/>
      <c r="Q24" s="147"/>
      <c r="R24" s="147"/>
      <c r="S24" s="147"/>
      <c r="T24" s="147"/>
      <c r="U24" s="147"/>
      <c r="V24" s="70"/>
    </row>
    <row r="25" spans="1:22" x14ac:dyDescent="0.3">
      <c r="A25" s="12"/>
      <c r="B25" s="15">
        <v>6</v>
      </c>
      <c r="C25" s="248" t="s">
        <v>43</v>
      </c>
      <c r="D25" s="248"/>
      <c r="E25" s="142">
        <v>2.3699999999999999E-2</v>
      </c>
      <c r="F25" s="15">
        <v>3</v>
      </c>
      <c r="G25" s="114">
        <f t="shared" ref="G25:G29" si="1">E25*F25</f>
        <v>7.1099999999999997E-2</v>
      </c>
      <c r="J25" s="70"/>
      <c r="K25" s="147"/>
      <c r="L25" s="147"/>
      <c r="M25" s="147"/>
      <c r="N25" s="147"/>
      <c r="O25" s="280"/>
      <c r="P25" s="276" t="s">
        <v>91</v>
      </c>
      <c r="Q25" s="275"/>
      <c r="R25" s="147"/>
      <c r="S25" s="147"/>
      <c r="T25" s="147"/>
      <c r="U25" s="147"/>
      <c r="V25" s="70"/>
    </row>
    <row r="26" spans="1:22" x14ac:dyDescent="0.3">
      <c r="A26" s="12"/>
      <c r="B26" s="15">
        <v>7</v>
      </c>
      <c r="C26" s="248" t="s">
        <v>44</v>
      </c>
      <c r="D26" s="248"/>
      <c r="E26" s="142">
        <v>6.8699999999999997E-2</v>
      </c>
      <c r="F26" s="15">
        <v>4</v>
      </c>
      <c r="G26" s="114">
        <f t="shared" si="1"/>
        <v>0.27479999999999999</v>
      </c>
      <c r="J26" s="70"/>
      <c r="K26" s="147"/>
      <c r="L26" s="147"/>
      <c r="M26" s="147"/>
      <c r="N26" s="147"/>
      <c r="O26" s="156"/>
      <c r="P26" s="147"/>
      <c r="Q26" s="147"/>
      <c r="R26" s="147"/>
      <c r="S26" s="147"/>
      <c r="T26" s="147"/>
      <c r="U26" s="147"/>
      <c r="V26" s="70"/>
    </row>
    <row r="27" spans="1:22" x14ac:dyDescent="0.3">
      <c r="A27" s="12"/>
      <c r="B27" s="15">
        <v>8</v>
      </c>
      <c r="C27" s="248" t="s">
        <v>45</v>
      </c>
      <c r="D27" s="248"/>
      <c r="E27" s="142">
        <v>0.18629999999999999</v>
      </c>
      <c r="F27" s="15">
        <v>4</v>
      </c>
      <c r="G27" s="114">
        <f t="shared" si="1"/>
        <v>0.74519999999999997</v>
      </c>
      <c r="O27" s="8"/>
    </row>
    <row r="28" spans="1:22" x14ac:dyDescent="0.3">
      <c r="A28" s="12"/>
      <c r="B28" s="15">
        <v>9</v>
      </c>
      <c r="C28" s="248" t="s">
        <v>46</v>
      </c>
      <c r="D28" s="248"/>
      <c r="E28" s="142">
        <v>0.1067</v>
      </c>
      <c r="F28" s="15">
        <v>4</v>
      </c>
      <c r="G28" s="114">
        <f t="shared" si="1"/>
        <v>0.42680000000000001</v>
      </c>
    </row>
    <row r="29" spans="1:22" x14ac:dyDescent="0.3">
      <c r="A29" s="12"/>
      <c r="B29" s="15">
        <v>10</v>
      </c>
      <c r="C29" s="248" t="s">
        <v>47</v>
      </c>
      <c r="D29" s="248"/>
      <c r="E29" s="142">
        <v>8.77E-2</v>
      </c>
      <c r="F29" s="15">
        <v>4</v>
      </c>
      <c r="G29" s="114">
        <f t="shared" si="1"/>
        <v>0.3508</v>
      </c>
    </row>
    <row r="30" spans="1:22" x14ac:dyDescent="0.3">
      <c r="A30" s="12"/>
      <c r="B30" s="264" t="s">
        <v>36</v>
      </c>
      <c r="C30" s="264"/>
      <c r="D30" s="264"/>
      <c r="E30" s="144">
        <f>SUM(E18:E29)</f>
        <v>0.99950000000000006</v>
      </c>
      <c r="F30" s="14"/>
      <c r="G30" s="112">
        <f>SUM(G18:G29)</f>
        <v>3.8129000000000004</v>
      </c>
    </row>
    <row r="31" spans="1:22" x14ac:dyDescent="0.3">
      <c r="A31" s="12"/>
      <c r="B31" s="265" t="s">
        <v>48</v>
      </c>
      <c r="C31" s="265"/>
      <c r="D31" s="265"/>
      <c r="E31" s="265"/>
      <c r="F31" s="265"/>
      <c r="G31" s="145">
        <f>G16-G30</f>
        <v>-0.13639999999999963</v>
      </c>
    </row>
    <row r="32" spans="1:22" x14ac:dyDescent="0.3">
      <c r="A32" s="12"/>
      <c r="B32" s="263" t="s">
        <v>49</v>
      </c>
      <c r="C32" s="263"/>
      <c r="D32" s="263"/>
      <c r="E32" s="263"/>
      <c r="F32" s="263"/>
      <c r="G32" s="263"/>
    </row>
    <row r="33" spans="1:7" x14ac:dyDescent="0.3">
      <c r="A33" s="12"/>
      <c r="B33" s="263" t="s">
        <v>50</v>
      </c>
      <c r="C33" s="263"/>
      <c r="D33" s="263"/>
      <c r="E33" s="263"/>
      <c r="F33" s="263"/>
      <c r="G33" s="263"/>
    </row>
    <row r="34" spans="1:7" x14ac:dyDescent="0.3">
      <c r="A34" s="12"/>
      <c r="B34" s="15">
        <v>1</v>
      </c>
      <c r="C34" s="249" t="s">
        <v>51</v>
      </c>
      <c r="D34" s="249"/>
      <c r="E34" s="142">
        <v>0.105</v>
      </c>
      <c r="F34" s="15">
        <v>4</v>
      </c>
      <c r="G34" s="114">
        <f>E34*F34</f>
        <v>0.42</v>
      </c>
    </row>
    <row r="35" spans="1:7" x14ac:dyDescent="0.3">
      <c r="A35" s="12"/>
      <c r="B35" s="15">
        <v>2</v>
      </c>
      <c r="C35" s="249" t="s">
        <v>52</v>
      </c>
      <c r="D35" s="249"/>
      <c r="E35" s="142">
        <v>7.5999999999999998E-2</v>
      </c>
      <c r="F35" s="15">
        <v>4</v>
      </c>
      <c r="G35" s="114">
        <f t="shared" ref="G35:G39" si="2">E35*F35</f>
        <v>0.30399999999999999</v>
      </c>
    </row>
    <row r="36" spans="1:7" x14ac:dyDescent="0.3">
      <c r="A36" s="12"/>
      <c r="B36" s="15">
        <v>3</v>
      </c>
      <c r="C36" s="249" t="s">
        <v>53</v>
      </c>
      <c r="D36" s="249"/>
      <c r="E36" s="142">
        <v>5.57E-2</v>
      </c>
      <c r="F36" s="15">
        <v>3</v>
      </c>
      <c r="G36" s="114">
        <f t="shared" si="2"/>
        <v>0.1671</v>
      </c>
    </row>
    <row r="37" spans="1:7" x14ac:dyDescent="0.3">
      <c r="A37" s="12"/>
      <c r="B37" s="15">
        <v>4</v>
      </c>
      <c r="C37" s="249" t="s">
        <v>54</v>
      </c>
      <c r="D37" s="249"/>
      <c r="E37" s="142">
        <v>0.31929999999999997</v>
      </c>
      <c r="F37" s="15">
        <v>4</v>
      </c>
      <c r="G37" s="114">
        <f t="shared" si="2"/>
        <v>1.2771999999999999</v>
      </c>
    </row>
    <row r="38" spans="1:7" x14ac:dyDescent="0.3">
      <c r="A38" s="12"/>
      <c r="B38" s="15">
        <v>5</v>
      </c>
      <c r="C38" s="249" t="s">
        <v>55</v>
      </c>
      <c r="D38" s="249"/>
      <c r="E38" s="142">
        <v>0.2253</v>
      </c>
      <c r="F38" s="15">
        <v>4</v>
      </c>
      <c r="G38" s="114">
        <f t="shared" si="2"/>
        <v>0.9012</v>
      </c>
    </row>
    <row r="39" spans="1:7" x14ac:dyDescent="0.3">
      <c r="A39" s="12"/>
      <c r="B39" s="15">
        <v>6</v>
      </c>
      <c r="C39" s="249" t="s">
        <v>56</v>
      </c>
      <c r="D39" s="249"/>
      <c r="E39" s="142">
        <v>3.5299999999999998E-2</v>
      </c>
      <c r="F39" s="15">
        <v>3</v>
      </c>
      <c r="G39" s="114">
        <f t="shared" si="2"/>
        <v>0.10589999999999999</v>
      </c>
    </row>
    <row r="40" spans="1:7" x14ac:dyDescent="0.3">
      <c r="A40" s="12"/>
      <c r="B40" s="244">
        <v>7</v>
      </c>
      <c r="C40" s="250" t="s">
        <v>57</v>
      </c>
      <c r="D40" s="250"/>
      <c r="E40" s="270">
        <v>2.3300000000000001E-2</v>
      </c>
      <c r="F40" s="266">
        <v>3</v>
      </c>
      <c r="G40" s="268">
        <f>E40*F40</f>
        <v>6.9900000000000004E-2</v>
      </c>
    </row>
    <row r="41" spans="1:7" x14ac:dyDescent="0.3">
      <c r="A41" s="12"/>
      <c r="B41" s="244"/>
      <c r="C41" s="250"/>
      <c r="D41" s="250"/>
      <c r="E41" s="271"/>
      <c r="F41" s="267"/>
      <c r="G41" s="269"/>
    </row>
    <row r="42" spans="1:7" x14ac:dyDescent="0.3">
      <c r="A42" s="12"/>
      <c r="B42" s="15">
        <v>8</v>
      </c>
      <c r="C42" s="249" t="s">
        <v>58</v>
      </c>
      <c r="D42" s="249"/>
      <c r="E42" s="142">
        <v>0.15970000000000001</v>
      </c>
      <c r="F42" s="15">
        <v>4</v>
      </c>
      <c r="G42" s="114">
        <f>E42*F42</f>
        <v>0.63880000000000003</v>
      </c>
    </row>
    <row r="43" spans="1:7" x14ac:dyDescent="0.3">
      <c r="A43" s="12"/>
      <c r="B43" s="264" t="s">
        <v>36</v>
      </c>
      <c r="C43" s="264"/>
      <c r="D43" s="264"/>
      <c r="E43" s="146">
        <f>SUM(E34:E42)</f>
        <v>0.99959999999999982</v>
      </c>
      <c r="F43" s="15"/>
      <c r="G43" s="114">
        <f>SUM(G34:G42)</f>
        <v>3.8841000000000001</v>
      </c>
    </row>
    <row r="44" spans="1:7" x14ac:dyDescent="0.3">
      <c r="A44" s="12"/>
      <c r="B44" s="263" t="s">
        <v>68</v>
      </c>
      <c r="C44" s="263"/>
      <c r="D44" s="263"/>
      <c r="E44" s="263"/>
      <c r="F44" s="263"/>
      <c r="G44" s="263"/>
    </row>
    <row r="45" spans="1:7" x14ac:dyDescent="0.3">
      <c r="A45" s="12"/>
      <c r="B45" s="15">
        <v>1</v>
      </c>
      <c r="C45" s="239" t="s">
        <v>94</v>
      </c>
      <c r="D45" s="239"/>
      <c r="E45" s="142">
        <v>0.1</v>
      </c>
      <c r="F45" s="15">
        <v>3</v>
      </c>
      <c r="G45" s="114">
        <f>E45*F45</f>
        <v>0.30000000000000004</v>
      </c>
    </row>
    <row r="46" spans="1:7" x14ac:dyDescent="0.3">
      <c r="A46" s="12"/>
      <c r="B46" s="244">
        <v>2</v>
      </c>
      <c r="C46" s="246" t="s">
        <v>59</v>
      </c>
      <c r="D46" s="246"/>
      <c r="E46" s="270">
        <v>7.8700000000000006E-2</v>
      </c>
      <c r="F46" s="266">
        <v>3</v>
      </c>
      <c r="G46" s="268">
        <f>E46*F46</f>
        <v>0.23610000000000003</v>
      </c>
    </row>
    <row r="47" spans="1:7" x14ac:dyDescent="0.3">
      <c r="A47" s="12"/>
      <c r="B47" s="244"/>
      <c r="C47" s="246"/>
      <c r="D47" s="246"/>
      <c r="E47" s="271"/>
      <c r="F47" s="267"/>
      <c r="G47" s="269"/>
    </row>
    <row r="48" spans="1:7" x14ac:dyDescent="0.3">
      <c r="A48" s="12"/>
      <c r="B48" s="244">
        <v>3</v>
      </c>
      <c r="C48" s="246" t="s">
        <v>60</v>
      </c>
      <c r="D48" s="246"/>
      <c r="E48" s="270">
        <v>0.04</v>
      </c>
      <c r="F48" s="266">
        <v>3</v>
      </c>
      <c r="G48" s="268">
        <f>E48*F48</f>
        <v>0.12</v>
      </c>
    </row>
    <row r="49" spans="1:7" x14ac:dyDescent="0.3">
      <c r="A49" s="12"/>
      <c r="B49" s="244"/>
      <c r="C49" s="246"/>
      <c r="D49" s="246"/>
      <c r="E49" s="271"/>
      <c r="F49" s="267"/>
      <c r="G49" s="269"/>
    </row>
    <row r="50" spans="1:7" x14ac:dyDescent="0.3">
      <c r="A50" s="12"/>
      <c r="B50" s="15">
        <v>4</v>
      </c>
      <c r="C50" s="239" t="s">
        <v>61</v>
      </c>
      <c r="D50" s="239"/>
      <c r="E50" s="142">
        <v>0.14330000000000001</v>
      </c>
      <c r="F50" s="15">
        <v>4</v>
      </c>
      <c r="G50" s="114">
        <f>E50*F50</f>
        <v>0.57320000000000004</v>
      </c>
    </row>
    <row r="51" spans="1:7" x14ac:dyDescent="0.3">
      <c r="A51" s="12"/>
      <c r="B51" s="244">
        <v>5</v>
      </c>
      <c r="C51" s="246" t="s">
        <v>62</v>
      </c>
      <c r="D51" s="246"/>
      <c r="E51" s="270">
        <v>4.9700000000000001E-2</v>
      </c>
      <c r="F51" s="266">
        <v>3</v>
      </c>
      <c r="G51" s="268">
        <f>E51*F51</f>
        <v>0.14910000000000001</v>
      </c>
    </row>
    <row r="52" spans="1:7" x14ac:dyDescent="0.3">
      <c r="A52" s="12"/>
      <c r="B52" s="244"/>
      <c r="C52" s="246"/>
      <c r="D52" s="246"/>
      <c r="E52" s="271"/>
      <c r="F52" s="267"/>
      <c r="G52" s="269"/>
    </row>
    <row r="53" spans="1:7" x14ac:dyDescent="0.3">
      <c r="A53" s="12"/>
      <c r="B53" s="244">
        <v>6</v>
      </c>
      <c r="C53" s="246" t="s">
        <v>63</v>
      </c>
      <c r="D53" s="246"/>
      <c r="E53" s="270">
        <v>0.27100000000000002</v>
      </c>
      <c r="F53" s="266">
        <v>4</v>
      </c>
      <c r="G53" s="268">
        <f>E53*F53</f>
        <v>1.0840000000000001</v>
      </c>
    </row>
    <row r="54" spans="1:7" x14ac:dyDescent="0.3">
      <c r="A54" s="12"/>
      <c r="B54" s="244"/>
      <c r="C54" s="246"/>
      <c r="D54" s="246"/>
      <c r="E54" s="271"/>
      <c r="F54" s="267"/>
      <c r="G54" s="269"/>
    </row>
    <row r="55" spans="1:7" x14ac:dyDescent="0.3">
      <c r="A55" s="12"/>
      <c r="B55" s="244">
        <v>7</v>
      </c>
      <c r="C55" s="246" t="s">
        <v>64</v>
      </c>
      <c r="D55" s="246"/>
      <c r="E55" s="270">
        <v>6.13E-2</v>
      </c>
      <c r="F55" s="266">
        <v>3</v>
      </c>
      <c r="G55" s="268">
        <f>E55*F55</f>
        <v>0.18390000000000001</v>
      </c>
    </row>
    <row r="56" spans="1:7" x14ac:dyDescent="0.3">
      <c r="A56" s="12"/>
      <c r="B56" s="244"/>
      <c r="C56" s="246"/>
      <c r="D56" s="246"/>
      <c r="E56" s="271"/>
      <c r="F56" s="267"/>
      <c r="G56" s="269"/>
    </row>
    <row r="57" spans="1:7" x14ac:dyDescent="0.3">
      <c r="A57" s="12"/>
      <c r="B57" s="15">
        <v>8</v>
      </c>
      <c r="C57" s="239" t="s">
        <v>65</v>
      </c>
      <c r="D57" s="239"/>
      <c r="E57" s="142">
        <v>0.2107</v>
      </c>
      <c r="F57" s="15">
        <v>4</v>
      </c>
      <c r="G57" s="114">
        <f>E57*F57</f>
        <v>0.84279999999999999</v>
      </c>
    </row>
    <row r="58" spans="1:7" x14ac:dyDescent="0.3">
      <c r="A58" s="12"/>
      <c r="B58" s="15">
        <v>9</v>
      </c>
      <c r="C58" s="239" t="s">
        <v>66</v>
      </c>
      <c r="D58" s="239"/>
      <c r="E58" s="142">
        <v>1.7000000000000001E-2</v>
      </c>
      <c r="F58" s="15">
        <v>2</v>
      </c>
      <c r="G58" s="114">
        <f t="shared" ref="G58:G59" si="3">E58*F58</f>
        <v>3.4000000000000002E-2</v>
      </c>
    </row>
    <row r="59" spans="1:7" x14ac:dyDescent="0.3">
      <c r="A59" s="12"/>
      <c r="B59" s="15">
        <v>10</v>
      </c>
      <c r="C59" s="239" t="s">
        <v>67</v>
      </c>
      <c r="D59" s="239"/>
      <c r="E59" s="142">
        <v>2.87E-2</v>
      </c>
      <c r="F59" s="15">
        <v>2</v>
      </c>
      <c r="G59" s="114">
        <f t="shared" si="3"/>
        <v>5.74E-2</v>
      </c>
    </row>
    <row r="60" spans="1:7" x14ac:dyDescent="0.3">
      <c r="A60" s="12"/>
      <c r="B60" s="264" t="s">
        <v>36</v>
      </c>
      <c r="C60" s="264"/>
      <c r="D60" s="264"/>
      <c r="E60" s="143">
        <f>SUM(E45:E59)</f>
        <v>1.0004000000000002</v>
      </c>
      <c r="F60" s="15"/>
      <c r="G60" s="114">
        <f>SUM(G45:G59)</f>
        <v>3.5804999999999998</v>
      </c>
    </row>
    <row r="61" spans="1:7" x14ac:dyDescent="0.3">
      <c r="A61" s="12"/>
      <c r="B61" s="265" t="s">
        <v>69</v>
      </c>
      <c r="C61" s="265"/>
      <c r="D61" s="265"/>
      <c r="E61" s="265"/>
      <c r="F61" s="265"/>
      <c r="G61" s="145">
        <f>G43-G60</f>
        <v>0.30360000000000031</v>
      </c>
    </row>
    <row r="64" spans="1:7" x14ac:dyDescent="0.3">
      <c r="B64" s="157" t="s">
        <v>1</v>
      </c>
      <c r="C64" s="272" t="s">
        <v>97</v>
      </c>
      <c r="D64" s="272"/>
      <c r="E64" s="272"/>
      <c r="F64" s="272"/>
      <c r="G64" s="272"/>
    </row>
    <row r="65" spans="2:8" ht="14.4" customHeight="1" x14ac:dyDescent="0.3">
      <c r="B65" s="244">
        <v>1</v>
      </c>
      <c r="C65" s="273" t="s">
        <v>92</v>
      </c>
      <c r="D65" s="246"/>
      <c r="E65" s="246"/>
      <c r="F65" s="246"/>
      <c r="G65" s="246"/>
      <c r="H65" s="9"/>
    </row>
    <row r="66" spans="2:8" x14ac:dyDescent="0.3">
      <c r="B66" s="244"/>
      <c r="C66" s="246"/>
      <c r="D66" s="246"/>
      <c r="E66" s="246"/>
      <c r="F66" s="246"/>
      <c r="G66" s="246"/>
      <c r="H66" s="9"/>
    </row>
    <row r="67" spans="2:8" x14ac:dyDescent="0.3">
      <c r="B67" s="244"/>
      <c r="C67" s="246"/>
      <c r="D67" s="246"/>
      <c r="E67" s="246"/>
      <c r="F67" s="246"/>
      <c r="G67" s="246"/>
    </row>
    <row r="68" spans="2:8" x14ac:dyDescent="0.3">
      <c r="B68" s="244">
        <v>2</v>
      </c>
      <c r="C68" s="243" t="s">
        <v>93</v>
      </c>
      <c r="D68" s="243"/>
      <c r="E68" s="243"/>
      <c r="F68" s="243"/>
      <c r="G68" s="243"/>
    </row>
    <row r="69" spans="2:8" x14ac:dyDescent="0.3">
      <c r="B69" s="244"/>
      <c r="C69" s="243"/>
      <c r="D69" s="243"/>
      <c r="E69" s="243"/>
      <c r="F69" s="243"/>
      <c r="G69" s="243"/>
    </row>
    <row r="70" spans="2:8" x14ac:dyDescent="0.3">
      <c r="B70" s="244"/>
      <c r="C70" s="243"/>
      <c r="D70" s="243"/>
      <c r="E70" s="243"/>
      <c r="F70" s="243"/>
      <c r="G70" s="243"/>
    </row>
    <row r="71" spans="2:8" ht="14.4" customHeight="1" x14ac:dyDescent="0.3">
      <c r="B71" s="244">
        <v>3</v>
      </c>
      <c r="C71" s="246" t="s">
        <v>174</v>
      </c>
      <c r="D71" s="246"/>
      <c r="E71" s="246"/>
      <c r="F71" s="246"/>
      <c r="G71" s="246"/>
    </row>
    <row r="72" spans="2:8" x14ac:dyDescent="0.3">
      <c r="B72" s="244"/>
      <c r="C72" s="246"/>
      <c r="D72" s="246"/>
      <c r="E72" s="246"/>
      <c r="F72" s="246"/>
      <c r="G72" s="246"/>
    </row>
    <row r="73" spans="2:8" x14ac:dyDescent="0.3">
      <c r="B73" s="244"/>
      <c r="C73" s="246"/>
      <c r="D73" s="246"/>
      <c r="E73" s="246"/>
      <c r="F73" s="246"/>
      <c r="G73" s="246"/>
    </row>
    <row r="74" spans="2:8" x14ac:dyDescent="0.3">
      <c r="B74" s="14">
        <v>4</v>
      </c>
      <c r="C74" s="239" t="s">
        <v>175</v>
      </c>
      <c r="D74" s="239"/>
      <c r="E74" s="239"/>
      <c r="F74" s="239"/>
      <c r="G74" s="239"/>
    </row>
    <row r="75" spans="2:8" x14ac:dyDescent="0.3">
      <c r="B75" s="12"/>
      <c r="C75" s="12"/>
      <c r="D75" s="12"/>
      <c r="E75" s="12"/>
      <c r="F75" s="12"/>
      <c r="G75" s="12"/>
    </row>
    <row r="76" spans="2:8" x14ac:dyDescent="0.3">
      <c r="B76" s="12"/>
      <c r="C76" s="12"/>
      <c r="D76" s="12"/>
      <c r="E76" s="12"/>
      <c r="F76" s="12"/>
      <c r="G76" s="12"/>
    </row>
    <row r="77" spans="2:8" x14ac:dyDescent="0.3">
      <c r="B77" s="255" t="s">
        <v>176</v>
      </c>
      <c r="C77" s="255"/>
      <c r="D77" s="255"/>
      <c r="E77" s="255"/>
      <c r="F77" s="255"/>
      <c r="G77" s="158"/>
    </row>
    <row r="78" spans="2:8" x14ac:dyDescent="0.3">
      <c r="B78" s="256" t="s">
        <v>177</v>
      </c>
      <c r="C78" s="257"/>
      <c r="D78" s="257"/>
      <c r="E78" s="257"/>
      <c r="F78" s="257"/>
      <c r="G78" s="159"/>
    </row>
    <row r="79" spans="2:8" x14ac:dyDescent="0.3">
      <c r="B79" s="256" t="s">
        <v>178</v>
      </c>
      <c r="C79" s="257"/>
      <c r="D79" s="257"/>
      <c r="E79" s="257"/>
      <c r="F79" s="257"/>
      <c r="G79" s="159"/>
    </row>
    <row r="80" spans="2:8" x14ac:dyDescent="0.3">
      <c r="B80" s="256" t="s">
        <v>179</v>
      </c>
      <c r="C80" s="257"/>
      <c r="D80" s="257"/>
      <c r="E80" s="257"/>
      <c r="F80" s="257"/>
      <c r="G80" s="159"/>
    </row>
    <row r="81" spans="2:7" x14ac:dyDescent="0.3">
      <c r="B81" s="258" t="s">
        <v>180</v>
      </c>
      <c r="C81" s="259"/>
      <c r="D81" s="259"/>
      <c r="E81" s="259"/>
      <c r="F81" s="259"/>
      <c r="G81" s="159"/>
    </row>
    <row r="82" spans="2:7" x14ac:dyDescent="0.3">
      <c r="B82" s="258" t="s">
        <v>181</v>
      </c>
      <c r="C82" s="259"/>
      <c r="D82" s="259"/>
      <c r="E82" s="259"/>
      <c r="F82" s="259"/>
      <c r="G82" s="159"/>
    </row>
    <row r="83" spans="2:7" x14ac:dyDescent="0.3">
      <c r="B83" s="256" t="s">
        <v>182</v>
      </c>
      <c r="C83" s="257"/>
      <c r="D83" s="257"/>
      <c r="E83" s="257"/>
      <c r="F83" s="257"/>
      <c r="G83" s="159"/>
    </row>
    <row r="84" spans="2:7" x14ac:dyDescent="0.3">
      <c r="B84" s="256" t="s">
        <v>183</v>
      </c>
      <c r="C84" s="257"/>
      <c r="D84" s="257"/>
      <c r="E84" s="257"/>
      <c r="F84" s="257"/>
      <c r="G84" s="261"/>
    </row>
    <row r="85" spans="2:7" x14ac:dyDescent="0.3">
      <c r="B85" s="260" t="s">
        <v>184</v>
      </c>
      <c r="C85" s="260"/>
      <c r="D85" s="260"/>
      <c r="E85" s="260"/>
      <c r="F85" s="260"/>
      <c r="G85" s="159"/>
    </row>
    <row r="86" spans="2:7" x14ac:dyDescent="0.3">
      <c r="B86" s="260"/>
      <c r="C86" s="260"/>
      <c r="D86" s="260"/>
      <c r="E86" s="260"/>
      <c r="F86" s="260"/>
      <c r="G86" s="160"/>
    </row>
    <row r="87" spans="2:7" x14ac:dyDescent="0.3">
      <c r="B87" s="12"/>
      <c r="C87" s="12"/>
      <c r="D87" s="12"/>
      <c r="E87" s="12"/>
      <c r="F87" s="12"/>
      <c r="G87" s="12"/>
    </row>
    <row r="88" spans="2:7" x14ac:dyDescent="0.3">
      <c r="B88" s="12"/>
      <c r="C88" s="12"/>
      <c r="D88" s="12"/>
      <c r="E88" s="12"/>
      <c r="F88" s="12"/>
      <c r="G88" s="12"/>
    </row>
  </sheetData>
  <mergeCells count="115">
    <mergeCell ref="B65:B67"/>
    <mergeCell ref="B68:B70"/>
    <mergeCell ref="C64:G64"/>
    <mergeCell ref="C65:G67"/>
    <mergeCell ref="C68:G70"/>
    <mergeCell ref="M12:N12"/>
    <mergeCell ref="B60:D60"/>
    <mergeCell ref="M5:R5"/>
    <mergeCell ref="P7:Q7"/>
    <mergeCell ref="O8:O9"/>
    <mergeCell ref="O10:O11"/>
    <mergeCell ref="O12:O13"/>
    <mergeCell ref="O14:O15"/>
    <mergeCell ref="L16:M16"/>
    <mergeCell ref="R16:S16"/>
    <mergeCell ref="O18:O19"/>
    <mergeCell ref="O20:O21"/>
    <mergeCell ref="O22:O23"/>
    <mergeCell ref="O24:O25"/>
    <mergeCell ref="P25:Q25"/>
    <mergeCell ref="E55:E56"/>
    <mergeCell ref="F55:F56"/>
    <mergeCell ref="G55:G56"/>
    <mergeCell ref="E8:E9"/>
    <mergeCell ref="B61:F61"/>
    <mergeCell ref="E19:E20"/>
    <mergeCell ref="F19:F20"/>
    <mergeCell ref="G19:G20"/>
    <mergeCell ref="E22:E23"/>
    <mergeCell ref="F22:F23"/>
    <mergeCell ref="G22:G23"/>
    <mergeCell ref="E40:E41"/>
    <mergeCell ref="F40:F41"/>
    <mergeCell ref="G40:G41"/>
    <mergeCell ref="E46:E47"/>
    <mergeCell ref="F46:F47"/>
    <mergeCell ref="G46:G47"/>
    <mergeCell ref="E48:E49"/>
    <mergeCell ref="F48:F49"/>
    <mergeCell ref="G48:G49"/>
    <mergeCell ref="B53:B54"/>
    <mergeCell ref="B55:B56"/>
    <mergeCell ref="C57:D57"/>
    <mergeCell ref="C58:D58"/>
    <mergeCell ref="C59:D59"/>
    <mergeCell ref="C53:D54"/>
    <mergeCell ref="C55:D56"/>
    <mergeCell ref="C26:D26"/>
    <mergeCell ref="F8:F9"/>
    <mergeCell ref="G8:G9"/>
    <mergeCell ref="E51:E52"/>
    <mergeCell ref="F51:F52"/>
    <mergeCell ref="G51:G52"/>
    <mergeCell ref="E53:E54"/>
    <mergeCell ref="F53:F54"/>
    <mergeCell ref="G53:G54"/>
    <mergeCell ref="C45:D45"/>
    <mergeCell ref="C50:D50"/>
    <mergeCell ref="C46:D47"/>
    <mergeCell ref="C48:D49"/>
    <mergeCell ref="C51:D52"/>
    <mergeCell ref="C42:D42"/>
    <mergeCell ref="C40:D41"/>
    <mergeCell ref="B43:D43"/>
    <mergeCell ref="B44:G44"/>
    <mergeCell ref="B40:B41"/>
    <mergeCell ref="B46:B47"/>
    <mergeCell ref="B48:B49"/>
    <mergeCell ref="B51:B52"/>
    <mergeCell ref="B22:B23"/>
    <mergeCell ref="C24:D24"/>
    <mergeCell ref="C25:D25"/>
    <mergeCell ref="C27:D27"/>
    <mergeCell ref="C36:D36"/>
    <mergeCell ref="C37:D37"/>
    <mergeCell ref="C38:D38"/>
    <mergeCell ref="C39:D39"/>
    <mergeCell ref="B31:F31"/>
    <mergeCell ref="B32:G32"/>
    <mergeCell ref="B33:G33"/>
    <mergeCell ref="C34:D34"/>
    <mergeCell ref="C35:D35"/>
    <mergeCell ref="C2:D2"/>
    <mergeCell ref="B3:G3"/>
    <mergeCell ref="B4:G4"/>
    <mergeCell ref="C8:D9"/>
    <mergeCell ref="C10:D10"/>
    <mergeCell ref="B8:B9"/>
    <mergeCell ref="C71:G73"/>
    <mergeCell ref="C74:G74"/>
    <mergeCell ref="B71:B73"/>
    <mergeCell ref="B16:D16"/>
    <mergeCell ref="B17:G17"/>
    <mergeCell ref="C18:D18"/>
    <mergeCell ref="C21:D21"/>
    <mergeCell ref="C11:D11"/>
    <mergeCell ref="C12:D12"/>
    <mergeCell ref="C13:D13"/>
    <mergeCell ref="C14:D14"/>
    <mergeCell ref="C15:D15"/>
    <mergeCell ref="C28:D28"/>
    <mergeCell ref="C29:D29"/>
    <mergeCell ref="C19:D20"/>
    <mergeCell ref="C22:D23"/>
    <mergeCell ref="B30:D30"/>
    <mergeCell ref="B19:B20"/>
    <mergeCell ref="B77:F77"/>
    <mergeCell ref="B78:F78"/>
    <mergeCell ref="B79:F79"/>
    <mergeCell ref="B80:F80"/>
    <mergeCell ref="B81:F81"/>
    <mergeCell ref="B85:F86"/>
    <mergeCell ref="B84:G84"/>
    <mergeCell ref="B83:F83"/>
    <mergeCell ref="B82:F82"/>
  </mergeCells>
  <pageMargins left="0.7" right="0.7" top="0.75" bottom="0.75" header="0.3" footer="0.3"/>
  <pageSetup orientation="portrait" r:id="rId1"/>
  <ignoredErrors>
    <ignoredError sqref="K17:O17 O18 O20 O22 O2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9C0E-A98D-4B32-8823-4DD80B2ED1FB}">
  <dimension ref="B4:P38"/>
  <sheetViews>
    <sheetView topLeftCell="A3" zoomScale="102" zoomScaleNormal="102" workbookViewId="0">
      <selection activeCell="Q11" sqref="Q11"/>
    </sheetView>
  </sheetViews>
  <sheetFormatPr defaultRowHeight="14.4" x14ac:dyDescent="0.3"/>
  <cols>
    <col min="3" max="3" width="17.88671875" customWidth="1"/>
    <col min="4" max="4" width="15.88671875" customWidth="1"/>
    <col min="5" max="5" width="15.109375" customWidth="1"/>
    <col min="6" max="6" width="19.109375" customWidth="1"/>
    <col min="7" max="7" width="15.21875" customWidth="1"/>
    <col min="8" max="8" width="19.88671875" customWidth="1"/>
    <col min="9" max="9" width="15.33203125" customWidth="1"/>
    <col min="10" max="10" width="11.33203125" customWidth="1"/>
    <col min="11" max="11" width="15.88671875" customWidth="1"/>
    <col min="12" max="12" width="19.5546875" customWidth="1"/>
    <col min="13" max="13" width="16.33203125" customWidth="1"/>
    <col min="14" max="14" width="20.88671875" customWidth="1"/>
    <col min="15" max="15" width="14.88671875" customWidth="1"/>
    <col min="16" max="16" width="20.88671875" customWidth="1"/>
  </cols>
  <sheetData>
    <row r="4" spans="2:16" x14ac:dyDescent="0.3">
      <c r="B4" s="282" t="s">
        <v>172</v>
      </c>
      <c r="C4" s="282"/>
      <c r="D4" s="282"/>
      <c r="E4" s="282"/>
      <c r="F4" s="282"/>
      <c r="G4" s="282"/>
      <c r="H4" s="282"/>
      <c r="J4" s="282" t="s">
        <v>173</v>
      </c>
      <c r="K4" s="282"/>
      <c r="L4" s="282"/>
      <c r="M4" s="282"/>
      <c r="N4" s="282"/>
      <c r="O4" s="282"/>
      <c r="P4" s="282"/>
    </row>
    <row r="5" spans="2:16" ht="14.4" customHeight="1" x14ac:dyDescent="0.3">
      <c r="B5" s="281" t="s">
        <v>1</v>
      </c>
      <c r="C5" s="281" t="s">
        <v>167</v>
      </c>
      <c r="D5" s="281" t="s">
        <v>168</v>
      </c>
      <c r="E5" s="281" t="s">
        <v>169</v>
      </c>
      <c r="F5" s="281" t="s">
        <v>170</v>
      </c>
      <c r="G5" s="281" t="s">
        <v>278</v>
      </c>
      <c r="H5" s="281" t="s">
        <v>171</v>
      </c>
      <c r="J5" s="281" t="s">
        <v>1</v>
      </c>
      <c r="K5" s="281" t="s">
        <v>167</v>
      </c>
      <c r="L5" s="281" t="s">
        <v>168</v>
      </c>
      <c r="M5" s="281" t="s">
        <v>169</v>
      </c>
      <c r="N5" s="281" t="s">
        <v>170</v>
      </c>
      <c r="O5" s="281" t="s">
        <v>278</v>
      </c>
      <c r="P5" s="281" t="s">
        <v>171</v>
      </c>
    </row>
    <row r="6" spans="2:16" ht="19.2" customHeight="1" x14ac:dyDescent="0.3">
      <c r="B6" s="281"/>
      <c r="C6" s="281"/>
      <c r="D6" s="281"/>
      <c r="E6" s="281"/>
      <c r="F6" s="281"/>
      <c r="G6" s="281"/>
      <c r="H6" s="281"/>
      <c r="J6" s="281"/>
      <c r="K6" s="281"/>
      <c r="L6" s="281"/>
      <c r="M6" s="281"/>
      <c r="N6" s="281"/>
      <c r="O6" s="281"/>
      <c r="P6" s="281"/>
    </row>
    <row r="7" spans="2:16" x14ac:dyDescent="0.3">
      <c r="B7" s="4">
        <v>1</v>
      </c>
      <c r="C7" s="3" t="s">
        <v>135</v>
      </c>
      <c r="D7" s="4">
        <v>192.65</v>
      </c>
      <c r="E7" s="25">
        <v>40879</v>
      </c>
      <c r="F7" s="4">
        <v>212.19</v>
      </c>
      <c r="G7" s="25">
        <v>41323</v>
      </c>
      <c r="H7" s="4">
        <v>214.5</v>
      </c>
      <c r="J7" s="27">
        <v>1</v>
      </c>
      <c r="K7" s="28" t="s">
        <v>161</v>
      </c>
      <c r="L7" s="27">
        <v>26.15</v>
      </c>
      <c r="M7" s="29">
        <v>174587</v>
      </c>
      <c r="N7" s="27">
        <v>6676.37</v>
      </c>
      <c r="O7" s="29">
        <v>176368</v>
      </c>
      <c r="P7" s="27">
        <v>6744.47</v>
      </c>
    </row>
    <row r="8" spans="2:16" x14ac:dyDescent="0.3">
      <c r="B8" s="4">
        <v>2</v>
      </c>
      <c r="C8" s="3" t="s">
        <v>136</v>
      </c>
      <c r="D8" s="4">
        <v>114.32</v>
      </c>
      <c r="E8" s="25">
        <v>31621</v>
      </c>
      <c r="F8" s="4">
        <v>276.60000000000002</v>
      </c>
      <c r="G8" s="25">
        <v>31730</v>
      </c>
      <c r="H8" s="4">
        <v>277.55</v>
      </c>
      <c r="J8" s="27">
        <v>2</v>
      </c>
      <c r="K8" s="28" t="s">
        <v>160</v>
      </c>
      <c r="L8" s="27">
        <v>48.53</v>
      </c>
      <c r="M8" s="29">
        <v>167398</v>
      </c>
      <c r="N8" s="27">
        <v>3449.37</v>
      </c>
      <c r="O8" s="29">
        <v>170927</v>
      </c>
      <c r="P8" s="27">
        <v>3522.09</v>
      </c>
    </row>
    <row r="9" spans="2:16" x14ac:dyDescent="0.3">
      <c r="B9" s="4">
        <v>3</v>
      </c>
      <c r="C9" s="3" t="s">
        <v>137</v>
      </c>
      <c r="D9" s="4">
        <v>159.08000000000001</v>
      </c>
      <c r="E9" s="25">
        <v>59129</v>
      </c>
      <c r="F9" s="4">
        <v>371.69</v>
      </c>
      <c r="G9" s="25">
        <v>59912</v>
      </c>
      <c r="H9" s="4">
        <v>376.62</v>
      </c>
      <c r="J9" s="27">
        <v>3</v>
      </c>
      <c r="K9" s="28" t="s">
        <v>163</v>
      </c>
      <c r="L9" s="27">
        <v>41.66</v>
      </c>
      <c r="M9" s="29">
        <v>112320</v>
      </c>
      <c r="N9" s="27">
        <v>2696.11</v>
      </c>
      <c r="O9" s="29">
        <v>113981</v>
      </c>
      <c r="P9" s="27">
        <v>2735.98</v>
      </c>
    </row>
    <row r="10" spans="2:16" x14ac:dyDescent="0.3">
      <c r="B10" s="4">
        <v>4</v>
      </c>
      <c r="C10" s="3" t="s">
        <v>138</v>
      </c>
      <c r="D10" s="4">
        <v>295.51</v>
      </c>
      <c r="E10" s="25">
        <v>70002</v>
      </c>
      <c r="F10" s="4">
        <v>236.89</v>
      </c>
      <c r="G10" s="25">
        <v>70642</v>
      </c>
      <c r="H10" s="4">
        <v>239.05</v>
      </c>
      <c r="J10" s="27">
        <v>4</v>
      </c>
      <c r="K10" s="28" t="s">
        <v>158</v>
      </c>
      <c r="L10" s="27">
        <v>34.81</v>
      </c>
      <c r="M10" s="29">
        <v>90163</v>
      </c>
      <c r="N10" s="27">
        <v>2590.15</v>
      </c>
      <c r="O10" s="29">
        <v>91833</v>
      </c>
      <c r="P10" s="27">
        <v>2638.12</v>
      </c>
    </row>
    <row r="11" spans="2:16" x14ac:dyDescent="0.3">
      <c r="B11" s="4">
        <v>5</v>
      </c>
      <c r="C11" s="3" t="s">
        <v>139</v>
      </c>
      <c r="D11" s="4">
        <v>281.32</v>
      </c>
      <c r="E11" s="25">
        <v>47690</v>
      </c>
      <c r="F11" s="4">
        <v>169.52</v>
      </c>
      <c r="G11" s="25">
        <v>48036</v>
      </c>
      <c r="H11" s="4">
        <v>170.75</v>
      </c>
      <c r="J11" s="27">
        <v>5</v>
      </c>
      <c r="K11" s="28" t="s">
        <v>154</v>
      </c>
      <c r="L11" s="27">
        <v>52.53</v>
      </c>
      <c r="M11" s="29">
        <v>119746</v>
      </c>
      <c r="N11" s="27">
        <v>2279.5700000000002</v>
      </c>
      <c r="O11" s="29">
        <v>122188</v>
      </c>
      <c r="P11" s="27">
        <v>2326.06</v>
      </c>
    </row>
    <row r="12" spans="2:16" x14ac:dyDescent="0.3">
      <c r="B12" s="4">
        <v>6</v>
      </c>
      <c r="C12" s="3" t="s">
        <v>140</v>
      </c>
      <c r="D12" s="4">
        <v>235.48</v>
      </c>
      <c r="E12" s="25">
        <v>64729</v>
      </c>
      <c r="F12" s="4">
        <v>274.88</v>
      </c>
      <c r="G12" s="25">
        <v>65469</v>
      </c>
      <c r="H12" s="4">
        <v>278.02</v>
      </c>
      <c r="J12" s="27">
        <v>6</v>
      </c>
      <c r="K12" s="28" t="s">
        <v>155</v>
      </c>
      <c r="L12" s="27">
        <v>48.02</v>
      </c>
      <c r="M12" s="29">
        <v>91570</v>
      </c>
      <c r="N12" s="27">
        <v>1906.91</v>
      </c>
      <c r="O12" s="29">
        <v>93892</v>
      </c>
      <c r="P12" s="27">
        <v>1955.27</v>
      </c>
    </row>
    <row r="13" spans="2:16" x14ac:dyDescent="0.3">
      <c r="B13" s="4">
        <v>7</v>
      </c>
      <c r="C13" s="3" t="s">
        <v>141</v>
      </c>
      <c r="D13" s="4">
        <v>188.66</v>
      </c>
      <c r="E13" s="25">
        <v>37219</v>
      </c>
      <c r="F13" s="4">
        <v>197.28</v>
      </c>
      <c r="G13" s="25">
        <v>37508</v>
      </c>
      <c r="H13" s="4">
        <v>198.81</v>
      </c>
      <c r="J13" s="27">
        <v>7</v>
      </c>
      <c r="K13" s="28" t="s">
        <v>152</v>
      </c>
      <c r="L13" s="27">
        <v>45.16</v>
      </c>
      <c r="M13" s="29">
        <v>79022</v>
      </c>
      <c r="N13" s="27">
        <v>1749.82</v>
      </c>
      <c r="O13" s="29">
        <v>80525</v>
      </c>
      <c r="P13" s="27">
        <v>1783.1</v>
      </c>
    </row>
    <row r="14" spans="2:16" x14ac:dyDescent="0.3">
      <c r="B14" s="4">
        <v>8</v>
      </c>
      <c r="C14" s="3" t="s">
        <v>142</v>
      </c>
      <c r="D14" s="4">
        <v>59.8</v>
      </c>
      <c r="E14" s="25">
        <v>50709</v>
      </c>
      <c r="F14" s="4">
        <v>847.98</v>
      </c>
      <c r="G14" s="25">
        <v>51393</v>
      </c>
      <c r="H14" s="4">
        <v>859.41</v>
      </c>
      <c r="J14" s="27">
        <v>8</v>
      </c>
      <c r="K14" s="28" t="s">
        <v>164</v>
      </c>
      <c r="L14" s="27">
        <v>67.28</v>
      </c>
      <c r="M14" s="29">
        <v>114430</v>
      </c>
      <c r="N14" s="27">
        <v>1700.8</v>
      </c>
      <c r="O14" s="29">
        <v>115574</v>
      </c>
      <c r="P14" s="27">
        <v>1717.81</v>
      </c>
    </row>
    <row r="15" spans="2:16" x14ac:dyDescent="0.3">
      <c r="B15" s="4">
        <v>9</v>
      </c>
      <c r="C15" s="3" t="s">
        <v>143</v>
      </c>
      <c r="D15" s="4">
        <v>115.15</v>
      </c>
      <c r="E15" s="25">
        <v>38472</v>
      </c>
      <c r="F15" s="4">
        <v>334.1</v>
      </c>
      <c r="G15" s="25">
        <v>38898</v>
      </c>
      <c r="H15" s="4">
        <v>337.8</v>
      </c>
      <c r="J15" s="27">
        <v>9</v>
      </c>
      <c r="K15" s="28" t="s">
        <v>162</v>
      </c>
      <c r="L15" s="27">
        <v>76.150000000000006</v>
      </c>
      <c r="M15" s="29">
        <v>118917</v>
      </c>
      <c r="N15" s="27">
        <v>1561.62</v>
      </c>
      <c r="O15" s="29">
        <v>120961</v>
      </c>
      <c r="P15" s="27">
        <v>1588.46</v>
      </c>
    </row>
    <row r="16" spans="2:16" x14ac:dyDescent="0.3">
      <c r="B16" s="4">
        <v>10</v>
      </c>
      <c r="C16" s="3" t="s">
        <v>144</v>
      </c>
      <c r="D16" s="4">
        <v>104.41</v>
      </c>
      <c r="E16" s="25">
        <v>53296</v>
      </c>
      <c r="F16" s="4">
        <v>510.45</v>
      </c>
      <c r="G16" s="25">
        <v>53792</v>
      </c>
      <c r="H16" s="4">
        <v>515.20000000000005</v>
      </c>
      <c r="J16" s="27">
        <v>10</v>
      </c>
      <c r="K16" s="28" t="s">
        <v>157</v>
      </c>
      <c r="L16" s="27">
        <v>46.18</v>
      </c>
      <c r="M16" s="29">
        <v>64812</v>
      </c>
      <c r="N16" s="27">
        <v>1403.46</v>
      </c>
      <c r="O16" s="29">
        <v>65998</v>
      </c>
      <c r="P16" s="27">
        <v>1429.15</v>
      </c>
    </row>
    <row r="17" spans="2:16" x14ac:dyDescent="0.3">
      <c r="B17" s="4">
        <v>11</v>
      </c>
      <c r="C17" s="3" t="s">
        <v>145</v>
      </c>
      <c r="D17" s="4">
        <v>49.02</v>
      </c>
      <c r="E17" s="25">
        <v>34579</v>
      </c>
      <c r="F17" s="4">
        <v>705.41</v>
      </c>
      <c r="G17" s="25">
        <v>34796</v>
      </c>
      <c r="H17" s="4">
        <v>709.83</v>
      </c>
      <c r="J17" s="4">
        <v>11</v>
      </c>
      <c r="K17" s="3" t="s">
        <v>153</v>
      </c>
      <c r="L17" s="4">
        <v>50.77</v>
      </c>
      <c r="M17" s="25">
        <v>61894</v>
      </c>
      <c r="N17" s="4">
        <v>1219.1099999999999</v>
      </c>
      <c r="O17" s="25">
        <v>63048</v>
      </c>
      <c r="P17" s="4">
        <v>1241.8399999999999</v>
      </c>
    </row>
    <row r="18" spans="2:16" x14ac:dyDescent="0.3">
      <c r="B18" s="4">
        <v>12</v>
      </c>
      <c r="C18" s="3" t="s">
        <v>146</v>
      </c>
      <c r="D18" s="4">
        <v>142.16</v>
      </c>
      <c r="E18" s="25">
        <v>52122</v>
      </c>
      <c r="F18" s="4">
        <v>366.64</v>
      </c>
      <c r="G18" s="25">
        <v>52308</v>
      </c>
      <c r="H18" s="4">
        <v>367.95</v>
      </c>
      <c r="J18" s="4">
        <v>12</v>
      </c>
      <c r="K18" s="3" t="s">
        <v>151</v>
      </c>
      <c r="L18" s="4">
        <v>124.73</v>
      </c>
      <c r="M18" s="25">
        <v>135484</v>
      </c>
      <c r="N18" s="4">
        <v>1086.22</v>
      </c>
      <c r="O18" s="25">
        <v>137561</v>
      </c>
      <c r="P18" s="4">
        <v>1102.8699999999999</v>
      </c>
    </row>
    <row r="19" spans="2:16" x14ac:dyDescent="0.3">
      <c r="B19" s="4">
        <v>13</v>
      </c>
      <c r="C19" s="3" t="s">
        <v>147</v>
      </c>
      <c r="D19" s="4">
        <v>174.05</v>
      </c>
      <c r="E19" s="25">
        <v>56387</v>
      </c>
      <c r="F19" s="4">
        <v>323.97000000000003</v>
      </c>
      <c r="G19" s="25">
        <v>57201</v>
      </c>
      <c r="H19" s="4">
        <v>328.65</v>
      </c>
      <c r="J19" s="4">
        <v>13</v>
      </c>
      <c r="K19" s="3" t="s">
        <v>165</v>
      </c>
      <c r="L19" s="4">
        <v>92.15</v>
      </c>
      <c r="M19" s="25">
        <v>92403</v>
      </c>
      <c r="N19" s="4">
        <v>1002.75</v>
      </c>
      <c r="O19" s="25">
        <v>93720</v>
      </c>
      <c r="P19" s="4">
        <v>1017.04</v>
      </c>
    </row>
    <row r="20" spans="2:16" x14ac:dyDescent="0.3">
      <c r="B20" s="4">
        <v>14</v>
      </c>
      <c r="C20" s="3" t="s">
        <v>148</v>
      </c>
      <c r="D20" s="4">
        <v>199.44</v>
      </c>
      <c r="E20" s="25">
        <v>76345</v>
      </c>
      <c r="F20" s="4">
        <v>382.8</v>
      </c>
      <c r="G20" s="25">
        <v>77227</v>
      </c>
      <c r="H20" s="4">
        <v>387.22</v>
      </c>
      <c r="J20" s="4">
        <v>14</v>
      </c>
      <c r="K20" s="3" t="s">
        <v>156</v>
      </c>
      <c r="L20" s="4">
        <v>88.34</v>
      </c>
      <c r="M20" s="25">
        <v>84658</v>
      </c>
      <c r="N20" s="4">
        <v>958.32</v>
      </c>
      <c r="O20" s="25">
        <v>86111</v>
      </c>
      <c r="P20" s="4">
        <v>974.77</v>
      </c>
    </row>
    <row r="21" spans="2:16" x14ac:dyDescent="0.3">
      <c r="B21" s="4">
        <v>15</v>
      </c>
      <c r="C21" s="3" t="s">
        <v>149</v>
      </c>
      <c r="D21" s="4">
        <v>143.75</v>
      </c>
      <c r="E21" s="25">
        <v>70235</v>
      </c>
      <c r="F21" s="4">
        <v>488.59</v>
      </c>
      <c r="G21" s="25">
        <v>70930</v>
      </c>
      <c r="H21" s="4">
        <v>493.43</v>
      </c>
      <c r="J21" s="4">
        <v>15</v>
      </c>
      <c r="K21" s="3" t="s">
        <v>142</v>
      </c>
      <c r="L21" s="4">
        <v>59.8</v>
      </c>
      <c r="M21" s="25">
        <v>50709</v>
      </c>
      <c r="N21" s="4">
        <v>847.98</v>
      </c>
      <c r="O21" s="25">
        <v>51393</v>
      </c>
      <c r="P21" s="4">
        <v>859.41</v>
      </c>
    </row>
    <row r="22" spans="2:16" x14ac:dyDescent="0.3">
      <c r="B22" s="4">
        <v>16</v>
      </c>
      <c r="C22" s="3" t="s">
        <v>150</v>
      </c>
      <c r="D22" s="4">
        <v>74.27</v>
      </c>
      <c r="E22" s="25">
        <v>24015</v>
      </c>
      <c r="F22" s="4">
        <v>323.35000000000002</v>
      </c>
      <c r="G22" s="25">
        <v>24073</v>
      </c>
      <c r="H22" s="4">
        <v>324.13</v>
      </c>
      <c r="J22" s="4">
        <v>16</v>
      </c>
      <c r="K22" s="3" t="s">
        <v>159</v>
      </c>
      <c r="L22" s="4">
        <v>98.79</v>
      </c>
      <c r="M22" s="25">
        <v>82776</v>
      </c>
      <c r="N22" s="4">
        <v>837.9</v>
      </c>
      <c r="O22" s="25">
        <v>84222</v>
      </c>
      <c r="P22" s="4">
        <v>852.54</v>
      </c>
    </row>
    <row r="23" spans="2:16" x14ac:dyDescent="0.3">
      <c r="B23" s="4">
        <v>17</v>
      </c>
      <c r="C23" s="3" t="s">
        <v>151</v>
      </c>
      <c r="D23" s="4">
        <v>124.73</v>
      </c>
      <c r="E23" s="25">
        <v>135484</v>
      </c>
      <c r="F23" s="4">
        <v>1086.22</v>
      </c>
      <c r="G23" s="25">
        <v>137561</v>
      </c>
      <c r="H23" s="4">
        <v>1102.8699999999999</v>
      </c>
      <c r="J23" s="4">
        <v>17</v>
      </c>
      <c r="K23" s="3" t="s">
        <v>166</v>
      </c>
      <c r="L23" s="4">
        <v>144.02000000000001</v>
      </c>
      <c r="M23" s="25">
        <v>109073</v>
      </c>
      <c r="N23" s="4">
        <v>757.35</v>
      </c>
      <c r="O23" s="25">
        <v>110646</v>
      </c>
      <c r="P23" s="4">
        <v>768.27</v>
      </c>
    </row>
    <row r="24" spans="2:16" x14ac:dyDescent="0.3">
      <c r="B24" s="4">
        <v>18</v>
      </c>
      <c r="C24" s="3" t="s">
        <v>152</v>
      </c>
      <c r="D24" s="4">
        <v>45.16</v>
      </c>
      <c r="E24" s="25">
        <v>79022</v>
      </c>
      <c r="F24" s="4">
        <v>1749.82</v>
      </c>
      <c r="G24" s="25">
        <v>80525</v>
      </c>
      <c r="H24" s="4">
        <v>1783.1</v>
      </c>
      <c r="J24" s="4">
        <v>18</v>
      </c>
      <c r="K24" s="3" t="s">
        <v>145</v>
      </c>
      <c r="L24" s="4">
        <v>49.02</v>
      </c>
      <c r="M24" s="25">
        <v>34579</v>
      </c>
      <c r="N24" s="4">
        <v>705.41</v>
      </c>
      <c r="O24" s="25">
        <v>34796</v>
      </c>
      <c r="P24" s="4">
        <v>709.83</v>
      </c>
    </row>
    <row r="25" spans="2:16" x14ac:dyDescent="0.3">
      <c r="B25" s="4">
        <v>19</v>
      </c>
      <c r="C25" s="3" t="s">
        <v>153</v>
      </c>
      <c r="D25" s="4">
        <v>50.77</v>
      </c>
      <c r="E25" s="25">
        <v>61894</v>
      </c>
      <c r="F25" s="4">
        <v>1219.1099999999999</v>
      </c>
      <c r="G25" s="25">
        <v>63048</v>
      </c>
      <c r="H25" s="4">
        <v>1241.8399999999999</v>
      </c>
      <c r="J25" s="4">
        <v>19</v>
      </c>
      <c r="K25" s="3" t="s">
        <v>144</v>
      </c>
      <c r="L25" s="4">
        <v>104.41</v>
      </c>
      <c r="M25" s="25">
        <v>53296</v>
      </c>
      <c r="N25" s="4">
        <v>510.45</v>
      </c>
      <c r="O25" s="25">
        <v>53792</v>
      </c>
      <c r="P25" s="4">
        <v>515.20000000000005</v>
      </c>
    </row>
    <row r="26" spans="2:16" x14ac:dyDescent="0.3">
      <c r="B26" s="4">
        <v>20</v>
      </c>
      <c r="C26" s="3" t="s">
        <v>154</v>
      </c>
      <c r="D26" s="4">
        <v>52.53</v>
      </c>
      <c r="E26" s="25">
        <v>119746</v>
      </c>
      <c r="F26" s="4">
        <v>2279.5700000000002</v>
      </c>
      <c r="G26" s="25">
        <v>122188</v>
      </c>
      <c r="H26" s="4">
        <v>2326.06</v>
      </c>
      <c r="J26" s="4">
        <v>20</v>
      </c>
      <c r="K26" s="3" t="s">
        <v>149</v>
      </c>
      <c r="L26" s="4">
        <v>143.75</v>
      </c>
      <c r="M26" s="25">
        <v>70235</v>
      </c>
      <c r="N26" s="4">
        <v>488.59</v>
      </c>
      <c r="O26" s="25">
        <v>70930</v>
      </c>
      <c r="P26" s="4">
        <v>493.43</v>
      </c>
    </row>
    <row r="27" spans="2:16" x14ac:dyDescent="0.3">
      <c r="B27" s="4">
        <v>21</v>
      </c>
      <c r="C27" s="3" t="s">
        <v>155</v>
      </c>
      <c r="D27" s="4">
        <v>48.02</v>
      </c>
      <c r="E27" s="25">
        <v>91570</v>
      </c>
      <c r="F27" s="4">
        <v>1906.91</v>
      </c>
      <c r="G27" s="25">
        <v>93892</v>
      </c>
      <c r="H27" s="4">
        <v>1955.27</v>
      </c>
      <c r="J27" s="4">
        <v>21</v>
      </c>
      <c r="K27" s="3" t="s">
        <v>148</v>
      </c>
      <c r="L27" s="4">
        <v>199.44</v>
      </c>
      <c r="M27" s="25">
        <v>76345</v>
      </c>
      <c r="N27" s="4">
        <v>382.8</v>
      </c>
      <c r="O27" s="25">
        <v>77227</v>
      </c>
      <c r="P27" s="4">
        <v>387.22</v>
      </c>
    </row>
    <row r="28" spans="2:16" x14ac:dyDescent="0.3">
      <c r="B28" s="4">
        <v>22</v>
      </c>
      <c r="C28" s="3" t="s">
        <v>156</v>
      </c>
      <c r="D28" s="4">
        <v>88.34</v>
      </c>
      <c r="E28" s="25">
        <v>84658</v>
      </c>
      <c r="F28" s="4">
        <v>958.32</v>
      </c>
      <c r="G28" s="25">
        <v>86111</v>
      </c>
      <c r="H28" s="4">
        <v>974.77</v>
      </c>
      <c r="J28" s="4">
        <v>22</v>
      </c>
      <c r="K28" s="3" t="s">
        <v>137</v>
      </c>
      <c r="L28" s="4">
        <v>159.08000000000001</v>
      </c>
      <c r="M28" s="25">
        <v>59129</v>
      </c>
      <c r="N28" s="4">
        <v>371.69</v>
      </c>
      <c r="O28" s="25">
        <v>59912</v>
      </c>
      <c r="P28" s="4">
        <v>376.62</v>
      </c>
    </row>
    <row r="29" spans="2:16" x14ac:dyDescent="0.3">
      <c r="B29" s="4">
        <v>23</v>
      </c>
      <c r="C29" s="3" t="s">
        <v>157</v>
      </c>
      <c r="D29" s="4">
        <v>46.18</v>
      </c>
      <c r="E29" s="25">
        <v>64812</v>
      </c>
      <c r="F29" s="4">
        <v>1403.46</v>
      </c>
      <c r="G29" s="25">
        <v>65998</v>
      </c>
      <c r="H29" s="4">
        <v>1429.15</v>
      </c>
      <c r="J29" s="4">
        <v>23</v>
      </c>
      <c r="K29" s="3" t="s">
        <v>146</v>
      </c>
      <c r="L29" s="4">
        <v>142.16</v>
      </c>
      <c r="M29" s="25">
        <v>52122</v>
      </c>
      <c r="N29" s="4">
        <v>366.64</v>
      </c>
      <c r="O29" s="25">
        <v>52308</v>
      </c>
      <c r="P29" s="4">
        <v>367.95</v>
      </c>
    </row>
    <row r="30" spans="2:16" x14ac:dyDescent="0.3">
      <c r="B30" s="4">
        <v>24</v>
      </c>
      <c r="C30" s="3" t="s">
        <v>158</v>
      </c>
      <c r="D30" s="4">
        <v>34.81</v>
      </c>
      <c r="E30" s="25">
        <v>90163</v>
      </c>
      <c r="F30" s="4">
        <v>2590.15</v>
      </c>
      <c r="G30" s="25">
        <v>91833</v>
      </c>
      <c r="H30" s="4">
        <v>2638.12</v>
      </c>
      <c r="J30" s="4">
        <v>24</v>
      </c>
      <c r="K30" s="3" t="s">
        <v>143</v>
      </c>
      <c r="L30" s="4">
        <v>115.15</v>
      </c>
      <c r="M30" s="25">
        <v>38472</v>
      </c>
      <c r="N30" s="4">
        <v>334.1</v>
      </c>
      <c r="O30" s="25">
        <v>38898</v>
      </c>
      <c r="P30" s="4">
        <v>337.8</v>
      </c>
    </row>
    <row r="31" spans="2:16" x14ac:dyDescent="0.3">
      <c r="B31" s="4">
        <v>25</v>
      </c>
      <c r="C31" s="3" t="s">
        <v>159</v>
      </c>
      <c r="D31" s="4">
        <v>98.79</v>
      </c>
      <c r="E31" s="25">
        <v>82776</v>
      </c>
      <c r="F31" s="4">
        <v>837.9</v>
      </c>
      <c r="G31" s="25">
        <v>84222</v>
      </c>
      <c r="H31" s="4">
        <v>852.54</v>
      </c>
      <c r="J31" s="4">
        <v>25</v>
      </c>
      <c r="K31" s="3" t="s">
        <v>147</v>
      </c>
      <c r="L31" s="4">
        <v>174.05</v>
      </c>
      <c r="M31" s="25">
        <v>56387</v>
      </c>
      <c r="N31" s="4">
        <v>323.97000000000003</v>
      </c>
      <c r="O31" s="25">
        <v>57201</v>
      </c>
      <c r="P31" s="4">
        <v>328.65</v>
      </c>
    </row>
    <row r="32" spans="2:16" x14ac:dyDescent="0.3">
      <c r="B32" s="4">
        <v>26</v>
      </c>
      <c r="C32" s="3" t="s">
        <v>160</v>
      </c>
      <c r="D32" s="4">
        <v>48.53</v>
      </c>
      <c r="E32" s="25">
        <v>167398</v>
      </c>
      <c r="F32" s="4">
        <v>3449.37</v>
      </c>
      <c r="G32" s="25">
        <v>170927</v>
      </c>
      <c r="H32" s="4">
        <v>3522.09</v>
      </c>
      <c r="J32" s="4">
        <v>26</v>
      </c>
      <c r="K32" s="3" t="s">
        <v>150</v>
      </c>
      <c r="L32" s="4">
        <v>74.27</v>
      </c>
      <c r="M32" s="25">
        <v>24015</v>
      </c>
      <c r="N32" s="4">
        <v>323.35000000000002</v>
      </c>
      <c r="O32" s="25">
        <v>24073</v>
      </c>
      <c r="P32" s="4">
        <v>324.13</v>
      </c>
    </row>
    <row r="33" spans="2:16" x14ac:dyDescent="0.3">
      <c r="B33" s="4">
        <v>27</v>
      </c>
      <c r="C33" s="3" t="s">
        <v>161</v>
      </c>
      <c r="D33" s="4">
        <v>26.15</v>
      </c>
      <c r="E33" s="25">
        <v>174587</v>
      </c>
      <c r="F33" s="4">
        <v>6676.37</v>
      </c>
      <c r="G33" s="25">
        <v>176368</v>
      </c>
      <c r="H33" s="4">
        <v>6744.47</v>
      </c>
      <c r="J33" s="4">
        <v>27</v>
      </c>
      <c r="K33" s="3" t="s">
        <v>140</v>
      </c>
      <c r="L33" s="4">
        <v>235.48</v>
      </c>
      <c r="M33" s="25">
        <v>64729</v>
      </c>
      <c r="N33" s="4">
        <v>274.88</v>
      </c>
      <c r="O33" s="25">
        <v>65469</v>
      </c>
      <c r="P33" s="4">
        <v>278.02</v>
      </c>
    </row>
    <row r="34" spans="2:16" x14ac:dyDescent="0.3">
      <c r="B34" s="4">
        <v>28</v>
      </c>
      <c r="C34" s="3" t="s">
        <v>162</v>
      </c>
      <c r="D34" s="4">
        <v>76.150000000000006</v>
      </c>
      <c r="E34" s="25">
        <v>118917</v>
      </c>
      <c r="F34" s="4">
        <v>1561.62</v>
      </c>
      <c r="G34" s="25">
        <v>120961</v>
      </c>
      <c r="H34" s="4">
        <v>1588.46</v>
      </c>
      <c r="J34" s="4">
        <v>28</v>
      </c>
      <c r="K34" s="3" t="s">
        <v>136</v>
      </c>
      <c r="L34" s="4">
        <v>114.32</v>
      </c>
      <c r="M34" s="25">
        <v>31621</v>
      </c>
      <c r="N34" s="4">
        <v>276.60000000000002</v>
      </c>
      <c r="O34" s="25">
        <v>31730</v>
      </c>
      <c r="P34" s="4">
        <v>277.55</v>
      </c>
    </row>
    <row r="35" spans="2:16" x14ac:dyDescent="0.3">
      <c r="B35" s="4">
        <v>29</v>
      </c>
      <c r="C35" s="3" t="s">
        <v>163</v>
      </c>
      <c r="D35" s="4">
        <v>41.66</v>
      </c>
      <c r="E35" s="25">
        <v>112320</v>
      </c>
      <c r="F35" s="4">
        <v>2696.11</v>
      </c>
      <c r="G35" s="25">
        <v>113981</v>
      </c>
      <c r="H35" s="4">
        <v>2735.98</v>
      </c>
      <c r="J35" s="4">
        <v>29</v>
      </c>
      <c r="K35" s="3" t="s">
        <v>138</v>
      </c>
      <c r="L35" s="4">
        <v>295.51</v>
      </c>
      <c r="M35" s="25">
        <v>70002</v>
      </c>
      <c r="N35" s="4">
        <v>236.89</v>
      </c>
      <c r="O35" s="25">
        <v>70642</v>
      </c>
      <c r="P35" s="4">
        <v>239.05</v>
      </c>
    </row>
    <row r="36" spans="2:16" x14ac:dyDescent="0.3">
      <c r="B36" s="4">
        <v>30</v>
      </c>
      <c r="C36" s="3" t="s">
        <v>164</v>
      </c>
      <c r="D36" s="4">
        <v>67.28</v>
      </c>
      <c r="E36" s="25">
        <v>114430</v>
      </c>
      <c r="F36" s="4">
        <v>1700.8</v>
      </c>
      <c r="G36" s="25">
        <v>115574</v>
      </c>
      <c r="H36" s="4">
        <v>1717.81</v>
      </c>
      <c r="J36" s="4">
        <v>30</v>
      </c>
      <c r="K36" s="3" t="s">
        <v>135</v>
      </c>
      <c r="L36" s="4">
        <v>192.65</v>
      </c>
      <c r="M36" s="25">
        <v>40879</v>
      </c>
      <c r="N36" s="4">
        <v>212.19</v>
      </c>
      <c r="O36" s="25">
        <v>41323</v>
      </c>
      <c r="P36" s="4">
        <v>214.5</v>
      </c>
    </row>
    <row r="37" spans="2:16" x14ac:dyDescent="0.3">
      <c r="B37" s="4">
        <v>31</v>
      </c>
      <c r="C37" s="3" t="s">
        <v>165</v>
      </c>
      <c r="D37" s="4">
        <v>92.15</v>
      </c>
      <c r="E37" s="25">
        <v>92403</v>
      </c>
      <c r="F37" s="4">
        <v>1002.75</v>
      </c>
      <c r="G37" s="25">
        <v>93720</v>
      </c>
      <c r="H37" s="4">
        <v>1017.04</v>
      </c>
      <c r="J37" s="4">
        <v>31</v>
      </c>
      <c r="K37" s="3" t="s">
        <v>141</v>
      </c>
      <c r="L37" s="4">
        <v>188.66</v>
      </c>
      <c r="M37" s="25">
        <v>37219</v>
      </c>
      <c r="N37" s="4">
        <v>197.28</v>
      </c>
      <c r="O37" s="25">
        <v>37508</v>
      </c>
      <c r="P37" s="4">
        <v>198.81</v>
      </c>
    </row>
    <row r="38" spans="2:16" x14ac:dyDescent="0.3">
      <c r="B38" s="4">
        <v>32</v>
      </c>
      <c r="C38" s="3" t="s">
        <v>166</v>
      </c>
      <c r="D38" s="4">
        <v>144.02000000000001</v>
      </c>
      <c r="E38" s="25">
        <v>109073</v>
      </c>
      <c r="F38" s="4">
        <v>757.35</v>
      </c>
      <c r="G38" s="25">
        <v>110646</v>
      </c>
      <c r="H38" s="4">
        <v>768.27</v>
      </c>
      <c r="J38" s="4">
        <v>32</v>
      </c>
      <c r="K38" s="3" t="s">
        <v>139</v>
      </c>
      <c r="L38" s="4">
        <v>281.32</v>
      </c>
      <c r="M38" s="25">
        <v>47690</v>
      </c>
      <c r="N38" s="4">
        <v>169.52</v>
      </c>
      <c r="O38" s="25">
        <v>48036</v>
      </c>
      <c r="P38" s="4">
        <v>170.75</v>
      </c>
    </row>
  </sheetData>
  <sortState xmlns:xlrd2="http://schemas.microsoft.com/office/spreadsheetml/2017/richdata2" ref="J7:P38">
    <sortCondition descending="1" ref="P7:P38"/>
    <sortCondition descending="1" ref="O7:O38"/>
    <sortCondition descending="1" ref="N7:N38"/>
    <sortCondition descending="1" ref="M7:M38"/>
  </sortState>
  <mergeCells count="16">
    <mergeCell ref="N5:N6"/>
    <mergeCell ref="B4:H4"/>
    <mergeCell ref="J4:P4"/>
    <mergeCell ref="J5:J6"/>
    <mergeCell ref="K5:K6"/>
    <mergeCell ref="L5:L6"/>
    <mergeCell ref="M5:M6"/>
    <mergeCell ref="O5:O6"/>
    <mergeCell ref="P5:P6"/>
    <mergeCell ref="H5:H6"/>
    <mergeCell ref="B5:B6"/>
    <mergeCell ref="C5:C6"/>
    <mergeCell ref="D5:D6"/>
    <mergeCell ref="E5:E6"/>
    <mergeCell ref="F5:F6"/>
    <mergeCell ref="G5:G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6E16-E1D0-4D46-9251-95F9996E1756}">
  <dimension ref="B2:G14"/>
  <sheetViews>
    <sheetView workbookViewId="0">
      <selection activeCell="G15" sqref="G15"/>
    </sheetView>
  </sheetViews>
  <sheetFormatPr defaultRowHeight="14.4" x14ac:dyDescent="0.3"/>
  <cols>
    <col min="3" max="3" width="13.6640625" customWidth="1"/>
    <col min="7" max="7" width="20.6640625" customWidth="1"/>
  </cols>
  <sheetData>
    <row r="2" spans="2:7" ht="15" thickBot="1" x14ac:dyDescent="0.35"/>
    <row r="3" spans="2:7" ht="15" thickBot="1" x14ac:dyDescent="0.35">
      <c r="B3" s="287" t="s">
        <v>134</v>
      </c>
      <c r="C3" s="288"/>
      <c r="D3" s="288"/>
      <c r="E3" s="288"/>
      <c r="F3" s="289"/>
    </row>
    <row r="4" spans="2:7" x14ac:dyDescent="0.3">
      <c r="B4" s="290" t="s">
        <v>130</v>
      </c>
      <c r="C4" s="222"/>
      <c r="D4" s="222"/>
      <c r="E4" s="222"/>
      <c r="F4" s="291"/>
    </row>
    <row r="5" spans="2:7" x14ac:dyDescent="0.3">
      <c r="B5" s="290" t="s">
        <v>131</v>
      </c>
      <c r="C5" s="222"/>
      <c r="D5" s="222"/>
      <c r="E5" s="222"/>
      <c r="F5" s="291"/>
    </row>
    <row r="6" spans="2:7" x14ac:dyDescent="0.3">
      <c r="B6" s="284" t="s">
        <v>133</v>
      </c>
      <c r="C6" s="285"/>
      <c r="D6" s="285"/>
      <c r="E6" s="285"/>
      <c r="F6" s="286"/>
    </row>
    <row r="7" spans="2:7" x14ac:dyDescent="0.3">
      <c r="B7" s="284"/>
      <c r="C7" s="285"/>
      <c r="D7" s="285"/>
      <c r="E7" s="285"/>
      <c r="F7" s="286"/>
    </row>
    <row r="8" spans="2:7" ht="15" thickBot="1" x14ac:dyDescent="0.35">
      <c r="B8" s="292" t="s">
        <v>132</v>
      </c>
      <c r="C8" s="293"/>
      <c r="D8" s="293"/>
      <c r="E8" s="293"/>
      <c r="F8" s="294"/>
    </row>
    <row r="12" spans="2:7" x14ac:dyDescent="0.3">
      <c r="B12" s="283" t="s">
        <v>200</v>
      </c>
      <c r="C12" s="283"/>
      <c r="F12" s="283" t="s">
        <v>201</v>
      </c>
      <c r="G12" s="283"/>
    </row>
    <row r="13" spans="2:7" x14ac:dyDescent="0.3">
      <c r="B13" s="38">
        <v>1</v>
      </c>
      <c r="C13" s="39" t="s">
        <v>161</v>
      </c>
      <c r="F13" s="27">
        <v>1</v>
      </c>
      <c r="G13" s="28" t="s">
        <v>160</v>
      </c>
    </row>
    <row r="14" spans="2:7" x14ac:dyDescent="0.3">
      <c r="B14" s="38">
        <v>2</v>
      </c>
      <c r="C14" s="28" t="s">
        <v>160</v>
      </c>
    </row>
  </sheetData>
  <mergeCells count="7">
    <mergeCell ref="B12:C12"/>
    <mergeCell ref="F12:G12"/>
    <mergeCell ref="B6:F7"/>
    <mergeCell ref="B3:F3"/>
    <mergeCell ref="B4:F4"/>
    <mergeCell ref="B5:F5"/>
    <mergeCell ref="B8:F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4063-A0CB-48A0-BC67-F4BD239E622E}">
  <dimension ref="A2:AG95"/>
  <sheetViews>
    <sheetView topLeftCell="D37" zoomScale="85" zoomScaleNormal="85" workbookViewId="0">
      <selection activeCell="I60" sqref="I60"/>
    </sheetView>
  </sheetViews>
  <sheetFormatPr defaultRowHeight="13.8" x14ac:dyDescent="0.25"/>
  <cols>
    <col min="1" max="1" width="8.88671875" style="12"/>
    <col min="2" max="2" width="10.88671875" style="12" customWidth="1"/>
    <col min="3" max="3" width="22.6640625" style="12" customWidth="1"/>
    <col min="4" max="4" width="18.77734375" style="12" customWidth="1"/>
    <col min="5" max="5" width="9.109375" style="12" customWidth="1"/>
    <col min="6" max="6" width="23.6640625" style="12" customWidth="1"/>
    <col min="7" max="9" width="8.88671875" style="12"/>
    <col min="10" max="10" width="11.44140625" style="12" customWidth="1"/>
    <col min="11" max="11" width="8.88671875" style="12"/>
    <col min="12" max="12" width="23.44140625" style="12" customWidth="1"/>
    <col min="13" max="15" width="8.88671875" style="12"/>
    <col min="16" max="16" width="14.5546875" style="12" customWidth="1"/>
    <col min="17" max="17" width="8.88671875" style="12"/>
    <col min="18" max="18" width="17.88671875" style="12" customWidth="1"/>
    <col min="19" max="26" width="8.88671875" style="12"/>
    <col min="27" max="27" width="12.77734375" style="12" customWidth="1"/>
    <col min="28" max="28" width="8.88671875" style="12"/>
    <col min="29" max="29" width="16.33203125" style="12" customWidth="1"/>
    <col min="30" max="16384" width="8.88671875" style="12"/>
  </cols>
  <sheetData>
    <row r="2" spans="1:8" ht="14.4" x14ac:dyDescent="0.3">
      <c r="A2" s="41">
        <v>1</v>
      </c>
      <c r="B2" s="40" t="s">
        <v>215</v>
      </c>
      <c r="C2"/>
      <c r="D2"/>
      <c r="E2"/>
      <c r="F2"/>
      <c r="H2"/>
    </row>
    <row r="3" spans="1:8" ht="14.4" x14ac:dyDescent="0.3">
      <c r="A3"/>
      <c r="B3" s="30" t="s">
        <v>831</v>
      </c>
      <c r="C3" s="40"/>
      <c r="D3" s="40"/>
      <c r="E3" s="40"/>
      <c r="F3" s="40"/>
      <c r="H3" s="40"/>
    </row>
    <row r="5" spans="1:8" x14ac:dyDescent="0.25">
      <c r="B5" s="298" t="s">
        <v>98</v>
      </c>
      <c r="C5" s="301" t="s">
        <v>99</v>
      </c>
      <c r="D5" s="303" t="s">
        <v>100</v>
      </c>
      <c r="E5" s="265"/>
      <c r="F5" s="265"/>
      <c r="G5" s="265"/>
      <c r="H5" s="265"/>
    </row>
    <row r="6" spans="1:8" x14ac:dyDescent="0.25">
      <c r="B6" s="299"/>
      <c r="C6" s="302"/>
      <c r="D6" s="303" t="s">
        <v>101</v>
      </c>
      <c r="E6" s="265"/>
      <c r="F6" s="265" t="s">
        <v>102</v>
      </c>
      <c r="G6" s="265" t="s">
        <v>103</v>
      </c>
      <c r="H6" s="265"/>
    </row>
    <row r="7" spans="1:8" x14ac:dyDescent="0.25">
      <c r="B7" s="300"/>
      <c r="C7" s="302"/>
      <c r="D7" s="303"/>
      <c r="E7" s="265"/>
      <c r="F7" s="265"/>
      <c r="G7" s="265"/>
      <c r="H7" s="265"/>
    </row>
    <row r="8" spans="1:8" x14ac:dyDescent="0.25">
      <c r="B8" s="13">
        <v>2014</v>
      </c>
      <c r="C8" s="15">
        <f>163213+138366</f>
        <v>301579</v>
      </c>
      <c r="D8" s="295"/>
      <c r="E8" s="296"/>
      <c r="F8" s="16"/>
      <c r="G8" s="297"/>
      <c r="H8" s="297"/>
    </row>
    <row r="9" spans="1:8" x14ac:dyDescent="0.25">
      <c r="B9" s="13">
        <v>2015</v>
      </c>
      <c r="C9" s="15">
        <f>163828+138891</f>
        <v>302719</v>
      </c>
      <c r="D9" s="295">
        <f>C9-C8</f>
        <v>1140</v>
      </c>
      <c r="E9" s="296"/>
      <c r="F9" s="16">
        <f t="shared" ref="F9:F16" si="0">((C9-C8)/C8)</f>
        <v>3.7801040523378618E-3</v>
      </c>
      <c r="G9" s="297">
        <f t="shared" ref="G9:G16" si="1">((C9-C8)/C8)</f>
        <v>3.7801040523378618E-3</v>
      </c>
      <c r="H9" s="297"/>
    </row>
    <row r="10" spans="1:8" x14ac:dyDescent="0.25">
      <c r="B10" s="13">
        <v>2016</v>
      </c>
      <c r="C10" s="15">
        <f>164548+139502</f>
        <v>304050</v>
      </c>
      <c r="D10" s="295">
        <f t="shared" ref="D10:D16" si="2">C10-C9</f>
        <v>1331</v>
      </c>
      <c r="E10" s="296"/>
      <c r="F10" s="16">
        <f t="shared" si="0"/>
        <v>4.3968168499499537E-3</v>
      </c>
      <c r="G10" s="297">
        <f t="shared" si="1"/>
        <v>4.3968168499499537E-3</v>
      </c>
      <c r="H10" s="297"/>
    </row>
    <row r="11" spans="1:8" x14ac:dyDescent="0.25">
      <c r="B11" s="13">
        <v>2017</v>
      </c>
      <c r="C11" s="15">
        <f>164753+139709</f>
        <v>304462</v>
      </c>
      <c r="D11" s="295">
        <f t="shared" si="2"/>
        <v>412</v>
      </c>
      <c r="E11" s="296"/>
      <c r="F11" s="16">
        <f t="shared" si="0"/>
        <v>1.3550402894260813E-3</v>
      </c>
      <c r="G11" s="297">
        <f t="shared" si="1"/>
        <v>1.3550402894260813E-3</v>
      </c>
      <c r="H11" s="297"/>
    </row>
    <row r="12" spans="1:8" x14ac:dyDescent="0.25">
      <c r="B12" s="13">
        <v>2018</v>
      </c>
      <c r="C12" s="15">
        <f>165062+139981</f>
        <v>305043</v>
      </c>
      <c r="D12" s="295">
        <f>C12-C11</f>
        <v>581</v>
      </c>
      <c r="E12" s="296"/>
      <c r="F12" s="16">
        <f t="shared" si="0"/>
        <v>1.9082841208426667E-3</v>
      </c>
      <c r="G12" s="297">
        <f>((C12-C11)/C11)</f>
        <v>1.9082841208426667E-3</v>
      </c>
      <c r="H12" s="297"/>
    </row>
    <row r="13" spans="1:8" x14ac:dyDescent="0.25">
      <c r="B13" s="13">
        <v>2019</v>
      </c>
      <c r="C13" s="15">
        <f>168851+153643</f>
        <v>322494</v>
      </c>
      <c r="D13" s="295">
        <f>C13-C12</f>
        <v>17451</v>
      </c>
      <c r="E13" s="296"/>
      <c r="F13" s="16">
        <f t="shared" si="0"/>
        <v>5.7208328006215517E-2</v>
      </c>
      <c r="G13" s="297">
        <f t="shared" si="1"/>
        <v>5.7208328006215517E-2</v>
      </c>
      <c r="H13" s="297"/>
    </row>
    <row r="14" spans="1:8" x14ac:dyDescent="0.25">
      <c r="B14" s="13">
        <v>2020</v>
      </c>
      <c r="C14" s="15">
        <f>173265+164367</f>
        <v>337632</v>
      </c>
      <c r="D14" s="295">
        <f>C14-C13</f>
        <v>15138</v>
      </c>
      <c r="E14" s="296"/>
      <c r="F14" s="16">
        <f t="shared" si="0"/>
        <v>4.6940408193640815E-2</v>
      </c>
      <c r="G14" s="297">
        <f t="shared" si="1"/>
        <v>4.6940408193640815E-2</v>
      </c>
      <c r="H14" s="297"/>
    </row>
    <row r="15" spans="1:8" x14ac:dyDescent="0.25">
      <c r="B15" s="13">
        <v>2021</v>
      </c>
      <c r="C15" s="15">
        <f>174587+167398</f>
        <v>341985</v>
      </c>
      <c r="D15" s="295">
        <f t="shared" si="2"/>
        <v>4353</v>
      </c>
      <c r="E15" s="296"/>
      <c r="F15" s="16">
        <f t="shared" si="0"/>
        <v>1.2892735285754905E-2</v>
      </c>
      <c r="G15" s="297">
        <f t="shared" si="1"/>
        <v>1.2892735285754905E-2</v>
      </c>
      <c r="H15" s="297"/>
    </row>
    <row r="16" spans="1:8" x14ac:dyDescent="0.25">
      <c r="B16" s="17">
        <v>2022</v>
      </c>
      <c r="C16" s="15">
        <f>176368+170927</f>
        <v>347295</v>
      </c>
      <c r="D16" s="304">
        <f t="shared" si="2"/>
        <v>5310</v>
      </c>
      <c r="E16" s="295"/>
      <c r="F16" s="16">
        <f t="shared" si="0"/>
        <v>1.552699679810518E-2</v>
      </c>
      <c r="G16" s="305">
        <f t="shared" si="1"/>
        <v>1.552699679810518E-2</v>
      </c>
      <c r="H16" s="306"/>
    </row>
    <row r="17" spans="2:33" x14ac:dyDescent="0.25">
      <c r="B17" s="307" t="s">
        <v>104</v>
      </c>
      <c r="C17" s="308"/>
      <c r="D17" s="309">
        <f>AVERAGE(D8:E16)</f>
        <v>5714.5</v>
      </c>
      <c r="E17" s="309"/>
      <c r="F17" s="16">
        <f>AVERAGE(F8:F16)</f>
        <v>1.8001089199534123E-2</v>
      </c>
      <c r="G17" s="297">
        <f>AVERAGE(G8:H16)</f>
        <v>1.8001089199534123E-2</v>
      </c>
      <c r="H17" s="297"/>
    </row>
    <row r="19" spans="2:33" x14ac:dyDescent="0.25">
      <c r="D19" s="19"/>
      <c r="E19" s="20"/>
    </row>
    <row r="20" spans="2:33" x14ac:dyDescent="0.25">
      <c r="E20" s="21"/>
    </row>
    <row r="21" spans="2:33" x14ac:dyDescent="0.25">
      <c r="B21" s="247" t="s">
        <v>105</v>
      </c>
      <c r="C21" s="247"/>
      <c r="D21" s="247"/>
      <c r="E21" s="247"/>
      <c r="F21" s="247"/>
      <c r="H21" s="247" t="s">
        <v>106</v>
      </c>
      <c r="I21" s="247"/>
      <c r="J21" s="247"/>
      <c r="K21" s="247"/>
      <c r="L21" s="247"/>
      <c r="N21" s="247" t="s">
        <v>107</v>
      </c>
      <c r="O21" s="247"/>
      <c r="P21" s="247"/>
      <c r="Q21" s="247"/>
      <c r="R21" s="247"/>
    </row>
    <row r="22" spans="2:33" ht="14.4" x14ac:dyDescent="0.3">
      <c r="B22" s="310" t="s">
        <v>1</v>
      </c>
      <c r="C22" s="310" t="s">
        <v>98</v>
      </c>
      <c r="D22" s="310" t="s">
        <v>108</v>
      </c>
      <c r="E22" s="310" t="s">
        <v>109</v>
      </c>
      <c r="F22" s="310" t="s">
        <v>110</v>
      </c>
      <c r="H22" s="310" t="s">
        <v>1</v>
      </c>
      <c r="I22" s="310" t="s">
        <v>98</v>
      </c>
      <c r="J22" s="310" t="s">
        <v>108</v>
      </c>
      <c r="K22" s="310" t="s">
        <v>109</v>
      </c>
      <c r="L22" s="310" t="s">
        <v>111</v>
      </c>
      <c r="N22" s="310" t="s">
        <v>1</v>
      </c>
      <c r="O22" s="310" t="s">
        <v>98</v>
      </c>
      <c r="P22" s="310" t="s">
        <v>108</v>
      </c>
      <c r="Q22" s="310" t="s">
        <v>109</v>
      </c>
      <c r="R22" s="310" t="s">
        <v>112</v>
      </c>
      <c r="AF22"/>
      <c r="AG22"/>
    </row>
    <row r="23" spans="2:33" ht="14.4" x14ac:dyDescent="0.3">
      <c r="B23" s="311"/>
      <c r="C23" s="311"/>
      <c r="D23" s="311"/>
      <c r="E23" s="311"/>
      <c r="F23" s="311"/>
      <c r="H23" s="311"/>
      <c r="I23" s="311"/>
      <c r="J23" s="311"/>
      <c r="K23" s="311"/>
      <c r="L23" s="311"/>
      <c r="N23" s="311"/>
      <c r="O23" s="311"/>
      <c r="P23" s="311"/>
      <c r="Q23" s="311"/>
      <c r="R23" s="311"/>
      <c r="AF23"/>
      <c r="AG23"/>
    </row>
    <row r="24" spans="2:33" ht="14.4" x14ac:dyDescent="0.3">
      <c r="B24" s="14">
        <v>1</v>
      </c>
      <c r="C24" s="15">
        <v>2014</v>
      </c>
      <c r="D24" s="15">
        <f>163213+138366</f>
        <v>301579</v>
      </c>
      <c r="E24" s="14">
        <v>-8</v>
      </c>
      <c r="F24" s="18">
        <f>D32*((1+F17)^-8)</f>
        <v>301101.27149881143</v>
      </c>
      <c r="H24" s="14">
        <v>1</v>
      </c>
      <c r="I24" s="15">
        <v>2014</v>
      </c>
      <c r="J24" s="15">
        <f>163213+138366</f>
        <v>301579</v>
      </c>
      <c r="K24" s="14">
        <v>-8</v>
      </c>
      <c r="L24" s="18">
        <f>J32*EXP(G17*-8)</f>
        <v>300715.8651341637</v>
      </c>
      <c r="N24" s="14">
        <v>1</v>
      </c>
      <c r="O24" s="15">
        <v>2014</v>
      </c>
      <c r="P24" s="15">
        <f>163213+138366</f>
        <v>301579</v>
      </c>
      <c r="Q24" s="14">
        <v>-8</v>
      </c>
      <c r="R24" s="18">
        <f>P32+(-8*D17)</f>
        <v>301579</v>
      </c>
      <c r="AF24"/>
      <c r="AG24"/>
    </row>
    <row r="25" spans="2:33" ht="14.4" x14ac:dyDescent="0.3">
      <c r="B25" s="14">
        <v>2</v>
      </c>
      <c r="C25" s="15">
        <v>2015</v>
      </c>
      <c r="D25" s="15">
        <f>163828+138891</f>
        <v>302719</v>
      </c>
      <c r="E25" s="14">
        <v>-7</v>
      </c>
      <c r="F25" s="18">
        <f>D32*((1+F17)^-7)</f>
        <v>306521.42234515469</v>
      </c>
      <c r="H25" s="14">
        <v>2</v>
      </c>
      <c r="I25" s="15">
        <v>2015</v>
      </c>
      <c r="J25" s="15">
        <f>163828+138891</f>
        <v>302719</v>
      </c>
      <c r="K25" s="14">
        <v>-7</v>
      </c>
      <c r="L25" s="18">
        <f>J32*EXP(G17*-7)</f>
        <v>306178.09378148743</v>
      </c>
      <c r="N25" s="14">
        <v>2</v>
      </c>
      <c r="O25" s="15">
        <v>2015</v>
      </c>
      <c r="P25" s="15">
        <f>163828+138891</f>
        <v>302719</v>
      </c>
      <c r="Q25" s="14">
        <v>-7</v>
      </c>
      <c r="R25" s="18">
        <f>P32+(-7*D17)</f>
        <v>307293.5</v>
      </c>
      <c r="AF25"/>
      <c r="AG25"/>
    </row>
    <row r="26" spans="2:33" ht="14.4" x14ac:dyDescent="0.3">
      <c r="B26" s="14">
        <v>3</v>
      </c>
      <c r="C26" s="15">
        <v>2016</v>
      </c>
      <c r="D26" s="15">
        <f>164548+139502</f>
        <v>304050</v>
      </c>
      <c r="E26" s="14">
        <v>-6</v>
      </c>
      <c r="F26" s="18">
        <f>D32*((1+F17)^-6)</f>
        <v>312039.14181035792</v>
      </c>
      <c r="H26" s="14">
        <v>3</v>
      </c>
      <c r="I26" s="15">
        <v>2016</v>
      </c>
      <c r="J26" s="15">
        <f>164548+139502</f>
        <v>304050</v>
      </c>
      <c r="K26" s="14">
        <v>-6</v>
      </c>
      <c r="L26" s="18">
        <f>J32*EXP(G17*-6)</f>
        <v>311739.53881628817</v>
      </c>
      <c r="N26" s="14">
        <v>3</v>
      </c>
      <c r="O26" s="15">
        <v>2016</v>
      </c>
      <c r="P26" s="15">
        <f>164548+139502</f>
        <v>304050</v>
      </c>
      <c r="Q26" s="14">
        <v>-6</v>
      </c>
      <c r="R26" s="18">
        <f>P32+(-6*D17)</f>
        <v>313008</v>
      </c>
      <c r="AF26"/>
      <c r="AG26"/>
    </row>
    <row r="27" spans="2:33" ht="14.4" x14ac:dyDescent="0.3">
      <c r="B27" s="14">
        <v>4</v>
      </c>
      <c r="C27" s="15">
        <v>2017</v>
      </c>
      <c r="D27" s="15">
        <f>164753+139709</f>
        <v>304462</v>
      </c>
      <c r="E27" s="14">
        <v>-5</v>
      </c>
      <c r="F27" s="18">
        <f>D32*((1+F17)^-5)</f>
        <v>317656.18623583223</v>
      </c>
      <c r="H27" s="14">
        <v>4</v>
      </c>
      <c r="I27" s="15">
        <v>2017</v>
      </c>
      <c r="J27" s="15">
        <f>164753+139709</f>
        <v>304462</v>
      </c>
      <c r="K27" s="14">
        <v>-5</v>
      </c>
      <c r="L27" s="18">
        <f>J32*EXP(G17*-5)</f>
        <v>317402.00241349853</v>
      </c>
      <c r="N27" s="14">
        <v>4</v>
      </c>
      <c r="O27" s="15">
        <v>2017</v>
      </c>
      <c r="P27" s="15">
        <f>164753+139709</f>
        <v>304462</v>
      </c>
      <c r="Q27" s="14">
        <v>-5</v>
      </c>
      <c r="R27" s="18">
        <f>P32+(-5*D17)</f>
        <v>318722.5</v>
      </c>
      <c r="AF27"/>
      <c r="AG27"/>
    </row>
    <row r="28" spans="2:33" ht="14.4" x14ac:dyDescent="0.3">
      <c r="B28" s="14">
        <v>5</v>
      </c>
      <c r="C28" s="15">
        <v>2018</v>
      </c>
      <c r="D28" s="15">
        <f>165062+139981</f>
        <v>305043</v>
      </c>
      <c r="E28" s="14">
        <v>-4</v>
      </c>
      <c r="F28" s="18">
        <f>D32*((1+F17)^-4)</f>
        <v>323374.3435790473</v>
      </c>
      <c r="H28" s="14">
        <v>5</v>
      </c>
      <c r="I28" s="15">
        <v>2018</v>
      </c>
      <c r="J28" s="15">
        <f>165062+139981</f>
        <v>305043</v>
      </c>
      <c r="K28" s="14">
        <v>-4</v>
      </c>
      <c r="L28" s="18">
        <f>J32*EXP(G17*-4)</f>
        <v>323167.31948291027</v>
      </c>
      <c r="N28" s="14">
        <v>5</v>
      </c>
      <c r="O28" s="15">
        <v>2018</v>
      </c>
      <c r="P28" s="15">
        <f>165062+139981</f>
        <v>305043</v>
      </c>
      <c r="Q28" s="14">
        <v>-4</v>
      </c>
      <c r="R28" s="18">
        <f>P32+(-4*D17)</f>
        <v>324437</v>
      </c>
      <c r="AF28"/>
      <c r="AG28"/>
    </row>
    <row r="29" spans="2:33" ht="14.4" x14ac:dyDescent="0.3">
      <c r="B29" s="14">
        <v>6</v>
      </c>
      <c r="C29" s="15">
        <v>2019</v>
      </c>
      <c r="D29" s="15">
        <f>168851+153643</f>
        <v>322494</v>
      </c>
      <c r="E29" s="14">
        <v>-3</v>
      </c>
      <c r="F29" s="18">
        <f>D32*((1+F17)^-3)</f>
        <v>329195.43398265453</v>
      </c>
      <c r="H29" s="14">
        <v>6</v>
      </c>
      <c r="I29" s="15">
        <v>2019</v>
      </c>
      <c r="J29" s="15">
        <f>168851+153643</f>
        <v>322494</v>
      </c>
      <c r="K29" s="14">
        <v>-3</v>
      </c>
      <c r="L29" s="18">
        <f>J32*EXP(G17*-3)</f>
        <v>329037.35826377344</v>
      </c>
      <c r="N29" s="14">
        <v>6</v>
      </c>
      <c r="O29" s="15">
        <v>2019</v>
      </c>
      <c r="P29" s="15">
        <f>168851+153643</f>
        <v>322494</v>
      </c>
      <c r="Q29" s="14">
        <v>-3</v>
      </c>
      <c r="R29" s="18">
        <f>P32+(-3*D17)</f>
        <v>330151.5</v>
      </c>
      <c r="AF29"/>
      <c r="AG29"/>
    </row>
    <row r="30" spans="2:33" ht="14.4" x14ac:dyDescent="0.3">
      <c r="B30" s="14">
        <v>7</v>
      </c>
      <c r="C30" s="15">
        <v>2020</v>
      </c>
      <c r="D30" s="15">
        <f>173265+164367</f>
        <v>337632</v>
      </c>
      <c r="E30" s="14">
        <v>-2</v>
      </c>
      <c r="F30" s="18">
        <f>D32*((1+F17)^-2)</f>
        <v>335121.31035385566</v>
      </c>
      <c r="H30" s="14">
        <v>7</v>
      </c>
      <c r="I30" s="15">
        <v>2020</v>
      </c>
      <c r="J30" s="15">
        <f>173265+164367</f>
        <v>337632</v>
      </c>
      <c r="K30" s="14">
        <v>-2</v>
      </c>
      <c r="L30" s="18">
        <f>J32*EXP(G17*-2)</f>
        <v>335014.02093019529</v>
      </c>
      <c r="N30" s="14">
        <v>7</v>
      </c>
      <c r="O30" s="15">
        <v>2020</v>
      </c>
      <c r="P30" s="15">
        <f>173265+164367</f>
        <v>337632</v>
      </c>
      <c r="Q30" s="14">
        <v>-2</v>
      </c>
      <c r="R30" s="18">
        <f>P32+(-2*D17)</f>
        <v>335866</v>
      </c>
      <c r="AF30"/>
      <c r="AG30"/>
    </row>
    <row r="31" spans="2:33" ht="14.4" x14ac:dyDescent="0.3">
      <c r="B31" s="14">
        <v>8</v>
      </c>
      <c r="C31" s="15">
        <v>2021</v>
      </c>
      <c r="D31" s="15">
        <f>174587+167398</f>
        <v>341985</v>
      </c>
      <c r="E31" s="14">
        <v>-1</v>
      </c>
      <c r="F31" s="18">
        <f>D32*((1+F17)^-1)</f>
        <v>341153.85895420017</v>
      </c>
      <c r="H31" s="14">
        <v>8</v>
      </c>
      <c r="I31" s="15">
        <v>2021</v>
      </c>
      <c r="J31" s="15">
        <f>174587+167398</f>
        <v>341985</v>
      </c>
      <c r="K31" s="14">
        <v>-1</v>
      </c>
      <c r="L31" s="18">
        <f>J32*EXP(G17*-1)</f>
        <v>341099.24420753581</v>
      </c>
      <c r="N31" s="14">
        <v>8</v>
      </c>
      <c r="O31" s="15">
        <v>2021</v>
      </c>
      <c r="P31" s="15">
        <f>174587+167398</f>
        <v>341985</v>
      </c>
      <c r="Q31" s="14">
        <v>-1</v>
      </c>
      <c r="R31" s="18">
        <f>P32+(-1*D17)</f>
        <v>341580.5</v>
      </c>
      <c r="AF31"/>
      <c r="AG31"/>
    </row>
    <row r="32" spans="2:33" ht="14.4" x14ac:dyDescent="0.3">
      <c r="B32" s="14">
        <v>9</v>
      </c>
      <c r="C32" s="15">
        <v>2022</v>
      </c>
      <c r="D32" s="15">
        <f>176368+170927</f>
        <v>347295</v>
      </c>
      <c r="E32" s="14">
        <v>0</v>
      </c>
      <c r="F32" s="18">
        <f>D32</f>
        <v>347295</v>
      </c>
      <c r="H32" s="14">
        <v>9</v>
      </c>
      <c r="I32" s="15">
        <v>2022</v>
      </c>
      <c r="J32" s="15">
        <f>176368+170927</f>
        <v>347295</v>
      </c>
      <c r="K32" s="14">
        <v>0</v>
      </c>
      <c r="L32" s="18">
        <f>J32</f>
        <v>347295</v>
      </c>
      <c r="N32" s="14">
        <v>9</v>
      </c>
      <c r="O32" s="15">
        <v>2022</v>
      </c>
      <c r="P32" s="15">
        <f>176368+170927</f>
        <v>347295</v>
      </c>
      <c r="Q32" s="14">
        <v>0</v>
      </c>
      <c r="R32" s="18">
        <f>P32</f>
        <v>347295</v>
      </c>
      <c r="AF32"/>
      <c r="AG32"/>
    </row>
    <row r="33" spans="2:33" ht="14.4" x14ac:dyDescent="0.3">
      <c r="AF33"/>
      <c r="AG33"/>
    </row>
    <row r="35" spans="2:33" x14ac:dyDescent="0.25">
      <c r="B35" s="247" t="s">
        <v>113</v>
      </c>
      <c r="C35" s="247"/>
      <c r="D35" s="247"/>
      <c r="E35" s="247"/>
      <c r="F35" s="247"/>
      <c r="G35" s="247"/>
      <c r="H35" s="247"/>
      <c r="I35" s="247"/>
      <c r="J35" s="247"/>
      <c r="N35" s="247" t="s">
        <v>114</v>
      </c>
      <c r="O35" s="247"/>
      <c r="P35" s="247"/>
      <c r="Q35" s="247"/>
      <c r="R35" s="247"/>
      <c r="S35" s="247"/>
      <c r="T35" s="247"/>
      <c r="U35" s="247"/>
      <c r="V35" s="247"/>
      <c r="Y35" s="307" t="s">
        <v>115</v>
      </c>
      <c r="Z35" s="312"/>
      <c r="AA35" s="312"/>
      <c r="AB35" s="312"/>
      <c r="AC35" s="312"/>
      <c r="AD35" s="312"/>
      <c r="AE35" s="312"/>
      <c r="AF35" s="312"/>
      <c r="AG35" s="308"/>
    </row>
    <row r="36" spans="2:33" ht="14.4" customHeight="1" x14ac:dyDescent="0.25">
      <c r="B36" s="313" t="s">
        <v>1</v>
      </c>
      <c r="C36" s="313" t="s">
        <v>98</v>
      </c>
      <c r="D36" s="313" t="s">
        <v>108</v>
      </c>
      <c r="E36" s="313" t="s">
        <v>116</v>
      </c>
      <c r="F36" s="313" t="s">
        <v>117</v>
      </c>
      <c r="G36" s="244" t="s">
        <v>118</v>
      </c>
      <c r="H36" s="244"/>
      <c r="I36" s="244" t="s">
        <v>119</v>
      </c>
      <c r="J36" s="244"/>
      <c r="N36" s="313" t="s">
        <v>1</v>
      </c>
      <c r="O36" s="313" t="s">
        <v>98</v>
      </c>
      <c r="P36" s="313" t="s">
        <v>108</v>
      </c>
      <c r="Q36" s="313" t="s">
        <v>116</v>
      </c>
      <c r="R36" s="313" t="s">
        <v>120</v>
      </c>
      <c r="S36" s="244" t="s">
        <v>118</v>
      </c>
      <c r="T36" s="244"/>
      <c r="U36" s="244" t="s">
        <v>119</v>
      </c>
      <c r="V36" s="244"/>
      <c r="Y36" s="310" t="s">
        <v>1</v>
      </c>
      <c r="Z36" s="310" t="s">
        <v>98</v>
      </c>
      <c r="AA36" s="310" t="s">
        <v>108</v>
      </c>
      <c r="AB36" s="310" t="s">
        <v>116</v>
      </c>
      <c r="AC36" s="310" t="s">
        <v>121</v>
      </c>
      <c r="AD36" s="314" t="s">
        <v>118</v>
      </c>
      <c r="AE36" s="315"/>
      <c r="AF36" s="314" t="s">
        <v>119</v>
      </c>
      <c r="AG36" s="315"/>
    </row>
    <row r="37" spans="2:33" x14ac:dyDescent="0.25">
      <c r="B37" s="313"/>
      <c r="C37" s="313"/>
      <c r="D37" s="313"/>
      <c r="E37" s="313"/>
      <c r="F37" s="313"/>
      <c r="G37" s="244"/>
      <c r="H37" s="244"/>
      <c r="I37" s="244"/>
      <c r="J37" s="244"/>
      <c r="N37" s="313"/>
      <c r="O37" s="313"/>
      <c r="P37" s="313"/>
      <c r="Q37" s="313"/>
      <c r="R37" s="313"/>
      <c r="S37" s="244"/>
      <c r="T37" s="244"/>
      <c r="U37" s="244"/>
      <c r="V37" s="244"/>
      <c r="Y37" s="311"/>
      <c r="Z37" s="311"/>
      <c r="AA37" s="311"/>
      <c r="AB37" s="311"/>
      <c r="AC37" s="311"/>
      <c r="AD37" s="316"/>
      <c r="AE37" s="317"/>
      <c r="AF37" s="316"/>
      <c r="AG37" s="317"/>
    </row>
    <row r="38" spans="2:33" x14ac:dyDescent="0.25">
      <c r="B38" s="15">
        <v>1</v>
      </c>
      <c r="C38" s="13">
        <v>2014</v>
      </c>
      <c r="D38" s="15">
        <f>163213+138366</f>
        <v>301579</v>
      </c>
      <c r="E38" s="15">
        <v>1</v>
      </c>
      <c r="F38" s="22">
        <f>F24</f>
        <v>301101.27149881143</v>
      </c>
      <c r="G38" s="318">
        <f t="shared" ref="G38:G46" si="3">ABS(F38-$D$48)</f>
        <v>17483.061834521883</v>
      </c>
      <c r="H38" s="244"/>
      <c r="I38" s="318">
        <f>(G38)^2</f>
        <v>305657451.10971564</v>
      </c>
      <c r="J38" s="244"/>
      <c r="N38" s="15">
        <v>1</v>
      </c>
      <c r="O38" s="13">
        <v>2014</v>
      </c>
      <c r="P38" s="15">
        <f>163213+138366</f>
        <v>301579</v>
      </c>
      <c r="Q38" s="15">
        <v>1</v>
      </c>
      <c r="R38" s="18">
        <f>L24</f>
        <v>300715.8651341637</v>
      </c>
      <c r="S38" s="318">
        <f t="shared" ref="S38:S46" si="4">ABS(R38-$D$48)</f>
        <v>17868.468199169612</v>
      </c>
      <c r="T38" s="244"/>
      <c r="U38" s="318">
        <f>(S38)^2</f>
        <v>319282155.78473574</v>
      </c>
      <c r="V38" s="244"/>
      <c r="Y38" s="15">
        <v>1</v>
      </c>
      <c r="Z38" s="13">
        <v>2014</v>
      </c>
      <c r="AA38" s="15">
        <f>163213+138366</f>
        <v>301579</v>
      </c>
      <c r="AB38" s="15">
        <v>1</v>
      </c>
      <c r="AC38" s="18">
        <f>R24</f>
        <v>301579</v>
      </c>
      <c r="AD38" s="319">
        <f t="shared" ref="AD38:AD46" si="5">ABS(AC38-$D$48)</f>
        <v>17005.333333333314</v>
      </c>
      <c r="AE38" s="320"/>
      <c r="AF38" s="319">
        <f>(AD38)^2</f>
        <v>289181361.77777714</v>
      </c>
      <c r="AG38" s="320"/>
    </row>
    <row r="39" spans="2:33" x14ac:dyDescent="0.25">
      <c r="B39" s="15">
        <v>2</v>
      </c>
      <c r="C39" s="13">
        <v>2015</v>
      </c>
      <c r="D39" s="15">
        <f>163828+138891</f>
        <v>302719</v>
      </c>
      <c r="E39" s="15">
        <v>2</v>
      </c>
      <c r="F39" s="22">
        <f t="shared" ref="F39:F46" si="6">F25</f>
        <v>306521.42234515469</v>
      </c>
      <c r="G39" s="318">
        <f t="shared" si="3"/>
        <v>12062.910988178628</v>
      </c>
      <c r="H39" s="244"/>
      <c r="I39" s="318">
        <f t="shared" ref="I39:I46" si="7">(G39)^2</f>
        <v>145513821.5087207</v>
      </c>
      <c r="J39" s="244"/>
      <c r="N39" s="15">
        <v>2</v>
      </c>
      <c r="O39" s="13">
        <v>2015</v>
      </c>
      <c r="P39" s="15">
        <f>163828+138891</f>
        <v>302719</v>
      </c>
      <c r="Q39" s="15">
        <v>2</v>
      </c>
      <c r="R39" s="18">
        <f t="shared" ref="R39:R46" si="8">L25</f>
        <v>306178.09378148743</v>
      </c>
      <c r="S39" s="318">
        <f t="shared" si="4"/>
        <v>12406.23955184588</v>
      </c>
      <c r="T39" s="244"/>
      <c r="U39" s="318">
        <f t="shared" ref="U39:U46" si="9">(S39)^2</f>
        <v>153914779.81778505</v>
      </c>
      <c r="V39" s="244"/>
      <c r="Y39" s="15">
        <v>2</v>
      </c>
      <c r="Z39" s="13">
        <v>2015</v>
      </c>
      <c r="AA39" s="15">
        <f>163828+138891</f>
        <v>302719</v>
      </c>
      <c r="AB39" s="15">
        <v>2</v>
      </c>
      <c r="AC39" s="18">
        <f t="shared" ref="AC39:AC46" si="10">R25</f>
        <v>307293.5</v>
      </c>
      <c r="AD39" s="319">
        <f t="shared" si="5"/>
        <v>11290.833333333314</v>
      </c>
      <c r="AE39" s="320"/>
      <c r="AF39" s="319">
        <f t="shared" ref="AF39:AF46" si="11">(AD39)^2</f>
        <v>127482917.36111067</v>
      </c>
      <c r="AG39" s="320"/>
    </row>
    <row r="40" spans="2:33" x14ac:dyDescent="0.25">
      <c r="B40" s="15">
        <v>3</v>
      </c>
      <c r="C40" s="13">
        <v>2016</v>
      </c>
      <c r="D40" s="15">
        <f>164548+139502</f>
        <v>304050</v>
      </c>
      <c r="E40" s="15">
        <v>3</v>
      </c>
      <c r="F40" s="22">
        <f t="shared" si="6"/>
        <v>312039.14181035792</v>
      </c>
      <c r="G40" s="318">
        <f t="shared" si="3"/>
        <v>6545.191522975394</v>
      </c>
      <c r="H40" s="244"/>
      <c r="I40" s="318">
        <f t="shared" si="7"/>
        <v>42839532.072428957</v>
      </c>
      <c r="J40" s="244"/>
      <c r="N40" s="15">
        <v>3</v>
      </c>
      <c r="O40" s="13">
        <v>2016</v>
      </c>
      <c r="P40" s="15">
        <f>164548+139502</f>
        <v>304050</v>
      </c>
      <c r="Q40" s="15">
        <v>3</v>
      </c>
      <c r="R40" s="18">
        <f t="shared" si="8"/>
        <v>311739.53881628817</v>
      </c>
      <c r="S40" s="318">
        <f t="shared" si="4"/>
        <v>6844.7945170451421</v>
      </c>
      <c r="T40" s="244"/>
      <c r="U40" s="318">
        <f t="shared" si="9"/>
        <v>46851211.98057124</v>
      </c>
      <c r="V40" s="244"/>
      <c r="Y40" s="15">
        <v>3</v>
      </c>
      <c r="Z40" s="13">
        <v>2016</v>
      </c>
      <c r="AA40" s="15">
        <f>164548+139502</f>
        <v>304050</v>
      </c>
      <c r="AB40" s="15">
        <v>3</v>
      </c>
      <c r="AC40" s="18">
        <f t="shared" si="10"/>
        <v>313008</v>
      </c>
      <c r="AD40" s="319">
        <f t="shared" si="5"/>
        <v>5576.3333333333139</v>
      </c>
      <c r="AE40" s="320"/>
      <c r="AF40" s="319">
        <f t="shared" si="11"/>
        <v>31095493.444444228</v>
      </c>
      <c r="AG40" s="320"/>
    </row>
    <row r="41" spans="2:33" x14ac:dyDescent="0.25">
      <c r="B41" s="15">
        <v>4</v>
      </c>
      <c r="C41" s="13">
        <v>2017</v>
      </c>
      <c r="D41" s="15">
        <f>164753+139709</f>
        <v>304462</v>
      </c>
      <c r="E41" s="15">
        <v>4</v>
      </c>
      <c r="F41" s="22">
        <f t="shared" si="6"/>
        <v>317656.18623583223</v>
      </c>
      <c r="G41" s="318">
        <f t="shared" si="3"/>
        <v>928.14709750108887</v>
      </c>
      <c r="H41" s="244"/>
      <c r="I41" s="318">
        <f t="shared" si="7"/>
        <v>861457.0345996957</v>
      </c>
      <c r="J41" s="244"/>
      <c r="N41" s="15">
        <v>4</v>
      </c>
      <c r="O41" s="13">
        <v>2017</v>
      </c>
      <c r="P41" s="15">
        <f>164753+139709</f>
        <v>304462</v>
      </c>
      <c r="Q41" s="15">
        <v>4</v>
      </c>
      <c r="R41" s="18">
        <f t="shared" si="8"/>
        <v>317402.00241349853</v>
      </c>
      <c r="S41" s="318">
        <f t="shared" si="4"/>
        <v>1182.3309198347852</v>
      </c>
      <c r="T41" s="244"/>
      <c r="U41" s="318">
        <f t="shared" si="9"/>
        <v>1397906.4039973691</v>
      </c>
      <c r="V41" s="244"/>
      <c r="Y41" s="15">
        <v>4</v>
      </c>
      <c r="Z41" s="13">
        <v>2017</v>
      </c>
      <c r="AA41" s="15">
        <f>164753+139709</f>
        <v>304462</v>
      </c>
      <c r="AB41" s="15">
        <v>4</v>
      </c>
      <c r="AC41" s="18">
        <f t="shared" si="10"/>
        <v>318722.5</v>
      </c>
      <c r="AD41" s="319">
        <f t="shared" si="5"/>
        <v>138.16666666668607</v>
      </c>
      <c r="AE41" s="320"/>
      <c r="AF41" s="319">
        <f t="shared" si="11"/>
        <v>19090.02777778314</v>
      </c>
      <c r="AG41" s="320"/>
    </row>
    <row r="42" spans="2:33" x14ac:dyDescent="0.25">
      <c r="B42" s="15">
        <v>5</v>
      </c>
      <c r="C42" s="13">
        <v>2018</v>
      </c>
      <c r="D42" s="15">
        <f>165062+139981</f>
        <v>305043</v>
      </c>
      <c r="E42" s="15">
        <v>5</v>
      </c>
      <c r="F42" s="22">
        <f t="shared" si="6"/>
        <v>323374.3435790473</v>
      </c>
      <c r="G42" s="318">
        <f t="shared" si="3"/>
        <v>4790.0102457139874</v>
      </c>
      <c r="H42" s="244"/>
      <c r="I42" s="318">
        <f t="shared" si="7"/>
        <v>22944198.154044975</v>
      </c>
      <c r="J42" s="244"/>
      <c r="N42" s="15">
        <v>5</v>
      </c>
      <c r="O42" s="13">
        <v>2018</v>
      </c>
      <c r="P42" s="15">
        <f>165062+139981</f>
        <v>305043</v>
      </c>
      <c r="Q42" s="15">
        <v>5</v>
      </c>
      <c r="R42" s="18">
        <f t="shared" si="8"/>
        <v>323167.31948291027</v>
      </c>
      <c r="S42" s="318">
        <f t="shared" si="4"/>
        <v>4582.9861495769583</v>
      </c>
      <c r="T42" s="244"/>
      <c r="U42" s="318">
        <f t="shared" si="9"/>
        <v>21003762.047214232</v>
      </c>
      <c r="V42" s="244"/>
      <c r="Y42" s="15">
        <v>5</v>
      </c>
      <c r="Z42" s="13">
        <v>2018</v>
      </c>
      <c r="AA42" s="15">
        <f>165062+139981</f>
        <v>305043</v>
      </c>
      <c r="AB42" s="15">
        <v>5</v>
      </c>
      <c r="AC42" s="18">
        <f t="shared" si="10"/>
        <v>324437</v>
      </c>
      <c r="AD42" s="319">
        <f t="shared" si="5"/>
        <v>5852.6666666666861</v>
      </c>
      <c r="AE42" s="320"/>
      <c r="AF42" s="319">
        <f t="shared" si="11"/>
        <v>34253707.111111335</v>
      </c>
      <c r="AG42" s="320"/>
    </row>
    <row r="43" spans="2:33" x14ac:dyDescent="0.25">
      <c r="B43" s="15">
        <v>6</v>
      </c>
      <c r="C43" s="13">
        <v>2019</v>
      </c>
      <c r="D43" s="15">
        <f>168851+153643</f>
        <v>322494</v>
      </c>
      <c r="E43" s="15">
        <v>6</v>
      </c>
      <c r="F43" s="22">
        <f t="shared" si="6"/>
        <v>329195.43398265453</v>
      </c>
      <c r="G43" s="318">
        <f t="shared" si="3"/>
        <v>10611.100649321219</v>
      </c>
      <c r="H43" s="244"/>
      <c r="I43" s="318">
        <f t="shared" si="7"/>
        <v>112595456.99002519</v>
      </c>
      <c r="J43" s="244"/>
      <c r="N43" s="15">
        <v>6</v>
      </c>
      <c r="O43" s="13">
        <v>2019</v>
      </c>
      <c r="P43" s="15">
        <f>168851+153643</f>
        <v>322494</v>
      </c>
      <c r="Q43" s="15">
        <v>6</v>
      </c>
      <c r="R43" s="18">
        <f t="shared" si="8"/>
        <v>329037.35826377344</v>
      </c>
      <c r="S43" s="318">
        <f t="shared" si="4"/>
        <v>10453.024930440122</v>
      </c>
      <c r="T43" s="244"/>
      <c r="U43" s="318">
        <f t="shared" si="9"/>
        <v>109265730.19640273</v>
      </c>
      <c r="V43" s="244"/>
      <c r="Y43" s="15">
        <v>6</v>
      </c>
      <c r="Z43" s="13">
        <v>2019</v>
      </c>
      <c r="AA43" s="15">
        <f>168851+153643</f>
        <v>322494</v>
      </c>
      <c r="AB43" s="15">
        <v>6</v>
      </c>
      <c r="AC43" s="18">
        <f t="shared" si="10"/>
        <v>330151.5</v>
      </c>
      <c r="AD43" s="319">
        <f t="shared" si="5"/>
        <v>11567.166666666686</v>
      </c>
      <c r="AE43" s="320"/>
      <c r="AF43" s="319">
        <f t="shared" si="11"/>
        <v>133799344.69444489</v>
      </c>
      <c r="AG43" s="320"/>
    </row>
    <row r="44" spans="2:33" x14ac:dyDescent="0.25">
      <c r="B44" s="15">
        <v>7</v>
      </c>
      <c r="C44" s="13">
        <v>2020</v>
      </c>
      <c r="D44" s="15">
        <f>173265+164367</f>
        <v>337632</v>
      </c>
      <c r="E44" s="15">
        <v>7</v>
      </c>
      <c r="F44" s="22">
        <f t="shared" si="6"/>
        <v>335121.31035385566</v>
      </c>
      <c r="G44" s="318">
        <f t="shared" si="3"/>
        <v>16536.977020522347</v>
      </c>
      <c r="H44" s="244"/>
      <c r="I44" s="318">
        <f t="shared" si="7"/>
        <v>273471608.97728413</v>
      </c>
      <c r="J44" s="244"/>
      <c r="N44" s="15">
        <v>7</v>
      </c>
      <c r="O44" s="13">
        <v>2020</v>
      </c>
      <c r="P44" s="15">
        <f>173265+164367</f>
        <v>337632</v>
      </c>
      <c r="Q44" s="15">
        <v>7</v>
      </c>
      <c r="R44" s="18">
        <f t="shared" si="8"/>
        <v>335014.02093019529</v>
      </c>
      <c r="S44" s="318">
        <f t="shared" si="4"/>
        <v>16429.687596861972</v>
      </c>
      <c r="T44" s="244"/>
      <c r="U44" s="318">
        <f t="shared" si="9"/>
        <v>269934634.53048009</v>
      </c>
      <c r="V44" s="244"/>
      <c r="Y44" s="15">
        <v>7</v>
      </c>
      <c r="Z44" s="13">
        <v>2020</v>
      </c>
      <c r="AA44" s="15">
        <f>173265+164367</f>
        <v>337632</v>
      </c>
      <c r="AB44" s="15">
        <v>7</v>
      </c>
      <c r="AC44" s="18">
        <f t="shared" si="10"/>
        <v>335866</v>
      </c>
      <c r="AD44" s="319">
        <f t="shared" si="5"/>
        <v>17281.666666666686</v>
      </c>
      <c r="AE44" s="320"/>
      <c r="AF44" s="319">
        <f t="shared" si="11"/>
        <v>298656002.77777845</v>
      </c>
      <c r="AG44" s="320"/>
    </row>
    <row r="45" spans="2:33" x14ac:dyDescent="0.25">
      <c r="B45" s="15">
        <v>8</v>
      </c>
      <c r="C45" s="13">
        <v>2021</v>
      </c>
      <c r="D45" s="15">
        <f>174587+167398</f>
        <v>341985</v>
      </c>
      <c r="E45" s="15">
        <v>8</v>
      </c>
      <c r="F45" s="22">
        <f t="shared" si="6"/>
        <v>341153.85895420017</v>
      </c>
      <c r="G45" s="318">
        <f t="shared" si="3"/>
        <v>22569.525620866858</v>
      </c>
      <c r="H45" s="244"/>
      <c r="I45" s="318">
        <f t="shared" si="7"/>
        <v>509383486.75096554</v>
      </c>
      <c r="J45" s="244"/>
      <c r="N45" s="15">
        <v>8</v>
      </c>
      <c r="O45" s="13">
        <v>2021</v>
      </c>
      <c r="P45" s="15">
        <f>174587+167398</f>
        <v>341985</v>
      </c>
      <c r="Q45" s="15">
        <v>8</v>
      </c>
      <c r="R45" s="18">
        <f t="shared" si="8"/>
        <v>341099.24420753581</v>
      </c>
      <c r="S45" s="318">
        <f t="shared" si="4"/>
        <v>22514.910874202498</v>
      </c>
      <c r="T45" s="244"/>
      <c r="U45" s="318">
        <f t="shared" si="9"/>
        <v>506921211.67328191</v>
      </c>
      <c r="V45" s="244"/>
      <c r="Y45" s="15">
        <v>8</v>
      </c>
      <c r="Z45" s="13">
        <v>2021</v>
      </c>
      <c r="AA45" s="15">
        <f>174587+167398</f>
        <v>341985</v>
      </c>
      <c r="AB45" s="15">
        <v>8</v>
      </c>
      <c r="AC45" s="18">
        <f t="shared" si="10"/>
        <v>341580.5</v>
      </c>
      <c r="AD45" s="319">
        <f t="shared" si="5"/>
        <v>22996.166666666686</v>
      </c>
      <c r="AE45" s="320"/>
      <c r="AF45" s="319">
        <f t="shared" si="11"/>
        <v>528823681.361112</v>
      </c>
      <c r="AG45" s="320"/>
    </row>
    <row r="46" spans="2:33" x14ac:dyDescent="0.25">
      <c r="B46" s="15">
        <v>9</v>
      </c>
      <c r="C46" s="17">
        <v>2022</v>
      </c>
      <c r="D46" s="15">
        <f>176368+170927</f>
        <v>347295</v>
      </c>
      <c r="E46" s="15">
        <v>9</v>
      </c>
      <c r="F46" s="22">
        <f t="shared" si="6"/>
        <v>347295</v>
      </c>
      <c r="G46" s="318">
        <f t="shared" si="3"/>
        <v>28710.666666666686</v>
      </c>
      <c r="H46" s="244"/>
      <c r="I46" s="318">
        <f t="shared" si="7"/>
        <v>824302380.44444561</v>
      </c>
      <c r="J46" s="244"/>
      <c r="N46" s="15">
        <v>9</v>
      </c>
      <c r="O46" s="17">
        <v>2022</v>
      </c>
      <c r="P46" s="15">
        <f>176368+170927</f>
        <v>347295</v>
      </c>
      <c r="Q46" s="15">
        <v>9</v>
      </c>
      <c r="R46" s="18">
        <f t="shared" si="8"/>
        <v>347295</v>
      </c>
      <c r="S46" s="318">
        <f t="shared" si="4"/>
        <v>28710.666666666686</v>
      </c>
      <c r="T46" s="244"/>
      <c r="U46" s="318">
        <f t="shared" si="9"/>
        <v>824302380.44444561</v>
      </c>
      <c r="V46" s="244"/>
      <c r="Y46" s="15">
        <v>9</v>
      </c>
      <c r="Z46" s="17">
        <v>2022</v>
      </c>
      <c r="AA46" s="15">
        <f>176368+170927</f>
        <v>347295</v>
      </c>
      <c r="AB46" s="15">
        <v>9</v>
      </c>
      <c r="AC46" s="18">
        <f t="shared" si="10"/>
        <v>347295</v>
      </c>
      <c r="AD46" s="319">
        <f t="shared" si="5"/>
        <v>28710.666666666686</v>
      </c>
      <c r="AE46" s="320"/>
      <c r="AF46" s="319">
        <f t="shared" si="11"/>
        <v>824302380.44444561</v>
      </c>
      <c r="AG46" s="320"/>
    </row>
    <row r="47" spans="2:33" x14ac:dyDescent="0.25">
      <c r="B47" s="244" t="s">
        <v>122</v>
      </c>
      <c r="C47" s="244"/>
      <c r="D47" s="22">
        <f>SUM(D38:D46)</f>
        <v>2867259</v>
      </c>
      <c r="E47" s="15">
        <f>SUM(E38:E46)</f>
        <v>45</v>
      </c>
      <c r="F47" s="22"/>
      <c r="G47" s="319"/>
      <c r="H47" s="322"/>
      <c r="I47" s="318">
        <f>SUM(I38:J46)</f>
        <v>2237569393.0422306</v>
      </c>
      <c r="J47" s="244"/>
      <c r="N47" s="244" t="s">
        <v>122</v>
      </c>
      <c r="O47" s="244"/>
      <c r="P47" s="22">
        <f>SUM(P38:P46)</f>
        <v>2867259</v>
      </c>
      <c r="Q47" s="15">
        <f>SUM(Q38:Q46)</f>
        <v>45</v>
      </c>
      <c r="R47" s="22"/>
      <c r="S47" s="319"/>
      <c r="T47" s="322"/>
      <c r="U47" s="318">
        <f>SUM(U38:V46)</f>
        <v>2252873772.8789139</v>
      </c>
      <c r="V47" s="244"/>
      <c r="Y47" s="321" t="s">
        <v>122</v>
      </c>
      <c r="Z47" s="322"/>
      <c r="AA47" s="22">
        <f>SUM(AA38:AA46)</f>
        <v>2867259</v>
      </c>
      <c r="AB47" s="15">
        <f>SUM(AB38:AB46)</f>
        <v>45</v>
      </c>
      <c r="AC47" s="22"/>
      <c r="AD47" s="319"/>
      <c r="AE47" s="320"/>
      <c r="AF47" s="319">
        <f>SUM(AF38:AG46)</f>
        <v>2267613979.0000019</v>
      </c>
      <c r="AG47" s="320"/>
    </row>
    <row r="48" spans="2:33" x14ac:dyDescent="0.25">
      <c r="B48" s="244" t="s">
        <v>123</v>
      </c>
      <c r="C48" s="244"/>
      <c r="D48" s="22">
        <f>AVERAGE(D38:D46)</f>
        <v>318584.33333333331</v>
      </c>
      <c r="E48" s="15"/>
      <c r="F48" s="15"/>
      <c r="G48" s="321"/>
      <c r="H48" s="322"/>
      <c r="I48" s="321"/>
      <c r="J48" s="322"/>
      <c r="N48" s="244" t="s">
        <v>123</v>
      </c>
      <c r="O48" s="244"/>
      <c r="P48" s="22">
        <f>AVERAGE(P38:P46)</f>
        <v>318584.33333333331</v>
      </c>
      <c r="Q48" s="15"/>
      <c r="R48" s="15"/>
      <c r="S48" s="321"/>
      <c r="T48" s="322"/>
      <c r="U48" s="321"/>
      <c r="V48" s="322"/>
      <c r="Y48" s="321" t="s">
        <v>123</v>
      </c>
      <c r="Z48" s="322"/>
      <c r="AA48" s="22">
        <f>AVERAGE(AA38:AA46)</f>
        <v>318584.33333333331</v>
      </c>
      <c r="AB48" s="15"/>
      <c r="AC48" s="15"/>
      <c r="AD48" s="321"/>
      <c r="AE48" s="322"/>
      <c r="AF48" s="321"/>
      <c r="AG48" s="322"/>
    </row>
    <row r="49" spans="2:33" x14ac:dyDescent="0.25">
      <c r="B49" s="321" t="s">
        <v>124</v>
      </c>
      <c r="C49" s="325"/>
      <c r="D49" s="325"/>
      <c r="E49" s="325"/>
      <c r="F49" s="325"/>
      <c r="G49" s="325"/>
      <c r="H49" s="322"/>
      <c r="I49" s="319">
        <f>SQRT(I47/9)</f>
        <v>15767.651107540931</v>
      </c>
      <c r="J49" s="320"/>
      <c r="N49" s="321" t="s">
        <v>124</v>
      </c>
      <c r="O49" s="325"/>
      <c r="P49" s="325"/>
      <c r="Q49" s="325"/>
      <c r="R49" s="325"/>
      <c r="S49" s="325"/>
      <c r="T49" s="322"/>
      <c r="U49" s="319">
        <f>SQRT(U47/9)</f>
        <v>15821.482487354246</v>
      </c>
      <c r="V49" s="320"/>
      <c r="Y49" s="321" t="s">
        <v>124</v>
      </c>
      <c r="Z49" s="325"/>
      <c r="AA49" s="325"/>
      <c r="AB49" s="325"/>
      <c r="AC49" s="325"/>
      <c r="AD49" s="325"/>
      <c r="AE49" s="322"/>
      <c r="AF49" s="319">
        <f>SQRT(AF47/9)</f>
        <v>15873.156862381786</v>
      </c>
      <c r="AG49" s="320"/>
    </row>
    <row r="52" spans="2:33" x14ac:dyDescent="0.25">
      <c r="B52" s="15" t="s">
        <v>1</v>
      </c>
      <c r="C52" s="15" t="s">
        <v>125</v>
      </c>
      <c r="D52" s="15" t="s">
        <v>126</v>
      </c>
    </row>
    <row r="53" spans="2:33" x14ac:dyDescent="0.25">
      <c r="B53" s="11">
        <v>1</v>
      </c>
      <c r="C53" s="11" t="s">
        <v>102</v>
      </c>
      <c r="D53" s="23">
        <f>I49</f>
        <v>15767.651107540931</v>
      </c>
    </row>
    <row r="54" spans="2:33" x14ac:dyDescent="0.25">
      <c r="B54" s="15">
        <v>2</v>
      </c>
      <c r="C54" s="15" t="s">
        <v>103</v>
      </c>
      <c r="D54" s="22">
        <f>U49</f>
        <v>15821.482487354246</v>
      </c>
    </row>
    <row r="55" spans="2:33" x14ac:dyDescent="0.25">
      <c r="B55" s="15">
        <v>3</v>
      </c>
      <c r="C55" s="15" t="s">
        <v>101</v>
      </c>
      <c r="D55" s="22">
        <f>AF49</f>
        <v>15873.156862381786</v>
      </c>
    </row>
    <row r="57" spans="2:33" x14ac:dyDescent="0.25">
      <c r="B57" s="250" t="s">
        <v>127</v>
      </c>
      <c r="C57" s="250"/>
      <c r="D57" s="250"/>
      <c r="E57" s="250"/>
      <c r="F57" s="250"/>
    </row>
    <row r="58" spans="2:33" x14ac:dyDescent="0.25">
      <c r="B58" s="250"/>
      <c r="C58" s="250"/>
      <c r="D58" s="250"/>
      <c r="E58" s="250"/>
      <c r="F58" s="250"/>
    </row>
    <row r="61" spans="2:33" x14ac:dyDescent="0.25">
      <c r="B61" s="323" t="s">
        <v>128</v>
      </c>
      <c r="C61" s="323"/>
      <c r="E61" s="323" t="s">
        <v>129</v>
      </c>
      <c r="F61" s="323"/>
    </row>
    <row r="62" spans="2:33" x14ac:dyDescent="0.25">
      <c r="B62" s="323"/>
      <c r="C62" s="323"/>
      <c r="E62" s="323"/>
      <c r="F62" s="323"/>
    </row>
    <row r="63" spans="2:33" x14ac:dyDescent="0.25">
      <c r="B63" s="323" t="s">
        <v>98</v>
      </c>
      <c r="C63" s="324" t="s">
        <v>108</v>
      </c>
      <c r="E63" s="323" t="s">
        <v>98</v>
      </c>
      <c r="F63" s="324" t="s">
        <v>108</v>
      </c>
    </row>
    <row r="64" spans="2:33" x14ac:dyDescent="0.25">
      <c r="B64" s="323"/>
      <c r="C64" s="324"/>
      <c r="E64" s="323"/>
      <c r="F64" s="324"/>
    </row>
    <row r="65" spans="2:6" x14ac:dyDescent="0.25">
      <c r="B65" s="13">
        <v>2014</v>
      </c>
      <c r="C65" s="15">
        <f>163213+138366</f>
        <v>301579</v>
      </c>
      <c r="E65" s="13">
        <v>2014</v>
      </c>
      <c r="F65" s="18">
        <f>C65</f>
        <v>301579</v>
      </c>
    </row>
    <row r="66" spans="2:6" x14ac:dyDescent="0.25">
      <c r="B66" s="13">
        <v>2015</v>
      </c>
      <c r="C66" s="15">
        <f>163828+138891</f>
        <v>302719</v>
      </c>
      <c r="E66" s="13">
        <v>2015</v>
      </c>
      <c r="F66" s="18">
        <f t="shared" ref="F66:F83" si="12">C66</f>
        <v>302719</v>
      </c>
    </row>
    <row r="67" spans="2:6" x14ac:dyDescent="0.25">
      <c r="B67" s="13">
        <v>2016</v>
      </c>
      <c r="C67" s="15">
        <f>164548+139502</f>
        <v>304050</v>
      </c>
      <c r="E67" s="13">
        <v>2016</v>
      </c>
      <c r="F67" s="18">
        <f t="shared" si="12"/>
        <v>304050</v>
      </c>
    </row>
    <row r="68" spans="2:6" x14ac:dyDescent="0.25">
      <c r="B68" s="13">
        <v>2017</v>
      </c>
      <c r="C68" s="15">
        <f>164753+139709</f>
        <v>304462</v>
      </c>
      <c r="E68" s="13">
        <v>2017</v>
      </c>
      <c r="F68" s="18">
        <f t="shared" si="12"/>
        <v>304462</v>
      </c>
    </row>
    <row r="69" spans="2:6" x14ac:dyDescent="0.25">
      <c r="B69" s="13">
        <v>2018</v>
      </c>
      <c r="C69" s="15">
        <f>165062+139981</f>
        <v>305043</v>
      </c>
      <c r="E69" s="13">
        <v>2018</v>
      </c>
      <c r="F69" s="18">
        <f t="shared" si="12"/>
        <v>305043</v>
      </c>
    </row>
    <row r="70" spans="2:6" x14ac:dyDescent="0.25">
      <c r="B70" s="13">
        <v>2019</v>
      </c>
      <c r="C70" s="15">
        <f>168851+153643</f>
        <v>322494</v>
      </c>
      <c r="E70" s="13">
        <v>2019</v>
      </c>
      <c r="F70" s="18">
        <f t="shared" si="12"/>
        <v>322494</v>
      </c>
    </row>
    <row r="71" spans="2:6" x14ac:dyDescent="0.25">
      <c r="B71" s="13">
        <v>2020</v>
      </c>
      <c r="C71" s="15">
        <f>173265+164367</f>
        <v>337632</v>
      </c>
      <c r="E71" s="13">
        <v>2020</v>
      </c>
      <c r="F71" s="18">
        <f t="shared" si="12"/>
        <v>337632</v>
      </c>
    </row>
    <row r="72" spans="2:6" x14ac:dyDescent="0.25">
      <c r="B72" s="13">
        <v>2021</v>
      </c>
      <c r="C72" s="15">
        <f>174587+167398</f>
        <v>341985</v>
      </c>
      <c r="E72" s="13">
        <v>2021</v>
      </c>
      <c r="F72" s="18">
        <f t="shared" si="12"/>
        <v>341985</v>
      </c>
    </row>
    <row r="73" spans="2:6" x14ac:dyDescent="0.25">
      <c r="B73" s="10">
        <v>2022</v>
      </c>
      <c r="C73" s="15">
        <f>176368+170927</f>
        <v>347295</v>
      </c>
      <c r="E73" s="10">
        <v>2022</v>
      </c>
      <c r="F73" s="26">
        <f t="shared" si="12"/>
        <v>347295</v>
      </c>
    </row>
    <row r="74" spans="2:6" x14ac:dyDescent="0.25">
      <c r="B74" s="13">
        <v>2023</v>
      </c>
      <c r="C74" s="18">
        <f>$D$32*((1+$F$17)^1)</f>
        <v>353546.68827355222</v>
      </c>
      <c r="E74" s="13">
        <v>2023</v>
      </c>
      <c r="F74" s="18">
        <f t="shared" si="12"/>
        <v>353546.68827355222</v>
      </c>
    </row>
    <row r="75" spans="2:6" x14ac:dyDescent="0.25">
      <c r="B75" s="17">
        <v>2024</v>
      </c>
      <c r="C75" s="18">
        <f>$D$32*((1+$F$17)^2)</f>
        <v>359910.91374536429</v>
      </c>
      <c r="E75" s="17">
        <v>2024</v>
      </c>
      <c r="F75" s="18">
        <f t="shared" si="12"/>
        <v>359910.91374536429</v>
      </c>
    </row>
    <row r="76" spans="2:6" x14ac:dyDescent="0.25">
      <c r="B76" s="13">
        <v>2025</v>
      </c>
      <c r="C76" s="18">
        <f>$D$32*((1+$F$17)^3)</f>
        <v>366389.70220758044</v>
      </c>
      <c r="E76" s="13">
        <v>2025</v>
      </c>
      <c r="F76" s="18">
        <f t="shared" si="12"/>
        <v>366389.70220758044</v>
      </c>
    </row>
    <row r="77" spans="2:6" x14ac:dyDescent="0.25">
      <c r="B77" s="17">
        <v>2026</v>
      </c>
      <c r="C77" s="18">
        <f>$D$32*((1+$F$17)^4)</f>
        <v>372985.1159188099</v>
      </c>
      <c r="E77" s="17">
        <v>2026</v>
      </c>
      <c r="F77" s="18">
        <f t="shared" si="12"/>
        <v>372985.1159188099</v>
      </c>
    </row>
    <row r="78" spans="2:6" x14ac:dyDescent="0.25">
      <c r="B78" s="13">
        <v>2027</v>
      </c>
      <c r="C78" s="18">
        <f>$D$32*((1+$F$17)^5)</f>
        <v>379699.25426056294</v>
      </c>
      <c r="E78" s="13">
        <v>2027</v>
      </c>
      <c r="F78" s="18">
        <f t="shared" si="12"/>
        <v>379699.25426056294</v>
      </c>
    </row>
    <row r="79" spans="2:6" x14ac:dyDescent="0.25">
      <c r="B79" s="17">
        <v>2028</v>
      </c>
      <c r="C79" s="18">
        <f>$D$32*((1+$F$17)^6)</f>
        <v>386534.25440550392</v>
      </c>
      <c r="E79" s="17">
        <v>2028</v>
      </c>
      <c r="F79" s="18">
        <f t="shared" si="12"/>
        <v>386534.25440550392</v>
      </c>
    </row>
    <row r="80" spans="2:6" x14ac:dyDescent="0.25">
      <c r="B80" s="13">
        <v>2029</v>
      </c>
      <c r="C80" s="18">
        <f>$D$32*((1+$F$17)^7)</f>
        <v>393492.29199773283</v>
      </c>
      <c r="E80" s="13">
        <v>2029</v>
      </c>
      <c r="F80" s="18">
        <f t="shared" si="12"/>
        <v>393492.29199773283</v>
      </c>
    </row>
    <row r="81" spans="2:6" x14ac:dyDescent="0.25">
      <c r="B81" s="17">
        <v>2030</v>
      </c>
      <c r="C81" s="18">
        <f>$D$32*((1+$F$17)^8)</f>
        <v>400575.58184531319</v>
      </c>
      <c r="E81" s="17">
        <v>2030</v>
      </c>
      <c r="F81" s="18">
        <f t="shared" si="12"/>
        <v>400575.58184531319</v>
      </c>
    </row>
    <row r="82" spans="2:6" x14ac:dyDescent="0.25">
      <c r="B82" s="13">
        <v>2031</v>
      </c>
      <c r="C82" s="18">
        <f>$D$32*((1+$F$17)^9)</f>
        <v>407786.3786252659</v>
      </c>
      <c r="E82" s="17">
        <v>2031</v>
      </c>
      <c r="F82" s="18">
        <f t="shared" si="12"/>
        <v>407786.3786252659</v>
      </c>
    </row>
    <row r="83" spans="2:6" x14ac:dyDescent="0.25">
      <c r="B83" s="17">
        <v>2032</v>
      </c>
      <c r="C83" s="18">
        <f>$D$32*((1+$F$17)^10)</f>
        <v>415126.97760125442</v>
      </c>
      <c r="E83" s="15">
        <v>2032</v>
      </c>
      <c r="F83" s="18">
        <f t="shared" si="12"/>
        <v>415126.97760125442</v>
      </c>
    </row>
    <row r="84" spans="2:6" ht="14.4" x14ac:dyDescent="0.3">
      <c r="B84" s="13">
        <v>2033</v>
      </c>
      <c r="C84" s="18">
        <f>$D$32*((1+$F$17)^11)</f>
        <v>422599.71535418753</v>
      </c>
      <c r="E84"/>
      <c r="F84"/>
    </row>
    <row r="85" spans="2:6" ht="14.4" x14ac:dyDescent="0.3">
      <c r="B85" s="17">
        <v>2034</v>
      </c>
      <c r="C85" s="18">
        <f>$D$32*((1+$F$17)^12)</f>
        <v>430206.9705259761</v>
      </c>
      <c r="E85"/>
      <c r="F85"/>
    </row>
    <row r="86" spans="2:6" ht="14.4" x14ac:dyDescent="0.3">
      <c r="B86" s="13">
        <v>2035</v>
      </c>
      <c r="C86" s="18">
        <f>$D$32*((1+$F$17)^12)</f>
        <v>430206.9705259761</v>
      </c>
      <c r="E86"/>
      <c r="F86"/>
    </row>
    <row r="87" spans="2:6" x14ac:dyDescent="0.25">
      <c r="B87" s="17">
        <v>2036</v>
      </c>
      <c r="C87" s="18">
        <f>$D$32*((1+$F$17)^13)</f>
        <v>437951.16457667551</v>
      </c>
    </row>
    <row r="88" spans="2:6" x14ac:dyDescent="0.25">
      <c r="B88" s="13">
        <v>2037</v>
      </c>
      <c r="C88" s="18">
        <f>$D$32*((1+$F$17)^14)</f>
        <v>445834.76255526009</v>
      </c>
    </row>
    <row r="89" spans="2:6" x14ac:dyDescent="0.25">
      <c r="B89" s="17">
        <v>2038</v>
      </c>
      <c r="C89" s="18">
        <f>$D$32*((1+$F$17)^15)</f>
        <v>453860.2738842704</v>
      </c>
    </row>
    <row r="90" spans="2:6" x14ac:dyDescent="0.25">
      <c r="B90" s="13">
        <v>2039</v>
      </c>
      <c r="C90" s="18">
        <f>$D$32*((1+$F$17)^16)</f>
        <v>462030.25315858622</v>
      </c>
    </row>
    <row r="91" spans="2:6" x14ac:dyDescent="0.25">
      <c r="B91" s="17">
        <v>2040</v>
      </c>
      <c r="C91" s="24">
        <f>$D$32*((1+$F$17)^17)</f>
        <v>470347.30095857731</v>
      </c>
    </row>
    <row r="92" spans="2:6" x14ac:dyDescent="0.25">
      <c r="B92" s="15">
        <v>2041</v>
      </c>
      <c r="C92" s="18">
        <f>$D$32*((1+$F$17)^18)</f>
        <v>478814.06467789278</v>
      </c>
    </row>
    <row r="93" spans="2:6" x14ac:dyDescent="0.25">
      <c r="B93" s="15">
        <v>2042</v>
      </c>
      <c r="C93" s="18">
        <f>$D$32*((1+$F$17)^19)</f>
        <v>487433.23936615099</v>
      </c>
    </row>
    <row r="94" spans="2:6" customFormat="1" ht="14.4" x14ac:dyDescent="0.3">
      <c r="B94" s="15">
        <v>2043</v>
      </c>
      <c r="C94" s="25">
        <f>$D$32*((1+$F$17)^20)</f>
        <v>496207.56858679897</v>
      </c>
    </row>
    <row r="95" spans="2:6" customFormat="1" ht="14.4" x14ac:dyDescent="0.3"/>
  </sheetData>
  <mergeCells count="154">
    <mergeCell ref="B57:F58"/>
    <mergeCell ref="B61:C62"/>
    <mergeCell ref="E61:F62"/>
    <mergeCell ref="B63:B64"/>
    <mergeCell ref="C63:C64"/>
    <mergeCell ref="E63:E64"/>
    <mergeCell ref="F63:F64"/>
    <mergeCell ref="AD48:AE48"/>
    <mergeCell ref="AF48:AG48"/>
    <mergeCell ref="B49:H49"/>
    <mergeCell ref="I49:J49"/>
    <mergeCell ref="N49:T49"/>
    <mergeCell ref="U49:V49"/>
    <mergeCell ref="Y49:AE49"/>
    <mergeCell ref="AF49:AG49"/>
    <mergeCell ref="Y47:Z47"/>
    <mergeCell ref="AD47:AE47"/>
    <mergeCell ref="AF47:AG47"/>
    <mergeCell ref="B48:C48"/>
    <mergeCell ref="G48:H48"/>
    <mergeCell ref="I48:J48"/>
    <mergeCell ref="N48:O48"/>
    <mergeCell ref="S48:T48"/>
    <mergeCell ref="U48:V48"/>
    <mergeCell ref="Y48:Z48"/>
    <mergeCell ref="B47:C47"/>
    <mergeCell ref="G47:H47"/>
    <mergeCell ref="I47:J47"/>
    <mergeCell ref="N47:O47"/>
    <mergeCell ref="S47:T47"/>
    <mergeCell ref="U47:V47"/>
    <mergeCell ref="G46:H46"/>
    <mergeCell ref="I46:J46"/>
    <mergeCell ref="S46:T46"/>
    <mergeCell ref="U46:V46"/>
    <mergeCell ref="AD46:AE46"/>
    <mergeCell ref="AF46:AG46"/>
    <mergeCell ref="G45:H45"/>
    <mergeCell ref="I45:J45"/>
    <mergeCell ref="S45:T45"/>
    <mergeCell ref="U45:V45"/>
    <mergeCell ref="AD45:AE45"/>
    <mergeCell ref="AF45:AG45"/>
    <mergeCell ref="G44:H44"/>
    <mergeCell ref="I44:J44"/>
    <mergeCell ref="S44:T44"/>
    <mergeCell ref="U44:V44"/>
    <mergeCell ref="AD44:AE44"/>
    <mergeCell ref="AF44:AG44"/>
    <mergeCell ref="G43:H43"/>
    <mergeCell ref="I43:J43"/>
    <mergeCell ref="S43:T43"/>
    <mergeCell ref="U43:V43"/>
    <mergeCell ref="AD43:AE43"/>
    <mergeCell ref="AF43:AG43"/>
    <mergeCell ref="G42:H42"/>
    <mergeCell ref="I42:J42"/>
    <mergeCell ref="S42:T42"/>
    <mergeCell ref="U42:V42"/>
    <mergeCell ref="AD42:AE42"/>
    <mergeCell ref="AF42:AG42"/>
    <mergeCell ref="G41:H41"/>
    <mergeCell ref="I41:J41"/>
    <mergeCell ref="S41:T41"/>
    <mergeCell ref="U41:V41"/>
    <mergeCell ref="AD41:AE41"/>
    <mergeCell ref="AF41:AG41"/>
    <mergeCell ref="G40:H40"/>
    <mergeCell ref="I40:J40"/>
    <mergeCell ref="S40:T40"/>
    <mergeCell ref="U40:V40"/>
    <mergeCell ref="AD40:AE40"/>
    <mergeCell ref="AF40:AG40"/>
    <mergeCell ref="G39:H39"/>
    <mergeCell ref="I39:J39"/>
    <mergeCell ref="S39:T39"/>
    <mergeCell ref="U39:V39"/>
    <mergeCell ref="AD39:AE39"/>
    <mergeCell ref="AF39:AG39"/>
    <mergeCell ref="G38:H38"/>
    <mergeCell ref="I38:J38"/>
    <mergeCell ref="S38:T38"/>
    <mergeCell ref="U38:V38"/>
    <mergeCell ref="AD38:AE38"/>
    <mergeCell ref="AF38:AG38"/>
    <mergeCell ref="R36:R37"/>
    <mergeCell ref="S36:T37"/>
    <mergeCell ref="U36:V37"/>
    <mergeCell ref="Y36:Y37"/>
    <mergeCell ref="Z36:Z37"/>
    <mergeCell ref="AA36:AA37"/>
    <mergeCell ref="G36:H37"/>
    <mergeCell ref="I36:J37"/>
    <mergeCell ref="N36:N37"/>
    <mergeCell ref="O36:O37"/>
    <mergeCell ref="P36:P37"/>
    <mergeCell ref="Q36:Q37"/>
    <mergeCell ref="B35:J35"/>
    <mergeCell ref="N35:V35"/>
    <mergeCell ref="Y35:AG35"/>
    <mergeCell ref="B36:B37"/>
    <mergeCell ref="C36:C37"/>
    <mergeCell ref="D36:D37"/>
    <mergeCell ref="E36:E37"/>
    <mergeCell ref="F36:F37"/>
    <mergeCell ref="J22:J23"/>
    <mergeCell ref="K22:K23"/>
    <mergeCell ref="L22:L23"/>
    <mergeCell ref="N22:N23"/>
    <mergeCell ref="O22:O23"/>
    <mergeCell ref="P22:P23"/>
    <mergeCell ref="AB36:AB37"/>
    <mergeCell ref="AC36:AC37"/>
    <mergeCell ref="AD36:AE37"/>
    <mergeCell ref="AF36:AG37"/>
    <mergeCell ref="B21:F21"/>
    <mergeCell ref="H21:L21"/>
    <mergeCell ref="N21:R21"/>
    <mergeCell ref="B22:B23"/>
    <mergeCell ref="C22:C23"/>
    <mergeCell ref="D22:D23"/>
    <mergeCell ref="E22:E23"/>
    <mergeCell ref="F22:F23"/>
    <mergeCell ref="H22:H23"/>
    <mergeCell ref="I22:I23"/>
    <mergeCell ref="Q22:Q23"/>
    <mergeCell ref="R22:R23"/>
    <mergeCell ref="D15:E15"/>
    <mergeCell ref="G15:H15"/>
    <mergeCell ref="D16:E16"/>
    <mergeCell ref="G16:H16"/>
    <mergeCell ref="B17:C17"/>
    <mergeCell ref="D17:E17"/>
    <mergeCell ref="G17:H17"/>
    <mergeCell ref="D12:E12"/>
    <mergeCell ref="G12:H12"/>
    <mergeCell ref="D13:E13"/>
    <mergeCell ref="G13:H13"/>
    <mergeCell ref="D14:E14"/>
    <mergeCell ref="G14:H14"/>
    <mergeCell ref="D9:E9"/>
    <mergeCell ref="G9:H9"/>
    <mergeCell ref="D10:E10"/>
    <mergeCell ref="G10:H10"/>
    <mergeCell ref="D11:E11"/>
    <mergeCell ref="G11:H11"/>
    <mergeCell ref="D8:E8"/>
    <mergeCell ref="G8:H8"/>
    <mergeCell ref="B5:B7"/>
    <mergeCell ref="C5:C7"/>
    <mergeCell ref="D5:H5"/>
    <mergeCell ref="D6:E7"/>
    <mergeCell ref="F6:F7"/>
    <mergeCell ref="G6:H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4F29-4BCE-4B32-B68E-267E8F7744A4}">
  <dimension ref="B3:N43"/>
  <sheetViews>
    <sheetView topLeftCell="A10" workbookViewId="0">
      <selection activeCell="B25" activeCellId="1" sqref="B12:N13 B25:N34"/>
    </sheetView>
  </sheetViews>
  <sheetFormatPr defaultRowHeight="13.8" x14ac:dyDescent="0.25"/>
  <cols>
    <col min="1" max="1" width="8.88671875" style="12"/>
    <col min="2" max="2" width="14.109375" style="12" customWidth="1"/>
    <col min="3" max="3" width="12.21875" style="12" customWidth="1"/>
    <col min="4" max="4" width="8.6640625" style="12" customWidth="1"/>
    <col min="5" max="5" width="13.5546875" style="12" customWidth="1"/>
    <col min="6" max="7" width="14.109375" style="12" customWidth="1"/>
    <col min="8" max="8" width="12.6640625" style="12" customWidth="1"/>
    <col min="9" max="9" width="12.88671875" style="12" customWidth="1"/>
    <col min="10" max="10" width="11" style="12" customWidth="1"/>
    <col min="11" max="11" width="10.5546875" style="12" customWidth="1"/>
    <col min="12" max="12" width="13.44140625" style="12" customWidth="1"/>
    <col min="13" max="13" width="11.88671875" style="12" customWidth="1"/>
    <col min="14" max="14" width="10.109375" style="12" customWidth="1"/>
    <col min="15" max="16384" width="8.88671875" style="12"/>
  </cols>
  <sheetData>
    <row r="3" spans="2:14" x14ac:dyDescent="0.25">
      <c r="B3" s="247" t="s">
        <v>216</v>
      </c>
      <c r="C3" s="247"/>
    </row>
    <row r="4" spans="2:14" x14ac:dyDescent="0.25">
      <c r="B4" s="326" t="s">
        <v>217</v>
      </c>
      <c r="C4" s="326"/>
    </row>
    <row r="6" spans="2:14" x14ac:dyDescent="0.25">
      <c r="B6" s="247" t="s">
        <v>219</v>
      </c>
      <c r="C6" s="247"/>
      <c r="D6" s="247"/>
    </row>
    <row r="7" spans="2:14" x14ac:dyDescent="0.25">
      <c r="B7" s="326" t="s">
        <v>220</v>
      </c>
      <c r="C7" s="326"/>
      <c r="D7" s="326"/>
    </row>
    <row r="9" spans="2:14" x14ac:dyDescent="0.25">
      <c r="B9" s="239" t="s">
        <v>221</v>
      </c>
      <c r="C9" s="239"/>
      <c r="D9" s="239"/>
    </row>
    <row r="10" spans="2:14" x14ac:dyDescent="0.25">
      <c r="B10" s="239" t="s">
        <v>222</v>
      </c>
      <c r="C10" s="239"/>
      <c r="D10" s="239"/>
    </row>
    <row r="12" spans="2:14" x14ac:dyDescent="0.25">
      <c r="B12" s="330" t="s">
        <v>98</v>
      </c>
      <c r="C12" s="327" t="s">
        <v>223</v>
      </c>
      <c r="D12" s="327"/>
      <c r="E12" s="327" t="s">
        <v>224</v>
      </c>
      <c r="F12" s="331" t="s">
        <v>232</v>
      </c>
      <c r="G12" s="331"/>
      <c r="H12" s="331"/>
      <c r="I12" s="331" t="s">
        <v>233</v>
      </c>
      <c r="J12" s="331"/>
      <c r="K12" s="331"/>
      <c r="L12" s="331" t="s">
        <v>234</v>
      </c>
      <c r="M12" s="331"/>
      <c r="N12" s="331"/>
    </row>
    <row r="13" spans="2:14" x14ac:dyDescent="0.25">
      <c r="B13" s="330"/>
      <c r="C13" s="327"/>
      <c r="D13" s="327"/>
      <c r="E13" s="327"/>
      <c r="F13" s="162" t="s">
        <v>231</v>
      </c>
      <c r="G13" s="161" t="s">
        <v>228</v>
      </c>
      <c r="H13" s="161" t="s">
        <v>229</v>
      </c>
      <c r="I13" s="162" t="s">
        <v>231</v>
      </c>
      <c r="J13" s="161" t="s">
        <v>228</v>
      </c>
      <c r="K13" s="161" t="s">
        <v>229</v>
      </c>
      <c r="L13" s="162" t="s">
        <v>231</v>
      </c>
      <c r="M13" s="161" t="s">
        <v>228</v>
      </c>
      <c r="N13" s="161" t="s">
        <v>229</v>
      </c>
    </row>
    <row r="14" spans="2:14" x14ac:dyDescent="0.25">
      <c r="B14" s="14">
        <v>2023</v>
      </c>
      <c r="C14" s="309">
        <f>'Proyeksi Penduduk'!C74</f>
        <v>353546.68827355222</v>
      </c>
      <c r="D14" s="247"/>
      <c r="E14" s="14">
        <v>165</v>
      </c>
      <c r="F14" s="112">
        <f>(80/100)*((C14*E14)/1000)</f>
        <v>46668.162852108901</v>
      </c>
      <c r="G14" s="112">
        <f t="shared" ref="G14:G34" si="0">F14*$B$43</f>
        <v>84002.693133796027</v>
      </c>
      <c r="H14" s="112">
        <f>F14*$C$43</f>
        <v>14000.448855632671</v>
      </c>
      <c r="I14" s="112">
        <f>0.1*F14</f>
        <v>4666.8162852108899</v>
      </c>
      <c r="J14" s="112">
        <f t="shared" ref="J14:J34" si="1">I14*$D$43</f>
        <v>7327.3536235258089</v>
      </c>
      <c r="K14" s="112">
        <f>I14*$E$43</f>
        <v>1400.0448855632669</v>
      </c>
      <c r="L14" s="112">
        <f>F14+I14</f>
        <v>51334.979137319788</v>
      </c>
      <c r="M14" s="112">
        <f>G14+J14</f>
        <v>91330.046757321834</v>
      </c>
      <c r="N14" s="112">
        <f>H14+K14</f>
        <v>15400.493741195938</v>
      </c>
    </row>
    <row r="15" spans="2:14" x14ac:dyDescent="0.25">
      <c r="B15" s="14">
        <v>2024</v>
      </c>
      <c r="C15" s="309">
        <f>'Proyeksi Penduduk'!C75</f>
        <v>359910.91374536429</v>
      </c>
      <c r="D15" s="247"/>
      <c r="E15" s="14">
        <v>165</v>
      </c>
      <c r="F15" s="112">
        <f t="shared" ref="F15:F34" si="2">(80/100)*((C15*E15)/1000)</f>
        <v>47508.240614388087</v>
      </c>
      <c r="G15" s="112">
        <f t="shared" si="0"/>
        <v>85514.833105898564</v>
      </c>
      <c r="H15" s="112">
        <f t="shared" ref="H15:H34" si="3">F15*$C$43</f>
        <v>14252.472184316426</v>
      </c>
      <c r="I15" s="112">
        <f t="shared" ref="I15:I34" si="4">0.1*F15</f>
        <v>4750.8240614388087</v>
      </c>
      <c r="J15" s="112">
        <f t="shared" si="1"/>
        <v>7459.2539696994254</v>
      </c>
      <c r="K15" s="112">
        <f t="shared" ref="K15:K34" si="5">I15*$E$43</f>
        <v>1425.2472184316425</v>
      </c>
      <c r="L15" s="112">
        <f t="shared" ref="L15:L34" si="6">F15+I15</f>
        <v>52259.064675826899</v>
      </c>
      <c r="M15" s="112">
        <f t="shared" ref="M15:M34" si="7">G15+J15</f>
        <v>92974.087075597985</v>
      </c>
      <c r="N15" s="112">
        <f t="shared" ref="N15:N34" si="8">H15+K15</f>
        <v>15677.719402748069</v>
      </c>
    </row>
    <row r="16" spans="2:14" x14ac:dyDescent="0.25">
      <c r="B16" s="14">
        <v>2025</v>
      </c>
      <c r="C16" s="309">
        <f>'Proyeksi Penduduk'!C76</f>
        <v>366389.70220758044</v>
      </c>
      <c r="D16" s="247"/>
      <c r="E16" s="14">
        <v>165</v>
      </c>
      <c r="F16" s="112">
        <f t="shared" si="2"/>
        <v>48363.440691400618</v>
      </c>
      <c r="G16" s="112">
        <f t="shared" si="0"/>
        <v>87054.193244521113</v>
      </c>
      <c r="H16" s="112">
        <f t="shared" si="3"/>
        <v>14509.032207420185</v>
      </c>
      <c r="I16" s="112">
        <f t="shared" si="4"/>
        <v>4836.3440691400619</v>
      </c>
      <c r="J16" s="112">
        <f t="shared" si="1"/>
        <v>7593.5286657699635</v>
      </c>
      <c r="K16" s="112">
        <f t="shared" si="5"/>
        <v>1450.9032207420184</v>
      </c>
      <c r="L16" s="112">
        <f t="shared" si="6"/>
        <v>53199.784760540679</v>
      </c>
      <c r="M16" s="112">
        <f t="shared" si="7"/>
        <v>94647.721910291075</v>
      </c>
      <c r="N16" s="112">
        <f t="shared" si="8"/>
        <v>15959.935428162204</v>
      </c>
    </row>
    <row r="17" spans="2:14" x14ac:dyDescent="0.25">
      <c r="B17" s="14">
        <v>2026</v>
      </c>
      <c r="C17" s="309">
        <f>'Proyeksi Penduduk'!C77</f>
        <v>372985.1159188099</v>
      </c>
      <c r="D17" s="247"/>
      <c r="E17" s="14">
        <v>165</v>
      </c>
      <c r="F17" s="112">
        <f t="shared" si="2"/>
        <v>49234.035301282915</v>
      </c>
      <c r="G17" s="112">
        <f t="shared" si="0"/>
        <v>88621.263542309243</v>
      </c>
      <c r="H17" s="112">
        <f t="shared" si="3"/>
        <v>14770.210590384873</v>
      </c>
      <c r="I17" s="112">
        <f t="shared" si="4"/>
        <v>4923.403530128292</v>
      </c>
      <c r="J17" s="112">
        <f t="shared" si="1"/>
        <v>7730.220452621711</v>
      </c>
      <c r="K17" s="112">
        <f t="shared" si="5"/>
        <v>1477.0210590384875</v>
      </c>
      <c r="L17" s="112">
        <f t="shared" si="6"/>
        <v>54157.438831411208</v>
      </c>
      <c r="M17" s="112">
        <f t="shared" si="7"/>
        <v>96351.483994930953</v>
      </c>
      <c r="N17" s="112">
        <f t="shared" si="8"/>
        <v>16247.23164942336</v>
      </c>
    </row>
    <row r="18" spans="2:14" x14ac:dyDescent="0.25">
      <c r="B18" s="14">
        <v>2027</v>
      </c>
      <c r="C18" s="309">
        <f>'Proyeksi Penduduk'!C78</f>
        <v>379699.25426056294</v>
      </c>
      <c r="D18" s="247"/>
      <c r="E18" s="14">
        <v>165</v>
      </c>
      <c r="F18" s="112">
        <f t="shared" si="2"/>
        <v>50120.301562394307</v>
      </c>
      <c r="G18" s="112">
        <f t="shared" si="0"/>
        <v>90216.542812309752</v>
      </c>
      <c r="H18" s="112">
        <f t="shared" si="3"/>
        <v>15036.090468718292</v>
      </c>
      <c r="I18" s="112">
        <f t="shared" si="4"/>
        <v>5012.0301562394307</v>
      </c>
      <c r="J18" s="112">
        <f t="shared" si="1"/>
        <v>7869.3728405214151</v>
      </c>
      <c r="K18" s="112">
        <f t="shared" si="5"/>
        <v>1503.6090468718292</v>
      </c>
      <c r="L18" s="112">
        <f t="shared" si="6"/>
        <v>55132.331718633737</v>
      </c>
      <c r="M18" s="112">
        <f t="shared" si="7"/>
        <v>98085.915652831172</v>
      </c>
      <c r="N18" s="112">
        <f t="shared" si="8"/>
        <v>16539.69951559012</v>
      </c>
    </row>
    <row r="19" spans="2:14" x14ac:dyDescent="0.25">
      <c r="B19" s="14">
        <v>2028</v>
      </c>
      <c r="C19" s="309">
        <f>'Proyeksi Penduduk'!C79</f>
        <v>386534.25440550392</v>
      </c>
      <c r="D19" s="247"/>
      <c r="E19" s="14">
        <v>165</v>
      </c>
      <c r="F19" s="112">
        <f t="shared" si="2"/>
        <v>51022.521581526526</v>
      </c>
      <c r="G19" s="112">
        <f t="shared" si="0"/>
        <v>91840.538846747746</v>
      </c>
      <c r="H19" s="112">
        <f t="shared" si="3"/>
        <v>15306.756474457958</v>
      </c>
      <c r="I19" s="112">
        <f t="shared" si="4"/>
        <v>5102.2521581526526</v>
      </c>
      <c r="J19" s="112">
        <f t="shared" si="1"/>
        <v>8011.0301229680335</v>
      </c>
      <c r="K19" s="112">
        <f t="shared" si="5"/>
        <v>1530.6756474457957</v>
      </c>
      <c r="L19" s="112">
        <f t="shared" si="6"/>
        <v>56124.773739679178</v>
      </c>
      <c r="M19" s="112">
        <f t="shared" si="7"/>
        <v>99851.56896971578</v>
      </c>
      <c r="N19" s="112">
        <f t="shared" si="8"/>
        <v>16837.432121903752</v>
      </c>
    </row>
    <row r="20" spans="2:14" x14ac:dyDescent="0.25">
      <c r="B20" s="14">
        <v>2029</v>
      </c>
      <c r="C20" s="309">
        <f>'Proyeksi Penduduk'!C80</f>
        <v>393492.29199773283</v>
      </c>
      <c r="D20" s="247"/>
      <c r="E20" s="14">
        <v>165</v>
      </c>
      <c r="F20" s="112">
        <f t="shared" si="2"/>
        <v>51940.982543700731</v>
      </c>
      <c r="G20" s="112">
        <f t="shared" si="0"/>
        <v>93493.768578661315</v>
      </c>
      <c r="H20" s="112">
        <f t="shared" si="3"/>
        <v>15582.294763110218</v>
      </c>
      <c r="I20" s="112">
        <f t="shared" si="4"/>
        <v>5194.0982543700738</v>
      </c>
      <c r="J20" s="112">
        <f t="shared" si="1"/>
        <v>8155.2373907917363</v>
      </c>
      <c r="K20" s="112">
        <f t="shared" si="5"/>
        <v>1558.2294763110222</v>
      </c>
      <c r="L20" s="112">
        <f t="shared" si="6"/>
        <v>57135.080798070805</v>
      </c>
      <c r="M20" s="112">
        <f t="shared" si="7"/>
        <v>101649.00596945305</v>
      </c>
      <c r="N20" s="112">
        <f t="shared" si="8"/>
        <v>17140.52423942124</v>
      </c>
    </row>
    <row r="21" spans="2:14" x14ac:dyDescent="0.25">
      <c r="B21" s="14">
        <v>2030</v>
      </c>
      <c r="C21" s="309">
        <f>'Proyeksi Penduduk'!C81</f>
        <v>400575.58184531319</v>
      </c>
      <c r="D21" s="247"/>
      <c r="E21" s="14">
        <v>165</v>
      </c>
      <c r="F21" s="112">
        <f t="shared" si="2"/>
        <v>52875.976803581339</v>
      </c>
      <c r="G21" s="112">
        <f t="shared" si="0"/>
        <v>95176.758246446407</v>
      </c>
      <c r="H21" s="112">
        <f t="shared" si="3"/>
        <v>15862.793041074401</v>
      </c>
      <c r="I21" s="112">
        <f t="shared" si="4"/>
        <v>5287.5976803581343</v>
      </c>
      <c r="J21" s="112">
        <f t="shared" si="1"/>
        <v>8302.0405465067543</v>
      </c>
      <c r="K21" s="112">
        <f t="shared" si="5"/>
        <v>1586.2793041074403</v>
      </c>
      <c r="L21" s="112">
        <f t="shared" si="6"/>
        <v>58163.574483939476</v>
      </c>
      <c r="M21" s="112">
        <f t="shared" si="7"/>
        <v>103478.79879295317</v>
      </c>
      <c r="N21" s="112">
        <f t="shared" si="8"/>
        <v>17449.072345181841</v>
      </c>
    </row>
    <row r="22" spans="2:14" x14ac:dyDescent="0.25">
      <c r="B22" s="14">
        <v>2031</v>
      </c>
      <c r="C22" s="309">
        <f>'Proyeksi Penduduk'!C82</f>
        <v>407786.3786252659</v>
      </c>
      <c r="D22" s="247"/>
      <c r="E22" s="14">
        <v>165</v>
      </c>
      <c r="F22" s="112">
        <f t="shared" si="2"/>
        <v>53827.801978535106</v>
      </c>
      <c r="G22" s="112">
        <f t="shared" si="0"/>
        <v>96890.0435613632</v>
      </c>
      <c r="H22" s="112">
        <f t="shared" si="3"/>
        <v>16148.340593560531</v>
      </c>
      <c r="I22" s="112">
        <f t="shared" si="4"/>
        <v>5382.7801978535108</v>
      </c>
      <c r="J22" s="112">
        <f t="shared" si="1"/>
        <v>8451.4863189225707</v>
      </c>
      <c r="K22" s="112">
        <f t="shared" si="5"/>
        <v>1614.8340593560531</v>
      </c>
      <c r="L22" s="112">
        <f t="shared" si="6"/>
        <v>59210.58217638862</v>
      </c>
      <c r="M22" s="112">
        <f t="shared" si="7"/>
        <v>105341.52988028577</v>
      </c>
      <c r="N22" s="112">
        <f t="shared" si="8"/>
        <v>17763.174652916583</v>
      </c>
    </row>
    <row r="23" spans="2:14" x14ac:dyDescent="0.25">
      <c r="B23" s="14">
        <v>2032</v>
      </c>
      <c r="C23" s="309">
        <f>'Proyeksi Penduduk'!C83</f>
        <v>415126.97760125442</v>
      </c>
      <c r="D23" s="247"/>
      <c r="E23" s="14">
        <v>165</v>
      </c>
      <c r="F23" s="112">
        <f t="shared" si="2"/>
        <v>54796.761043365594</v>
      </c>
      <c r="G23" s="112">
        <f t="shared" si="0"/>
        <v>98634.169878058077</v>
      </c>
      <c r="H23" s="112">
        <f t="shared" si="3"/>
        <v>16439.028313009676</v>
      </c>
      <c r="I23" s="112">
        <f t="shared" si="4"/>
        <v>5479.6761043365595</v>
      </c>
      <c r="J23" s="112">
        <f t="shared" si="1"/>
        <v>8603.6222780181415</v>
      </c>
      <c r="K23" s="112">
        <f t="shared" si="5"/>
        <v>1643.9028313009678</v>
      </c>
      <c r="L23" s="112">
        <f t="shared" si="6"/>
        <v>60276.437147702156</v>
      </c>
      <c r="M23" s="112">
        <f t="shared" si="7"/>
        <v>107237.79215607622</v>
      </c>
      <c r="N23" s="112">
        <f t="shared" si="8"/>
        <v>18082.931144310645</v>
      </c>
    </row>
    <row r="24" spans="2:14" x14ac:dyDescent="0.25">
      <c r="B24" s="14">
        <v>2033</v>
      </c>
      <c r="C24" s="309">
        <f>'Proyeksi Penduduk'!C84</f>
        <v>422599.71535418753</v>
      </c>
      <c r="D24" s="247"/>
      <c r="E24" s="14">
        <v>165</v>
      </c>
      <c r="F24" s="112">
        <f t="shared" si="2"/>
        <v>55783.162426752766</v>
      </c>
      <c r="G24" s="112">
        <f t="shared" si="0"/>
        <v>100409.69236815498</v>
      </c>
      <c r="H24" s="112">
        <f t="shared" si="3"/>
        <v>16734.948728025829</v>
      </c>
      <c r="I24" s="112">
        <f t="shared" si="4"/>
        <v>5578.316242675277</v>
      </c>
      <c r="J24" s="112">
        <f t="shared" si="1"/>
        <v>8758.496850083844</v>
      </c>
      <c r="K24" s="112">
        <f t="shared" si="5"/>
        <v>1673.4948728025831</v>
      </c>
      <c r="L24" s="112">
        <f t="shared" si="6"/>
        <v>61361.478669428041</v>
      </c>
      <c r="M24" s="112">
        <f t="shared" si="7"/>
        <v>109168.18921823883</v>
      </c>
      <c r="N24" s="112">
        <f t="shared" si="8"/>
        <v>18408.443600828414</v>
      </c>
    </row>
    <row r="25" spans="2:14" x14ac:dyDescent="0.25">
      <c r="B25" s="14">
        <v>2034</v>
      </c>
      <c r="C25" s="309">
        <f>'Proyeksi Penduduk'!C85</f>
        <v>430206.9705259761</v>
      </c>
      <c r="D25" s="247"/>
      <c r="E25" s="14">
        <v>165</v>
      </c>
      <c r="F25" s="112">
        <f t="shared" si="2"/>
        <v>56787.320109428852</v>
      </c>
      <c r="G25" s="112">
        <f t="shared" si="0"/>
        <v>102217.17619697194</v>
      </c>
      <c r="H25" s="112">
        <f t="shared" si="3"/>
        <v>17036.196032828655</v>
      </c>
      <c r="I25" s="112">
        <f t="shared" si="4"/>
        <v>5678.7320109428856</v>
      </c>
      <c r="J25" s="112">
        <f t="shared" si="1"/>
        <v>8916.1593331360436</v>
      </c>
      <c r="K25" s="112">
        <f t="shared" si="5"/>
        <v>1703.6196032828657</v>
      </c>
      <c r="L25" s="112">
        <f t="shared" si="6"/>
        <v>62466.052120371736</v>
      </c>
      <c r="M25" s="112">
        <f t="shared" si="7"/>
        <v>111133.33553010799</v>
      </c>
      <c r="N25" s="112">
        <f t="shared" si="8"/>
        <v>18739.815636111522</v>
      </c>
    </row>
    <row r="26" spans="2:14" x14ac:dyDescent="0.25">
      <c r="B26" s="14">
        <v>2035</v>
      </c>
      <c r="C26" s="309">
        <f>'Proyeksi Penduduk'!C86</f>
        <v>430206.9705259761</v>
      </c>
      <c r="D26" s="247"/>
      <c r="E26" s="14">
        <v>165</v>
      </c>
      <c r="F26" s="112">
        <f t="shared" si="2"/>
        <v>56787.320109428852</v>
      </c>
      <c r="G26" s="112">
        <f t="shared" si="0"/>
        <v>102217.17619697194</v>
      </c>
      <c r="H26" s="112">
        <f t="shared" si="3"/>
        <v>17036.196032828655</v>
      </c>
      <c r="I26" s="112">
        <f t="shared" si="4"/>
        <v>5678.7320109428856</v>
      </c>
      <c r="J26" s="112">
        <f t="shared" si="1"/>
        <v>8916.1593331360436</v>
      </c>
      <c r="K26" s="112">
        <f t="shared" si="5"/>
        <v>1703.6196032828657</v>
      </c>
      <c r="L26" s="112">
        <f t="shared" si="6"/>
        <v>62466.052120371736</v>
      </c>
      <c r="M26" s="112">
        <f t="shared" si="7"/>
        <v>111133.33553010799</v>
      </c>
      <c r="N26" s="112">
        <f t="shared" si="8"/>
        <v>18739.815636111522</v>
      </c>
    </row>
    <row r="27" spans="2:14" x14ac:dyDescent="0.25">
      <c r="B27" s="14">
        <v>2036</v>
      </c>
      <c r="C27" s="309">
        <f>'Proyeksi Penduduk'!C87</f>
        <v>437951.16457667551</v>
      </c>
      <c r="D27" s="247"/>
      <c r="E27" s="14">
        <v>165</v>
      </c>
      <c r="F27" s="112">
        <f t="shared" si="2"/>
        <v>57809.553724121164</v>
      </c>
      <c r="G27" s="112">
        <f t="shared" si="0"/>
        <v>104057.1967034181</v>
      </c>
      <c r="H27" s="112">
        <f t="shared" si="3"/>
        <v>17342.86611723635</v>
      </c>
      <c r="I27" s="112">
        <f t="shared" si="4"/>
        <v>5780.955372412117</v>
      </c>
      <c r="J27" s="112">
        <f t="shared" si="1"/>
        <v>9076.6599126090823</v>
      </c>
      <c r="K27" s="112">
        <f t="shared" si="5"/>
        <v>1734.2866117236351</v>
      </c>
      <c r="L27" s="112">
        <f t="shared" si="6"/>
        <v>63590.509096533278</v>
      </c>
      <c r="M27" s="112">
        <f t="shared" si="7"/>
        <v>113133.85661602719</v>
      </c>
      <c r="N27" s="112">
        <f t="shared" si="8"/>
        <v>19077.152728959984</v>
      </c>
    </row>
    <row r="28" spans="2:14" x14ac:dyDescent="0.25">
      <c r="B28" s="14">
        <v>2037</v>
      </c>
      <c r="C28" s="309">
        <f>'Proyeksi Penduduk'!C88</f>
        <v>445834.76255526009</v>
      </c>
      <c r="D28" s="247"/>
      <c r="E28" s="14">
        <v>165</v>
      </c>
      <c r="F28" s="112">
        <f t="shared" si="2"/>
        <v>58850.188657294333</v>
      </c>
      <c r="G28" s="112">
        <f t="shared" si="0"/>
        <v>105930.3395831298</v>
      </c>
      <c r="H28" s="112">
        <f t="shared" si="3"/>
        <v>17655.056597188301</v>
      </c>
      <c r="I28" s="112">
        <f t="shared" si="4"/>
        <v>5885.0188657294339</v>
      </c>
      <c r="J28" s="112">
        <f t="shared" si="1"/>
        <v>9240.0496773297946</v>
      </c>
      <c r="K28" s="112">
        <f t="shared" si="5"/>
        <v>1765.5056597188302</v>
      </c>
      <c r="L28" s="112">
        <f t="shared" si="6"/>
        <v>64735.207523023768</v>
      </c>
      <c r="M28" s="112">
        <f t="shared" si="7"/>
        <v>115170.38926045959</v>
      </c>
      <c r="N28" s="112">
        <f t="shared" si="8"/>
        <v>19420.562256907131</v>
      </c>
    </row>
    <row r="29" spans="2:14" x14ac:dyDescent="0.25">
      <c r="B29" s="14">
        <v>2038</v>
      </c>
      <c r="C29" s="309">
        <f>'Proyeksi Penduduk'!C89</f>
        <v>453860.2738842704</v>
      </c>
      <c r="D29" s="247"/>
      <c r="E29" s="14">
        <v>165</v>
      </c>
      <c r="F29" s="112">
        <f t="shared" si="2"/>
        <v>59909.556152723701</v>
      </c>
      <c r="G29" s="112">
        <f t="shared" si="0"/>
        <v>107837.20107490267</v>
      </c>
      <c r="H29" s="112">
        <f t="shared" si="3"/>
        <v>17972.866845817109</v>
      </c>
      <c r="I29" s="112">
        <f t="shared" si="4"/>
        <v>5990.9556152723708</v>
      </c>
      <c r="J29" s="112">
        <f t="shared" si="1"/>
        <v>9406.3806357795347</v>
      </c>
      <c r="K29" s="112">
        <f t="shared" si="5"/>
        <v>1797.2866845817111</v>
      </c>
      <c r="L29" s="112">
        <f t="shared" si="6"/>
        <v>65900.511767996068</v>
      </c>
      <c r="M29" s="112">
        <f t="shared" si="7"/>
        <v>117243.58171068221</v>
      </c>
      <c r="N29" s="112">
        <f t="shared" si="8"/>
        <v>19770.15353039882</v>
      </c>
    </row>
    <row r="30" spans="2:14" x14ac:dyDescent="0.25">
      <c r="B30" s="14">
        <v>2039</v>
      </c>
      <c r="C30" s="309">
        <f>'Proyeksi Penduduk'!C90</f>
        <v>462030.25315858622</v>
      </c>
      <c r="D30" s="247"/>
      <c r="E30" s="14">
        <v>165</v>
      </c>
      <c r="F30" s="112">
        <f t="shared" si="2"/>
        <v>60987.993416933379</v>
      </c>
      <c r="G30" s="112">
        <f t="shared" si="0"/>
        <v>109778.38815048008</v>
      </c>
      <c r="H30" s="112">
        <f t="shared" si="3"/>
        <v>18296.398025080012</v>
      </c>
      <c r="I30" s="112">
        <f t="shared" si="4"/>
        <v>6098.7993416933386</v>
      </c>
      <c r="J30" s="112">
        <f t="shared" si="1"/>
        <v>9575.7057326489721</v>
      </c>
      <c r="K30" s="112">
        <f t="shared" si="5"/>
        <v>1829.6398025080016</v>
      </c>
      <c r="L30" s="112">
        <f t="shared" si="6"/>
        <v>67086.792758626718</v>
      </c>
      <c r="M30" s="112">
        <f t="shared" si="7"/>
        <v>119354.09388312906</v>
      </c>
      <c r="N30" s="112">
        <f t="shared" si="8"/>
        <v>20126.037827588014</v>
      </c>
    </row>
    <row r="31" spans="2:14" x14ac:dyDescent="0.25">
      <c r="B31" s="14">
        <v>2040</v>
      </c>
      <c r="C31" s="309">
        <f>'Proyeksi Penduduk'!C91</f>
        <v>470347.30095857731</v>
      </c>
      <c r="D31" s="247"/>
      <c r="E31" s="14">
        <v>165</v>
      </c>
      <c r="F31" s="112">
        <f t="shared" si="2"/>
        <v>62085.843726532214</v>
      </c>
      <c r="G31" s="112">
        <f t="shared" si="0"/>
        <v>111754.51870775799</v>
      </c>
      <c r="H31" s="112">
        <f t="shared" si="3"/>
        <v>18625.753117959663</v>
      </c>
      <c r="I31" s="112">
        <f t="shared" si="4"/>
        <v>6208.5843726532221</v>
      </c>
      <c r="J31" s="112">
        <f t="shared" si="1"/>
        <v>9748.0788656908808</v>
      </c>
      <c r="K31" s="112">
        <f t="shared" si="5"/>
        <v>1862.5753117959666</v>
      </c>
      <c r="L31" s="112">
        <f t="shared" si="6"/>
        <v>68294.428099185432</v>
      </c>
      <c r="M31" s="112">
        <f t="shared" si="7"/>
        <v>121502.59757344887</v>
      </c>
      <c r="N31" s="112">
        <f t="shared" si="8"/>
        <v>20488.328429755631</v>
      </c>
    </row>
    <row r="32" spans="2:14" x14ac:dyDescent="0.25">
      <c r="B32" s="14">
        <v>2041</v>
      </c>
      <c r="C32" s="309">
        <f>'Proyeksi Penduduk'!C92</f>
        <v>478814.06467789278</v>
      </c>
      <c r="D32" s="247"/>
      <c r="E32" s="14">
        <v>165</v>
      </c>
      <c r="F32" s="112">
        <f t="shared" si="2"/>
        <v>63203.456537481841</v>
      </c>
      <c r="G32" s="112">
        <f t="shared" si="0"/>
        <v>113766.22176746732</v>
      </c>
      <c r="H32" s="112">
        <f t="shared" si="3"/>
        <v>18961.03696124455</v>
      </c>
      <c r="I32" s="112">
        <f t="shared" si="4"/>
        <v>6320.3456537481843</v>
      </c>
      <c r="J32" s="112">
        <f t="shared" si="1"/>
        <v>9923.5549028762725</v>
      </c>
      <c r="K32" s="112">
        <f t="shared" si="5"/>
        <v>1896.1036961244552</v>
      </c>
      <c r="L32" s="112">
        <f t="shared" si="6"/>
        <v>69523.802191230032</v>
      </c>
      <c r="M32" s="112">
        <f t="shared" si="7"/>
        <v>123689.77667034359</v>
      </c>
      <c r="N32" s="112">
        <f t="shared" si="8"/>
        <v>20857.140657369004</v>
      </c>
    </row>
    <row r="33" spans="2:14" x14ac:dyDescent="0.25">
      <c r="B33" s="14">
        <v>2042</v>
      </c>
      <c r="C33" s="309">
        <f>'Proyeksi Penduduk'!C93</f>
        <v>487433.23936615099</v>
      </c>
      <c r="D33" s="247"/>
      <c r="E33" s="14">
        <v>165</v>
      </c>
      <c r="F33" s="112">
        <f t="shared" si="2"/>
        <v>64341.187596331933</v>
      </c>
      <c r="G33" s="112">
        <f t="shared" si="0"/>
        <v>115814.13767339748</v>
      </c>
      <c r="H33" s="112">
        <f t="shared" si="3"/>
        <v>19302.356278899581</v>
      </c>
      <c r="I33" s="112">
        <f t="shared" si="4"/>
        <v>6434.1187596331938</v>
      </c>
      <c r="J33" s="112">
        <f t="shared" si="1"/>
        <v>10102.189699859422</v>
      </c>
      <c r="K33" s="112">
        <f t="shared" si="5"/>
        <v>1930.2356278899581</v>
      </c>
      <c r="L33" s="112">
        <f t="shared" si="6"/>
        <v>70775.30635596512</v>
      </c>
      <c r="M33" s="112">
        <f t="shared" si="7"/>
        <v>125916.32737325689</v>
      </c>
      <c r="N33" s="112">
        <f t="shared" si="8"/>
        <v>21232.591906789537</v>
      </c>
    </row>
    <row r="34" spans="2:14" x14ac:dyDescent="0.25">
      <c r="B34" s="14">
        <v>2043</v>
      </c>
      <c r="C34" s="309">
        <f>'Proyeksi Penduduk'!C94</f>
        <v>496207.56858679897</v>
      </c>
      <c r="D34" s="247"/>
      <c r="E34" s="14">
        <v>165</v>
      </c>
      <c r="F34" s="112">
        <f t="shared" si="2"/>
        <v>65499.399053457462</v>
      </c>
      <c r="G34" s="112">
        <f t="shared" si="0"/>
        <v>117898.91829622343</v>
      </c>
      <c r="H34" s="112">
        <f t="shared" si="3"/>
        <v>19649.819716037237</v>
      </c>
      <c r="I34" s="112">
        <f t="shared" si="4"/>
        <v>6549.9399053457464</v>
      </c>
      <c r="J34" s="112">
        <f t="shared" si="1"/>
        <v>10284.040117757206</v>
      </c>
      <c r="K34" s="112">
        <f t="shared" si="5"/>
        <v>1964.9819716037239</v>
      </c>
      <c r="L34" s="112">
        <f t="shared" si="6"/>
        <v>72049.338958803215</v>
      </c>
      <c r="M34" s="112">
        <f t="shared" si="7"/>
        <v>128182.95841398064</v>
      </c>
      <c r="N34" s="112">
        <f t="shared" si="8"/>
        <v>21614.80168764096</v>
      </c>
    </row>
    <row r="37" spans="2:14" x14ac:dyDescent="0.25">
      <c r="B37" s="93" t="s">
        <v>225</v>
      </c>
      <c r="C37" s="93"/>
      <c r="D37" s="93"/>
      <c r="E37" s="93"/>
      <c r="F37" s="93">
        <v>80</v>
      </c>
      <c r="G37" s="93"/>
    </row>
    <row r="39" spans="2:14" x14ac:dyDescent="0.25">
      <c r="B39" s="12" t="s">
        <v>226</v>
      </c>
    </row>
    <row r="40" spans="2:14" x14ac:dyDescent="0.25">
      <c r="B40" s="328" t="s">
        <v>227</v>
      </c>
      <c r="C40" s="328"/>
      <c r="D40" s="328" t="s">
        <v>230</v>
      </c>
      <c r="E40" s="328"/>
    </row>
    <row r="41" spans="2:14" x14ac:dyDescent="0.25">
      <c r="B41" s="329"/>
      <c r="C41" s="329"/>
      <c r="D41" s="329"/>
      <c r="E41" s="329"/>
    </row>
    <row r="42" spans="2:14" x14ac:dyDescent="0.25">
      <c r="B42" s="135" t="s">
        <v>228</v>
      </c>
      <c r="C42" s="135" t="s">
        <v>229</v>
      </c>
      <c r="D42" s="135" t="s">
        <v>228</v>
      </c>
      <c r="E42" s="135" t="s">
        <v>229</v>
      </c>
    </row>
    <row r="43" spans="2:14" x14ac:dyDescent="0.25">
      <c r="B43" s="164">
        <v>1.8</v>
      </c>
      <c r="C43" s="164">
        <v>0.3</v>
      </c>
      <c r="D43" s="164">
        <f>((18+(SQRT((C24/1000)))))/((4+(SQRT(C24/1000))))</f>
        <v>1.570096865982521</v>
      </c>
      <c r="E43" s="164">
        <v>0.3</v>
      </c>
    </row>
  </sheetData>
  <mergeCells count="35">
    <mergeCell ref="C32:D32"/>
    <mergeCell ref="C33:D33"/>
    <mergeCell ref="C34:D34"/>
    <mergeCell ref="C27:D27"/>
    <mergeCell ref="C28:D28"/>
    <mergeCell ref="C29:D29"/>
    <mergeCell ref="C30:D30"/>
    <mergeCell ref="C31:D31"/>
    <mergeCell ref="F12:H12"/>
    <mergeCell ref="I12:K12"/>
    <mergeCell ref="L12:N12"/>
    <mergeCell ref="E12:E13"/>
    <mergeCell ref="C23:D23"/>
    <mergeCell ref="C24:D24"/>
    <mergeCell ref="C15:D15"/>
    <mergeCell ref="C12:D13"/>
    <mergeCell ref="B40:C41"/>
    <mergeCell ref="D40:E41"/>
    <mergeCell ref="C19:D19"/>
    <mergeCell ref="C20:D20"/>
    <mergeCell ref="C21:D21"/>
    <mergeCell ref="C22:D22"/>
    <mergeCell ref="B12:B13"/>
    <mergeCell ref="C14:D14"/>
    <mergeCell ref="C16:D16"/>
    <mergeCell ref="C17:D17"/>
    <mergeCell ref="C18:D18"/>
    <mergeCell ref="C25:D25"/>
    <mergeCell ref="C26:D26"/>
    <mergeCell ref="B4:C4"/>
    <mergeCell ref="B3:C3"/>
    <mergeCell ref="B6:D6"/>
    <mergeCell ref="B7:D7"/>
    <mergeCell ref="B10:D10"/>
    <mergeCell ref="B9:D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73D3-C80E-4EDF-B6A3-BBA04270828A}">
  <dimension ref="A2:AD995"/>
  <sheetViews>
    <sheetView zoomScale="99" zoomScaleNormal="99" workbookViewId="0">
      <selection activeCell="H28" sqref="H28"/>
    </sheetView>
  </sheetViews>
  <sheetFormatPr defaultColWidth="14.44140625" defaultRowHeight="15" customHeight="1" x14ac:dyDescent="0.3"/>
  <cols>
    <col min="1" max="2" width="8.6640625" customWidth="1"/>
    <col min="3" max="3" width="23.33203125" customWidth="1"/>
    <col min="4" max="4" width="13.6640625" customWidth="1"/>
    <col min="5" max="5" width="13.109375" customWidth="1"/>
    <col min="6" max="6" width="9.33203125" customWidth="1"/>
    <col min="7" max="17" width="8.6640625" customWidth="1"/>
    <col min="18" max="18" width="10.6640625" customWidth="1"/>
    <col min="19" max="27" width="8.6640625" customWidth="1"/>
    <col min="28" max="28" width="14.44140625" customWidth="1"/>
    <col min="29" max="29" width="15.109375" customWidth="1"/>
    <col min="30" max="30" width="22.5546875" customWidth="1"/>
  </cols>
  <sheetData>
    <row r="2" spans="1:28" ht="15" customHeight="1" x14ac:dyDescent="0.3">
      <c r="B2" s="41">
        <v>1</v>
      </c>
      <c r="C2" s="40" t="s">
        <v>202</v>
      </c>
    </row>
    <row r="3" spans="1:28" ht="15" customHeight="1" x14ac:dyDescent="0.3">
      <c r="C3" s="30" t="s">
        <v>203</v>
      </c>
      <c r="D3" s="40"/>
      <c r="E3" s="40"/>
      <c r="F3" s="40"/>
      <c r="G3" s="40"/>
      <c r="H3" s="40"/>
    </row>
    <row r="4" spans="1:28" ht="14.25" customHeight="1" x14ac:dyDescent="0.3">
      <c r="A4" s="31"/>
      <c r="B4" s="31"/>
      <c r="C4" s="31"/>
      <c r="D4" s="31"/>
      <c r="E4" s="31"/>
      <c r="F4" s="31"/>
      <c r="G4" s="31"/>
      <c r="H4" s="31"/>
      <c r="Q4" s="31"/>
      <c r="R4" s="31"/>
      <c r="S4" s="31"/>
      <c r="T4" s="31"/>
      <c r="U4" s="31"/>
      <c r="V4" s="31"/>
      <c r="W4" s="31"/>
      <c r="X4" s="31"/>
      <c r="Y4" s="31"/>
      <c r="Z4" s="31"/>
      <c r="AA4" s="31"/>
      <c r="AB4" s="31"/>
    </row>
    <row r="5" spans="1:28" ht="14.25" customHeight="1" x14ac:dyDescent="0.3">
      <c r="A5" s="31"/>
      <c r="B5" s="31"/>
      <c r="C5" s="336" t="s">
        <v>376</v>
      </c>
      <c r="D5" s="336"/>
      <c r="E5" s="336"/>
      <c r="F5" s="336"/>
      <c r="G5" s="336"/>
      <c r="H5" s="336"/>
      <c r="S5" s="31"/>
      <c r="T5" s="31"/>
      <c r="U5" s="31"/>
      <c r="V5" s="31"/>
      <c r="W5" s="31"/>
      <c r="X5" s="31"/>
      <c r="Y5" s="31"/>
      <c r="Z5" s="31"/>
      <c r="AA5" s="31"/>
    </row>
    <row r="6" spans="1:28" ht="14.25" customHeight="1" x14ac:dyDescent="0.3">
      <c r="A6" s="31"/>
      <c r="B6" s="31"/>
      <c r="C6" s="334" t="s">
        <v>185</v>
      </c>
      <c r="D6" s="334" t="s">
        <v>186</v>
      </c>
      <c r="E6" s="336" t="s">
        <v>98</v>
      </c>
      <c r="F6" s="336"/>
      <c r="G6" s="336"/>
      <c r="H6" s="336"/>
      <c r="S6" s="31"/>
      <c r="T6" s="31"/>
      <c r="U6" s="31"/>
      <c r="V6" s="31"/>
      <c r="W6" s="31"/>
      <c r="X6" s="31"/>
      <c r="Y6" s="31"/>
      <c r="Z6" s="31"/>
      <c r="AA6" s="31"/>
    </row>
    <row r="7" spans="1:28" ht="14.25" customHeight="1" x14ac:dyDescent="0.3">
      <c r="A7" s="31"/>
      <c r="B7" s="31"/>
      <c r="C7" s="335"/>
      <c r="D7" s="335"/>
      <c r="E7" s="59">
        <v>2017</v>
      </c>
      <c r="F7" s="59">
        <v>2018</v>
      </c>
      <c r="G7" s="59">
        <v>2019</v>
      </c>
      <c r="H7" s="59">
        <v>2020</v>
      </c>
      <c r="S7" s="31"/>
      <c r="T7" s="31"/>
      <c r="U7" s="31"/>
      <c r="V7" s="31"/>
      <c r="W7" s="31"/>
      <c r="X7" s="31"/>
      <c r="Y7" s="31"/>
      <c r="Z7" s="31"/>
      <c r="AA7" s="31"/>
    </row>
    <row r="8" spans="1:28" ht="14.25" customHeight="1" x14ac:dyDescent="0.3">
      <c r="A8" s="31"/>
      <c r="B8" s="31"/>
      <c r="C8" s="45" t="s">
        <v>187</v>
      </c>
      <c r="D8" s="46"/>
      <c r="E8" s="42"/>
      <c r="F8" s="42"/>
      <c r="G8" s="42"/>
      <c r="H8" s="42"/>
      <c r="S8" s="31"/>
      <c r="T8" s="31"/>
      <c r="U8" s="31"/>
      <c r="V8" s="31"/>
      <c r="W8" s="31"/>
      <c r="X8" s="31"/>
      <c r="Y8" s="31"/>
      <c r="Z8" s="31"/>
      <c r="AA8" s="31"/>
    </row>
    <row r="9" spans="1:28" ht="14.25" customHeight="1" x14ac:dyDescent="0.3">
      <c r="A9" s="31"/>
      <c r="B9" s="31"/>
      <c r="C9" s="34" t="s">
        <v>188</v>
      </c>
      <c r="D9" s="339" t="s">
        <v>189</v>
      </c>
      <c r="E9" s="35">
        <f>69</f>
        <v>69</v>
      </c>
      <c r="F9" s="35">
        <f>69</f>
        <v>69</v>
      </c>
      <c r="G9" s="35">
        <f>79</f>
        <v>79</v>
      </c>
      <c r="H9" s="35">
        <f>78</f>
        <v>78</v>
      </c>
      <c r="S9" s="31"/>
      <c r="T9" s="31"/>
      <c r="U9" s="31"/>
      <c r="V9" s="31"/>
      <c r="W9" s="31"/>
      <c r="X9" s="31"/>
      <c r="Y9" s="31"/>
      <c r="Z9" s="31"/>
      <c r="AA9" s="31"/>
    </row>
    <row r="10" spans="1:28" ht="14.25" customHeight="1" x14ac:dyDescent="0.3">
      <c r="A10" s="31"/>
      <c r="B10" s="31"/>
      <c r="C10" s="34" t="s">
        <v>190</v>
      </c>
      <c r="D10" s="340"/>
      <c r="E10" s="35">
        <f>74</f>
        <v>74</v>
      </c>
      <c r="F10" s="35">
        <f>74</f>
        <v>74</v>
      </c>
      <c r="G10" s="35">
        <f>74</f>
        <v>74</v>
      </c>
      <c r="H10" s="35">
        <f>65</f>
        <v>65</v>
      </c>
      <c r="S10" s="31"/>
      <c r="T10" s="31"/>
      <c r="U10" s="31"/>
      <c r="V10" s="31"/>
      <c r="W10" s="31"/>
      <c r="X10" s="31"/>
      <c r="Y10" s="31"/>
      <c r="Z10" s="31"/>
      <c r="AA10" s="31"/>
    </row>
    <row r="11" spans="1:28" ht="14.25" customHeight="1" x14ac:dyDescent="0.3">
      <c r="A11" s="31"/>
      <c r="B11" s="31"/>
      <c r="C11" s="34" t="s">
        <v>204</v>
      </c>
      <c r="D11" s="340"/>
      <c r="E11" s="35">
        <f>8</f>
        <v>8</v>
      </c>
      <c r="F11" s="35">
        <f>8</f>
        <v>8</v>
      </c>
      <c r="G11" s="35">
        <f>8</f>
        <v>8</v>
      </c>
      <c r="H11" s="35">
        <f>8</f>
        <v>8</v>
      </c>
      <c r="S11" s="31"/>
      <c r="T11" s="31"/>
      <c r="U11" s="31"/>
      <c r="V11" s="31"/>
      <c r="W11" s="31"/>
      <c r="X11" s="31"/>
      <c r="Y11" s="31"/>
      <c r="Z11" s="31"/>
      <c r="AA11" s="31"/>
    </row>
    <row r="12" spans="1:28" ht="14.25" customHeight="1" x14ac:dyDescent="0.3">
      <c r="A12" s="31"/>
      <c r="B12" s="31"/>
      <c r="C12" s="34" t="s">
        <v>205</v>
      </c>
      <c r="D12" s="340"/>
      <c r="E12" s="35">
        <f>19</f>
        <v>19</v>
      </c>
      <c r="F12" s="35">
        <f>19</f>
        <v>19</v>
      </c>
      <c r="G12" s="35">
        <f>26</f>
        <v>26</v>
      </c>
      <c r="H12" s="35">
        <f>29</f>
        <v>29</v>
      </c>
      <c r="S12" s="31"/>
      <c r="T12" s="31"/>
      <c r="U12" s="31"/>
      <c r="V12" s="31"/>
      <c r="W12" s="31"/>
      <c r="X12" s="31"/>
      <c r="Y12" s="31"/>
      <c r="Z12" s="31"/>
      <c r="AA12" s="31"/>
    </row>
    <row r="13" spans="1:28" ht="14.25" customHeight="1" x14ac:dyDescent="0.3">
      <c r="A13" s="31"/>
      <c r="B13" s="31"/>
      <c r="C13" s="34" t="s">
        <v>206</v>
      </c>
      <c r="D13" s="340"/>
      <c r="E13" s="35">
        <f>9</f>
        <v>9</v>
      </c>
      <c r="F13" s="35">
        <f>9</f>
        <v>9</v>
      </c>
      <c r="G13" s="35">
        <f>9</f>
        <v>9</v>
      </c>
      <c r="H13" s="35">
        <f>9</f>
        <v>9</v>
      </c>
      <c r="S13" s="31"/>
      <c r="T13" s="31"/>
      <c r="U13" s="31"/>
      <c r="V13" s="31"/>
      <c r="W13" s="31"/>
      <c r="X13" s="31"/>
      <c r="Y13" s="31"/>
      <c r="Z13" s="31"/>
      <c r="AA13" s="31"/>
    </row>
    <row r="14" spans="1:28" ht="14.25" customHeight="1" x14ac:dyDescent="0.3">
      <c r="A14" s="31"/>
      <c r="B14" s="31"/>
      <c r="C14" s="34" t="s">
        <v>191</v>
      </c>
      <c r="D14" s="340"/>
      <c r="E14" s="35">
        <f>8</f>
        <v>8</v>
      </c>
      <c r="F14" s="35">
        <f>8</f>
        <v>8</v>
      </c>
      <c r="G14" s="35">
        <f>12</f>
        <v>12</v>
      </c>
      <c r="H14" s="35">
        <f>12</f>
        <v>12</v>
      </c>
      <c r="S14" s="31"/>
      <c r="T14" s="31"/>
      <c r="U14" s="31"/>
      <c r="V14" s="31"/>
      <c r="W14" s="31"/>
      <c r="X14" s="31"/>
      <c r="Y14" s="31"/>
      <c r="Z14" s="31"/>
      <c r="AA14" s="31"/>
    </row>
    <row r="15" spans="1:28" ht="14.25" customHeight="1" x14ac:dyDescent="0.3">
      <c r="A15" s="31"/>
      <c r="B15" s="31"/>
      <c r="C15" s="34" t="s">
        <v>192</v>
      </c>
      <c r="D15" s="340"/>
      <c r="E15" s="35">
        <f>9</f>
        <v>9</v>
      </c>
      <c r="F15" s="35">
        <f>9</f>
        <v>9</v>
      </c>
      <c r="G15" s="35">
        <f>21</f>
        <v>21</v>
      </c>
      <c r="H15" s="35">
        <f>21</f>
        <v>21</v>
      </c>
      <c r="S15" s="31"/>
      <c r="T15" s="31"/>
      <c r="U15" s="31"/>
      <c r="V15" s="31"/>
      <c r="W15" s="31"/>
      <c r="X15" s="31"/>
      <c r="Y15" s="31"/>
      <c r="Z15" s="31"/>
      <c r="AA15" s="31"/>
    </row>
    <row r="16" spans="1:28" ht="14.25" customHeight="1" x14ac:dyDescent="0.3">
      <c r="A16" s="31"/>
      <c r="B16" s="31"/>
      <c r="C16" s="34" t="s">
        <v>207</v>
      </c>
      <c r="D16" s="340"/>
      <c r="E16" s="35">
        <f>1</f>
        <v>1</v>
      </c>
      <c r="F16" s="35">
        <f>1</f>
        <v>1</v>
      </c>
      <c r="G16" s="35">
        <f>2</f>
        <v>2</v>
      </c>
      <c r="H16" s="35">
        <f>2</f>
        <v>2</v>
      </c>
      <c r="S16" s="31"/>
      <c r="T16" s="31"/>
      <c r="U16" s="31"/>
      <c r="V16" s="31"/>
      <c r="W16" s="31"/>
      <c r="X16" s="31"/>
      <c r="Y16" s="31"/>
      <c r="Z16" s="31"/>
      <c r="AA16" s="31"/>
    </row>
    <row r="17" spans="1:27" ht="14.25" customHeight="1" x14ac:dyDescent="0.3">
      <c r="A17" s="31"/>
      <c r="B17" s="31"/>
      <c r="C17" s="34" t="s">
        <v>193</v>
      </c>
      <c r="D17" s="341"/>
      <c r="E17" s="35"/>
      <c r="F17" s="35"/>
      <c r="G17" s="35"/>
      <c r="H17" s="35"/>
      <c r="S17" s="31"/>
      <c r="T17" s="31"/>
      <c r="U17" s="31"/>
      <c r="V17" s="31"/>
      <c r="W17" s="31"/>
      <c r="X17" s="31"/>
      <c r="Y17" s="31"/>
      <c r="Z17" s="31"/>
      <c r="AA17" s="31"/>
    </row>
    <row r="18" spans="1:27" ht="14.25" customHeight="1" x14ac:dyDescent="0.3">
      <c r="A18" s="31"/>
      <c r="B18" s="31"/>
      <c r="C18" s="33" t="s">
        <v>194</v>
      </c>
      <c r="D18" s="35"/>
      <c r="E18" s="35"/>
      <c r="F18" s="35"/>
      <c r="G18" s="35"/>
      <c r="H18" s="35"/>
      <c r="S18" s="31"/>
      <c r="T18" s="31"/>
      <c r="U18" s="31"/>
      <c r="V18" s="31"/>
      <c r="W18" s="31"/>
      <c r="X18" s="31"/>
      <c r="Y18" s="31"/>
      <c r="Z18" s="31"/>
      <c r="AA18" s="31"/>
    </row>
    <row r="19" spans="1:27" ht="14.25" customHeight="1" x14ac:dyDescent="0.3">
      <c r="A19" s="31"/>
      <c r="B19" s="31"/>
      <c r="C19" s="34" t="s">
        <v>195</v>
      </c>
      <c r="D19" s="339" t="s">
        <v>189</v>
      </c>
      <c r="E19" s="35">
        <f>3</f>
        <v>3</v>
      </c>
      <c r="F19" s="35">
        <f>3</f>
        <v>3</v>
      </c>
      <c r="G19" s="35">
        <f>3</f>
        <v>3</v>
      </c>
      <c r="H19" s="35">
        <f>3</f>
        <v>3</v>
      </c>
      <c r="S19" s="31"/>
      <c r="T19" s="31"/>
      <c r="U19" s="31"/>
      <c r="V19" s="31"/>
      <c r="W19" s="31"/>
      <c r="X19" s="31"/>
      <c r="Y19" s="31"/>
      <c r="Z19" s="31"/>
      <c r="AA19" s="31"/>
    </row>
    <row r="20" spans="1:27" ht="14.25" customHeight="1" x14ac:dyDescent="0.3">
      <c r="A20" s="31"/>
      <c r="B20" s="31"/>
      <c r="C20" s="34" t="s">
        <v>208</v>
      </c>
      <c r="D20" s="340"/>
      <c r="E20" s="35">
        <f>2820</f>
        <v>2820</v>
      </c>
      <c r="F20" s="35">
        <f>2820</f>
        <v>2820</v>
      </c>
      <c r="G20" s="35">
        <f>2820</f>
        <v>2820</v>
      </c>
      <c r="H20" s="35">
        <f>2820</f>
        <v>2820</v>
      </c>
      <c r="S20" s="31"/>
      <c r="T20" s="31"/>
      <c r="U20" s="31"/>
      <c r="V20" s="31"/>
      <c r="W20" s="31"/>
      <c r="X20" s="31"/>
      <c r="Y20" s="31"/>
      <c r="Z20" s="31"/>
      <c r="AA20" s="31"/>
    </row>
    <row r="21" spans="1:27" ht="14.25" customHeight="1" x14ac:dyDescent="0.3">
      <c r="A21" s="31"/>
      <c r="B21" s="31"/>
      <c r="C21" s="34" t="s">
        <v>210</v>
      </c>
      <c r="D21" s="340"/>
      <c r="E21" s="35">
        <f>67</f>
        <v>67</v>
      </c>
      <c r="F21" s="35">
        <f>63</f>
        <v>63</v>
      </c>
      <c r="G21" s="35">
        <f>63</f>
        <v>63</v>
      </c>
      <c r="H21" s="35">
        <f>63</f>
        <v>63</v>
      </c>
      <c r="S21" s="31"/>
      <c r="T21" s="31"/>
      <c r="U21" s="31"/>
      <c r="V21" s="31"/>
      <c r="W21" s="31"/>
      <c r="X21" s="31"/>
      <c r="Y21" s="31"/>
      <c r="Z21" s="31"/>
      <c r="AA21" s="31"/>
    </row>
    <row r="22" spans="1:27" ht="14.25" customHeight="1" x14ac:dyDescent="0.3">
      <c r="A22" s="31"/>
      <c r="B22" s="31"/>
      <c r="C22" s="34" t="s">
        <v>209</v>
      </c>
      <c r="D22" s="341"/>
      <c r="E22" s="35">
        <f>1938</f>
        <v>1938</v>
      </c>
      <c r="F22" s="35">
        <f>1466</f>
        <v>1466</v>
      </c>
      <c r="G22" s="35">
        <f>1466</f>
        <v>1466</v>
      </c>
      <c r="H22" s="35">
        <f>1466</f>
        <v>1466</v>
      </c>
      <c r="S22" s="31"/>
      <c r="T22" s="31"/>
      <c r="U22" s="31"/>
      <c r="V22" s="31"/>
      <c r="W22" s="31"/>
      <c r="X22" s="31"/>
      <c r="Y22" s="31"/>
      <c r="Z22" s="31"/>
      <c r="AA22" s="31"/>
    </row>
    <row r="23" spans="1:27" ht="14.25" customHeight="1" x14ac:dyDescent="0.3">
      <c r="A23" s="31"/>
      <c r="B23" s="31"/>
      <c r="C23" s="33" t="s">
        <v>196</v>
      </c>
      <c r="D23" s="35"/>
      <c r="E23" s="35"/>
      <c r="F23" s="35"/>
      <c r="G23" s="35"/>
      <c r="H23" s="35"/>
      <c r="S23" s="31"/>
      <c r="T23" s="31"/>
      <c r="U23" s="31"/>
      <c r="V23" s="31"/>
      <c r="W23" s="31"/>
      <c r="X23" s="31"/>
      <c r="Y23" s="31"/>
      <c r="Z23" s="31"/>
      <c r="AA23" s="31"/>
    </row>
    <row r="24" spans="1:27" ht="14.25" customHeight="1" x14ac:dyDescent="0.3">
      <c r="A24" s="31"/>
      <c r="B24" s="31"/>
      <c r="C24" s="34" t="s">
        <v>211</v>
      </c>
      <c r="D24" s="32" t="s">
        <v>189</v>
      </c>
      <c r="E24" s="35">
        <f>3</f>
        <v>3</v>
      </c>
      <c r="F24" s="35">
        <f>1</f>
        <v>1</v>
      </c>
      <c r="G24" s="35">
        <f>2</f>
        <v>2</v>
      </c>
      <c r="H24" s="35">
        <f>2</f>
        <v>2</v>
      </c>
      <c r="S24" s="31"/>
      <c r="T24" s="31"/>
      <c r="U24" s="31"/>
      <c r="V24" s="31"/>
      <c r="W24" s="31"/>
      <c r="X24" s="31"/>
      <c r="Y24" s="31"/>
      <c r="Z24" s="31"/>
      <c r="AA24" s="31"/>
    </row>
    <row r="25" spans="1:27" ht="14.25" customHeight="1" x14ac:dyDescent="0.3">
      <c r="A25" s="31"/>
      <c r="B25" s="31"/>
      <c r="C25" s="33" t="s">
        <v>197</v>
      </c>
      <c r="D25" s="31"/>
      <c r="E25" s="35"/>
      <c r="F25" s="35"/>
      <c r="G25" s="35"/>
      <c r="H25" s="35"/>
      <c r="S25" s="31"/>
      <c r="T25" s="31"/>
      <c r="U25" s="31"/>
      <c r="V25" s="31"/>
      <c r="W25" s="31"/>
      <c r="X25" s="31"/>
      <c r="Y25" s="31"/>
      <c r="Z25" s="31"/>
      <c r="AA25" s="31"/>
    </row>
    <row r="26" spans="1:27" ht="14.25" customHeight="1" x14ac:dyDescent="0.3">
      <c r="A26" s="31"/>
      <c r="B26" s="31"/>
      <c r="C26" s="37" t="s">
        <v>198</v>
      </c>
      <c r="D26" s="332" t="s">
        <v>189</v>
      </c>
      <c r="E26" s="43">
        <f>218</f>
        <v>218</v>
      </c>
      <c r="F26" s="35">
        <f>218</f>
        <v>218</v>
      </c>
      <c r="G26" s="35">
        <f>218</f>
        <v>218</v>
      </c>
      <c r="H26" s="35">
        <f>208</f>
        <v>208</v>
      </c>
      <c r="S26" s="31"/>
      <c r="T26" s="31"/>
      <c r="U26" s="31"/>
      <c r="V26" s="31"/>
      <c r="W26" s="31"/>
      <c r="X26" s="31"/>
      <c r="Y26" s="31"/>
      <c r="Z26" s="31"/>
      <c r="AA26" s="31"/>
    </row>
    <row r="27" spans="1:27" ht="14.25" customHeight="1" x14ac:dyDescent="0.3">
      <c r="A27" s="31"/>
      <c r="B27" s="31"/>
      <c r="C27" s="37" t="s">
        <v>212</v>
      </c>
      <c r="D27" s="338"/>
      <c r="E27" s="43">
        <f>386</f>
        <v>386</v>
      </c>
      <c r="F27" s="35">
        <f>386</f>
        <v>386</v>
      </c>
      <c r="G27" s="35">
        <f>386</f>
        <v>386</v>
      </c>
      <c r="H27" s="32">
        <f>461</f>
        <v>461</v>
      </c>
      <c r="S27" s="31"/>
      <c r="T27" s="31"/>
      <c r="U27" s="31"/>
      <c r="V27" s="31"/>
      <c r="W27" s="31"/>
      <c r="X27" s="31"/>
      <c r="Y27" s="31"/>
      <c r="Z27" s="31"/>
      <c r="AA27" s="31"/>
    </row>
    <row r="28" spans="1:27" ht="14.25" customHeight="1" x14ac:dyDescent="0.3">
      <c r="A28" s="31"/>
      <c r="B28" s="31"/>
      <c r="C28" s="37" t="s">
        <v>199</v>
      </c>
      <c r="D28" s="338"/>
      <c r="E28" s="43">
        <f>9</f>
        <v>9</v>
      </c>
      <c r="F28" s="35">
        <f>9</f>
        <v>9</v>
      </c>
      <c r="G28" s="35">
        <f>9</f>
        <v>9</v>
      </c>
      <c r="H28" s="35">
        <f>7</f>
        <v>7</v>
      </c>
      <c r="S28" s="31"/>
      <c r="T28" s="31"/>
      <c r="U28" s="31"/>
      <c r="V28" s="31"/>
      <c r="W28" s="31"/>
      <c r="X28" s="31"/>
      <c r="Y28" s="31"/>
      <c r="Z28" s="31"/>
      <c r="AA28" s="31"/>
    </row>
    <row r="29" spans="1:27" ht="14.25" customHeight="1" x14ac:dyDescent="0.3">
      <c r="A29" s="31"/>
      <c r="B29" s="31"/>
      <c r="C29" s="37" t="s">
        <v>213</v>
      </c>
      <c r="D29" s="338"/>
      <c r="E29" s="43">
        <f>2</f>
        <v>2</v>
      </c>
      <c r="F29" s="35">
        <f>2</f>
        <v>2</v>
      </c>
      <c r="G29" s="35">
        <f>2</f>
        <v>2</v>
      </c>
      <c r="H29" s="35">
        <f>2</f>
        <v>2</v>
      </c>
      <c r="S29" s="31"/>
      <c r="T29" s="31"/>
      <c r="U29" s="31"/>
      <c r="V29" s="31"/>
      <c r="W29" s="31"/>
      <c r="X29" s="31"/>
      <c r="Y29" s="31"/>
      <c r="Z29" s="31"/>
      <c r="AA29" s="31"/>
    </row>
    <row r="30" spans="1:27" ht="14.25" customHeight="1" x14ac:dyDescent="0.3">
      <c r="A30" s="31"/>
      <c r="B30" s="31"/>
      <c r="C30" s="36"/>
      <c r="D30" s="31"/>
      <c r="E30" s="31"/>
      <c r="F30" s="31"/>
      <c r="G30" s="31"/>
      <c r="H30" s="31"/>
      <c r="I30" s="31"/>
      <c r="J30" s="31"/>
      <c r="K30" s="31"/>
      <c r="L30" s="31"/>
      <c r="M30" s="31"/>
      <c r="N30" s="31"/>
      <c r="O30" s="31"/>
      <c r="P30" s="31"/>
      <c r="Q30" s="31"/>
      <c r="R30" s="31"/>
      <c r="S30" s="31"/>
      <c r="T30" s="31"/>
      <c r="U30" s="31"/>
      <c r="V30" s="31"/>
      <c r="W30" s="31"/>
      <c r="X30" s="31"/>
      <c r="Y30" s="31"/>
      <c r="Z30" s="31"/>
      <c r="AA30" s="31"/>
    </row>
    <row r="31" spans="1:27" ht="14.25" customHeight="1" x14ac:dyDescent="0.3">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row>
    <row r="32" spans="1:27" ht="14.25" customHeight="1" x14ac:dyDescent="0.3">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row>
    <row r="33" spans="1:30" ht="14.25" customHeight="1" x14ac:dyDescent="0.3">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row>
    <row r="34" spans="1:30" ht="14.25" customHeight="1" x14ac:dyDescent="0.3">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row>
    <row r="35" spans="1:30" ht="14.25" customHeight="1" x14ac:dyDescent="0.3">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30" ht="14.25" customHeight="1" x14ac:dyDescent="0.3">
      <c r="A36" s="31"/>
      <c r="B36" s="31"/>
      <c r="C36" s="334" t="s">
        <v>214</v>
      </c>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1"/>
      <c r="AC36" s="313" t="s">
        <v>128</v>
      </c>
      <c r="AD36" s="313"/>
    </row>
    <row r="37" spans="1:30" ht="14.25" customHeight="1" x14ac:dyDescent="0.3">
      <c r="A37" s="31"/>
      <c r="B37" s="31"/>
      <c r="C37" s="334" t="s">
        <v>185</v>
      </c>
      <c r="D37" s="334" t="s">
        <v>186</v>
      </c>
      <c r="E37" s="334" t="s">
        <v>98</v>
      </c>
      <c r="F37" s="334"/>
      <c r="G37" s="334"/>
      <c r="H37" s="334"/>
      <c r="I37" s="334"/>
      <c r="J37" s="334"/>
      <c r="K37" s="334"/>
      <c r="L37" s="334"/>
      <c r="M37" s="334"/>
      <c r="N37" s="334"/>
      <c r="O37" s="334"/>
      <c r="P37" s="334"/>
      <c r="Q37" s="334"/>
      <c r="R37" s="334"/>
      <c r="S37" s="334"/>
      <c r="T37" s="334"/>
      <c r="U37" s="334"/>
      <c r="V37" s="334"/>
      <c r="W37" s="334"/>
      <c r="X37" s="334"/>
      <c r="Y37" s="334"/>
      <c r="Z37" s="334"/>
      <c r="AA37" s="334"/>
      <c r="AB37" s="31"/>
      <c r="AC37" s="313"/>
      <c r="AD37" s="313"/>
    </row>
    <row r="38" spans="1:30" ht="14.25" customHeight="1" x14ac:dyDescent="0.3">
      <c r="A38" s="31"/>
      <c r="B38" s="31"/>
      <c r="C38" s="335"/>
      <c r="D38" s="335"/>
      <c r="E38" s="58">
        <v>2021</v>
      </c>
      <c r="F38" s="58">
        <v>2022</v>
      </c>
      <c r="G38" s="58">
        <v>2023</v>
      </c>
      <c r="H38" s="58">
        <v>2024</v>
      </c>
      <c r="I38" s="58">
        <v>2025</v>
      </c>
      <c r="J38" s="58">
        <v>2026</v>
      </c>
      <c r="K38" s="58">
        <v>2027</v>
      </c>
      <c r="L38" s="58">
        <v>2028</v>
      </c>
      <c r="M38" s="58">
        <v>2029</v>
      </c>
      <c r="N38" s="58">
        <v>2030</v>
      </c>
      <c r="O38" s="58">
        <v>2031</v>
      </c>
      <c r="P38" s="58">
        <v>2032</v>
      </c>
      <c r="Q38" s="58">
        <v>2033</v>
      </c>
      <c r="R38" s="58">
        <v>2034</v>
      </c>
      <c r="S38" s="58">
        <v>2035</v>
      </c>
      <c r="T38" s="58">
        <v>2036</v>
      </c>
      <c r="U38" s="58">
        <v>2037</v>
      </c>
      <c r="V38" s="58">
        <v>2038</v>
      </c>
      <c r="W38" s="58">
        <v>2039</v>
      </c>
      <c r="X38" s="58">
        <v>2040</v>
      </c>
      <c r="Y38" s="58">
        <v>2041</v>
      </c>
      <c r="Z38" s="58">
        <v>2042</v>
      </c>
      <c r="AA38" s="58">
        <v>2043</v>
      </c>
      <c r="AB38" s="31"/>
      <c r="AC38" s="313" t="s">
        <v>98</v>
      </c>
      <c r="AD38" s="244" t="s">
        <v>108</v>
      </c>
    </row>
    <row r="39" spans="1:30" ht="14.25" customHeight="1" x14ac:dyDescent="0.3">
      <c r="A39" s="31"/>
      <c r="B39" s="31"/>
      <c r="C39" s="53" t="s">
        <v>187</v>
      </c>
      <c r="D39" s="44"/>
      <c r="E39" s="337"/>
      <c r="F39" s="337"/>
      <c r="G39" s="337"/>
      <c r="H39" s="337"/>
      <c r="I39" s="337"/>
      <c r="J39" s="337"/>
      <c r="K39" s="337"/>
      <c r="L39" s="337"/>
      <c r="M39" s="337"/>
      <c r="N39" s="337"/>
      <c r="O39" s="337"/>
      <c r="P39" s="337"/>
      <c r="Q39" s="337"/>
      <c r="R39" s="337"/>
      <c r="S39" s="337"/>
      <c r="T39" s="337"/>
      <c r="U39" s="337"/>
      <c r="V39" s="337"/>
      <c r="W39" s="337"/>
      <c r="X39" s="337"/>
      <c r="Y39" s="337"/>
      <c r="Z39" s="61"/>
      <c r="AA39" s="61"/>
      <c r="AB39" s="31"/>
      <c r="AC39" s="313"/>
      <c r="AD39" s="244"/>
    </row>
    <row r="40" spans="1:30" ht="14.25" customHeight="1" x14ac:dyDescent="0.3">
      <c r="A40" s="31"/>
      <c r="B40" s="31"/>
      <c r="C40" s="47" t="s">
        <v>188</v>
      </c>
      <c r="D40" s="332" t="s">
        <v>189</v>
      </c>
      <c r="E40" s="25">
        <f>($AD$47/$AD$46)*H9</f>
        <v>79.125460440699655</v>
      </c>
      <c r="F40" s="25">
        <f t="shared" ref="F40:F47" si="0">($AD$48/$AD$46)*H9</f>
        <v>80.476299711052789</v>
      </c>
      <c r="G40" s="25">
        <f t="shared" ref="G40:G47" si="1">($AD$49/$AD$46)*H9</f>
        <v>50.688256253790271</v>
      </c>
      <c r="H40" s="25">
        <f t="shared" ref="H40:H47" si="2">($AD$50/$AD$46)*H9</f>
        <v>51.600700075983589</v>
      </c>
      <c r="I40" s="25">
        <f t="shared" ref="I40:I47" si="3">($AD$51/$AD$46)*H9</f>
        <v>52.529568880809776</v>
      </c>
      <c r="J40" s="25">
        <f t="shared" ref="J40:J47" si="4">($AD$52/$AD$46)*H9</f>
        <v>53.475158335846309</v>
      </c>
      <c r="K40" s="25">
        <f t="shared" ref="K40:K47" si="5">($AD$53/$AD$46)*H9</f>
        <v>54.437769431009087</v>
      </c>
      <c r="L40" s="25">
        <f t="shared" ref="L40:L47" si="6">($AD$54/$AD$46)*H9</f>
        <v>55.417708574360354</v>
      </c>
      <c r="M40" s="25">
        <f t="shared" ref="M40:M47" si="7">($AD$55/$AD$46)*H9</f>
        <v>56.415287689641211</v>
      </c>
      <c r="N40" s="25">
        <f t="shared" ref="N40:N47" si="8">($AD$56/$AD$46)*H9</f>
        <v>57.430824315559825</v>
      </c>
      <c r="O40" s="25">
        <f t="shared" ref="O40:O47" si="9">($AD$57/$AD$46)*H9</f>
        <v>58.464641706866985</v>
      </c>
      <c r="P40" s="25">
        <f t="shared" ref="P40:P47" si="10">($AD$58/$AD$46)*H9</f>
        <v>59.517068937251111</v>
      </c>
      <c r="Q40" s="25">
        <f t="shared" ref="Q40:Q47" si="11">($AD$59/$AD$46)*H9</f>
        <v>60.588441004085382</v>
      </c>
      <c r="R40" s="25">
        <f t="shared" ref="R40:R47" si="12">($AD$60/$AD$46)*H9</f>
        <v>61.679098935060644</v>
      </c>
      <c r="S40" s="25">
        <f t="shared" ref="S40:S47" si="13">($AD$61/$AD$46)*H9</f>
        <v>61.679098935060644</v>
      </c>
      <c r="T40" s="25">
        <f t="shared" ref="T40:T47" si="14">($AD$62/$AD$46)*H9</f>
        <v>62.789389896737561</v>
      </c>
      <c r="U40" s="25">
        <f t="shared" ref="U40:U47" si="15">($AD$63/$AD$46)*H9</f>
        <v>63.919667305053068</v>
      </c>
      <c r="V40" s="25">
        <f t="shared" ref="V40:V47" si="16">($AD$64/$AD$46)*H9</f>
        <v>65.070290937815855</v>
      </c>
      <c r="W40" s="25">
        <f t="shared" ref="W40:W47" si="17">($AD$65/$AD$46)*H9</f>
        <v>66.241627049227134</v>
      </c>
      <c r="X40" s="25">
        <f t="shared" ref="X40:X47" si="18">($AD$66/$AD$46)*H9</f>
        <v>67.434048486462544</v>
      </c>
      <c r="Y40" s="25">
        <f t="shared" ref="Y40:Y47" si="19">($AD$67/$AD$46)*H9</f>
        <v>68.647934808353071</v>
      </c>
      <c r="Z40" s="25">
        <f>($AD$68/$AD$46)*H9</f>
        <v>69.883672406202024</v>
      </c>
      <c r="AA40" s="25">
        <f>($AD$69/$AD$46)*H9</f>
        <v>71.141654626777097</v>
      </c>
      <c r="AC40" s="13">
        <v>2014</v>
      </c>
      <c r="AD40" s="15">
        <f>163213+138366+77134+100712</f>
        <v>479425</v>
      </c>
    </row>
    <row r="41" spans="1:30" ht="14.25" customHeight="1" x14ac:dyDescent="0.3">
      <c r="A41" s="31"/>
      <c r="B41" s="31"/>
      <c r="C41" s="47" t="s">
        <v>190</v>
      </c>
      <c r="D41" s="332"/>
      <c r="E41" s="25">
        <f t="shared" ref="E41:E47" si="20">($AD$47/$AD$46)*H10</f>
        <v>65.937883700583043</v>
      </c>
      <c r="F41" s="25">
        <f t="shared" si="0"/>
        <v>67.063583092543993</v>
      </c>
      <c r="G41" s="25">
        <f t="shared" si="1"/>
        <v>42.240213544825224</v>
      </c>
      <c r="H41" s="25">
        <f t="shared" si="2"/>
        <v>43.000583396652992</v>
      </c>
      <c r="I41" s="25">
        <f t="shared" si="3"/>
        <v>43.774640734008145</v>
      </c>
      <c r="J41" s="25">
        <f t="shared" si="4"/>
        <v>44.562631946538595</v>
      </c>
      <c r="K41" s="25">
        <f t="shared" si="5"/>
        <v>45.364807859174242</v>
      </c>
      <c r="L41" s="25">
        <f t="shared" si="6"/>
        <v>46.181423811966965</v>
      </c>
      <c r="M41" s="25">
        <f t="shared" si="7"/>
        <v>47.012739741367675</v>
      </c>
      <c r="N41" s="25">
        <f t="shared" si="8"/>
        <v>47.859020262966517</v>
      </c>
      <c r="O41" s="25">
        <f t="shared" si="9"/>
        <v>48.72053475572249</v>
      </c>
      <c r="P41" s="25">
        <f t="shared" si="10"/>
        <v>49.597557447709264</v>
      </c>
      <c r="Q41" s="25">
        <f t="shared" si="11"/>
        <v>50.490367503404485</v>
      </c>
      <c r="R41" s="25">
        <f t="shared" si="12"/>
        <v>51.399249112550535</v>
      </c>
      <c r="S41" s="25">
        <f t="shared" si="13"/>
        <v>51.399249112550535</v>
      </c>
      <c r="T41" s="25">
        <f t="shared" si="14"/>
        <v>52.324491580614634</v>
      </c>
      <c r="U41" s="25">
        <f t="shared" si="15"/>
        <v>53.266389420877552</v>
      </c>
      <c r="V41" s="25">
        <f t="shared" si="16"/>
        <v>54.225242448179877</v>
      </c>
      <c r="W41" s="25">
        <f t="shared" si="17"/>
        <v>55.20135587435594</v>
      </c>
      <c r="X41" s="25">
        <f t="shared" si="18"/>
        <v>56.195040405385456</v>
      </c>
      <c r="Y41" s="25">
        <f t="shared" si="19"/>
        <v>57.206612340294221</v>
      </c>
      <c r="Z41" s="25">
        <f t="shared" ref="Z41:Z60" si="21">($AD$68/$AD$46)*H10</f>
        <v>58.236393671835025</v>
      </c>
      <c r="AA41" s="25">
        <f t="shared" ref="AA41:AA60" si="22">($AD$69/$AD$46)*H10</f>
        <v>59.284712188980919</v>
      </c>
      <c r="AC41" s="13">
        <v>2015</v>
      </c>
      <c r="AD41" s="15">
        <f>163828+138891+77427+101094</f>
        <v>481240</v>
      </c>
    </row>
    <row r="42" spans="1:30" ht="14.25" customHeight="1" x14ac:dyDescent="0.3">
      <c r="A42" s="31"/>
      <c r="B42" s="31"/>
      <c r="C42" s="47" t="s">
        <v>204</v>
      </c>
      <c r="D42" s="332"/>
      <c r="E42" s="25">
        <f t="shared" si="20"/>
        <v>8.1154318400717589</v>
      </c>
      <c r="F42" s="25">
        <f t="shared" si="0"/>
        <v>8.2539794575438759</v>
      </c>
      <c r="G42" s="25">
        <f t="shared" si="1"/>
        <v>5.1987955132092587</v>
      </c>
      <c r="H42" s="25">
        <f t="shared" si="2"/>
        <v>5.2923794949726757</v>
      </c>
      <c r="I42" s="25">
        <f t="shared" si="3"/>
        <v>5.3876480903394643</v>
      </c>
      <c r="J42" s="25">
        <f t="shared" si="4"/>
        <v>5.4846316241893653</v>
      </c>
      <c r="K42" s="25">
        <f t="shared" si="5"/>
        <v>5.5833609672829834</v>
      </c>
      <c r="L42" s="25">
        <f t="shared" si="6"/>
        <v>5.6838675460882415</v>
      </c>
      <c r="M42" s="25">
        <f t="shared" si="7"/>
        <v>5.7861833527837137</v>
      </c>
      <c r="N42" s="25">
        <f t="shared" si="8"/>
        <v>5.8903409554420332</v>
      </c>
      <c r="O42" s="25">
        <f t="shared" si="9"/>
        <v>5.9963735083966139</v>
      </c>
      <c r="P42" s="25">
        <f t="shared" si="10"/>
        <v>6.1043147627949859</v>
      </c>
      <c r="Q42" s="25">
        <f t="shared" si="11"/>
        <v>6.2141990773420908</v>
      </c>
      <c r="R42" s="25">
        <f t="shared" si="12"/>
        <v>6.3260614292369892</v>
      </c>
      <c r="S42" s="25">
        <f t="shared" si="13"/>
        <v>6.3260614292369892</v>
      </c>
      <c r="T42" s="25">
        <f t="shared" si="14"/>
        <v>6.4399374253064163</v>
      </c>
      <c r="U42" s="25">
        <f t="shared" si="15"/>
        <v>6.5558633133387758</v>
      </c>
      <c r="V42" s="25">
        <f t="shared" si="16"/>
        <v>6.673875993622139</v>
      </c>
      <c r="W42" s="25">
        <f t="shared" si="17"/>
        <v>6.7940130306899622</v>
      </c>
      <c r="X42" s="25">
        <f t="shared" si="18"/>
        <v>6.9163126652782099</v>
      </c>
      <c r="Y42" s="25">
        <f t="shared" si="19"/>
        <v>7.0408138264977502</v>
      </c>
      <c r="Z42" s="25">
        <f t="shared" si="21"/>
        <v>7.1675561442258493</v>
      </c>
      <c r="AA42" s="25">
        <f t="shared" si="22"/>
        <v>7.2965799617207283</v>
      </c>
      <c r="AC42" s="13">
        <v>2016</v>
      </c>
      <c r="AD42" s="15">
        <f>164548+139502+77768+101539</f>
        <v>483357</v>
      </c>
    </row>
    <row r="43" spans="1:30" ht="14.25" customHeight="1" x14ac:dyDescent="0.3">
      <c r="A43" s="31"/>
      <c r="B43" s="31"/>
      <c r="C43" s="47" t="s">
        <v>205</v>
      </c>
      <c r="D43" s="332"/>
      <c r="E43" s="25">
        <f t="shared" si="20"/>
        <v>29.418440420260126</v>
      </c>
      <c r="F43" s="25">
        <f t="shared" si="0"/>
        <v>29.920675533596551</v>
      </c>
      <c r="G43" s="25">
        <f t="shared" si="1"/>
        <v>18.845633735383561</v>
      </c>
      <c r="H43" s="25">
        <f t="shared" si="2"/>
        <v>19.18487566927595</v>
      </c>
      <c r="I43" s="25">
        <f t="shared" si="3"/>
        <v>19.530224327480557</v>
      </c>
      <c r="J43" s="25">
        <f t="shared" si="4"/>
        <v>19.881789637686449</v>
      </c>
      <c r="K43" s="25">
        <f t="shared" si="5"/>
        <v>20.239683506400816</v>
      </c>
      <c r="L43" s="25">
        <f t="shared" si="6"/>
        <v>20.604019854569877</v>
      </c>
      <c r="M43" s="25">
        <f t="shared" si="7"/>
        <v>20.974914653840962</v>
      </c>
      <c r="N43" s="25">
        <f t="shared" si="8"/>
        <v>21.35248596347737</v>
      </c>
      <c r="O43" s="25">
        <f t="shared" si="9"/>
        <v>21.736853967937726</v>
      </c>
      <c r="P43" s="25">
        <f t="shared" si="10"/>
        <v>22.128141015131824</v>
      </c>
      <c r="Q43" s="25">
        <f t="shared" si="11"/>
        <v>22.526471655365079</v>
      </c>
      <c r="R43" s="25">
        <f t="shared" si="12"/>
        <v>22.931972680984085</v>
      </c>
      <c r="S43" s="25">
        <f t="shared" si="13"/>
        <v>22.931972680984085</v>
      </c>
      <c r="T43" s="25">
        <f t="shared" si="14"/>
        <v>23.344773166735759</v>
      </c>
      <c r="U43" s="25">
        <f t="shared" si="15"/>
        <v>23.765004510853061</v>
      </c>
      <c r="V43" s="25">
        <f t="shared" si="16"/>
        <v>24.192800476880254</v>
      </c>
      <c r="W43" s="25">
        <f t="shared" si="17"/>
        <v>24.628297236251115</v>
      </c>
      <c r="X43" s="25">
        <f t="shared" si="18"/>
        <v>25.07163341163351</v>
      </c>
      <c r="Y43" s="25">
        <f t="shared" si="19"/>
        <v>25.522950121054343</v>
      </c>
      <c r="Z43" s="25">
        <f t="shared" si="21"/>
        <v>25.982391022818703</v>
      </c>
      <c r="AA43" s="25">
        <f t="shared" si="22"/>
        <v>26.45010236123764</v>
      </c>
      <c r="AC43" s="13">
        <v>2017</v>
      </c>
      <c r="AD43" s="15">
        <f>164753+139709+77865+101662</f>
        <v>483989</v>
      </c>
    </row>
    <row r="44" spans="1:30" ht="14.25" customHeight="1" x14ac:dyDescent="0.3">
      <c r="A44" s="31"/>
      <c r="B44" s="31"/>
      <c r="C44" s="47" t="s">
        <v>206</v>
      </c>
      <c r="D44" s="332"/>
      <c r="E44" s="25">
        <f t="shared" si="20"/>
        <v>9.1298608200807294</v>
      </c>
      <c r="F44" s="25">
        <f t="shared" si="0"/>
        <v>9.2857268897368606</v>
      </c>
      <c r="G44" s="25">
        <f t="shared" si="1"/>
        <v>5.8486449523604165</v>
      </c>
      <c r="H44" s="25">
        <f t="shared" si="2"/>
        <v>5.9539269318442605</v>
      </c>
      <c r="I44" s="25">
        <f t="shared" si="3"/>
        <v>6.0611041016318978</v>
      </c>
      <c r="J44" s="25">
        <f t="shared" si="4"/>
        <v>6.1702105772130356</v>
      </c>
      <c r="K44" s="25">
        <f t="shared" si="5"/>
        <v>6.2812810881933565</v>
      </c>
      <c r="L44" s="25">
        <f t="shared" si="6"/>
        <v>6.394350989349272</v>
      </c>
      <c r="M44" s="25">
        <f t="shared" si="7"/>
        <v>6.5094562718816782</v>
      </c>
      <c r="N44" s="25">
        <f t="shared" si="8"/>
        <v>6.6266335748722875</v>
      </c>
      <c r="O44" s="25">
        <f t="shared" si="9"/>
        <v>6.7459201969461908</v>
      </c>
      <c r="P44" s="25">
        <f t="shared" si="10"/>
        <v>6.867354108144359</v>
      </c>
      <c r="Q44" s="25">
        <f t="shared" si="11"/>
        <v>6.9909739620098517</v>
      </c>
      <c r="R44" s="25">
        <f t="shared" si="12"/>
        <v>7.1168191078916125</v>
      </c>
      <c r="S44" s="25">
        <f t="shared" si="13"/>
        <v>7.1168191078916125</v>
      </c>
      <c r="T44" s="25">
        <f t="shared" si="14"/>
        <v>7.2449296034697186</v>
      </c>
      <c r="U44" s="25">
        <f t="shared" si="15"/>
        <v>7.3753462275061228</v>
      </c>
      <c r="V44" s="25">
        <f t="shared" si="16"/>
        <v>7.5081104928249065</v>
      </c>
      <c r="W44" s="25">
        <f t="shared" si="17"/>
        <v>7.6432646595262073</v>
      </c>
      <c r="X44" s="25">
        <f t="shared" si="18"/>
        <v>7.7808517484379864</v>
      </c>
      <c r="Y44" s="25">
        <f t="shared" si="19"/>
        <v>7.9209155548099694</v>
      </c>
      <c r="Z44" s="25">
        <f t="shared" si="21"/>
        <v>8.0635006622540804</v>
      </c>
      <c r="AA44" s="25">
        <f t="shared" si="22"/>
        <v>8.2086524569358197</v>
      </c>
      <c r="AC44" s="13">
        <v>2018</v>
      </c>
      <c r="AD44" s="15">
        <f>165062+139981+78004+101844</f>
        <v>484891</v>
      </c>
    </row>
    <row r="45" spans="1:30" ht="14.25" customHeight="1" x14ac:dyDescent="0.3">
      <c r="A45" s="31"/>
      <c r="B45" s="31"/>
      <c r="C45" s="47" t="s">
        <v>191</v>
      </c>
      <c r="D45" s="332"/>
      <c r="E45" s="25">
        <f t="shared" si="20"/>
        <v>12.173147760107639</v>
      </c>
      <c r="F45" s="25">
        <f t="shared" si="0"/>
        <v>12.380969186315813</v>
      </c>
      <c r="G45" s="25">
        <f t="shared" si="1"/>
        <v>7.7981932698138881</v>
      </c>
      <c r="H45" s="25">
        <f t="shared" si="2"/>
        <v>7.938569242459014</v>
      </c>
      <c r="I45" s="25">
        <f t="shared" si="3"/>
        <v>8.0814721355091965</v>
      </c>
      <c r="J45" s="25">
        <f t="shared" si="4"/>
        <v>8.226947436284048</v>
      </c>
      <c r="K45" s="25">
        <f t="shared" si="5"/>
        <v>8.3750414509244742</v>
      </c>
      <c r="L45" s="25">
        <f t="shared" si="6"/>
        <v>8.5258013191323627</v>
      </c>
      <c r="M45" s="25">
        <f t="shared" si="7"/>
        <v>8.6792750291755709</v>
      </c>
      <c r="N45" s="25">
        <f t="shared" si="8"/>
        <v>8.8355114331630489</v>
      </c>
      <c r="O45" s="25">
        <f t="shared" si="9"/>
        <v>8.9945602625949199</v>
      </c>
      <c r="P45" s="25">
        <f t="shared" si="10"/>
        <v>9.1564721441924792</v>
      </c>
      <c r="Q45" s="25">
        <f t="shared" si="11"/>
        <v>9.3212986160131361</v>
      </c>
      <c r="R45" s="25">
        <f t="shared" si="12"/>
        <v>9.4890921438554834</v>
      </c>
      <c r="S45" s="25">
        <f t="shared" si="13"/>
        <v>9.4890921438554834</v>
      </c>
      <c r="T45" s="25">
        <f t="shared" si="14"/>
        <v>9.6599061379596236</v>
      </c>
      <c r="U45" s="25">
        <f t="shared" si="15"/>
        <v>9.8337949700081637</v>
      </c>
      <c r="V45" s="25">
        <f t="shared" si="16"/>
        <v>10.010813990433208</v>
      </c>
      <c r="W45" s="25">
        <f t="shared" si="17"/>
        <v>10.191019546034944</v>
      </c>
      <c r="X45" s="25">
        <f t="shared" si="18"/>
        <v>10.374468997917315</v>
      </c>
      <c r="Y45" s="25">
        <f t="shared" si="19"/>
        <v>10.561220739746625</v>
      </c>
      <c r="Z45" s="25">
        <f t="shared" si="21"/>
        <v>10.751334216338774</v>
      </c>
      <c r="AA45" s="25">
        <f t="shared" si="22"/>
        <v>10.944869942581093</v>
      </c>
      <c r="AC45" s="13">
        <v>2019</v>
      </c>
      <c r="AD45" s="15">
        <f>168851+153643+84102+108621</f>
        <v>515217</v>
      </c>
    </row>
    <row r="46" spans="1:30" ht="14.25" customHeight="1" x14ac:dyDescent="0.3">
      <c r="A46" s="31"/>
      <c r="B46" s="31"/>
      <c r="C46" s="47" t="s">
        <v>192</v>
      </c>
      <c r="D46" s="332"/>
      <c r="E46" s="25">
        <f t="shared" si="20"/>
        <v>21.303008580188369</v>
      </c>
      <c r="F46" s="25">
        <f t="shared" si="0"/>
        <v>21.666696076052673</v>
      </c>
      <c r="G46" s="25">
        <f t="shared" si="1"/>
        <v>13.646838222174305</v>
      </c>
      <c r="H46" s="25">
        <f t="shared" si="2"/>
        <v>13.892496174303274</v>
      </c>
      <c r="I46" s="25">
        <f t="shared" si="3"/>
        <v>14.142576237141094</v>
      </c>
      <c r="J46" s="25">
        <f t="shared" si="4"/>
        <v>14.397158013497084</v>
      </c>
      <c r="K46" s="25">
        <f t="shared" si="5"/>
        <v>14.656322539117831</v>
      </c>
      <c r="L46" s="25">
        <f t="shared" si="6"/>
        <v>14.920152308481635</v>
      </c>
      <c r="M46" s="25">
        <f t="shared" si="7"/>
        <v>15.188731301057249</v>
      </c>
      <c r="N46" s="25">
        <f t="shared" si="8"/>
        <v>15.462145008035337</v>
      </c>
      <c r="O46" s="25">
        <f t="shared" si="9"/>
        <v>15.740480459541111</v>
      </c>
      <c r="P46" s="25">
        <f t="shared" si="10"/>
        <v>16.023826252336839</v>
      </c>
      <c r="Q46" s="25">
        <f t="shared" si="11"/>
        <v>16.312272578022988</v>
      </c>
      <c r="R46" s="25">
        <f t="shared" si="12"/>
        <v>16.605911251747095</v>
      </c>
      <c r="S46" s="25">
        <f t="shared" si="13"/>
        <v>16.605911251747095</v>
      </c>
      <c r="T46" s="25">
        <f t="shared" si="14"/>
        <v>16.904835741429341</v>
      </c>
      <c r="U46" s="25">
        <f t="shared" si="15"/>
        <v>17.209141197514285</v>
      </c>
      <c r="V46" s="25">
        <f t="shared" si="16"/>
        <v>17.518924483258115</v>
      </c>
      <c r="W46" s="25">
        <f t="shared" si="17"/>
        <v>17.834284205561151</v>
      </c>
      <c r="X46" s="25">
        <f t="shared" si="18"/>
        <v>18.155320746355301</v>
      </c>
      <c r="Y46" s="25">
        <f t="shared" si="19"/>
        <v>18.482136294556593</v>
      </c>
      <c r="Z46" s="25">
        <f t="shared" si="21"/>
        <v>18.814834878592855</v>
      </c>
      <c r="AA46" s="25">
        <f t="shared" si="22"/>
        <v>19.153522399516913</v>
      </c>
      <c r="AC46" s="13">
        <v>2020</v>
      </c>
      <c r="AD46" s="15">
        <f>173265+164367+88754+117658</f>
        <v>544044</v>
      </c>
    </row>
    <row r="47" spans="1:30" ht="14.25" customHeight="1" x14ac:dyDescent="0.3">
      <c r="A47" s="31"/>
      <c r="B47" s="31"/>
      <c r="C47" s="47" t="s">
        <v>207</v>
      </c>
      <c r="D47" s="332"/>
      <c r="E47" s="25">
        <f t="shared" si="20"/>
        <v>2.0288579600179397</v>
      </c>
      <c r="F47" s="25">
        <f t="shared" si="0"/>
        <v>2.063494864385969</v>
      </c>
      <c r="G47" s="25">
        <f t="shared" si="1"/>
        <v>1.2996988783023147</v>
      </c>
      <c r="H47" s="25">
        <f t="shared" si="2"/>
        <v>1.3230948737431689</v>
      </c>
      <c r="I47" s="25">
        <f t="shared" si="3"/>
        <v>1.3469120225848661</v>
      </c>
      <c r="J47" s="25">
        <f t="shared" si="4"/>
        <v>1.3711579060473413</v>
      </c>
      <c r="K47" s="25">
        <f t="shared" si="5"/>
        <v>1.3958402418207458</v>
      </c>
      <c r="L47" s="25">
        <f t="shared" si="6"/>
        <v>1.4209668865220604</v>
      </c>
      <c r="M47" s="25">
        <f t="shared" si="7"/>
        <v>1.4465458381959284</v>
      </c>
      <c r="N47" s="25">
        <f t="shared" si="8"/>
        <v>1.4725852388605083</v>
      </c>
      <c r="O47" s="25">
        <f t="shared" si="9"/>
        <v>1.4990933770991535</v>
      </c>
      <c r="P47" s="25">
        <f t="shared" si="10"/>
        <v>1.5260786906987465</v>
      </c>
      <c r="Q47" s="25">
        <f t="shared" si="11"/>
        <v>1.5535497693355227</v>
      </c>
      <c r="R47" s="25">
        <f t="shared" si="12"/>
        <v>1.5815153573092473</v>
      </c>
      <c r="S47" s="25">
        <f t="shared" si="13"/>
        <v>1.5815153573092473</v>
      </c>
      <c r="T47" s="25">
        <f t="shared" si="14"/>
        <v>1.6099843563266041</v>
      </c>
      <c r="U47" s="25">
        <f t="shared" si="15"/>
        <v>1.638965828334694</v>
      </c>
      <c r="V47" s="25">
        <f t="shared" si="16"/>
        <v>1.6684689984055348</v>
      </c>
      <c r="W47" s="25">
        <f t="shared" si="17"/>
        <v>1.6985032576724906</v>
      </c>
      <c r="X47" s="25">
        <f t="shared" si="18"/>
        <v>1.7290781663195525</v>
      </c>
      <c r="Y47" s="25">
        <f t="shared" si="19"/>
        <v>1.7602034566244376</v>
      </c>
      <c r="Z47" s="25">
        <f t="shared" si="21"/>
        <v>1.7918890360564623</v>
      </c>
      <c r="AA47" s="25">
        <f t="shared" si="22"/>
        <v>1.8241449904301821</v>
      </c>
      <c r="AC47" s="13">
        <v>2021</v>
      </c>
      <c r="AD47" s="15">
        <f>174587+167398+90163+119746</f>
        <v>551894</v>
      </c>
    </row>
    <row r="48" spans="1:30" ht="14.25" customHeight="1" x14ac:dyDescent="0.3">
      <c r="A48" s="31"/>
      <c r="B48" s="31"/>
      <c r="C48" s="47" t="s">
        <v>193</v>
      </c>
      <c r="D48" s="332"/>
      <c r="E48" s="25"/>
      <c r="F48" s="25"/>
      <c r="G48" s="25"/>
      <c r="H48" s="25"/>
      <c r="I48" s="25"/>
      <c r="J48" s="25"/>
      <c r="K48" s="25"/>
      <c r="L48" s="25"/>
      <c r="M48" s="25"/>
      <c r="N48" s="25"/>
      <c r="O48" s="25"/>
      <c r="P48" s="25"/>
      <c r="Q48" s="25"/>
      <c r="R48" s="25"/>
      <c r="S48" s="25"/>
      <c r="T48" s="25"/>
      <c r="U48" s="25"/>
      <c r="V48" s="25"/>
      <c r="W48" s="25"/>
      <c r="X48" s="25"/>
      <c r="Y48" s="25"/>
      <c r="Z48" s="25"/>
      <c r="AA48" s="25"/>
      <c r="AC48" s="10">
        <v>2022</v>
      </c>
      <c r="AD48" s="11">
        <f>176368+170927+91833+122188</f>
        <v>561316</v>
      </c>
    </row>
    <row r="49" spans="1:30" ht="14.25" customHeight="1" x14ac:dyDescent="0.3">
      <c r="A49" s="31"/>
      <c r="B49" s="31"/>
      <c r="C49" s="53" t="s">
        <v>194</v>
      </c>
      <c r="D49" s="44"/>
      <c r="E49" s="333"/>
      <c r="F49" s="333"/>
      <c r="G49" s="333"/>
      <c r="H49" s="333"/>
      <c r="I49" s="333"/>
      <c r="J49" s="333"/>
      <c r="K49" s="333"/>
      <c r="L49" s="333"/>
      <c r="M49" s="333"/>
      <c r="N49" s="333"/>
      <c r="O49" s="333"/>
      <c r="P49" s="333"/>
      <c r="Q49" s="333"/>
      <c r="R49" s="333"/>
      <c r="S49" s="333"/>
      <c r="T49" s="333"/>
      <c r="U49" s="333"/>
      <c r="V49" s="333"/>
      <c r="W49" s="333"/>
      <c r="X49" s="333"/>
      <c r="Y49" s="333"/>
      <c r="Z49" s="25"/>
      <c r="AA49" s="25"/>
      <c r="AC49" s="13">
        <v>2023</v>
      </c>
      <c r="AD49" s="18">
        <f>'Proyeksi Penduduk'!C74</f>
        <v>353546.68827355222</v>
      </c>
    </row>
    <row r="50" spans="1:30" ht="14.25" customHeight="1" x14ac:dyDescent="0.3">
      <c r="A50" s="31"/>
      <c r="B50" s="31"/>
      <c r="C50" s="47" t="s">
        <v>195</v>
      </c>
      <c r="D50" s="332" t="s">
        <v>189</v>
      </c>
      <c r="E50" s="25">
        <f>($AD$47/$AD$46)*H19</f>
        <v>3.0432869400269098</v>
      </c>
      <c r="F50" s="25">
        <f>($AD$48/$AD$46)*H19</f>
        <v>3.0952422965789532</v>
      </c>
      <c r="G50" s="25">
        <f>($AD$49/$AD$46)*H19</f>
        <v>1.949548317453472</v>
      </c>
      <c r="H50" s="25">
        <f>($AD$50/$AD$46)*H19</f>
        <v>1.9846423106147535</v>
      </c>
      <c r="I50" s="25">
        <f>($AD$51/$AD$46)*H19</f>
        <v>2.0203680338772991</v>
      </c>
      <c r="J50" s="25">
        <f>($AD$52/$AD$46)*H19</f>
        <v>2.056736859071012</v>
      </c>
      <c r="K50" s="25">
        <f>($AD$53/$AD$46)*H19</f>
        <v>2.0937603627311185</v>
      </c>
      <c r="L50" s="25">
        <f>($AD$54/$AD$46)*H19</f>
        <v>2.1314503297830907</v>
      </c>
      <c r="M50" s="25">
        <f>($AD$55/$AD$46)*H19</f>
        <v>2.1698187572938927</v>
      </c>
      <c r="N50" s="25">
        <f>($AD$56/$AD$46)*H19</f>
        <v>2.2088778582907622</v>
      </c>
      <c r="O50" s="25">
        <f>($AD$57/$AD$46)*H19</f>
        <v>2.24864006564873</v>
      </c>
      <c r="P50" s="25">
        <f>($AD$58/$AD$46)*H19</f>
        <v>2.2891180360481198</v>
      </c>
      <c r="Q50" s="25">
        <f>($AD$59/$AD$46)*H19</f>
        <v>2.330324654003284</v>
      </c>
      <c r="R50" s="25">
        <f>($AD$60/$AD$46)*H19</f>
        <v>2.3722730359638708</v>
      </c>
      <c r="S50" s="25">
        <f>($AD$61/$AD$46)*H19</f>
        <v>2.3722730359638708</v>
      </c>
      <c r="T50" s="25">
        <f>($AD$62/$AD$46)*H19</f>
        <v>2.4149765344899059</v>
      </c>
      <c r="U50" s="25">
        <f>($AD$63/$AD$46)*H19</f>
        <v>2.4584487425020409</v>
      </c>
      <c r="V50" s="25">
        <f>($AD$64/$AD$46)*H19</f>
        <v>2.502703497608302</v>
      </c>
      <c r="W50" s="25">
        <f>($AD$65/$AD$46)*H19</f>
        <v>2.547754886508736</v>
      </c>
      <c r="X50" s="25">
        <f>($AD$66/$AD$46)*H19</f>
        <v>2.5936172494793288</v>
      </c>
      <c r="Y50" s="25">
        <f>($AD$67/$AD$46)*H19</f>
        <v>2.6403051849366563</v>
      </c>
      <c r="Z50" s="25">
        <f t="shared" si="21"/>
        <v>2.6878335540846936</v>
      </c>
      <c r="AA50" s="25">
        <f t="shared" si="22"/>
        <v>2.7362174856452732</v>
      </c>
      <c r="AC50" s="17">
        <v>2024</v>
      </c>
      <c r="AD50" s="18">
        <f>'Proyeksi Penduduk'!C75</f>
        <v>359910.91374536429</v>
      </c>
    </row>
    <row r="51" spans="1:30" ht="14.25" customHeight="1" x14ac:dyDescent="0.3">
      <c r="A51" s="31"/>
      <c r="B51" s="31"/>
      <c r="C51" s="47" t="s">
        <v>208</v>
      </c>
      <c r="D51" s="332"/>
      <c r="E51" s="25">
        <f>($AD$47/$AD$46)*H20</f>
        <v>2860.6897236252948</v>
      </c>
      <c r="F51" s="25">
        <f>($AD$48/$AD$46)*H20</f>
        <v>2909.5277587842161</v>
      </c>
      <c r="G51" s="25">
        <f>($AD$49/$AD$46)*H20</f>
        <v>1832.5754184062637</v>
      </c>
      <c r="H51" s="25">
        <f>($AD$50/$AD$46)*H20</f>
        <v>1865.5637719778681</v>
      </c>
      <c r="I51" s="25">
        <f>($AD$51/$AD$46)*H20</f>
        <v>1899.1459518446611</v>
      </c>
      <c r="J51" s="25">
        <f>($AD$52/$AD$46)*H20</f>
        <v>1933.3326475267513</v>
      </c>
      <c r="K51" s="25">
        <f>($AD$53/$AD$46)*H20</f>
        <v>1968.1347409672517</v>
      </c>
      <c r="L51" s="25">
        <f>($AD$54/$AD$46)*H20</f>
        <v>2003.5633099961051</v>
      </c>
      <c r="M51" s="25">
        <f>($AD$55/$AD$46)*H20</f>
        <v>2039.629631856259</v>
      </c>
      <c r="N51" s="25">
        <f>($AD$56/$AD$46)*H20</f>
        <v>2076.3451867933168</v>
      </c>
      <c r="O51" s="25">
        <f>($AD$57/$AD$46)*H20</f>
        <v>2113.7216617098065</v>
      </c>
      <c r="P51" s="25">
        <f>($AD$58/$AD$46)*H20</f>
        <v>2151.7709538852323</v>
      </c>
      <c r="Q51" s="25">
        <f>($AD$59/$AD$46)*H20</f>
        <v>2190.5051747630869</v>
      </c>
      <c r="R51" s="25">
        <f>($AD$60/$AD$46)*H20</f>
        <v>2229.9366538060385</v>
      </c>
      <c r="S51" s="25">
        <f>($AD$61/$AD$46)*H20</f>
        <v>2229.9366538060385</v>
      </c>
      <c r="T51" s="25">
        <f>($AD$62/$AD$46)*H20</f>
        <v>2270.0779424205116</v>
      </c>
      <c r="U51" s="25">
        <f>($AD$63/$AD$46)*H20</f>
        <v>2310.9418179519184</v>
      </c>
      <c r="V51" s="25">
        <f>($AD$64/$AD$46)*H20</f>
        <v>2352.5412877518038</v>
      </c>
      <c r="W51" s="25">
        <f>($AD$65/$AD$46)*H20</f>
        <v>2394.8895933182116</v>
      </c>
      <c r="X51" s="25">
        <f>($AD$66/$AD$46)*H20</f>
        <v>2438.0002145105691</v>
      </c>
      <c r="Y51" s="25">
        <f>($AD$67/$AD$46)*H20</f>
        <v>2481.8868738404572</v>
      </c>
      <c r="Z51" s="25">
        <f t="shared" si="21"/>
        <v>2526.563540839612</v>
      </c>
      <c r="AA51" s="25">
        <f t="shared" si="22"/>
        <v>2572.0444365065568</v>
      </c>
      <c r="AC51" s="13">
        <v>2025</v>
      </c>
      <c r="AD51" s="18">
        <f>'Proyeksi Penduduk'!C76</f>
        <v>366389.70220758044</v>
      </c>
    </row>
    <row r="52" spans="1:30" ht="14.25" customHeight="1" x14ac:dyDescent="0.3">
      <c r="A52" s="31"/>
      <c r="B52" s="31"/>
      <c r="C52" s="47" t="s">
        <v>210</v>
      </c>
      <c r="D52" s="332"/>
      <c r="E52" s="25">
        <f>($AD$47/$AD$46)*H21</f>
        <v>63.909025740565099</v>
      </c>
      <c r="F52" s="25">
        <f>($AD$48/$AD$46)*H21</f>
        <v>65.00008822815802</v>
      </c>
      <c r="G52" s="25">
        <f>($AD$49/$AD$46)*H21</f>
        <v>40.940514666522915</v>
      </c>
      <c r="H52" s="25">
        <f>($AD$50/$AD$46)*H21</f>
        <v>41.677488522909819</v>
      </c>
      <c r="I52" s="25">
        <f>($AD$51/$AD$46)*H21</f>
        <v>42.427728711423285</v>
      </c>
      <c r="J52" s="25">
        <f>($AD$52/$AD$46)*H21</f>
        <v>43.191474040491251</v>
      </c>
      <c r="K52" s="25">
        <f>($AD$53/$AD$46)*H21</f>
        <v>43.968967617353492</v>
      </c>
      <c r="L52" s="25">
        <f>($AD$54/$AD$46)*H21</f>
        <v>44.760456925444899</v>
      </c>
      <c r="M52" s="25">
        <f>($AD$55/$AD$46)*H21</f>
        <v>45.566193903171744</v>
      </c>
      <c r="N52" s="25">
        <f>($AD$56/$AD$46)*H21</f>
        <v>46.386435024106014</v>
      </c>
      <c r="O52" s="25">
        <f>($AD$57/$AD$46)*H21</f>
        <v>47.221441378623332</v>
      </c>
      <c r="P52" s="25">
        <f>($AD$58/$AD$46)*H21</f>
        <v>48.07147875701051</v>
      </c>
      <c r="Q52" s="25">
        <f>($AD$59/$AD$46)*H21</f>
        <v>48.936817734068967</v>
      </c>
      <c r="R52" s="25">
        <f>($AD$60/$AD$46)*H21</f>
        <v>49.817733755241292</v>
      </c>
      <c r="S52" s="25">
        <f>($AD$61/$AD$46)*H21</f>
        <v>49.817733755241292</v>
      </c>
      <c r="T52" s="25">
        <f>($AD$62/$AD$46)*H21</f>
        <v>50.714507224288027</v>
      </c>
      <c r="U52" s="25">
        <f>($AD$63/$AD$46)*H21</f>
        <v>51.627423592542861</v>
      </c>
      <c r="V52" s="25">
        <f>($AD$64/$AD$46)*H21</f>
        <v>52.556773449774347</v>
      </c>
      <c r="W52" s="25">
        <f>($AD$65/$AD$46)*H21</f>
        <v>53.502852616683455</v>
      </c>
      <c r="X52" s="25">
        <f>($AD$66/$AD$46)*H21</f>
        <v>54.465962239065902</v>
      </c>
      <c r="Y52" s="25">
        <f>($AD$67/$AD$46)*H21</f>
        <v>55.446408883669783</v>
      </c>
      <c r="Z52" s="25">
        <f t="shared" si="21"/>
        <v>56.444504635778564</v>
      </c>
      <c r="AA52" s="25">
        <f t="shared" si="22"/>
        <v>57.460567198550734</v>
      </c>
      <c r="AC52" s="17">
        <v>2026</v>
      </c>
      <c r="AD52" s="18">
        <f>'Proyeksi Penduduk'!C77</f>
        <v>372985.1159188099</v>
      </c>
    </row>
    <row r="53" spans="1:30" ht="14.25" customHeight="1" x14ac:dyDescent="0.3">
      <c r="A53" s="31"/>
      <c r="B53" s="31"/>
      <c r="C53" s="47" t="s">
        <v>209</v>
      </c>
      <c r="D53" s="332"/>
      <c r="E53" s="25">
        <f>($AD$47/$AD$46)*H22</f>
        <v>1487.1528846931499</v>
      </c>
      <c r="F53" s="25">
        <f>($AD$48/$AD$46)*H22</f>
        <v>1512.5417355949153</v>
      </c>
      <c r="G53" s="25">
        <f>($AD$49/$AD$46)*H22</f>
        <v>952.6792777955967</v>
      </c>
      <c r="H53" s="25">
        <f>($AD$50/$AD$46)*H22</f>
        <v>969.82854245374278</v>
      </c>
      <c r="I53" s="25">
        <f>($AD$51/$AD$46)*H22</f>
        <v>987.28651255470686</v>
      </c>
      <c r="J53" s="25">
        <f>($AD$52/$AD$46)*H22</f>
        <v>1005.0587451327012</v>
      </c>
      <c r="K53" s="25">
        <f>($AD$53/$AD$46)*H22</f>
        <v>1023.1508972546067</v>
      </c>
      <c r="L53" s="25">
        <f>($AD$54/$AD$46)*H22</f>
        <v>1041.5687278206703</v>
      </c>
      <c r="M53" s="25">
        <f>($AD$55/$AD$46)*H22</f>
        <v>1060.3180993976155</v>
      </c>
      <c r="N53" s="25">
        <f>($AD$56/$AD$46)*H22</f>
        <v>1079.4049800847527</v>
      </c>
      <c r="O53" s="25">
        <f>($AD$57/$AD$46)*H22</f>
        <v>1098.8354454136795</v>
      </c>
      <c r="P53" s="25">
        <f>($AD$58/$AD$46)*H22</f>
        <v>1118.6156802821811</v>
      </c>
      <c r="Q53" s="25">
        <f>($AD$59/$AD$46)*H22</f>
        <v>1138.7519809229382</v>
      </c>
      <c r="R53" s="25">
        <f>($AD$60/$AD$46)*H22</f>
        <v>1159.2507569076784</v>
      </c>
      <c r="S53" s="25">
        <f>($AD$61/$AD$46)*H22</f>
        <v>1159.2507569076784</v>
      </c>
      <c r="T53" s="25">
        <f>($AD$62/$AD$46)*H22</f>
        <v>1180.1185331874008</v>
      </c>
      <c r="U53" s="25">
        <f>($AD$63/$AD$46)*H22</f>
        <v>1201.3619521693306</v>
      </c>
      <c r="V53" s="25">
        <f>($AD$64/$AD$46)*H22</f>
        <v>1222.9877758312571</v>
      </c>
      <c r="W53" s="25">
        <f>($AD$65/$AD$46)*H22</f>
        <v>1245.0028878739356</v>
      </c>
      <c r="X53" s="25">
        <f>($AD$66/$AD$46)*H22</f>
        <v>1267.4142959122319</v>
      </c>
      <c r="Y53" s="25">
        <f>($AD$67/$AD$46)*H22</f>
        <v>1290.2291337057127</v>
      </c>
      <c r="Z53" s="25">
        <f t="shared" si="21"/>
        <v>1313.454663429387</v>
      </c>
      <c r="AA53" s="25">
        <f t="shared" si="22"/>
        <v>1337.0982779853234</v>
      </c>
      <c r="AC53" s="13">
        <v>2027</v>
      </c>
      <c r="AD53" s="18">
        <f>'Proyeksi Penduduk'!C78</f>
        <v>379699.25426056294</v>
      </c>
    </row>
    <row r="54" spans="1:30" ht="14.25" customHeight="1" x14ac:dyDescent="0.3">
      <c r="A54" s="31"/>
      <c r="B54" s="31"/>
      <c r="C54" s="53" t="s">
        <v>196</v>
      </c>
      <c r="D54" s="47"/>
      <c r="E54" s="333"/>
      <c r="F54" s="333"/>
      <c r="G54" s="333"/>
      <c r="H54" s="333"/>
      <c r="I54" s="333"/>
      <c r="J54" s="333"/>
      <c r="K54" s="333"/>
      <c r="L54" s="333"/>
      <c r="M54" s="333"/>
      <c r="N54" s="333"/>
      <c r="O54" s="333"/>
      <c r="P54" s="333"/>
      <c r="Q54" s="333"/>
      <c r="R54" s="333"/>
      <c r="S54" s="333"/>
      <c r="T54" s="333"/>
      <c r="U54" s="333"/>
      <c r="V54" s="333"/>
      <c r="W54" s="333"/>
      <c r="X54" s="333"/>
      <c r="Y54" s="333"/>
      <c r="Z54" s="25"/>
      <c r="AA54" s="25"/>
      <c r="AC54" s="17">
        <v>2028</v>
      </c>
      <c r="AD54" s="18">
        <f>'Proyeksi Penduduk'!C79</f>
        <v>386534.25440550392</v>
      </c>
    </row>
    <row r="55" spans="1:30" ht="14.25" customHeight="1" x14ac:dyDescent="0.3">
      <c r="A55" s="31"/>
      <c r="B55" s="31"/>
      <c r="C55" s="47" t="s">
        <v>211</v>
      </c>
      <c r="D55" s="49" t="s">
        <v>189</v>
      </c>
      <c r="E55" s="25">
        <f>($AD$47/$AD$46)*H24</f>
        <v>2.0288579600179397</v>
      </c>
      <c r="F55" s="25">
        <f>($AD$48/$AD$46)*H24</f>
        <v>2.063494864385969</v>
      </c>
      <c r="G55" s="25">
        <f>($AD$49/$AD$46)*H24</f>
        <v>1.2996988783023147</v>
      </c>
      <c r="H55" s="25">
        <f>($AD$50/$AD$46)*H24</f>
        <v>1.3230948737431689</v>
      </c>
      <c r="I55" s="25">
        <f>($AD$51/$AD$46)*H24</f>
        <v>1.3469120225848661</v>
      </c>
      <c r="J55" s="25">
        <f>($AD$52/$AD$46)*H24</f>
        <v>1.3711579060473413</v>
      </c>
      <c r="K55" s="25">
        <f>($AD$53/$AD$46)*H24</f>
        <v>1.3958402418207458</v>
      </c>
      <c r="L55" s="25">
        <f>($AD$54/$AD$46)*H24</f>
        <v>1.4209668865220604</v>
      </c>
      <c r="M55" s="25">
        <f>($AD$55/$AD$46)*H24</f>
        <v>1.4465458381959284</v>
      </c>
      <c r="N55" s="25">
        <f>($AD$56/$AD$46)*H24</f>
        <v>1.4725852388605083</v>
      </c>
      <c r="O55" s="25">
        <f>($AD$57/$AD$46)*H24</f>
        <v>1.4990933770991535</v>
      </c>
      <c r="P55" s="25">
        <f>($AD$58/$AD$46)*H24</f>
        <v>1.5260786906987465</v>
      </c>
      <c r="Q55" s="25">
        <f>($AD$59/$AD$46)*H24</f>
        <v>1.5535497693355227</v>
      </c>
      <c r="R55" s="25">
        <f>($AD$60/$AD$46)*H24</f>
        <v>1.5815153573092473</v>
      </c>
      <c r="S55" s="25">
        <f>($AD$61/$AD$46)*H24</f>
        <v>1.5815153573092473</v>
      </c>
      <c r="T55" s="25">
        <f>($AD$62/$AD$46)*H24</f>
        <v>1.6099843563266041</v>
      </c>
      <c r="U55" s="25">
        <f>($AD$63/$AD$46)*H24</f>
        <v>1.638965828334694</v>
      </c>
      <c r="V55" s="25">
        <f>($AD$64/$AD$46)*H24</f>
        <v>1.6684689984055348</v>
      </c>
      <c r="W55" s="25">
        <f>($AD$65/$AD$46)*H24</f>
        <v>1.6985032576724906</v>
      </c>
      <c r="X55" s="25">
        <f>($AD$66/$AD$46)*H24</f>
        <v>1.7290781663195525</v>
      </c>
      <c r="Y55" s="25">
        <f>($AD$67/$AD$46)*H24</f>
        <v>1.7602034566244376</v>
      </c>
      <c r="Z55" s="25">
        <f t="shared" si="21"/>
        <v>1.7918890360564623</v>
      </c>
      <c r="AA55" s="25">
        <f t="shared" si="22"/>
        <v>1.8241449904301821</v>
      </c>
      <c r="AC55" s="13">
        <v>2029</v>
      </c>
      <c r="AD55" s="18">
        <f>'Proyeksi Penduduk'!C80</f>
        <v>393492.29199773283</v>
      </c>
    </row>
    <row r="56" spans="1:30" ht="14.25" customHeight="1" x14ac:dyDescent="0.3">
      <c r="A56" s="31"/>
      <c r="B56" s="31"/>
      <c r="C56" s="53" t="s">
        <v>197</v>
      </c>
      <c r="D56" s="44"/>
      <c r="E56" s="333"/>
      <c r="F56" s="333"/>
      <c r="G56" s="333"/>
      <c r="H56" s="333"/>
      <c r="I56" s="333"/>
      <c r="J56" s="333"/>
      <c r="K56" s="333"/>
      <c r="L56" s="333"/>
      <c r="M56" s="333"/>
      <c r="N56" s="333"/>
      <c r="O56" s="333"/>
      <c r="P56" s="333"/>
      <c r="Q56" s="333"/>
      <c r="R56" s="333"/>
      <c r="S56" s="333"/>
      <c r="T56" s="333"/>
      <c r="U56" s="333"/>
      <c r="V56" s="333"/>
      <c r="W56" s="333"/>
      <c r="X56" s="333"/>
      <c r="Y56" s="333"/>
      <c r="Z56" s="25"/>
      <c r="AA56" s="25"/>
      <c r="AC56" s="17">
        <v>2030</v>
      </c>
      <c r="AD56" s="18">
        <f>'Proyeksi Penduduk'!C81</f>
        <v>400575.58184531319</v>
      </c>
    </row>
    <row r="57" spans="1:30" ht="14.25" customHeight="1" x14ac:dyDescent="0.3">
      <c r="A57" s="31"/>
      <c r="B57" s="31"/>
      <c r="C57" s="47" t="s">
        <v>198</v>
      </c>
      <c r="D57" s="332" t="s">
        <v>189</v>
      </c>
      <c r="E57" s="25">
        <f>($AD$47/$AD$46)*H26</f>
        <v>211.00122784186573</v>
      </c>
      <c r="F57" s="25">
        <f>($AD$48/$AD$46)*H26</f>
        <v>214.60346589614076</v>
      </c>
      <c r="G57" s="25">
        <f>($AD$49/$AD$46)*H26</f>
        <v>135.16868334344073</v>
      </c>
      <c r="H57" s="25">
        <f>($AD$50/$AD$46)*H26</f>
        <v>137.60186686928958</v>
      </c>
      <c r="I57" s="25">
        <f>($AD$51/$AD$46)*H26</f>
        <v>140.07885034882608</v>
      </c>
      <c r="J57" s="25">
        <f>($AD$52/$AD$46)*H26</f>
        <v>142.60042222892349</v>
      </c>
      <c r="K57" s="25">
        <f>($AD$53/$AD$46)*H26</f>
        <v>145.16738514935756</v>
      </c>
      <c r="L57" s="25">
        <f>($AD$54/$AD$46)*H26</f>
        <v>147.78055619829428</v>
      </c>
      <c r="M57" s="25">
        <f>($AD$55/$AD$46)*H26</f>
        <v>150.44076717237655</v>
      </c>
      <c r="N57" s="25">
        <f>($AD$56/$AD$46)*H26</f>
        <v>153.14886484149287</v>
      </c>
      <c r="O57" s="25">
        <f>($AD$57/$AD$46)*H26</f>
        <v>155.90571121831195</v>
      </c>
      <c r="P57" s="25">
        <f>($AD$58/$AD$46)*H26</f>
        <v>158.71218383266964</v>
      </c>
      <c r="Q57" s="25">
        <f>($AD$59/$AD$46)*H26</f>
        <v>161.56917601089435</v>
      </c>
      <c r="R57" s="25">
        <f>($AD$60/$AD$46)*H26</f>
        <v>164.47759716016171</v>
      </c>
      <c r="S57" s="25">
        <f>($AD$61/$AD$46)*H26</f>
        <v>164.47759716016171</v>
      </c>
      <c r="T57" s="25">
        <f>($AD$62/$AD$46)*H26</f>
        <v>167.43837305796683</v>
      </c>
      <c r="U57" s="25">
        <f>($AD$63/$AD$46)*H26</f>
        <v>170.45244614680817</v>
      </c>
      <c r="V57" s="25">
        <f>($AD$64/$AD$46)*H26</f>
        <v>173.52077583417562</v>
      </c>
      <c r="W57" s="25">
        <f>($AD$65/$AD$46)*H26</f>
        <v>176.64433879793901</v>
      </c>
      <c r="X57" s="25">
        <f>($AD$66/$AD$46)*H26</f>
        <v>179.82412929723347</v>
      </c>
      <c r="Y57" s="25">
        <f>($AD$67/$AD$46)*H26</f>
        <v>183.06115948894151</v>
      </c>
      <c r="Z57" s="25">
        <f t="shared" si="21"/>
        <v>186.35645974987207</v>
      </c>
      <c r="AA57" s="25">
        <f t="shared" si="22"/>
        <v>189.71107900473893</v>
      </c>
      <c r="AC57" s="13">
        <v>2031</v>
      </c>
      <c r="AD57" s="18">
        <f>'Proyeksi Penduduk'!C82</f>
        <v>407786.3786252659</v>
      </c>
    </row>
    <row r="58" spans="1:30" ht="14.25" customHeight="1" x14ac:dyDescent="0.3">
      <c r="A58" s="31"/>
      <c r="B58" s="31"/>
      <c r="C58" s="47" t="s">
        <v>212</v>
      </c>
      <c r="D58" s="332"/>
      <c r="E58" s="25">
        <f>($AD$47/$AD$46)*H27</f>
        <v>467.65175978413509</v>
      </c>
      <c r="F58" s="25">
        <f>($AD$48/$AD$46)*H27</f>
        <v>475.63556624096583</v>
      </c>
      <c r="G58" s="25">
        <f>($AD$49/$AD$46)*H27</f>
        <v>299.58059144868355</v>
      </c>
      <c r="H58" s="25">
        <f>($AD$50/$AD$46)*H27</f>
        <v>304.97336839780041</v>
      </c>
      <c r="I58" s="25">
        <f>($AD$51/$AD$46)*H27</f>
        <v>310.46322120581164</v>
      </c>
      <c r="J58" s="25">
        <f>($AD$52/$AD$46)*H27</f>
        <v>316.05189734391217</v>
      </c>
      <c r="K58" s="25">
        <f>($AD$53/$AD$46)*H27</f>
        <v>321.74117573968192</v>
      </c>
      <c r="L58" s="25">
        <f>($AD$54/$AD$46)*H27</f>
        <v>327.53286734333494</v>
      </c>
      <c r="M58" s="25">
        <f>($AD$55/$AD$46)*H27</f>
        <v>333.42881570416148</v>
      </c>
      <c r="N58" s="25">
        <f>($AD$56/$AD$46)*H27</f>
        <v>339.43089755734718</v>
      </c>
      <c r="O58" s="25">
        <f>($AD$57/$AD$46)*H27</f>
        <v>345.54102342135485</v>
      </c>
      <c r="P58" s="25">
        <f>($AD$58/$AD$46)*H27</f>
        <v>351.76113820606105</v>
      </c>
      <c r="Q58" s="25">
        <f>($AD$59/$AD$46)*H27</f>
        <v>358.09322183183798</v>
      </c>
      <c r="R58" s="25">
        <f>($AD$60/$AD$46)*H27</f>
        <v>364.53928985978149</v>
      </c>
      <c r="S58" s="25">
        <f>($AD$61/$AD$46)*H27</f>
        <v>364.53928985978149</v>
      </c>
      <c r="T58" s="25">
        <f>($AD$62/$AD$46)*H27</f>
        <v>371.10139413328221</v>
      </c>
      <c r="U58" s="25">
        <f>($AD$63/$AD$46)*H27</f>
        <v>377.78162343114695</v>
      </c>
      <c r="V58" s="25">
        <f>($AD$64/$AD$46)*H27</f>
        <v>384.58210413247576</v>
      </c>
      <c r="W58" s="25">
        <f>($AD$65/$AD$46)*H27</f>
        <v>391.50500089350908</v>
      </c>
      <c r="X58" s="25">
        <f>($AD$66/$AD$46)*H27</f>
        <v>398.55251733665682</v>
      </c>
      <c r="Y58" s="25">
        <f>($AD$67/$AD$46)*H27</f>
        <v>405.72689675193288</v>
      </c>
      <c r="Z58" s="25">
        <f t="shared" si="21"/>
        <v>413.03042281101455</v>
      </c>
      <c r="AA58" s="25">
        <f t="shared" si="22"/>
        <v>420.46542029415696</v>
      </c>
      <c r="AC58" s="17">
        <v>2032</v>
      </c>
      <c r="AD58" s="18">
        <f>'Proyeksi Penduduk'!C83</f>
        <v>415126.97760125442</v>
      </c>
    </row>
    <row r="59" spans="1:30" ht="14.25" customHeight="1" x14ac:dyDescent="0.3">
      <c r="A59" s="31"/>
      <c r="B59" s="31"/>
      <c r="C59" s="47" t="s">
        <v>199</v>
      </c>
      <c r="D59" s="332"/>
      <c r="E59" s="25">
        <f>($AD$47/$AD$46)*H28</f>
        <v>7.1010028600627892</v>
      </c>
      <c r="F59" s="25">
        <f>($AD$48/$AD$46)*H28</f>
        <v>7.2222320253508911</v>
      </c>
      <c r="G59" s="25">
        <f>($AD$49/$AD$46)*H28</f>
        <v>4.5489460740581009</v>
      </c>
      <c r="H59" s="25">
        <f>($AD$50/$AD$46)*H28</f>
        <v>4.6308320581010909</v>
      </c>
      <c r="I59" s="25">
        <f>($AD$51/$AD$46)*H28</f>
        <v>4.7141920790470309</v>
      </c>
      <c r="J59" s="25">
        <f>($AD$52/$AD$46)*H28</f>
        <v>4.7990526711656951</v>
      </c>
      <c r="K59" s="25">
        <f>($AD$53/$AD$46)*H28</f>
        <v>4.8854408463726102</v>
      </c>
      <c r="L59" s="25">
        <f>($AD$54/$AD$46)*H28</f>
        <v>4.973384102827211</v>
      </c>
      <c r="M59" s="25">
        <f>($AD$55/$AD$46)*H28</f>
        <v>5.0629104336857491</v>
      </c>
      <c r="N59" s="25">
        <f>($AD$56/$AD$46)*H28</f>
        <v>5.1540483360117788</v>
      </c>
      <c r="O59" s="25">
        <f>($AD$57/$AD$46)*H28</f>
        <v>5.2468268198470369</v>
      </c>
      <c r="P59" s="25">
        <f>($AD$58/$AD$46)*H28</f>
        <v>5.3412754174456127</v>
      </c>
      <c r="Q59" s="25">
        <f>($AD$59/$AD$46)*H28</f>
        <v>5.4374241926743299</v>
      </c>
      <c r="R59" s="25">
        <f>($AD$60/$AD$46)*H28</f>
        <v>5.5353037505823659</v>
      </c>
      <c r="S59" s="25">
        <f>($AD$61/$AD$46)*H28</f>
        <v>5.5353037505823659</v>
      </c>
      <c r="T59" s="25">
        <f>($AD$62/$AD$46)*H28</f>
        <v>5.6349452471431141</v>
      </c>
      <c r="U59" s="25">
        <f>($AD$63/$AD$46)*H28</f>
        <v>5.7363803991714288</v>
      </c>
      <c r="V59" s="25">
        <f>($AD$64/$AD$46)*H28</f>
        <v>5.8396414944193715</v>
      </c>
      <c r="W59" s="25">
        <f>($AD$65/$AD$46)*H28</f>
        <v>5.9447614018537172</v>
      </c>
      <c r="X59" s="25">
        <f>($AD$66/$AD$46)*H28</f>
        <v>6.0517735821184333</v>
      </c>
      <c r="Y59" s="25">
        <f>($AD$67/$AD$46)*H28</f>
        <v>6.160712098185531</v>
      </c>
      <c r="Z59" s="25">
        <f t="shared" si="21"/>
        <v>6.2716116261976182</v>
      </c>
      <c r="AA59" s="25">
        <f t="shared" si="22"/>
        <v>6.3845074665056369</v>
      </c>
      <c r="AC59" s="13">
        <v>2033</v>
      </c>
      <c r="AD59" s="18">
        <f>'Proyeksi Penduduk'!C84</f>
        <v>422599.71535418753</v>
      </c>
    </row>
    <row r="60" spans="1:30" ht="14.25" customHeight="1" x14ac:dyDescent="0.3">
      <c r="A60" s="31"/>
      <c r="B60" s="31"/>
      <c r="C60" s="47" t="s">
        <v>213</v>
      </c>
      <c r="D60" s="332"/>
      <c r="E60" s="25">
        <f>($AD$47/$AD$46)*H29</f>
        <v>2.0288579600179397</v>
      </c>
      <c r="F60" s="25">
        <f>($AD$48/$AD$46)*H29</f>
        <v>2.063494864385969</v>
      </c>
      <c r="G60" s="25">
        <f>($AD$49/$AD$46)*H29</f>
        <v>1.2996988783023147</v>
      </c>
      <c r="H60" s="25">
        <f>($AD$50/$AD$46)*H29</f>
        <v>1.3230948737431689</v>
      </c>
      <c r="I60" s="25">
        <f>($AD$51/$AD$46)*H29</f>
        <v>1.3469120225848661</v>
      </c>
      <c r="J60" s="25">
        <f>($AD$52/$AD$46)*H29</f>
        <v>1.3711579060473413</v>
      </c>
      <c r="K60" s="25">
        <f>($AD$53/$AD$46)*H29</f>
        <v>1.3958402418207458</v>
      </c>
      <c r="L60" s="25">
        <f>($AD$54/$AD$46)*H29</f>
        <v>1.4209668865220604</v>
      </c>
      <c r="M60" s="25">
        <f>($AD$55/$AD$46)*H29</f>
        <v>1.4465458381959284</v>
      </c>
      <c r="N60" s="25">
        <f>($AD$56/$AD$46)*H29</f>
        <v>1.4725852388605083</v>
      </c>
      <c r="O60" s="25">
        <f>($AD$57/$AD$46)*H29</f>
        <v>1.4990933770991535</v>
      </c>
      <c r="P60" s="25">
        <f>($AD$58/$AD$46)*H29</f>
        <v>1.5260786906987465</v>
      </c>
      <c r="Q60" s="25">
        <f>($AD$59/$AD$46)*H29</f>
        <v>1.5535497693355227</v>
      </c>
      <c r="R60" s="25">
        <f>($AD$60/$AD$46)*H29</f>
        <v>1.5815153573092473</v>
      </c>
      <c r="S60" s="25">
        <f>($AD$61/$AD$46)*H29</f>
        <v>1.5815153573092473</v>
      </c>
      <c r="T60" s="25">
        <f>($AD$62/$AD$46)*H29</f>
        <v>1.6099843563266041</v>
      </c>
      <c r="U60" s="25">
        <f>($AD$63/$AD$46)*H29</f>
        <v>1.638965828334694</v>
      </c>
      <c r="V60" s="25">
        <f>($AD$64/$AD$46)*H29</f>
        <v>1.6684689984055348</v>
      </c>
      <c r="W60" s="25">
        <f>($AD$65/$AD$46)*H29</f>
        <v>1.6985032576724906</v>
      </c>
      <c r="X60" s="25">
        <f>($AD$66/$AD$46)*H29</f>
        <v>1.7290781663195525</v>
      </c>
      <c r="Y60" s="25">
        <f>($AD$67/$AD$46)*H29</f>
        <v>1.7602034566244376</v>
      </c>
      <c r="Z60" s="25">
        <f t="shared" si="21"/>
        <v>1.7918890360564623</v>
      </c>
      <c r="AA60" s="25">
        <f t="shared" si="22"/>
        <v>1.8241449904301821</v>
      </c>
      <c r="AC60" s="17">
        <v>2034</v>
      </c>
      <c r="AD60" s="18">
        <f>'Proyeksi Penduduk'!C85</f>
        <v>430206.9705259761</v>
      </c>
    </row>
    <row r="61" spans="1:30" ht="14.25" customHeight="1" x14ac:dyDescent="0.3">
      <c r="A61" s="31"/>
      <c r="B61" s="31"/>
      <c r="AC61" s="13">
        <v>2035</v>
      </c>
      <c r="AD61" s="18">
        <f>'Proyeksi Penduduk'!C86</f>
        <v>430206.9705259761</v>
      </c>
    </row>
    <row r="62" spans="1:30" ht="14.25" customHeight="1" x14ac:dyDescent="0.3">
      <c r="A62" s="31"/>
      <c r="B62" s="31"/>
      <c r="AC62" s="17">
        <v>2036</v>
      </c>
      <c r="AD62" s="18">
        <f>'Proyeksi Penduduk'!C87</f>
        <v>437951.16457667551</v>
      </c>
    </row>
    <row r="63" spans="1:30" ht="14.25" customHeight="1" x14ac:dyDescent="0.3">
      <c r="A63" s="31"/>
      <c r="B63" s="31"/>
      <c r="AB63" s="31"/>
      <c r="AC63" s="13">
        <v>2037</v>
      </c>
      <c r="AD63" s="18">
        <f>'Proyeksi Penduduk'!C88</f>
        <v>445834.76255526009</v>
      </c>
    </row>
    <row r="64" spans="1:30" ht="14.25" customHeight="1" x14ac:dyDescent="0.3">
      <c r="A64" s="31"/>
      <c r="B64" s="31"/>
      <c r="AC64" s="17">
        <v>2038</v>
      </c>
      <c r="AD64" s="18">
        <f>'Proyeksi Penduduk'!C89</f>
        <v>453860.2738842704</v>
      </c>
    </row>
    <row r="65" spans="1:30" ht="14.25" customHeight="1" x14ac:dyDescent="0.3">
      <c r="A65" s="31"/>
      <c r="B65" s="31"/>
      <c r="AC65" s="13">
        <v>2039</v>
      </c>
      <c r="AD65" s="18">
        <f>'Proyeksi Penduduk'!C90</f>
        <v>462030.25315858622</v>
      </c>
    </row>
    <row r="66" spans="1:30" ht="14.25" customHeight="1" x14ac:dyDescent="0.3">
      <c r="A66" s="31"/>
      <c r="B66" s="31"/>
      <c r="AC66" s="17">
        <v>2040</v>
      </c>
      <c r="AD66" s="18">
        <f>'Proyeksi Penduduk'!C91</f>
        <v>470347.30095857731</v>
      </c>
    </row>
    <row r="67" spans="1:30" ht="14.25" customHeight="1" x14ac:dyDescent="0.3">
      <c r="A67" s="31"/>
      <c r="B67" s="31"/>
      <c r="AC67" s="15">
        <v>2041</v>
      </c>
      <c r="AD67" s="18">
        <f>'Proyeksi Penduduk'!C92</f>
        <v>478814.06467789278</v>
      </c>
    </row>
    <row r="68" spans="1:30" ht="14.25" customHeight="1" x14ac:dyDescent="0.3">
      <c r="A68" s="31"/>
      <c r="B68" s="31"/>
      <c r="AC68" s="15">
        <v>2042</v>
      </c>
      <c r="AD68" s="18">
        <f>'Proyeksi Penduduk'!C93</f>
        <v>487433.23936615099</v>
      </c>
    </row>
    <row r="69" spans="1:30" ht="14.25" customHeight="1" x14ac:dyDescent="0.3">
      <c r="A69" s="31"/>
      <c r="B69" s="31"/>
      <c r="AC69" s="15">
        <v>2043</v>
      </c>
      <c r="AD69" s="18">
        <f>'Proyeksi Penduduk'!C94</f>
        <v>496207.56858679897</v>
      </c>
    </row>
    <row r="70" spans="1:30" ht="14.25" customHeight="1" x14ac:dyDescent="0.3">
      <c r="A70" s="31"/>
      <c r="B70" s="31"/>
      <c r="AC70" s="31"/>
    </row>
    <row r="71" spans="1:30" ht="14.25" customHeight="1" x14ac:dyDescent="0.3">
      <c r="A71" s="31"/>
      <c r="B71" s="31"/>
      <c r="AC71" s="31"/>
    </row>
    <row r="72" spans="1:30" ht="14.25" customHeight="1" x14ac:dyDescent="0.3">
      <c r="A72" s="31"/>
      <c r="B72" s="31"/>
      <c r="AC72" s="31"/>
    </row>
    <row r="73" spans="1:30" ht="14.25" customHeight="1" x14ac:dyDescent="0.3">
      <c r="A73" s="31"/>
      <c r="B73" s="31"/>
      <c r="C73" s="31"/>
      <c r="D73" s="31"/>
      <c r="E73" s="31"/>
      <c r="F73" s="31"/>
      <c r="G73" s="31"/>
      <c r="H73" s="31"/>
      <c r="I73" s="31"/>
      <c r="J73" s="31"/>
      <c r="K73" s="31"/>
      <c r="L73" s="31"/>
      <c r="M73" s="31"/>
      <c r="N73" s="31"/>
      <c r="O73" s="31"/>
      <c r="P73" s="31"/>
      <c r="Q73" s="31"/>
      <c r="R73" s="31"/>
      <c r="U73" s="31"/>
      <c r="V73" s="31"/>
      <c r="W73" s="31"/>
      <c r="X73" s="31"/>
      <c r="Y73" s="31"/>
      <c r="Z73" s="31"/>
      <c r="AA73" s="31"/>
      <c r="AB73" s="31"/>
      <c r="AC73" s="31"/>
    </row>
    <row r="74" spans="1:30" ht="14.25" customHeight="1" x14ac:dyDescent="0.3">
      <c r="A74" s="31"/>
      <c r="B74" s="31"/>
      <c r="C74" s="31"/>
      <c r="D74" s="31"/>
      <c r="E74" s="31"/>
      <c r="F74" s="31"/>
      <c r="G74" s="31"/>
      <c r="H74" s="31"/>
      <c r="I74" s="31"/>
      <c r="J74" s="31"/>
      <c r="K74" s="31"/>
      <c r="L74" s="31"/>
      <c r="M74" s="31"/>
      <c r="N74" s="31"/>
      <c r="O74" s="31"/>
      <c r="P74" s="31"/>
      <c r="Q74" s="31"/>
      <c r="R74" s="31"/>
      <c r="U74" s="31"/>
      <c r="V74" s="31"/>
      <c r="W74" s="31"/>
      <c r="X74" s="31"/>
      <c r="Y74" s="31"/>
      <c r="Z74" s="31"/>
      <c r="AA74" s="31"/>
      <c r="AB74" s="31"/>
      <c r="AC74" s="31"/>
    </row>
    <row r="75" spans="1:30" ht="14.25" customHeight="1" x14ac:dyDescent="0.3">
      <c r="A75" s="31"/>
      <c r="B75" s="31"/>
      <c r="C75" s="31"/>
      <c r="D75" s="31"/>
      <c r="E75" s="31"/>
      <c r="F75" s="31"/>
      <c r="G75" s="31"/>
      <c r="H75" s="31"/>
      <c r="I75" s="31"/>
      <c r="J75" s="31"/>
      <c r="K75" s="31"/>
      <c r="L75" s="31"/>
      <c r="M75" s="31"/>
      <c r="N75" s="31"/>
      <c r="O75" s="31"/>
      <c r="P75" s="31"/>
      <c r="Q75" s="31"/>
      <c r="R75" s="31"/>
      <c r="U75" s="31"/>
      <c r="V75" s="31"/>
      <c r="W75" s="31"/>
      <c r="X75" s="31"/>
      <c r="Y75" s="31"/>
      <c r="Z75" s="31"/>
      <c r="AA75" s="31"/>
      <c r="AB75" s="31"/>
      <c r="AC75" s="31"/>
    </row>
    <row r="76" spans="1:30" ht="14.25" customHeight="1" x14ac:dyDescent="0.3">
      <c r="A76" s="31"/>
      <c r="B76" s="31"/>
      <c r="C76" s="31"/>
      <c r="D76" s="31"/>
      <c r="E76" s="31"/>
      <c r="F76" s="31"/>
      <c r="G76" s="31"/>
      <c r="H76" s="31"/>
      <c r="I76" s="31"/>
      <c r="J76" s="31"/>
      <c r="K76" s="31"/>
      <c r="L76" s="31"/>
      <c r="M76" s="31"/>
      <c r="N76" s="31"/>
      <c r="O76" s="31"/>
      <c r="P76" s="31"/>
      <c r="Q76" s="31"/>
      <c r="R76" s="31"/>
      <c r="U76" s="31"/>
      <c r="V76" s="31"/>
      <c r="W76" s="31"/>
      <c r="X76" s="31"/>
      <c r="Y76" s="31"/>
      <c r="Z76" s="31"/>
      <c r="AA76" s="31"/>
      <c r="AB76" s="31"/>
      <c r="AC76" s="31"/>
    </row>
    <row r="77" spans="1:30" ht="14.25" customHeight="1" x14ac:dyDescent="0.3">
      <c r="A77" s="31"/>
      <c r="B77" s="31"/>
      <c r="C77" s="31"/>
      <c r="D77" s="31"/>
      <c r="E77" s="31"/>
      <c r="F77" s="31"/>
      <c r="G77" s="31"/>
      <c r="H77" s="31"/>
      <c r="I77" s="31"/>
      <c r="J77" s="31"/>
      <c r="K77" s="31"/>
      <c r="L77" s="31"/>
      <c r="M77" s="31"/>
      <c r="N77" s="31"/>
      <c r="O77" s="31"/>
      <c r="P77" s="31"/>
      <c r="Q77" s="31"/>
      <c r="R77" s="31"/>
      <c r="U77" s="31"/>
      <c r="V77" s="31"/>
      <c r="W77" s="31"/>
      <c r="X77" s="31"/>
      <c r="Y77" s="31"/>
      <c r="Z77" s="31"/>
      <c r="AA77" s="31"/>
      <c r="AB77" s="31"/>
      <c r="AC77" s="31"/>
    </row>
    <row r="78" spans="1:30" ht="14.25" customHeight="1" x14ac:dyDescent="0.3">
      <c r="A78" s="31"/>
      <c r="B78" s="31"/>
      <c r="C78" s="31"/>
      <c r="D78" s="31"/>
      <c r="E78" s="31"/>
      <c r="F78" s="31"/>
      <c r="G78" s="31"/>
      <c r="H78" s="31"/>
      <c r="I78" s="31"/>
      <c r="J78" s="31"/>
      <c r="K78" s="31"/>
      <c r="L78" s="31"/>
      <c r="M78" s="31"/>
      <c r="N78" s="31"/>
      <c r="O78" s="31"/>
      <c r="P78" s="31"/>
      <c r="Q78" s="31"/>
      <c r="R78" s="31"/>
      <c r="U78" s="31"/>
      <c r="V78" s="31"/>
      <c r="W78" s="31"/>
      <c r="X78" s="31"/>
      <c r="Y78" s="31"/>
      <c r="Z78" s="31"/>
      <c r="AA78" s="31"/>
      <c r="AB78" s="31"/>
      <c r="AC78" s="31"/>
    </row>
    <row r="79" spans="1:30" ht="14.25" customHeight="1" x14ac:dyDescent="0.3">
      <c r="A79" s="31"/>
      <c r="B79" s="31"/>
      <c r="C79" s="31"/>
      <c r="D79" s="31"/>
      <c r="E79" s="31"/>
      <c r="F79" s="31"/>
      <c r="G79" s="31"/>
      <c r="H79" s="31"/>
      <c r="I79" s="31"/>
      <c r="J79" s="31"/>
      <c r="K79" s="31"/>
      <c r="L79" s="31"/>
      <c r="M79" s="31"/>
      <c r="N79" s="31"/>
      <c r="O79" s="31"/>
      <c r="P79" s="31"/>
      <c r="Q79" s="31"/>
      <c r="R79" s="31"/>
      <c r="U79" s="31"/>
      <c r="V79" s="31"/>
      <c r="W79" s="31"/>
      <c r="X79" s="31"/>
      <c r="Y79" s="31"/>
      <c r="Z79" s="31"/>
      <c r="AA79" s="31"/>
      <c r="AB79" s="31"/>
      <c r="AC79" s="31"/>
    </row>
    <row r="80" spans="1:30" ht="14.25" customHeight="1" x14ac:dyDescent="0.3">
      <c r="A80" s="31"/>
      <c r="B80" s="31"/>
      <c r="C80" s="31"/>
      <c r="D80" s="31"/>
      <c r="E80" s="31"/>
      <c r="F80" s="31"/>
      <c r="G80" s="31"/>
      <c r="H80" s="31"/>
      <c r="I80" s="31"/>
      <c r="J80" s="31"/>
      <c r="K80" s="31"/>
      <c r="L80" s="31"/>
      <c r="M80" s="31"/>
      <c r="N80" s="31"/>
      <c r="O80" s="31"/>
      <c r="P80" s="31"/>
      <c r="Q80" s="31"/>
      <c r="R80" s="31"/>
      <c r="U80" s="31"/>
      <c r="V80" s="31"/>
      <c r="W80" s="31"/>
      <c r="X80" s="31"/>
      <c r="Y80" s="31"/>
      <c r="Z80" s="31"/>
      <c r="AA80" s="31"/>
      <c r="AB80" s="31"/>
      <c r="AC80" s="31"/>
    </row>
    <row r="81" spans="1:29" ht="14.25" customHeight="1" x14ac:dyDescent="0.3">
      <c r="A81" s="31"/>
      <c r="B81" s="31"/>
      <c r="C81" s="31"/>
      <c r="D81" s="31"/>
      <c r="E81" s="31"/>
      <c r="F81" s="31"/>
      <c r="G81" s="31"/>
      <c r="H81" s="31"/>
      <c r="I81" s="31"/>
      <c r="J81" s="31"/>
      <c r="K81" s="31"/>
      <c r="L81" s="31"/>
      <c r="M81" s="31"/>
      <c r="N81" s="31"/>
      <c r="O81" s="31"/>
      <c r="P81" s="31"/>
      <c r="Q81" s="31"/>
      <c r="R81" s="31"/>
      <c r="U81" s="31"/>
      <c r="V81" s="31"/>
      <c r="W81" s="31"/>
      <c r="X81" s="31"/>
      <c r="Y81" s="31"/>
      <c r="Z81" s="31"/>
      <c r="AA81" s="31"/>
      <c r="AB81" s="31"/>
      <c r="AC81" s="31"/>
    </row>
    <row r="82" spans="1:29" ht="14.25" customHeight="1" x14ac:dyDescent="0.3">
      <c r="A82" s="31"/>
      <c r="B82" s="31"/>
      <c r="C82" s="31"/>
      <c r="D82" s="31"/>
      <c r="E82" s="31"/>
      <c r="F82" s="31"/>
      <c r="G82" s="31"/>
      <c r="H82" s="31"/>
      <c r="I82" s="31"/>
      <c r="J82" s="31"/>
      <c r="K82" s="31"/>
      <c r="L82" s="31"/>
      <c r="M82" s="31"/>
      <c r="N82" s="31"/>
      <c r="O82" s="31"/>
      <c r="P82" s="31"/>
      <c r="Q82" s="31"/>
      <c r="R82" s="31"/>
      <c r="U82" s="31"/>
      <c r="V82" s="31"/>
      <c r="W82" s="31"/>
      <c r="X82" s="31"/>
      <c r="Y82" s="31"/>
      <c r="Z82" s="31"/>
      <c r="AA82" s="31"/>
      <c r="AB82" s="31"/>
      <c r="AC82" s="31"/>
    </row>
    <row r="83" spans="1:29" ht="14.25" customHeight="1" x14ac:dyDescent="0.3">
      <c r="A83" s="31"/>
      <c r="B83" s="31"/>
      <c r="C83" s="31"/>
      <c r="D83" s="31"/>
      <c r="E83" s="31"/>
      <c r="F83" s="31"/>
      <c r="G83" s="31"/>
      <c r="H83" s="31"/>
      <c r="I83" s="31"/>
      <c r="J83" s="31"/>
      <c r="K83" s="31"/>
      <c r="L83" s="31"/>
      <c r="M83" s="31"/>
      <c r="N83" s="31"/>
      <c r="O83" s="31"/>
      <c r="P83" s="31"/>
      <c r="Q83" s="31"/>
      <c r="R83" s="31"/>
      <c r="U83" s="31"/>
      <c r="V83" s="31"/>
      <c r="W83" s="31"/>
      <c r="X83" s="31"/>
      <c r="Y83" s="31"/>
      <c r="Z83" s="31"/>
      <c r="AA83" s="31"/>
      <c r="AB83" s="31"/>
      <c r="AC83" s="31"/>
    </row>
    <row r="84" spans="1:29" ht="14.25" customHeight="1" x14ac:dyDescent="0.3">
      <c r="A84" s="31"/>
      <c r="B84" s="31"/>
      <c r="C84" s="31"/>
      <c r="D84" s="31"/>
      <c r="E84" s="31"/>
      <c r="F84" s="31"/>
      <c r="G84" s="31"/>
      <c r="H84" s="31"/>
      <c r="I84" s="31"/>
      <c r="J84" s="31"/>
      <c r="K84" s="31"/>
      <c r="L84" s="31"/>
      <c r="M84" s="31"/>
      <c r="N84" s="31"/>
      <c r="O84" s="31"/>
      <c r="P84" s="31"/>
      <c r="Q84" s="31"/>
      <c r="R84" s="31"/>
      <c r="U84" s="31"/>
      <c r="V84" s="31"/>
      <c r="W84" s="31"/>
      <c r="X84" s="31"/>
      <c r="Y84" s="31"/>
      <c r="Z84" s="31"/>
      <c r="AA84" s="31"/>
      <c r="AB84" s="31"/>
      <c r="AC84" s="31"/>
    </row>
    <row r="85" spans="1:29" ht="14.25" customHeight="1" x14ac:dyDescent="0.3">
      <c r="A85" s="31"/>
      <c r="B85" s="31"/>
      <c r="C85" s="31"/>
      <c r="D85" s="31"/>
      <c r="E85" s="31"/>
      <c r="F85" s="31"/>
      <c r="G85" s="31"/>
      <c r="H85" s="31"/>
      <c r="I85" s="31"/>
      <c r="J85" s="31"/>
      <c r="K85" s="31"/>
      <c r="L85" s="31"/>
      <c r="M85" s="31"/>
      <c r="N85" s="31"/>
      <c r="O85" s="31"/>
      <c r="P85" s="31"/>
      <c r="Q85" s="31"/>
      <c r="R85" s="31"/>
      <c r="U85" s="31"/>
      <c r="V85" s="31"/>
      <c r="W85" s="31"/>
      <c r="X85" s="31"/>
      <c r="Y85" s="31"/>
      <c r="Z85" s="31"/>
      <c r="AA85" s="31"/>
      <c r="AB85" s="31"/>
      <c r="AC85" s="31"/>
    </row>
    <row r="86" spans="1:29" ht="14.25" customHeight="1" x14ac:dyDescent="0.3">
      <c r="A86" s="31"/>
      <c r="B86" s="31"/>
      <c r="C86" s="31"/>
      <c r="D86" s="31"/>
      <c r="E86" s="31"/>
      <c r="F86" s="31"/>
      <c r="G86" s="31"/>
      <c r="H86" s="31"/>
      <c r="I86" s="31"/>
      <c r="J86" s="31"/>
      <c r="K86" s="31"/>
      <c r="L86" s="31"/>
      <c r="M86" s="31"/>
      <c r="N86" s="31"/>
      <c r="O86" s="31"/>
      <c r="P86" s="31"/>
      <c r="Q86" s="31"/>
      <c r="R86" s="31"/>
      <c r="U86" s="31"/>
      <c r="V86" s="31"/>
      <c r="W86" s="31"/>
      <c r="X86" s="31"/>
      <c r="Y86" s="31"/>
      <c r="Z86" s="31"/>
      <c r="AA86" s="31"/>
      <c r="AB86" s="31"/>
      <c r="AC86" s="31"/>
    </row>
    <row r="87" spans="1:29" ht="14.25" customHeight="1" x14ac:dyDescent="0.3">
      <c r="A87" s="31"/>
      <c r="B87" s="31"/>
      <c r="C87" s="31"/>
      <c r="D87" s="31"/>
      <c r="E87" s="31"/>
      <c r="F87" s="31"/>
      <c r="G87" s="31"/>
      <c r="H87" s="31"/>
      <c r="I87" s="31"/>
      <c r="J87" s="31"/>
      <c r="K87" s="31"/>
      <c r="L87" s="31"/>
      <c r="M87" s="31"/>
      <c r="N87" s="31"/>
      <c r="O87" s="31"/>
      <c r="P87" s="31"/>
      <c r="Q87" s="31"/>
      <c r="R87" s="31"/>
      <c r="U87" s="31"/>
      <c r="V87" s="31"/>
      <c r="W87" s="31"/>
      <c r="X87" s="31"/>
      <c r="Y87" s="31"/>
      <c r="Z87" s="31"/>
      <c r="AA87" s="31"/>
      <c r="AB87" s="31"/>
      <c r="AC87" s="31"/>
    </row>
    <row r="88" spans="1:29" ht="14.25" customHeight="1" x14ac:dyDescent="0.3">
      <c r="A88" s="31"/>
      <c r="B88" s="31"/>
      <c r="C88" s="31"/>
      <c r="D88" s="31"/>
      <c r="E88" s="31"/>
      <c r="F88" s="31"/>
      <c r="G88" s="31"/>
      <c r="H88" s="31"/>
      <c r="I88" s="31"/>
      <c r="J88" s="31"/>
      <c r="K88" s="31"/>
      <c r="L88" s="31"/>
      <c r="M88" s="31"/>
      <c r="N88" s="31"/>
      <c r="O88" s="31"/>
      <c r="P88" s="31"/>
      <c r="Q88" s="31"/>
      <c r="R88" s="31"/>
      <c r="U88" s="31"/>
      <c r="V88" s="31"/>
      <c r="W88" s="31"/>
      <c r="X88" s="31"/>
      <c r="Y88" s="31"/>
      <c r="Z88" s="31"/>
      <c r="AA88" s="31"/>
      <c r="AB88" s="31"/>
      <c r="AC88" s="31"/>
    </row>
    <row r="89" spans="1:29" ht="14.25" customHeight="1" x14ac:dyDescent="0.3">
      <c r="A89" s="31"/>
      <c r="B89" s="31"/>
      <c r="C89" s="31"/>
      <c r="D89" s="31"/>
      <c r="E89" s="31"/>
      <c r="F89" s="31"/>
      <c r="G89" s="31"/>
      <c r="H89" s="31"/>
      <c r="I89" s="31"/>
      <c r="J89" s="31"/>
      <c r="K89" s="31"/>
      <c r="L89" s="31"/>
      <c r="M89" s="31"/>
      <c r="N89" s="31"/>
      <c r="O89" s="31"/>
      <c r="P89" s="31"/>
      <c r="Q89" s="31"/>
      <c r="R89" s="31"/>
      <c r="U89" s="31"/>
      <c r="V89" s="31"/>
      <c r="W89" s="31"/>
      <c r="X89" s="31"/>
      <c r="Y89" s="31"/>
      <c r="Z89" s="31"/>
      <c r="AA89" s="31"/>
      <c r="AB89" s="31"/>
      <c r="AC89" s="31"/>
    </row>
    <row r="90" spans="1:29" ht="14.25" customHeight="1" x14ac:dyDescent="0.3">
      <c r="A90" s="31"/>
      <c r="B90" s="31"/>
      <c r="C90" s="31"/>
      <c r="D90" s="31"/>
      <c r="E90" s="31"/>
      <c r="F90" s="31"/>
      <c r="G90" s="31"/>
      <c r="H90" s="31"/>
      <c r="I90" s="31"/>
      <c r="J90" s="31"/>
      <c r="K90" s="31"/>
      <c r="L90" s="31"/>
      <c r="M90" s="31"/>
      <c r="N90" s="31"/>
      <c r="O90" s="31"/>
      <c r="P90" s="31"/>
      <c r="Q90" s="31"/>
      <c r="R90" s="31"/>
      <c r="U90" s="31"/>
      <c r="V90" s="31"/>
      <c r="W90" s="31"/>
      <c r="X90" s="31"/>
      <c r="Y90" s="31"/>
      <c r="Z90" s="31"/>
      <c r="AA90" s="31"/>
      <c r="AB90" s="31"/>
      <c r="AC90" s="31"/>
    </row>
    <row r="91" spans="1:29" ht="14.25" customHeight="1" x14ac:dyDescent="0.3">
      <c r="A91" s="31"/>
      <c r="B91" s="31"/>
      <c r="C91" s="31"/>
      <c r="D91" s="31"/>
      <c r="E91" s="31"/>
      <c r="F91" s="31"/>
      <c r="G91" s="31"/>
      <c r="H91" s="31"/>
      <c r="I91" s="31"/>
      <c r="J91" s="31"/>
      <c r="K91" s="31"/>
      <c r="L91" s="31"/>
      <c r="M91" s="31"/>
      <c r="N91" s="31"/>
      <c r="O91" s="31"/>
      <c r="P91" s="31"/>
      <c r="Q91" s="31"/>
      <c r="R91" s="31"/>
      <c r="U91" s="31"/>
      <c r="V91" s="31"/>
      <c r="W91" s="31"/>
      <c r="X91" s="31"/>
      <c r="Y91" s="31"/>
      <c r="Z91" s="31"/>
      <c r="AA91" s="31"/>
      <c r="AB91" s="31"/>
      <c r="AC91" s="31"/>
    </row>
    <row r="92" spans="1:29" ht="14.25" customHeight="1" x14ac:dyDescent="0.3">
      <c r="A92" s="31"/>
      <c r="B92" s="31"/>
      <c r="C92" s="31"/>
      <c r="D92" s="31"/>
      <c r="E92" s="31"/>
      <c r="F92" s="31"/>
      <c r="G92" s="31"/>
      <c r="H92" s="31"/>
      <c r="I92" s="31"/>
      <c r="J92" s="31"/>
      <c r="K92" s="31"/>
      <c r="L92" s="31"/>
      <c r="M92" s="31"/>
      <c r="N92" s="31"/>
      <c r="O92" s="31"/>
      <c r="P92" s="31"/>
      <c r="Q92" s="31"/>
      <c r="R92" s="31"/>
      <c r="U92" s="31"/>
      <c r="V92" s="31"/>
      <c r="W92" s="31"/>
      <c r="X92" s="31"/>
      <c r="Y92" s="31"/>
      <c r="Z92" s="31"/>
      <c r="AA92" s="31"/>
      <c r="AB92" s="31"/>
      <c r="AC92" s="31"/>
    </row>
    <row r="93" spans="1:29" ht="14.25" customHeight="1" x14ac:dyDescent="0.3">
      <c r="A93" s="31"/>
      <c r="B93" s="31"/>
      <c r="C93" s="31"/>
      <c r="D93" s="31"/>
      <c r="E93" s="31"/>
      <c r="F93" s="31"/>
      <c r="G93" s="31"/>
      <c r="H93" s="31"/>
      <c r="I93" s="31"/>
      <c r="J93" s="31"/>
      <c r="K93" s="31"/>
      <c r="L93" s="31"/>
      <c r="M93" s="31"/>
      <c r="N93" s="31"/>
      <c r="O93" s="31"/>
      <c r="P93" s="31"/>
      <c r="Q93" s="31"/>
      <c r="R93" s="31"/>
      <c r="U93" s="31"/>
      <c r="V93" s="31"/>
      <c r="W93" s="31"/>
      <c r="X93" s="31"/>
      <c r="Y93" s="31"/>
      <c r="Z93" s="31"/>
      <c r="AA93" s="31"/>
      <c r="AB93" s="31"/>
      <c r="AC93" s="31"/>
    </row>
    <row r="94" spans="1:29" ht="14.25" customHeight="1" x14ac:dyDescent="0.3">
      <c r="A94" s="31"/>
      <c r="B94" s="31"/>
      <c r="C94" s="31"/>
      <c r="D94" s="31"/>
      <c r="E94" s="31"/>
      <c r="F94" s="31"/>
      <c r="G94" s="31"/>
      <c r="H94" s="31"/>
      <c r="I94" s="31"/>
      <c r="J94" s="31"/>
      <c r="K94" s="31"/>
      <c r="L94" s="31"/>
      <c r="M94" s="31"/>
      <c r="N94" s="31"/>
      <c r="O94" s="31"/>
      <c r="P94" s="31"/>
      <c r="Q94" s="31"/>
      <c r="R94" s="31"/>
      <c r="U94" s="31"/>
      <c r="V94" s="31"/>
      <c r="W94" s="31"/>
      <c r="X94" s="31"/>
      <c r="Y94" s="31"/>
      <c r="Z94" s="31"/>
      <c r="AA94" s="31"/>
      <c r="AB94" s="31"/>
      <c r="AC94" s="31"/>
    </row>
    <row r="95" spans="1:29" ht="14.25" customHeight="1" x14ac:dyDescent="0.3">
      <c r="A95" s="31"/>
      <c r="B95" s="31"/>
      <c r="C95" s="31"/>
      <c r="D95" s="31"/>
      <c r="E95" s="31"/>
      <c r="F95" s="31"/>
      <c r="G95" s="31"/>
      <c r="H95" s="31"/>
      <c r="I95" s="31"/>
      <c r="J95" s="31"/>
      <c r="K95" s="31"/>
      <c r="L95" s="31"/>
      <c r="M95" s="31"/>
      <c r="N95" s="31"/>
      <c r="O95" s="31"/>
      <c r="P95" s="31"/>
      <c r="Q95" s="31"/>
      <c r="R95" s="31"/>
      <c r="U95" s="31"/>
      <c r="V95" s="31"/>
      <c r="W95" s="31"/>
      <c r="X95" s="31"/>
      <c r="Y95" s="31"/>
      <c r="Z95" s="31"/>
      <c r="AA95" s="31"/>
      <c r="AB95" s="31"/>
      <c r="AC95" s="31"/>
    </row>
    <row r="96" spans="1:29" ht="14.25" customHeight="1" x14ac:dyDescent="0.3">
      <c r="A96" s="31"/>
      <c r="B96" s="31"/>
      <c r="C96" s="31"/>
      <c r="D96" s="31"/>
      <c r="E96" s="31"/>
      <c r="F96" s="31"/>
      <c r="G96" s="31"/>
      <c r="H96" s="31"/>
      <c r="I96" s="31"/>
      <c r="J96" s="31"/>
      <c r="K96" s="31"/>
      <c r="L96" s="31"/>
      <c r="M96" s="31"/>
      <c r="N96" s="31"/>
      <c r="O96" s="31"/>
      <c r="P96" s="31"/>
      <c r="Q96" s="31"/>
      <c r="R96" s="31"/>
      <c r="U96" s="31"/>
      <c r="V96" s="31"/>
      <c r="W96" s="31"/>
      <c r="X96" s="31"/>
      <c r="Y96" s="31"/>
      <c r="Z96" s="31"/>
      <c r="AA96" s="31"/>
      <c r="AB96" s="31"/>
      <c r="AC96" s="31"/>
    </row>
    <row r="97" spans="1:29" ht="14.25" customHeight="1" x14ac:dyDescent="0.3">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4.25" customHeight="1" x14ac:dyDescent="0.3">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4.25" customHeight="1" x14ac:dyDescent="0.3">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4.25" customHeight="1" x14ac:dyDescent="0.3">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4.25" customHeight="1" x14ac:dyDescent="0.3">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4.25" customHeight="1" x14ac:dyDescent="0.3">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4.25" customHeight="1" x14ac:dyDescent="0.3">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4.25" customHeight="1" x14ac:dyDescent="0.3">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4.25" customHeight="1" x14ac:dyDescent="0.3">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4.25" customHeight="1" x14ac:dyDescent="0.3">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4.25" customHeight="1" x14ac:dyDescent="0.3">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4.25" customHeight="1" x14ac:dyDescent="0.3">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4.25" customHeight="1" x14ac:dyDescent="0.3">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4.25" customHeight="1" x14ac:dyDescent="0.3">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4.25" customHeight="1" x14ac:dyDescent="0.3">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4.25" customHeight="1" x14ac:dyDescent="0.3">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4.25" customHeight="1" x14ac:dyDescent="0.3">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4.25" customHeight="1" x14ac:dyDescent="0.3">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4.25" customHeight="1" x14ac:dyDescent="0.3">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4.25" customHeight="1" x14ac:dyDescent="0.3">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4.25" customHeight="1" x14ac:dyDescent="0.3">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4.25" customHeight="1" x14ac:dyDescent="0.3">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4.25" customHeight="1" x14ac:dyDescent="0.3">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4.25" customHeight="1" x14ac:dyDescent="0.3">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4.25" customHeight="1" x14ac:dyDescent="0.3">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4.25" customHeight="1" x14ac:dyDescent="0.3">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4.25" customHeight="1" x14ac:dyDescent="0.3">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4.25" customHeight="1" x14ac:dyDescent="0.3">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4.25" customHeight="1" x14ac:dyDescent="0.3">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4.25" customHeight="1" x14ac:dyDescent="0.3">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4.25" customHeight="1" x14ac:dyDescent="0.3">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4.25" customHeight="1" x14ac:dyDescent="0.3">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4.25" customHeight="1" x14ac:dyDescent="0.3">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4.25" customHeight="1" x14ac:dyDescent="0.3">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4.25" customHeight="1" x14ac:dyDescent="0.3">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4.25" customHeight="1" x14ac:dyDescent="0.3">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4.25" customHeight="1" x14ac:dyDescent="0.3">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4.25" customHeight="1" x14ac:dyDescent="0.3">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4.25" customHeight="1" x14ac:dyDescent="0.3">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4.25" customHeight="1" x14ac:dyDescent="0.3">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4.25" customHeight="1" x14ac:dyDescent="0.3">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4.25" customHeight="1" x14ac:dyDescent="0.3">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4.25" customHeight="1" x14ac:dyDescent="0.3">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4.25" customHeight="1" x14ac:dyDescent="0.3">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4.25" customHeight="1" x14ac:dyDescent="0.3">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4.25" customHeight="1" x14ac:dyDescent="0.3">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4.25" customHeight="1" x14ac:dyDescent="0.3">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4.25" customHeight="1" x14ac:dyDescent="0.3">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4.25" customHeight="1" x14ac:dyDescent="0.3">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4.25" customHeight="1" x14ac:dyDescent="0.3">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4.25" customHeight="1" x14ac:dyDescent="0.3">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4.25" customHeight="1" x14ac:dyDescent="0.3">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4.25" customHeight="1" x14ac:dyDescent="0.3">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4.25" customHeight="1" x14ac:dyDescent="0.3">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4.25" customHeight="1" x14ac:dyDescent="0.3">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4.25" customHeight="1" x14ac:dyDescent="0.3">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4.25" customHeight="1" x14ac:dyDescent="0.3">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4.25" customHeight="1" x14ac:dyDescent="0.3">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4.25" customHeight="1" x14ac:dyDescent="0.3">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4.25" customHeight="1" x14ac:dyDescent="0.3">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4.25" customHeight="1" x14ac:dyDescent="0.3">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4.25" customHeight="1" x14ac:dyDescent="0.3">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4.25" customHeight="1" x14ac:dyDescent="0.3">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4.25" customHeight="1" x14ac:dyDescent="0.3">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4.25" customHeight="1" x14ac:dyDescent="0.3">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4.25" customHeight="1" x14ac:dyDescent="0.3">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4.25" customHeight="1" x14ac:dyDescent="0.3">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4.25" customHeight="1" x14ac:dyDescent="0.3">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4.25" customHeight="1" x14ac:dyDescent="0.3">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4.25" customHeight="1" x14ac:dyDescent="0.3">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4.25" customHeight="1" x14ac:dyDescent="0.3">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4.25" customHeight="1" x14ac:dyDescent="0.3">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4.25" customHeight="1" x14ac:dyDescent="0.3">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4.25" customHeight="1" x14ac:dyDescent="0.3">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4.25" customHeight="1" x14ac:dyDescent="0.3">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4.25" customHeight="1" x14ac:dyDescent="0.3">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4.25" customHeight="1" x14ac:dyDescent="0.3">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4.25" customHeight="1" x14ac:dyDescent="0.3">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4.25" customHeight="1" x14ac:dyDescent="0.3">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4.25" customHeight="1" x14ac:dyDescent="0.3">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4.25" customHeight="1" x14ac:dyDescent="0.3">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4.25" customHeight="1" x14ac:dyDescent="0.3">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4.25" customHeight="1" x14ac:dyDescent="0.3">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4.25" customHeight="1" x14ac:dyDescent="0.3">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4.25" customHeight="1" x14ac:dyDescent="0.3">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4.25" customHeight="1" x14ac:dyDescent="0.3">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4.25" customHeight="1" x14ac:dyDescent="0.3">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4.25" customHeight="1" x14ac:dyDescent="0.3">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4.25" customHeight="1" x14ac:dyDescent="0.3">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4.25" customHeight="1" x14ac:dyDescent="0.3">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4.25" customHeight="1" x14ac:dyDescent="0.3">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4.25" customHeight="1" x14ac:dyDescent="0.3">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4.25" customHeight="1" x14ac:dyDescent="0.3">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4.25" customHeight="1" x14ac:dyDescent="0.3">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4.25" customHeight="1" x14ac:dyDescent="0.3">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4.25" customHeight="1" x14ac:dyDescent="0.3">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4.25" customHeight="1" x14ac:dyDescent="0.3">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4.25" customHeight="1" x14ac:dyDescent="0.3">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4.25" customHeight="1" x14ac:dyDescent="0.3">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4.25" customHeight="1" x14ac:dyDescent="0.3">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4.25" customHeight="1" x14ac:dyDescent="0.3">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4.25" customHeight="1" x14ac:dyDescent="0.3">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4.25" customHeight="1" x14ac:dyDescent="0.3">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4.25" customHeight="1" x14ac:dyDescent="0.3">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4.25" customHeight="1" x14ac:dyDescent="0.3">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4.25" customHeight="1" x14ac:dyDescent="0.3">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4.25" customHeight="1" x14ac:dyDescent="0.3">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4.25" customHeight="1" x14ac:dyDescent="0.3">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row>
    <row r="205" spans="1:29" ht="14.25" customHeight="1" x14ac:dyDescent="0.3">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row>
    <row r="206" spans="1:29" ht="14.25" customHeight="1" x14ac:dyDescent="0.3">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row>
    <row r="207" spans="1:29" ht="14.25" customHeight="1" x14ac:dyDescent="0.3">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row>
    <row r="208" spans="1:29" ht="14.25" customHeight="1" x14ac:dyDescent="0.3">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row>
    <row r="209" spans="1:29" ht="14.25" customHeight="1" x14ac:dyDescent="0.3">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row>
    <row r="210" spans="1:29" ht="14.25" customHeight="1" x14ac:dyDescent="0.3">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row>
    <row r="211" spans="1:29" ht="14.25" customHeight="1" x14ac:dyDescent="0.3">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row>
    <row r="212" spans="1:29" ht="14.25" customHeight="1" x14ac:dyDescent="0.3">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row>
    <row r="213" spans="1:29" ht="14.25" customHeight="1" x14ac:dyDescent="0.3">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row>
    <row r="214" spans="1:29" ht="14.25" customHeight="1" x14ac:dyDescent="0.3">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row>
    <row r="215" spans="1:29" ht="14.25" customHeight="1" x14ac:dyDescent="0.3">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row>
    <row r="216" spans="1:29" ht="14.25" customHeight="1" x14ac:dyDescent="0.3">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row>
    <row r="217" spans="1:29" ht="14.25" customHeight="1" x14ac:dyDescent="0.3">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row>
    <row r="218" spans="1:29" ht="14.25" customHeight="1" x14ac:dyDescent="0.3">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row>
    <row r="219" spans="1:29" ht="14.25" customHeight="1" x14ac:dyDescent="0.3">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row>
    <row r="220" spans="1:29" ht="14.25" customHeight="1" x14ac:dyDescent="0.3">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row>
    <row r="221" spans="1:29" ht="14.25" customHeight="1" x14ac:dyDescent="0.3">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row>
    <row r="222" spans="1:29" ht="14.25" customHeight="1" x14ac:dyDescent="0.3">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row>
    <row r="223" spans="1:29" ht="14.25" customHeight="1" x14ac:dyDescent="0.3">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row>
    <row r="224" spans="1:29" ht="14.25" customHeight="1" x14ac:dyDescent="0.3">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row>
    <row r="225" spans="1:29" ht="14.25" customHeight="1" x14ac:dyDescent="0.3">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row>
    <row r="226" spans="1:29" ht="14.25" customHeight="1" x14ac:dyDescent="0.3">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row>
    <row r="227" spans="1:29" ht="14.25" customHeight="1" x14ac:dyDescent="0.3">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row>
    <row r="228" spans="1:29" ht="14.25" customHeight="1" x14ac:dyDescent="0.3">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row>
    <row r="229" spans="1:29" ht="14.25" customHeight="1" x14ac:dyDescent="0.3">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row>
    <row r="230" spans="1:29" ht="14.25" customHeight="1" x14ac:dyDescent="0.3">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row>
    <row r="231" spans="1:29" ht="14.25" customHeight="1" x14ac:dyDescent="0.3">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row>
    <row r="232" spans="1:29" ht="14.25" customHeight="1" x14ac:dyDescent="0.3">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row>
    <row r="233" spans="1:29" ht="14.25" customHeight="1" x14ac:dyDescent="0.3">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row>
    <row r="234" spans="1:29" ht="14.25" customHeight="1" x14ac:dyDescent="0.3">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row>
    <row r="235" spans="1:29" ht="14.25" customHeight="1" x14ac:dyDescent="0.3">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row>
    <row r="236" spans="1:29" ht="14.25" customHeight="1" x14ac:dyDescent="0.3">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row>
    <row r="237" spans="1:29" ht="14.25" customHeight="1" x14ac:dyDescent="0.3">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row>
    <row r="238" spans="1:29" ht="14.25" customHeight="1" x14ac:dyDescent="0.3">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row>
    <row r="239" spans="1:29" ht="14.25" customHeight="1" x14ac:dyDescent="0.3">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row>
    <row r="240" spans="1:29" ht="14.25" customHeight="1" x14ac:dyDescent="0.3">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row>
    <row r="241" spans="1:29" ht="14.25" customHeight="1" x14ac:dyDescent="0.3">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row>
    <row r="242" spans="1:29" ht="14.25" customHeight="1" x14ac:dyDescent="0.3">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row>
    <row r="243" spans="1:29" ht="14.25" customHeight="1" x14ac:dyDescent="0.3">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row>
    <row r="244" spans="1:29" ht="14.25" customHeight="1" x14ac:dyDescent="0.3">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row>
    <row r="245" spans="1:29" ht="14.25" customHeight="1" x14ac:dyDescent="0.3">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row>
    <row r="246" spans="1:29" ht="14.25" customHeight="1" x14ac:dyDescent="0.3">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row>
    <row r="247" spans="1:29" ht="14.25" customHeight="1" x14ac:dyDescent="0.3">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row>
    <row r="248" spans="1:29" ht="14.25" customHeight="1" x14ac:dyDescent="0.3">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row>
    <row r="249" spans="1:29" ht="14.25" customHeight="1" x14ac:dyDescent="0.3">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row>
    <row r="250" spans="1:29" ht="14.25" customHeight="1" x14ac:dyDescent="0.3">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row>
    <row r="251" spans="1:29" ht="14.25" customHeight="1" x14ac:dyDescent="0.3">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row>
    <row r="252" spans="1:29" ht="14.25" customHeight="1" x14ac:dyDescent="0.3">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row>
    <row r="253" spans="1:29" ht="14.25" customHeight="1" x14ac:dyDescent="0.3">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row>
    <row r="254" spans="1:29" ht="14.25" customHeight="1" x14ac:dyDescent="0.3">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row>
    <row r="255" spans="1:29" ht="14.25" customHeight="1" x14ac:dyDescent="0.3">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row>
    <row r="256" spans="1:29" ht="14.25" customHeight="1" x14ac:dyDescent="0.3">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row>
    <row r="257" spans="1:29" ht="14.25" customHeight="1" x14ac:dyDescent="0.3">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row>
    <row r="258" spans="1:29" ht="14.25" customHeight="1" x14ac:dyDescent="0.3">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row>
    <row r="259" spans="1:29" ht="14.25" customHeight="1" x14ac:dyDescent="0.3">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row>
    <row r="260" spans="1:29" ht="14.25" customHeight="1" x14ac:dyDescent="0.3">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row>
    <row r="261" spans="1:29" ht="14.25" customHeight="1" x14ac:dyDescent="0.3">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row>
    <row r="262" spans="1:29" ht="14.25" customHeight="1" x14ac:dyDescent="0.3">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row>
    <row r="263" spans="1:29" ht="14.25" customHeight="1" x14ac:dyDescent="0.3">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row>
    <row r="264" spans="1:29" ht="14.25" customHeight="1" x14ac:dyDescent="0.3">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row>
    <row r="265" spans="1:29" ht="14.25" customHeight="1" x14ac:dyDescent="0.3">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row>
    <row r="266" spans="1:29" ht="14.25" customHeight="1" x14ac:dyDescent="0.3">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row>
    <row r="267" spans="1:29" ht="14.25" customHeight="1" x14ac:dyDescent="0.3">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row>
    <row r="268" spans="1:29" ht="14.25" customHeight="1" x14ac:dyDescent="0.3">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row>
    <row r="269" spans="1:29" ht="15.75" customHeight="1" x14ac:dyDescent="0.3">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row>
    <row r="270" spans="1:29" ht="15.75" customHeight="1" x14ac:dyDescent="0.3">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row>
    <row r="271" spans="1:29" ht="15.75" customHeight="1" x14ac:dyDescent="0.3">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row>
    <row r="272" spans="1:29" ht="15.75" customHeight="1" x14ac:dyDescent="0.3">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row>
    <row r="273" spans="1:29" ht="15.75" customHeight="1" x14ac:dyDescent="0.3">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row>
    <row r="274" spans="1:29" ht="15.75" customHeight="1" x14ac:dyDescent="0.3">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row>
    <row r="275" spans="1:29" ht="15.75" customHeight="1" x14ac:dyDescent="0.3">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row>
    <row r="276" spans="1:29" ht="15.75" customHeight="1" x14ac:dyDescent="0.3">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row>
    <row r="277" spans="1:29" ht="15.75" customHeight="1" x14ac:dyDescent="0.3">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row>
    <row r="278" spans="1:29" ht="15.75" customHeight="1" x14ac:dyDescent="0.3">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row>
    <row r="279" spans="1:29" ht="15.75" customHeight="1" x14ac:dyDescent="0.3">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row>
    <row r="280" spans="1:29" ht="15.75" customHeight="1" x14ac:dyDescent="0.3">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row>
    <row r="281" spans="1:29" ht="15.75" customHeight="1" x14ac:dyDescent="0.3">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row>
    <row r="282" spans="1:29" ht="15.75" customHeight="1" x14ac:dyDescent="0.3">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row>
    <row r="283" spans="1:29" ht="15.75" customHeight="1" x14ac:dyDescent="0.3">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row>
    <row r="284" spans="1:29" ht="15.75" customHeight="1" x14ac:dyDescent="0.3">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row>
    <row r="285" spans="1:29" ht="15.75" customHeight="1" x14ac:dyDescent="0.3">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row>
    <row r="286" spans="1:29" ht="15.75" customHeight="1" x14ac:dyDescent="0.3">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row>
    <row r="287" spans="1:29" ht="15.75" customHeight="1" x14ac:dyDescent="0.3">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row>
    <row r="288" spans="1:29" ht="15.75" customHeight="1" x14ac:dyDescent="0.3">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row>
    <row r="289" spans="1:29" ht="15.75" customHeight="1" x14ac:dyDescent="0.3">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row>
    <row r="290" spans="1:29" ht="15.75" customHeight="1" x14ac:dyDescent="0.3">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row>
    <row r="291" spans="1:29" ht="15.75" customHeight="1" x14ac:dyDescent="0.3">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row>
    <row r="292" spans="1:29" ht="15.75" customHeight="1" x14ac:dyDescent="0.3">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row>
    <row r="293" spans="1:29" ht="15.75" customHeight="1" x14ac:dyDescent="0.3">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row>
    <row r="294" spans="1:29" ht="15.75" customHeight="1" x14ac:dyDescent="0.3">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row>
    <row r="295" spans="1:29" ht="15.75" customHeight="1" x14ac:dyDescent="0.3">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row>
    <row r="296" spans="1:29" ht="15.75" customHeight="1" x14ac:dyDescent="0.3">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row>
    <row r="297" spans="1:29" ht="15.75" customHeight="1" x14ac:dyDescent="0.3">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row>
    <row r="298" spans="1:29" ht="15.75" customHeight="1" x14ac:dyDescent="0.3">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row>
    <row r="299" spans="1:29" ht="15.75" customHeight="1" x14ac:dyDescent="0.3">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row>
    <row r="300" spans="1:29" ht="15.75" customHeight="1" x14ac:dyDescent="0.3">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row>
    <row r="301" spans="1:29" ht="15.75" customHeight="1" x14ac:dyDescent="0.3">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row>
    <row r="302" spans="1:29" ht="15.75" customHeight="1" x14ac:dyDescent="0.3">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row>
    <row r="303" spans="1:29" ht="15.75" customHeight="1" x14ac:dyDescent="0.3">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row>
    <row r="304" spans="1:29" ht="15.75" customHeight="1" x14ac:dyDescent="0.3">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row>
    <row r="305" spans="1:29" ht="15.75" customHeight="1" x14ac:dyDescent="0.3">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row>
    <row r="306" spans="1:29" ht="15.75" customHeight="1" x14ac:dyDescent="0.3">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row>
    <row r="307" spans="1:29" ht="15.75" customHeight="1" x14ac:dyDescent="0.3">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row>
    <row r="308" spans="1:29" ht="15.75" customHeight="1" x14ac:dyDescent="0.3">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row>
    <row r="309" spans="1:29" ht="15.75" customHeight="1" x14ac:dyDescent="0.3">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row>
    <row r="310" spans="1:29" ht="15.75" customHeight="1" x14ac:dyDescent="0.3">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row>
    <row r="311" spans="1:29" ht="15.75" customHeight="1" x14ac:dyDescent="0.3">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row>
    <row r="312" spans="1:29" ht="15.75" customHeight="1" x14ac:dyDescent="0.3">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row>
    <row r="313" spans="1:29" ht="15.75" customHeight="1" x14ac:dyDescent="0.3">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row>
    <row r="314" spans="1:29" ht="15.75" customHeight="1" x14ac:dyDescent="0.3">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row>
    <row r="315" spans="1:29" ht="15.75" customHeight="1" x14ac:dyDescent="0.3">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row>
    <row r="316" spans="1:29" ht="15.75" customHeight="1" x14ac:dyDescent="0.3">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row>
    <row r="317" spans="1:29" ht="15.75" customHeight="1" x14ac:dyDescent="0.3">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row>
    <row r="318" spans="1:29" ht="15.75" customHeight="1" x14ac:dyDescent="0.3">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row>
    <row r="319" spans="1:29" ht="15.75" customHeight="1" x14ac:dyDescent="0.3">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row>
    <row r="320" spans="1:29" ht="15.75" customHeight="1" x14ac:dyDescent="0.3">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row>
    <row r="321" spans="1:29" ht="15.75" customHeight="1" x14ac:dyDescent="0.3">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row>
    <row r="322" spans="1:29" ht="15.75" customHeight="1" x14ac:dyDescent="0.3">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row>
    <row r="323" spans="1:29" ht="15.75" customHeight="1" x14ac:dyDescent="0.3">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row>
    <row r="324" spans="1:29" ht="15.75" customHeight="1" x14ac:dyDescent="0.3">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row>
    <row r="325" spans="1:29" ht="15.75" customHeight="1" x14ac:dyDescent="0.3">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row>
    <row r="326" spans="1:29" ht="15.75" customHeight="1" x14ac:dyDescent="0.3">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row>
    <row r="327" spans="1:29" ht="15.75" customHeight="1" x14ac:dyDescent="0.3">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row>
    <row r="328" spans="1:29" ht="15.75" customHeight="1" x14ac:dyDescent="0.3">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row>
    <row r="329" spans="1:29" ht="15.75" customHeight="1" x14ac:dyDescent="0.3">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row>
    <row r="330" spans="1:29" ht="15.75" customHeight="1" x14ac:dyDescent="0.3">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row>
    <row r="331" spans="1:29" ht="15.75" customHeight="1" x14ac:dyDescent="0.3">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row>
    <row r="332" spans="1:29" ht="15.75" customHeight="1" x14ac:dyDescent="0.3">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row>
    <row r="333" spans="1:29" ht="15.75" customHeight="1" x14ac:dyDescent="0.3">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row>
    <row r="334" spans="1:29" ht="15.75" customHeight="1" x14ac:dyDescent="0.3">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row>
    <row r="335" spans="1:29" ht="15.75" customHeight="1" x14ac:dyDescent="0.3">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row>
    <row r="336" spans="1:29" ht="15.75" customHeight="1" x14ac:dyDescent="0.3">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row>
    <row r="337" spans="1:29" ht="15.75" customHeight="1" x14ac:dyDescent="0.3">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row>
    <row r="338" spans="1:29" ht="15.75" customHeight="1" x14ac:dyDescent="0.3">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row>
    <row r="339" spans="1:29" ht="15.75" customHeight="1" x14ac:dyDescent="0.3">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row>
    <row r="340" spans="1:29" ht="15.75" customHeight="1" x14ac:dyDescent="0.3">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row>
    <row r="341" spans="1:29" ht="15.75" customHeight="1" x14ac:dyDescent="0.3">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row>
    <row r="342" spans="1:29" ht="15.75" customHeight="1" x14ac:dyDescent="0.3">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row>
    <row r="343" spans="1:29" ht="15.75" customHeight="1" x14ac:dyDescent="0.3">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row>
    <row r="344" spans="1:29" ht="15.75" customHeight="1" x14ac:dyDescent="0.3">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row>
    <row r="345" spans="1:29" ht="15.75" customHeight="1" x14ac:dyDescent="0.3">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row>
    <row r="346" spans="1:29" ht="15.75" customHeight="1" x14ac:dyDescent="0.3">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row>
    <row r="347" spans="1:29" ht="15.75" customHeight="1" x14ac:dyDescent="0.3">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row>
    <row r="348" spans="1:29" ht="15.75" customHeight="1" x14ac:dyDescent="0.3">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row>
    <row r="349" spans="1:29" ht="15.75" customHeight="1" x14ac:dyDescent="0.3">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row>
    <row r="350" spans="1:29" ht="15.75" customHeight="1" x14ac:dyDescent="0.3">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row>
    <row r="351" spans="1:29" ht="15.75" customHeight="1" x14ac:dyDescent="0.3">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row>
    <row r="352" spans="1:29" ht="15.75" customHeight="1" x14ac:dyDescent="0.3">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row>
    <row r="353" spans="1:29" ht="15.75" customHeight="1" x14ac:dyDescent="0.3">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row>
    <row r="354" spans="1:29" ht="15.75" customHeight="1" x14ac:dyDescent="0.3">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row>
    <row r="355" spans="1:29" ht="15.75" customHeight="1" x14ac:dyDescent="0.3">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row>
    <row r="356" spans="1:29" ht="15.75" customHeight="1" x14ac:dyDescent="0.3">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row>
    <row r="357" spans="1:29" ht="15.75" customHeight="1" x14ac:dyDescent="0.3">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row>
    <row r="358" spans="1:29" ht="15.75" customHeight="1" x14ac:dyDescent="0.3">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row>
    <row r="359" spans="1:29" ht="15.75" customHeight="1" x14ac:dyDescent="0.3">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row>
    <row r="360" spans="1:29" ht="15.75" customHeight="1" x14ac:dyDescent="0.3">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row>
    <row r="361" spans="1:29" ht="15.75" customHeight="1" x14ac:dyDescent="0.3">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row>
    <row r="362" spans="1:29" ht="15.75" customHeight="1" x14ac:dyDescent="0.3">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row>
    <row r="363" spans="1:29" ht="15.75" customHeight="1" x14ac:dyDescent="0.3">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row>
    <row r="364" spans="1:29" ht="15.75" customHeight="1" x14ac:dyDescent="0.3">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row>
    <row r="365" spans="1:29" ht="15.75" customHeight="1" x14ac:dyDescent="0.3">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row>
    <row r="366" spans="1:29" ht="15.75" customHeight="1" x14ac:dyDescent="0.3">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row>
    <row r="367" spans="1:29" ht="15.75" customHeight="1" x14ac:dyDescent="0.3">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row>
    <row r="368" spans="1:29" ht="15.75" customHeight="1" x14ac:dyDescent="0.3">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row>
    <row r="369" spans="1:29" ht="15.75" customHeight="1" x14ac:dyDescent="0.3">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row>
    <row r="370" spans="1:29" ht="15.75" customHeight="1" x14ac:dyDescent="0.3">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row>
    <row r="371" spans="1:29" ht="15.75" customHeight="1" x14ac:dyDescent="0.3">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row>
    <row r="372" spans="1:29" ht="15.75" customHeight="1" x14ac:dyDescent="0.3">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row>
    <row r="373" spans="1:29" ht="15.75" customHeight="1" x14ac:dyDescent="0.3">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row>
    <row r="374" spans="1:29" ht="15.75" customHeight="1" x14ac:dyDescent="0.3">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row>
    <row r="375" spans="1:29" ht="15.75" customHeight="1" x14ac:dyDescent="0.3">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row>
    <row r="376" spans="1:29" ht="15.75" customHeight="1" x14ac:dyDescent="0.3">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row>
    <row r="377" spans="1:29" ht="15.75" customHeight="1" x14ac:dyDescent="0.3">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row>
    <row r="378" spans="1:29" ht="15.75" customHeight="1" x14ac:dyDescent="0.3">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row>
    <row r="379" spans="1:29" ht="15.75" customHeight="1" x14ac:dyDescent="0.3">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row>
    <row r="380" spans="1:29" ht="15.75" customHeight="1" x14ac:dyDescent="0.3">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row>
    <row r="381" spans="1:29" ht="15.75" customHeight="1" x14ac:dyDescent="0.3">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row>
    <row r="382" spans="1:29" ht="15.75" customHeight="1" x14ac:dyDescent="0.3">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row>
    <row r="383" spans="1:29" ht="15.75" customHeight="1" x14ac:dyDescent="0.3">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row>
    <row r="384" spans="1:29" ht="15.75" customHeight="1" x14ac:dyDescent="0.3">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row>
    <row r="385" spans="1:29" ht="15.75" customHeight="1" x14ac:dyDescent="0.3">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row>
    <row r="386" spans="1:29" ht="15.75" customHeight="1" x14ac:dyDescent="0.3">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row>
    <row r="387" spans="1:29" ht="15.75" customHeight="1" x14ac:dyDescent="0.3">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row>
    <row r="388" spans="1:29" ht="15.75" customHeight="1" x14ac:dyDescent="0.3">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row>
    <row r="389" spans="1:29" ht="15.75" customHeight="1" x14ac:dyDescent="0.3">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row>
    <row r="390" spans="1:29" ht="15.75" customHeight="1" x14ac:dyDescent="0.3">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row>
    <row r="391" spans="1:29" ht="15.75" customHeight="1" x14ac:dyDescent="0.3">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row>
    <row r="392" spans="1:29" ht="15.75" customHeight="1" x14ac:dyDescent="0.3">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row>
    <row r="393" spans="1:29" ht="15.75" customHeight="1" x14ac:dyDescent="0.3">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row>
    <row r="394" spans="1:29" ht="15.75" customHeight="1" x14ac:dyDescent="0.3">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row>
    <row r="395" spans="1:29" ht="15.75" customHeight="1" x14ac:dyDescent="0.3">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row>
    <row r="396" spans="1:29" ht="15.75" customHeight="1" x14ac:dyDescent="0.3">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row>
    <row r="397" spans="1:29" ht="15.75" customHeight="1" x14ac:dyDescent="0.3">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row>
    <row r="398" spans="1:29" ht="15.75" customHeight="1" x14ac:dyDescent="0.3">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row>
    <row r="399" spans="1:29" ht="15.75" customHeight="1" x14ac:dyDescent="0.3">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row>
    <row r="400" spans="1:29" ht="15.75" customHeight="1" x14ac:dyDescent="0.3">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row>
    <row r="401" spans="1:29" ht="15.75" customHeight="1" x14ac:dyDescent="0.3">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row>
    <row r="402" spans="1:29" ht="15.75" customHeight="1" x14ac:dyDescent="0.3">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row>
    <row r="403" spans="1:29" ht="15.75" customHeight="1" x14ac:dyDescent="0.3">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row>
    <row r="404" spans="1:29" ht="15.75" customHeight="1" x14ac:dyDescent="0.3">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row>
    <row r="405" spans="1:29" ht="15.75" customHeight="1" x14ac:dyDescent="0.3">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row>
    <row r="406" spans="1:29" ht="15.75" customHeight="1" x14ac:dyDescent="0.3">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row>
    <row r="407" spans="1:29" ht="15.75" customHeight="1" x14ac:dyDescent="0.3">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row>
    <row r="408" spans="1:29" ht="15.75" customHeight="1" x14ac:dyDescent="0.3">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row>
    <row r="409" spans="1:29" ht="15.75" customHeight="1" x14ac:dyDescent="0.3">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row>
    <row r="410" spans="1:29" ht="15.75" customHeight="1" x14ac:dyDescent="0.3">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row>
    <row r="411" spans="1:29" ht="15.75" customHeight="1" x14ac:dyDescent="0.3">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row>
    <row r="412" spans="1:29" ht="15.75" customHeight="1" x14ac:dyDescent="0.3">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row>
    <row r="413" spans="1:29" ht="15.75" customHeight="1" x14ac:dyDescent="0.3">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row>
    <row r="414" spans="1:29" ht="15.75" customHeight="1" x14ac:dyDescent="0.3">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row>
    <row r="415" spans="1:29" ht="15.75" customHeight="1" x14ac:dyDescent="0.3">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row>
    <row r="416" spans="1:29" ht="15.75" customHeight="1" x14ac:dyDescent="0.3">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row>
    <row r="417" spans="1:29" ht="15.75" customHeight="1" x14ac:dyDescent="0.3">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row>
    <row r="418" spans="1:29" ht="15.75" customHeight="1" x14ac:dyDescent="0.3">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row>
    <row r="419" spans="1:29" ht="15.75" customHeight="1" x14ac:dyDescent="0.3">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row>
    <row r="420" spans="1:29" ht="15.75" customHeight="1" x14ac:dyDescent="0.3">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row>
    <row r="421" spans="1:29" ht="15.75" customHeight="1" x14ac:dyDescent="0.3">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row>
    <row r="422" spans="1:29" ht="15.75" customHeight="1" x14ac:dyDescent="0.3">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row>
    <row r="423" spans="1:29" ht="15.75" customHeight="1" x14ac:dyDescent="0.3">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row>
    <row r="424" spans="1:29" ht="15.75" customHeight="1" x14ac:dyDescent="0.3">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row>
    <row r="425" spans="1:29" ht="15.75" customHeight="1" x14ac:dyDescent="0.3">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row>
    <row r="426" spans="1:29" ht="15.75" customHeight="1" x14ac:dyDescent="0.3">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row>
    <row r="427" spans="1:29" ht="15.75" customHeight="1" x14ac:dyDescent="0.3">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row>
    <row r="428" spans="1:29" ht="15.75" customHeight="1" x14ac:dyDescent="0.3">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row>
    <row r="429" spans="1:29" ht="15.75" customHeight="1" x14ac:dyDescent="0.3">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row>
    <row r="430" spans="1:29" ht="15.75" customHeight="1" x14ac:dyDescent="0.3">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row>
    <row r="431" spans="1:29" ht="15.75" customHeight="1" x14ac:dyDescent="0.3">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row>
    <row r="432" spans="1:29" ht="15.75" customHeight="1" x14ac:dyDescent="0.3">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row>
    <row r="433" spans="1:29" ht="15.75" customHeight="1" x14ac:dyDescent="0.3">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row>
    <row r="434" spans="1:29" ht="15.75" customHeight="1" x14ac:dyDescent="0.3">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row>
    <row r="435" spans="1:29" ht="15.75" customHeight="1" x14ac:dyDescent="0.3">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row>
    <row r="436" spans="1:29" ht="15.75" customHeight="1" x14ac:dyDescent="0.3">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row>
    <row r="437" spans="1:29" ht="15.75" customHeight="1" x14ac:dyDescent="0.3">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row>
    <row r="438" spans="1:29" ht="15.75" customHeight="1" x14ac:dyDescent="0.3">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row>
    <row r="439" spans="1:29" ht="15.75" customHeight="1" x14ac:dyDescent="0.3">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row>
    <row r="440" spans="1:29" ht="15.75" customHeight="1" x14ac:dyDescent="0.3">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row>
    <row r="441" spans="1:29" ht="15.75" customHeight="1" x14ac:dyDescent="0.3">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row>
    <row r="442" spans="1:29" ht="15.75" customHeight="1" x14ac:dyDescent="0.3">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row>
    <row r="443" spans="1:29" ht="15.75" customHeight="1" x14ac:dyDescent="0.3">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row>
    <row r="444" spans="1:29" ht="15.75" customHeight="1" x14ac:dyDescent="0.3">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row>
    <row r="445" spans="1:29" ht="15.75" customHeight="1" x14ac:dyDescent="0.3">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row>
    <row r="446" spans="1:29" ht="15.75" customHeight="1" x14ac:dyDescent="0.3">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row>
    <row r="447" spans="1:29" ht="15.75" customHeight="1" x14ac:dyDescent="0.3">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row>
    <row r="448" spans="1:29" ht="15.75" customHeight="1" x14ac:dyDescent="0.3">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row>
    <row r="449" spans="1:29" ht="15.75" customHeight="1" x14ac:dyDescent="0.3">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row>
    <row r="450" spans="1:29" ht="15.75" customHeight="1" x14ac:dyDescent="0.3">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row>
    <row r="451" spans="1:29" ht="15.75" customHeight="1" x14ac:dyDescent="0.3">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row>
    <row r="452" spans="1:29" ht="15.75" customHeight="1" x14ac:dyDescent="0.3">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row>
    <row r="453" spans="1:29" ht="15.75" customHeight="1" x14ac:dyDescent="0.3">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row>
    <row r="454" spans="1:29" ht="15.75" customHeight="1" x14ac:dyDescent="0.3">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row>
    <row r="455" spans="1:29" ht="15.75" customHeight="1" x14ac:dyDescent="0.3">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row>
    <row r="456" spans="1:29" ht="15.75" customHeight="1" x14ac:dyDescent="0.3">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row>
    <row r="457" spans="1:29" ht="15.75" customHeight="1" x14ac:dyDescent="0.3">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row>
    <row r="458" spans="1:29" ht="15.75" customHeight="1" x14ac:dyDescent="0.3">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row>
    <row r="459" spans="1:29" ht="15.75" customHeight="1" x14ac:dyDescent="0.3">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row>
    <row r="460" spans="1:29" ht="15.75" customHeight="1" x14ac:dyDescent="0.3">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row>
    <row r="461" spans="1:29" ht="15.75" customHeight="1" x14ac:dyDescent="0.3">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row>
    <row r="462" spans="1:29" ht="15.75" customHeight="1" x14ac:dyDescent="0.3">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row>
    <row r="463" spans="1:29" ht="15.75" customHeight="1" x14ac:dyDescent="0.3">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row>
    <row r="464" spans="1:29" ht="15.75" customHeight="1" x14ac:dyDescent="0.3">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row>
    <row r="465" spans="1:29" ht="15.75" customHeight="1" x14ac:dyDescent="0.3">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row>
    <row r="466" spans="1:29" ht="15.75" customHeight="1" x14ac:dyDescent="0.3">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row>
    <row r="467" spans="1:29" ht="15.75" customHeight="1" x14ac:dyDescent="0.3">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row>
    <row r="468" spans="1:29" ht="15.75" customHeight="1" x14ac:dyDescent="0.3">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row>
    <row r="469" spans="1:29" ht="15.75" customHeight="1" x14ac:dyDescent="0.3">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row>
    <row r="470" spans="1:29" ht="15.75" customHeight="1" x14ac:dyDescent="0.3">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row>
    <row r="471" spans="1:29" ht="15.75" customHeight="1" x14ac:dyDescent="0.3">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row>
    <row r="472" spans="1:29" ht="15.75" customHeight="1" x14ac:dyDescent="0.3">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row>
    <row r="473" spans="1:29" ht="15.75" customHeight="1" x14ac:dyDescent="0.3">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row>
    <row r="474" spans="1:29" ht="15.75" customHeight="1" x14ac:dyDescent="0.3">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row>
    <row r="475" spans="1:29" ht="15.75" customHeight="1" x14ac:dyDescent="0.3">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row>
    <row r="476" spans="1:29" ht="15.75" customHeight="1" x14ac:dyDescent="0.3">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row>
    <row r="477" spans="1:29" ht="15.75" customHeight="1" x14ac:dyDescent="0.3">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row>
    <row r="478" spans="1:29" ht="15.75" customHeight="1" x14ac:dyDescent="0.3">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row>
    <row r="479" spans="1:29" ht="15.75" customHeight="1" x14ac:dyDescent="0.3">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row>
    <row r="480" spans="1:29" ht="15.75" customHeight="1" x14ac:dyDescent="0.3">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row>
    <row r="481" spans="1:29" ht="15.75" customHeight="1" x14ac:dyDescent="0.3">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row>
    <row r="482" spans="1:29" ht="15.75" customHeight="1" x14ac:dyDescent="0.3">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row>
    <row r="483" spans="1:29" ht="15.75" customHeight="1" x14ac:dyDescent="0.3">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row>
    <row r="484" spans="1:29" ht="15.75" customHeight="1" x14ac:dyDescent="0.3">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row>
    <row r="485" spans="1:29" ht="15.75" customHeight="1" x14ac:dyDescent="0.3">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row>
    <row r="486" spans="1:29" ht="15.75" customHeight="1" x14ac:dyDescent="0.3">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row>
    <row r="487" spans="1:29" ht="15.75" customHeight="1" x14ac:dyDescent="0.3">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row>
    <row r="488" spans="1:29" ht="15.75" customHeight="1" x14ac:dyDescent="0.3">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row>
    <row r="489" spans="1:29" ht="15.75" customHeight="1" x14ac:dyDescent="0.3">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row>
    <row r="490" spans="1:29" ht="15.75" customHeight="1" x14ac:dyDescent="0.3">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row>
    <row r="491" spans="1:29" ht="15.75" customHeight="1" x14ac:dyDescent="0.3">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row>
    <row r="492" spans="1:29" ht="15.75" customHeight="1" x14ac:dyDescent="0.3">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row>
    <row r="493" spans="1:29" ht="15.75" customHeight="1" x14ac:dyDescent="0.3">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row>
    <row r="494" spans="1:29" ht="15.75" customHeight="1" x14ac:dyDescent="0.3">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row>
    <row r="495" spans="1:29" ht="15.75" customHeight="1" x14ac:dyDescent="0.3">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row>
    <row r="496" spans="1:29" ht="15.75" customHeight="1" x14ac:dyDescent="0.3">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row>
    <row r="497" spans="1:29" ht="15.75" customHeight="1" x14ac:dyDescent="0.3">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row>
    <row r="498" spans="1:29" ht="15.75" customHeight="1" x14ac:dyDescent="0.3">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row>
    <row r="499" spans="1:29" ht="15.75" customHeight="1" x14ac:dyDescent="0.3">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row>
    <row r="500" spans="1:29" ht="15.75" customHeight="1" x14ac:dyDescent="0.3">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row>
    <row r="501" spans="1:29" ht="15.75" customHeight="1" x14ac:dyDescent="0.3">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row>
    <row r="502" spans="1:29" ht="15.75" customHeight="1" x14ac:dyDescent="0.3">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row>
    <row r="503" spans="1:29" ht="15.75" customHeight="1" x14ac:dyDescent="0.3">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row>
    <row r="504" spans="1:29" ht="15.75" customHeight="1" x14ac:dyDescent="0.3">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row>
    <row r="505" spans="1:29" ht="15.75" customHeight="1" x14ac:dyDescent="0.3">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row>
    <row r="506" spans="1:29" ht="15.75" customHeight="1" x14ac:dyDescent="0.3">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row>
    <row r="507" spans="1:29" ht="15.75" customHeight="1" x14ac:dyDescent="0.3">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row>
    <row r="508" spans="1:29" ht="15.75" customHeight="1" x14ac:dyDescent="0.3">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row>
    <row r="509" spans="1:29" ht="15.75" customHeight="1" x14ac:dyDescent="0.3">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row>
    <row r="510" spans="1:29" ht="15.75" customHeight="1" x14ac:dyDescent="0.3">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row>
    <row r="511" spans="1:29" ht="15.75" customHeight="1" x14ac:dyDescent="0.3">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row>
    <row r="512" spans="1:29" ht="15.75" customHeight="1" x14ac:dyDescent="0.3">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row>
    <row r="513" spans="1:29" ht="15.75" customHeight="1" x14ac:dyDescent="0.3">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row>
    <row r="514" spans="1:29" ht="15.75" customHeight="1" x14ac:dyDescent="0.3">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row>
    <row r="515" spans="1:29" ht="15.75" customHeight="1" x14ac:dyDescent="0.3">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row>
    <row r="516" spans="1:29" ht="15.75" customHeight="1" x14ac:dyDescent="0.3">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row>
    <row r="517" spans="1:29" ht="15.75" customHeight="1" x14ac:dyDescent="0.3">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row>
    <row r="518" spans="1:29" ht="15.75" customHeight="1" x14ac:dyDescent="0.3">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row>
    <row r="519" spans="1:29" ht="15.75" customHeight="1" x14ac:dyDescent="0.3">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row>
    <row r="520" spans="1:29" ht="15.75" customHeight="1" x14ac:dyDescent="0.3">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row>
    <row r="521" spans="1:29" ht="15.75" customHeight="1" x14ac:dyDescent="0.3">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row>
    <row r="522" spans="1:29" ht="15.75" customHeight="1" x14ac:dyDescent="0.3">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row>
    <row r="523" spans="1:29" ht="15.75" customHeight="1" x14ac:dyDescent="0.3">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row>
    <row r="524" spans="1:29" ht="15.75" customHeight="1" x14ac:dyDescent="0.3">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row>
    <row r="525" spans="1:29" ht="15.75" customHeight="1" x14ac:dyDescent="0.3">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row>
    <row r="526" spans="1:29" ht="15.75" customHeight="1" x14ac:dyDescent="0.3">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row>
    <row r="527" spans="1:29" ht="15.75" customHeight="1" x14ac:dyDescent="0.3">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row>
    <row r="528" spans="1:29" ht="15.75" customHeight="1" x14ac:dyDescent="0.3">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row>
    <row r="529" spans="1:29" ht="15.75" customHeight="1" x14ac:dyDescent="0.3">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row>
    <row r="530" spans="1:29" ht="15.75" customHeight="1" x14ac:dyDescent="0.3">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row>
    <row r="531" spans="1:29" ht="15.75" customHeight="1" x14ac:dyDescent="0.3">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row>
    <row r="532" spans="1:29" ht="15.75" customHeight="1" x14ac:dyDescent="0.3">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row>
    <row r="533" spans="1:29" ht="15.75" customHeight="1" x14ac:dyDescent="0.3">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row>
    <row r="534" spans="1:29" ht="15.75" customHeight="1" x14ac:dyDescent="0.3">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row>
    <row r="535" spans="1:29" ht="15.75" customHeight="1" x14ac:dyDescent="0.3">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row>
    <row r="536" spans="1:29" ht="15.75" customHeight="1" x14ac:dyDescent="0.3">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row>
    <row r="537" spans="1:29" ht="15.75" customHeight="1" x14ac:dyDescent="0.3">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row>
    <row r="538" spans="1:29" ht="15.75" customHeight="1" x14ac:dyDescent="0.3">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row>
    <row r="539" spans="1:29" ht="15.75" customHeight="1" x14ac:dyDescent="0.3">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row>
    <row r="540" spans="1:29" ht="15.75" customHeight="1" x14ac:dyDescent="0.3">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row>
    <row r="541" spans="1:29" ht="15.75" customHeight="1" x14ac:dyDescent="0.3">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row>
    <row r="542" spans="1:29" ht="15.75" customHeight="1" x14ac:dyDescent="0.3">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row>
    <row r="543" spans="1:29" ht="15.75" customHeight="1" x14ac:dyDescent="0.3">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row>
    <row r="544" spans="1:29" ht="15.75" customHeight="1" x14ac:dyDescent="0.3">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row>
    <row r="545" spans="1:29" ht="15.75" customHeight="1" x14ac:dyDescent="0.3">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row>
    <row r="546" spans="1:29" ht="15.75" customHeight="1" x14ac:dyDescent="0.3">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row>
    <row r="547" spans="1:29" ht="15.75" customHeight="1" x14ac:dyDescent="0.3">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row>
    <row r="548" spans="1:29" ht="15.75" customHeight="1" x14ac:dyDescent="0.3">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row>
    <row r="549" spans="1:29" ht="15.75" customHeight="1" x14ac:dyDescent="0.3">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row>
    <row r="550" spans="1:29" ht="15.75" customHeight="1" x14ac:dyDescent="0.3">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row>
    <row r="551" spans="1:29" ht="15.75" customHeight="1" x14ac:dyDescent="0.3">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row>
    <row r="552" spans="1:29" ht="15.75" customHeight="1" x14ac:dyDescent="0.3">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row>
    <row r="553" spans="1:29" ht="15.75" customHeight="1" x14ac:dyDescent="0.3">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row>
    <row r="554" spans="1:29" ht="15.75" customHeight="1" x14ac:dyDescent="0.3">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row>
    <row r="555" spans="1:29" ht="15.75" customHeight="1" x14ac:dyDescent="0.3">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row>
    <row r="556" spans="1:29" ht="15.75" customHeight="1" x14ac:dyDescent="0.3">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row>
    <row r="557" spans="1:29" ht="15.75" customHeight="1" x14ac:dyDescent="0.3">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row>
    <row r="558" spans="1:29" ht="15.75" customHeight="1" x14ac:dyDescent="0.3">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row>
    <row r="559" spans="1:29" ht="15.75" customHeight="1" x14ac:dyDescent="0.3">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row>
    <row r="560" spans="1:29" ht="15.75" customHeight="1" x14ac:dyDescent="0.3">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row>
    <row r="561" spans="1:29" ht="15.75" customHeight="1" x14ac:dyDescent="0.3">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row>
    <row r="562" spans="1:29" ht="15.75" customHeight="1" x14ac:dyDescent="0.3">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row>
    <row r="563" spans="1:29" ht="15.75" customHeight="1" x14ac:dyDescent="0.3">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row>
    <row r="564" spans="1:29" ht="15.75" customHeight="1" x14ac:dyDescent="0.3">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row>
    <row r="565" spans="1:29" ht="15.75" customHeight="1" x14ac:dyDescent="0.3">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row>
    <row r="566" spans="1:29" ht="15.75" customHeight="1" x14ac:dyDescent="0.3">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row>
    <row r="567" spans="1:29" ht="15.75" customHeight="1" x14ac:dyDescent="0.3">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row>
    <row r="568" spans="1:29" ht="15.75" customHeight="1" x14ac:dyDescent="0.3">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row>
    <row r="569" spans="1:29" ht="15.75" customHeight="1" x14ac:dyDescent="0.3">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row>
    <row r="570" spans="1:29" ht="15.75" customHeight="1" x14ac:dyDescent="0.3">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row>
    <row r="571" spans="1:29" ht="15.75" customHeight="1" x14ac:dyDescent="0.3">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row>
    <row r="572" spans="1:29" ht="15.75" customHeight="1" x14ac:dyDescent="0.3">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row>
    <row r="573" spans="1:29" ht="15.75" customHeight="1" x14ac:dyDescent="0.3">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row>
    <row r="574" spans="1:29" ht="15.75" customHeight="1" x14ac:dyDescent="0.3">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row>
    <row r="575" spans="1:29" ht="15.75" customHeight="1" x14ac:dyDescent="0.3">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row>
    <row r="576" spans="1:29" ht="15.75" customHeight="1" x14ac:dyDescent="0.3">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row>
    <row r="577" spans="1:29" ht="15.75" customHeight="1" x14ac:dyDescent="0.3">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row>
    <row r="578" spans="1:29" ht="15.75" customHeight="1" x14ac:dyDescent="0.3">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row>
    <row r="579" spans="1:29" ht="15.75" customHeight="1" x14ac:dyDescent="0.3">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row>
    <row r="580" spans="1:29" ht="15.75" customHeight="1" x14ac:dyDescent="0.3">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row>
    <row r="581" spans="1:29" ht="15.75" customHeight="1" x14ac:dyDescent="0.3">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row>
    <row r="582" spans="1:29" ht="15.75" customHeight="1" x14ac:dyDescent="0.3">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row>
    <row r="583" spans="1:29" ht="15.75" customHeight="1" x14ac:dyDescent="0.3">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row>
    <row r="584" spans="1:29" ht="15.75" customHeight="1" x14ac:dyDescent="0.3">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row>
    <row r="585" spans="1:29" ht="15.75" customHeight="1" x14ac:dyDescent="0.3">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row>
    <row r="586" spans="1:29" ht="15.75" customHeight="1" x14ac:dyDescent="0.3">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row>
    <row r="587" spans="1:29" ht="15.75" customHeight="1" x14ac:dyDescent="0.3">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row>
    <row r="588" spans="1:29" ht="15.75" customHeight="1" x14ac:dyDescent="0.3">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row>
    <row r="589" spans="1:29" ht="15.75" customHeight="1" x14ac:dyDescent="0.3">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row>
    <row r="590" spans="1:29" ht="15.75" customHeight="1" x14ac:dyDescent="0.3">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row>
    <row r="591" spans="1:29" ht="15.75" customHeight="1" x14ac:dyDescent="0.3">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row>
    <row r="592" spans="1:29" ht="15.75" customHeight="1" x14ac:dyDescent="0.3">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row>
    <row r="593" spans="1:29" ht="15.75" customHeight="1" x14ac:dyDescent="0.3">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row>
    <row r="594" spans="1:29" ht="15.75" customHeight="1" x14ac:dyDescent="0.3">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row>
    <row r="595" spans="1:29" ht="15.75" customHeight="1" x14ac:dyDescent="0.3">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row>
    <row r="596" spans="1:29" ht="15.75" customHeight="1" x14ac:dyDescent="0.3">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row>
    <row r="597" spans="1:29" ht="15.75" customHeight="1" x14ac:dyDescent="0.3">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row>
    <row r="598" spans="1:29" ht="15.75" customHeight="1" x14ac:dyDescent="0.3">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row>
    <row r="599" spans="1:29" ht="15.75" customHeight="1" x14ac:dyDescent="0.3">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row>
    <row r="600" spans="1:29" ht="15.75" customHeight="1" x14ac:dyDescent="0.3">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row>
    <row r="601" spans="1:29" ht="15.75" customHeight="1" x14ac:dyDescent="0.3">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row>
    <row r="602" spans="1:29" ht="15.75" customHeight="1" x14ac:dyDescent="0.3">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row>
    <row r="603" spans="1:29" ht="15.75" customHeight="1" x14ac:dyDescent="0.3">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row>
    <row r="604" spans="1:29" ht="15.75" customHeight="1" x14ac:dyDescent="0.3">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row>
    <row r="605" spans="1:29" ht="15.75" customHeight="1" x14ac:dyDescent="0.3">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row>
    <row r="606" spans="1:29" ht="15.75" customHeight="1" x14ac:dyDescent="0.3">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row>
    <row r="607" spans="1:29" ht="15.75" customHeight="1" x14ac:dyDescent="0.3">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row>
    <row r="608" spans="1:29" ht="15.75" customHeight="1" x14ac:dyDescent="0.3">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row>
    <row r="609" spans="1:29" ht="15.75" customHeight="1" x14ac:dyDescent="0.3">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row>
    <row r="610" spans="1:29" ht="15.75" customHeight="1" x14ac:dyDescent="0.3">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row>
    <row r="611" spans="1:29" ht="15.75" customHeight="1" x14ac:dyDescent="0.3">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row>
    <row r="612" spans="1:29" ht="15.75" customHeight="1" x14ac:dyDescent="0.3">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row>
    <row r="613" spans="1:29" ht="15.75" customHeight="1" x14ac:dyDescent="0.3">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row>
    <row r="614" spans="1:29" ht="15.75" customHeight="1" x14ac:dyDescent="0.3">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row>
    <row r="615" spans="1:29" ht="15.75" customHeight="1" x14ac:dyDescent="0.3">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row>
    <row r="616" spans="1:29" ht="15.75" customHeight="1" x14ac:dyDescent="0.3">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row>
    <row r="617" spans="1:29" ht="15.75" customHeight="1" x14ac:dyDescent="0.3">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row>
    <row r="618" spans="1:29" ht="15.75" customHeight="1" x14ac:dyDescent="0.3">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row>
    <row r="619" spans="1:29" ht="15.75" customHeight="1" x14ac:dyDescent="0.3">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row>
    <row r="620" spans="1:29" ht="15.75" customHeight="1" x14ac:dyDescent="0.3">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row>
    <row r="621" spans="1:29" ht="15.75" customHeight="1" x14ac:dyDescent="0.3">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row>
    <row r="622" spans="1:29" ht="15.75" customHeight="1" x14ac:dyDescent="0.3">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row>
    <row r="623" spans="1:29" ht="15.75" customHeight="1" x14ac:dyDescent="0.3">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row>
    <row r="624" spans="1:29" ht="15.75" customHeight="1" x14ac:dyDescent="0.3">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row>
    <row r="625" spans="1:29" ht="15.75" customHeight="1" x14ac:dyDescent="0.3">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row>
    <row r="626" spans="1:29" ht="15.75" customHeight="1" x14ac:dyDescent="0.3">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row>
    <row r="627" spans="1:29" ht="15.75" customHeight="1" x14ac:dyDescent="0.3">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row>
    <row r="628" spans="1:29" ht="15.75" customHeight="1" x14ac:dyDescent="0.3">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row>
    <row r="629" spans="1:29" ht="15.75" customHeight="1" x14ac:dyDescent="0.3">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row>
    <row r="630" spans="1:29" ht="15.75" customHeight="1" x14ac:dyDescent="0.3">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row>
    <row r="631" spans="1:29" ht="15.75" customHeight="1" x14ac:dyDescent="0.3">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row>
    <row r="632" spans="1:29" ht="15.75" customHeight="1" x14ac:dyDescent="0.3">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row>
    <row r="633" spans="1:29" ht="15.75" customHeight="1" x14ac:dyDescent="0.3">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row>
    <row r="634" spans="1:29" ht="15.75" customHeight="1" x14ac:dyDescent="0.3">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row>
    <row r="635" spans="1:29" ht="15.75" customHeight="1" x14ac:dyDescent="0.3">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row>
    <row r="636" spans="1:29" ht="15.75" customHeight="1" x14ac:dyDescent="0.3">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row>
    <row r="637" spans="1:29" ht="15.75" customHeight="1" x14ac:dyDescent="0.3">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row>
    <row r="638" spans="1:29" ht="15.75" customHeight="1" x14ac:dyDescent="0.3">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row>
    <row r="639" spans="1:29" ht="15.75" customHeight="1" x14ac:dyDescent="0.3">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row>
    <row r="640" spans="1:29" ht="15.75" customHeight="1" x14ac:dyDescent="0.3">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row>
    <row r="641" spans="1:29" ht="15.75" customHeight="1" x14ac:dyDescent="0.3">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row>
    <row r="642" spans="1:29" ht="15.75" customHeight="1" x14ac:dyDescent="0.3">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row>
    <row r="643" spans="1:29" ht="15.75" customHeight="1" x14ac:dyDescent="0.3">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row>
    <row r="644" spans="1:29" ht="15.75" customHeight="1" x14ac:dyDescent="0.3">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row>
    <row r="645" spans="1:29" ht="15.75" customHeight="1" x14ac:dyDescent="0.3">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row>
    <row r="646" spans="1:29" ht="15.75" customHeight="1" x14ac:dyDescent="0.3">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row>
    <row r="647" spans="1:29" ht="15.75" customHeight="1" x14ac:dyDescent="0.3">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row>
    <row r="648" spans="1:29" ht="15.75" customHeight="1" x14ac:dyDescent="0.3">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row>
    <row r="649" spans="1:29" ht="15.75" customHeight="1" x14ac:dyDescent="0.3">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row>
    <row r="650" spans="1:29" ht="15.75" customHeight="1" x14ac:dyDescent="0.3">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row>
    <row r="651" spans="1:29" ht="15.75" customHeight="1" x14ac:dyDescent="0.3">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row>
    <row r="652" spans="1:29" ht="15.75" customHeight="1" x14ac:dyDescent="0.3">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row>
    <row r="653" spans="1:29" ht="15.75" customHeight="1" x14ac:dyDescent="0.3">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row>
    <row r="654" spans="1:29" ht="15.75" customHeight="1" x14ac:dyDescent="0.3">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row>
    <row r="655" spans="1:29" ht="15.75" customHeight="1" x14ac:dyDescent="0.3">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row>
    <row r="656" spans="1:29" ht="15.75" customHeight="1" x14ac:dyDescent="0.3">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row>
    <row r="657" spans="1:29" ht="15.75" customHeight="1" x14ac:dyDescent="0.3">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row>
    <row r="658" spans="1:29" ht="15.75" customHeight="1" x14ac:dyDescent="0.3">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row>
    <row r="659" spans="1:29" ht="15.75" customHeight="1" x14ac:dyDescent="0.3">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row>
    <row r="660" spans="1:29" ht="15.75" customHeight="1" x14ac:dyDescent="0.3">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row>
    <row r="661" spans="1:29" ht="15.75" customHeight="1" x14ac:dyDescent="0.3">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row>
    <row r="662" spans="1:29" ht="15.75" customHeight="1" x14ac:dyDescent="0.3">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row>
    <row r="663" spans="1:29" ht="15.75" customHeight="1" x14ac:dyDescent="0.3">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row>
    <row r="664" spans="1:29" ht="15.75" customHeight="1" x14ac:dyDescent="0.3">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row>
    <row r="665" spans="1:29" ht="15.75" customHeight="1" x14ac:dyDescent="0.3">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row>
    <row r="666" spans="1:29" ht="15.75" customHeight="1" x14ac:dyDescent="0.3">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row>
    <row r="667" spans="1:29" ht="15.75" customHeight="1" x14ac:dyDescent="0.3">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row>
    <row r="668" spans="1:29" ht="15.75" customHeight="1" x14ac:dyDescent="0.3">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row>
    <row r="669" spans="1:29" ht="15.75" customHeight="1" x14ac:dyDescent="0.3">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row>
    <row r="670" spans="1:29" ht="15.75" customHeight="1" x14ac:dyDescent="0.3">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row>
    <row r="671" spans="1:29" ht="15.75" customHeight="1" x14ac:dyDescent="0.3">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row>
    <row r="672" spans="1:29" ht="15.75" customHeight="1" x14ac:dyDescent="0.3">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row>
    <row r="673" spans="1:29" ht="15.75" customHeight="1" x14ac:dyDescent="0.3">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row>
    <row r="674" spans="1:29" ht="15.75" customHeight="1" x14ac:dyDescent="0.3">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row>
    <row r="675" spans="1:29" ht="15.75" customHeight="1" x14ac:dyDescent="0.3">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row>
    <row r="676" spans="1:29" ht="15.75" customHeight="1" x14ac:dyDescent="0.3">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row>
    <row r="677" spans="1:29" ht="15.75" customHeight="1" x14ac:dyDescent="0.3">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row>
    <row r="678" spans="1:29" ht="15.75" customHeight="1" x14ac:dyDescent="0.3">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row>
    <row r="679" spans="1:29" ht="15.75" customHeight="1" x14ac:dyDescent="0.3">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row>
    <row r="680" spans="1:29" ht="15.75" customHeight="1" x14ac:dyDescent="0.3">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row>
    <row r="681" spans="1:29" ht="15.75" customHeight="1" x14ac:dyDescent="0.3">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row>
    <row r="682" spans="1:29" ht="15.75" customHeight="1" x14ac:dyDescent="0.3">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row>
    <row r="683" spans="1:29" ht="15.75" customHeight="1" x14ac:dyDescent="0.3">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row>
    <row r="684" spans="1:29" ht="15.75" customHeight="1" x14ac:dyDescent="0.3">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row>
    <row r="685" spans="1:29" ht="15.75" customHeight="1" x14ac:dyDescent="0.3">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row>
    <row r="686" spans="1:29" ht="15.75" customHeight="1" x14ac:dyDescent="0.3">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row>
    <row r="687" spans="1:29" ht="15.75" customHeight="1" x14ac:dyDescent="0.3">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row>
    <row r="688" spans="1:29" ht="15.75" customHeight="1" x14ac:dyDescent="0.3">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row>
    <row r="689" spans="1:29" ht="15.75" customHeight="1" x14ac:dyDescent="0.3">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row>
    <row r="690" spans="1:29" ht="15.75" customHeight="1" x14ac:dyDescent="0.3">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row>
    <row r="691" spans="1:29" ht="15.75" customHeight="1" x14ac:dyDescent="0.3">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row>
    <row r="692" spans="1:29" ht="15.75" customHeight="1" x14ac:dyDescent="0.3">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row>
    <row r="693" spans="1:29" ht="15.75" customHeight="1" x14ac:dyDescent="0.3">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row>
    <row r="694" spans="1:29" ht="15.75" customHeight="1" x14ac:dyDescent="0.3">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row>
    <row r="695" spans="1:29" ht="15.75" customHeight="1" x14ac:dyDescent="0.3">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row>
    <row r="696" spans="1:29" ht="15.75" customHeight="1" x14ac:dyDescent="0.3">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row>
    <row r="697" spans="1:29" ht="15.75" customHeight="1" x14ac:dyDescent="0.3">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row>
    <row r="698" spans="1:29" ht="15.75" customHeight="1" x14ac:dyDescent="0.3">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row>
    <row r="699" spans="1:29" ht="15.75" customHeight="1" x14ac:dyDescent="0.3">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row>
    <row r="700" spans="1:29" ht="15.75" customHeight="1" x14ac:dyDescent="0.3">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row>
    <row r="701" spans="1:29" ht="15.75" customHeight="1" x14ac:dyDescent="0.3">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row>
    <row r="702" spans="1:29" ht="15.75" customHeight="1" x14ac:dyDescent="0.3">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row>
    <row r="703" spans="1:29" ht="15.75" customHeight="1" x14ac:dyDescent="0.3">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row>
    <row r="704" spans="1:29" ht="15.75" customHeight="1" x14ac:dyDescent="0.3">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row>
    <row r="705" spans="1:29" ht="15.75" customHeight="1" x14ac:dyDescent="0.3">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row>
    <row r="706" spans="1:29" ht="15.75" customHeight="1" x14ac:dyDescent="0.3">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row>
    <row r="707" spans="1:29" ht="15.75" customHeight="1" x14ac:dyDescent="0.3">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row>
    <row r="708" spans="1:29" ht="15.75" customHeight="1" x14ac:dyDescent="0.3">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row>
    <row r="709" spans="1:29" ht="15.75" customHeight="1" x14ac:dyDescent="0.3">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row>
    <row r="710" spans="1:29" ht="15.75" customHeight="1" x14ac:dyDescent="0.3">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row>
    <row r="711" spans="1:29" ht="15.75" customHeight="1" x14ac:dyDescent="0.3">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row>
    <row r="712" spans="1:29" ht="15.75" customHeight="1" x14ac:dyDescent="0.3">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row>
    <row r="713" spans="1:29" ht="15.75" customHeight="1" x14ac:dyDescent="0.3">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row>
    <row r="714" spans="1:29" ht="15.75" customHeight="1" x14ac:dyDescent="0.3">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row>
    <row r="715" spans="1:29" ht="15.75" customHeight="1" x14ac:dyDescent="0.3">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row>
    <row r="716" spans="1:29" ht="15.75" customHeight="1" x14ac:dyDescent="0.3">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row>
    <row r="717" spans="1:29" ht="15.75" customHeight="1" x14ac:dyDescent="0.3">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row>
    <row r="718" spans="1:29" ht="15.75" customHeight="1" x14ac:dyDescent="0.3">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row>
    <row r="719" spans="1:29" ht="15.75" customHeight="1" x14ac:dyDescent="0.3">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row>
    <row r="720" spans="1:29" ht="15.75" customHeight="1" x14ac:dyDescent="0.3">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row>
    <row r="721" spans="1:29" ht="15.75" customHeight="1" x14ac:dyDescent="0.3">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row>
    <row r="722" spans="1:29" ht="15.75" customHeight="1" x14ac:dyDescent="0.3">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row>
    <row r="723" spans="1:29" ht="15.75" customHeight="1" x14ac:dyDescent="0.3">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row>
    <row r="724" spans="1:29" ht="15.75" customHeight="1" x14ac:dyDescent="0.3">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row>
    <row r="725" spans="1:29" ht="15.75" customHeight="1" x14ac:dyDescent="0.3">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row>
    <row r="726" spans="1:29" ht="15.75" customHeight="1" x14ac:dyDescent="0.3">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row>
    <row r="727" spans="1:29" ht="15.75" customHeight="1" x14ac:dyDescent="0.3">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row>
    <row r="728" spans="1:29" ht="15.75" customHeight="1" x14ac:dyDescent="0.3">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row>
    <row r="729" spans="1:29" ht="15.75" customHeight="1" x14ac:dyDescent="0.3">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row>
    <row r="730" spans="1:29" ht="15.75" customHeight="1" x14ac:dyDescent="0.3">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row>
    <row r="731" spans="1:29" ht="15.75" customHeight="1" x14ac:dyDescent="0.3">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row>
    <row r="732" spans="1:29" ht="15.75" customHeight="1" x14ac:dyDescent="0.3">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row>
    <row r="733" spans="1:29" ht="15.75" customHeight="1" x14ac:dyDescent="0.3">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row>
    <row r="734" spans="1:29" ht="15.75" customHeight="1" x14ac:dyDescent="0.3">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row>
    <row r="735" spans="1:29" ht="15.75" customHeight="1" x14ac:dyDescent="0.3">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row>
    <row r="736" spans="1:29" ht="15.75" customHeight="1" x14ac:dyDescent="0.3">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row>
    <row r="737" spans="1:29" ht="15.75" customHeight="1" x14ac:dyDescent="0.3">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row>
    <row r="738" spans="1:29" ht="15.75" customHeight="1" x14ac:dyDescent="0.3">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row>
    <row r="739" spans="1:29" ht="15.75" customHeight="1" x14ac:dyDescent="0.3">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row>
    <row r="740" spans="1:29" ht="15.75" customHeight="1" x14ac:dyDescent="0.3">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row>
    <row r="741" spans="1:29" ht="15.75" customHeight="1" x14ac:dyDescent="0.3">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row>
    <row r="742" spans="1:29" ht="15.75" customHeight="1" x14ac:dyDescent="0.3">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row>
    <row r="743" spans="1:29" ht="15.75" customHeight="1" x14ac:dyDescent="0.3">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row>
    <row r="744" spans="1:29" ht="15.75" customHeight="1" x14ac:dyDescent="0.3">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row>
    <row r="745" spans="1:29" ht="15.75" customHeight="1" x14ac:dyDescent="0.3">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row>
    <row r="746" spans="1:29" ht="15.75" customHeight="1" x14ac:dyDescent="0.3">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row>
    <row r="747" spans="1:29" ht="15.75" customHeight="1" x14ac:dyDescent="0.3">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row>
    <row r="748" spans="1:29" ht="15.75" customHeight="1" x14ac:dyDescent="0.3">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row>
    <row r="749" spans="1:29" ht="15.75" customHeight="1" x14ac:dyDescent="0.3">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row>
    <row r="750" spans="1:29" ht="15.75" customHeight="1" x14ac:dyDescent="0.3">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row>
    <row r="751" spans="1:29" ht="15.75" customHeight="1" x14ac:dyDescent="0.3">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row>
    <row r="752" spans="1:29" ht="15.75" customHeight="1" x14ac:dyDescent="0.3">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row>
    <row r="753" spans="1:29" ht="15.75" customHeight="1" x14ac:dyDescent="0.3">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row>
    <row r="754" spans="1:29" ht="15.75" customHeight="1" x14ac:dyDescent="0.3">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row>
    <row r="755" spans="1:29" ht="15.75" customHeight="1" x14ac:dyDescent="0.3">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row>
    <row r="756" spans="1:29" ht="15.75" customHeight="1" x14ac:dyDescent="0.3">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row>
    <row r="757" spans="1:29" ht="15.75" customHeight="1" x14ac:dyDescent="0.3">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row>
    <row r="758" spans="1:29" ht="15.75" customHeight="1" x14ac:dyDescent="0.3">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row>
    <row r="759" spans="1:29" ht="15.75" customHeight="1" x14ac:dyDescent="0.3">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row>
    <row r="760" spans="1:29" ht="15.75" customHeight="1" x14ac:dyDescent="0.3">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row>
    <row r="761" spans="1:29" ht="15.75" customHeight="1" x14ac:dyDescent="0.3">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row>
    <row r="762" spans="1:29" ht="15.75" customHeight="1" x14ac:dyDescent="0.3">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row>
    <row r="763" spans="1:29" ht="15.75" customHeight="1" x14ac:dyDescent="0.3">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row>
    <row r="764" spans="1:29" ht="15.75" customHeight="1" x14ac:dyDescent="0.3">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row>
    <row r="765" spans="1:29" ht="15.75" customHeight="1" x14ac:dyDescent="0.3">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row>
    <row r="766" spans="1:29" ht="15.75" customHeight="1" x14ac:dyDescent="0.3">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row>
    <row r="767" spans="1:29" ht="15.75" customHeight="1" x14ac:dyDescent="0.3">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row>
    <row r="768" spans="1:29" ht="15.75" customHeight="1" x14ac:dyDescent="0.3">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row>
    <row r="769" spans="1:29" ht="15.75" customHeight="1" x14ac:dyDescent="0.3">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row>
    <row r="770" spans="1:29" ht="15.75" customHeight="1" x14ac:dyDescent="0.3">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row>
    <row r="771" spans="1:29" ht="15.75" customHeight="1" x14ac:dyDescent="0.3">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row>
    <row r="772" spans="1:29" ht="15.75" customHeight="1" x14ac:dyDescent="0.3">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row>
    <row r="773" spans="1:29" ht="15.75" customHeight="1" x14ac:dyDescent="0.3">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row>
    <row r="774" spans="1:29" ht="15.75" customHeight="1" x14ac:dyDescent="0.3">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row>
    <row r="775" spans="1:29" ht="15.75" customHeight="1" x14ac:dyDescent="0.3">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row>
    <row r="776" spans="1:29" ht="15.75" customHeight="1" x14ac:dyDescent="0.3">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row>
    <row r="777" spans="1:29" ht="15.75" customHeight="1" x14ac:dyDescent="0.3">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row>
    <row r="778" spans="1:29" ht="15.75" customHeight="1" x14ac:dyDescent="0.3">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row>
    <row r="779" spans="1:29" ht="15.75" customHeight="1" x14ac:dyDescent="0.3">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row>
    <row r="780" spans="1:29" ht="15.75" customHeight="1" x14ac:dyDescent="0.3">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row>
    <row r="781" spans="1:29" ht="15.75" customHeight="1" x14ac:dyDescent="0.3">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row>
    <row r="782" spans="1:29" ht="15.75" customHeight="1" x14ac:dyDescent="0.3">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row>
    <row r="783" spans="1:29" ht="15.75" customHeight="1" x14ac:dyDescent="0.3">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row>
    <row r="784" spans="1:29" ht="15.75" customHeight="1" x14ac:dyDescent="0.3">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row>
    <row r="785" spans="1:29" ht="15.75" customHeight="1" x14ac:dyDescent="0.3">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row>
    <row r="786" spans="1:29" ht="15.75" customHeight="1" x14ac:dyDescent="0.3">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row>
    <row r="787" spans="1:29" ht="15.75" customHeight="1" x14ac:dyDescent="0.3">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row>
    <row r="788" spans="1:29" ht="15.75" customHeight="1" x14ac:dyDescent="0.3">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row>
    <row r="789" spans="1:29" ht="15.75" customHeight="1" x14ac:dyDescent="0.3">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row>
    <row r="790" spans="1:29" ht="15.75" customHeight="1" x14ac:dyDescent="0.3">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row>
    <row r="791" spans="1:29" ht="15.75" customHeight="1" x14ac:dyDescent="0.3">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row>
    <row r="792" spans="1:29" ht="15.75" customHeight="1" x14ac:dyDescent="0.3">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row>
    <row r="793" spans="1:29" ht="15.75" customHeight="1" x14ac:dyDescent="0.3">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row>
    <row r="794" spans="1:29" ht="15.75" customHeight="1" x14ac:dyDescent="0.3">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row>
    <row r="795" spans="1:29" ht="15.75" customHeight="1" x14ac:dyDescent="0.3">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row>
    <row r="796" spans="1:29" ht="15.75" customHeight="1" x14ac:dyDescent="0.3">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row>
    <row r="797" spans="1:29" ht="15.75" customHeight="1" x14ac:dyDescent="0.3">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row>
    <row r="798" spans="1:29" ht="15.75" customHeight="1" x14ac:dyDescent="0.3">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row>
    <row r="799" spans="1:29" ht="15.75" customHeight="1" x14ac:dyDescent="0.3">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row>
    <row r="800" spans="1:29" ht="15.75" customHeight="1" x14ac:dyDescent="0.3">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row>
    <row r="801" spans="1:29" ht="15.75" customHeight="1" x14ac:dyDescent="0.3">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row>
    <row r="802" spans="1:29" ht="15.75" customHeight="1" x14ac:dyDescent="0.3">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row>
    <row r="803" spans="1:29" ht="15.75" customHeight="1" x14ac:dyDescent="0.3">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row>
    <row r="804" spans="1:29" ht="15.75" customHeight="1" x14ac:dyDescent="0.3">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row>
    <row r="805" spans="1:29" ht="15.75" customHeight="1" x14ac:dyDescent="0.3">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row>
    <row r="806" spans="1:29" ht="15.75" customHeight="1" x14ac:dyDescent="0.3">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row>
    <row r="807" spans="1:29" ht="15.75" customHeight="1" x14ac:dyDescent="0.3">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row>
    <row r="808" spans="1:29" ht="15.75" customHeight="1" x14ac:dyDescent="0.3">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row>
    <row r="809" spans="1:29" ht="15.75" customHeight="1" x14ac:dyDescent="0.3">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row>
    <row r="810" spans="1:29" ht="15.75" customHeight="1" x14ac:dyDescent="0.3">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row>
    <row r="811" spans="1:29" ht="15.75" customHeight="1" x14ac:dyDescent="0.3">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row>
    <row r="812" spans="1:29" ht="15.75" customHeight="1" x14ac:dyDescent="0.3">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row>
    <row r="813" spans="1:29" ht="15.75" customHeight="1" x14ac:dyDescent="0.3">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row>
    <row r="814" spans="1:29" ht="15.75" customHeight="1" x14ac:dyDescent="0.3">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row>
    <row r="815" spans="1:29" ht="15.75" customHeight="1" x14ac:dyDescent="0.3">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row>
    <row r="816" spans="1:29" ht="15.75" customHeight="1" x14ac:dyDescent="0.3">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row>
    <row r="817" spans="1:29" ht="15.75" customHeight="1" x14ac:dyDescent="0.3">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row>
    <row r="818" spans="1:29" ht="15.75" customHeight="1" x14ac:dyDescent="0.3">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row>
    <row r="819" spans="1:29" ht="15.75" customHeight="1" x14ac:dyDescent="0.3">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row>
    <row r="820" spans="1:29" ht="15.75" customHeight="1" x14ac:dyDescent="0.3">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row>
    <row r="821" spans="1:29" ht="15.75" customHeight="1" x14ac:dyDescent="0.3">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row>
    <row r="822" spans="1:29" ht="15.75" customHeight="1" x14ac:dyDescent="0.3">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row>
    <row r="823" spans="1:29" ht="15.75" customHeight="1" x14ac:dyDescent="0.3">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row>
    <row r="824" spans="1:29" ht="15.75" customHeight="1" x14ac:dyDescent="0.3">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row>
    <row r="825" spans="1:29" ht="15.75" customHeight="1" x14ac:dyDescent="0.3">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row>
    <row r="826" spans="1:29" ht="15.75" customHeight="1" x14ac:dyDescent="0.3">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row>
    <row r="827" spans="1:29" ht="15.75" customHeight="1" x14ac:dyDescent="0.3">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row>
    <row r="828" spans="1:29" ht="15.75" customHeight="1" x14ac:dyDescent="0.3">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row>
    <row r="829" spans="1:29" ht="15.75" customHeight="1" x14ac:dyDescent="0.3">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row>
    <row r="830" spans="1:29" ht="15.75" customHeight="1" x14ac:dyDescent="0.3">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row>
    <row r="831" spans="1:29" ht="15.75" customHeight="1" x14ac:dyDescent="0.3">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row>
    <row r="832" spans="1:29" ht="15.75" customHeight="1" x14ac:dyDescent="0.3">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row>
    <row r="833" spans="1:29" ht="15.75" customHeight="1" x14ac:dyDescent="0.3">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row>
    <row r="834" spans="1:29" ht="15.75" customHeight="1" x14ac:dyDescent="0.3">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row>
    <row r="835" spans="1:29" ht="15.75" customHeight="1" x14ac:dyDescent="0.3">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row>
    <row r="836" spans="1:29" ht="15.75" customHeight="1" x14ac:dyDescent="0.3">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row>
    <row r="837" spans="1:29" ht="15.75" customHeight="1" x14ac:dyDescent="0.3">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row>
    <row r="838" spans="1:29" ht="15.75" customHeight="1" x14ac:dyDescent="0.3">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row>
    <row r="839" spans="1:29" ht="15.75" customHeight="1" x14ac:dyDescent="0.3">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row>
    <row r="840" spans="1:29" ht="15.75" customHeight="1" x14ac:dyDescent="0.3">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row>
    <row r="841" spans="1:29" ht="15.75" customHeight="1" x14ac:dyDescent="0.3">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row>
    <row r="842" spans="1:29" ht="15.75" customHeight="1" x14ac:dyDescent="0.3">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row>
    <row r="843" spans="1:29" ht="15.75" customHeight="1" x14ac:dyDescent="0.3">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row>
    <row r="844" spans="1:29" ht="15.75" customHeight="1" x14ac:dyDescent="0.3">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row>
    <row r="845" spans="1:29" ht="15.75" customHeight="1" x14ac:dyDescent="0.3">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row>
    <row r="846" spans="1:29" ht="15.75" customHeight="1" x14ac:dyDescent="0.3">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row>
    <row r="847" spans="1:29" ht="15.75" customHeight="1" x14ac:dyDescent="0.3">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row>
    <row r="848" spans="1:29" ht="15.75" customHeight="1" x14ac:dyDescent="0.3">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row>
    <row r="849" spans="1:29" ht="15.75" customHeight="1" x14ac:dyDescent="0.3">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row>
    <row r="850" spans="1:29" ht="15.75" customHeight="1" x14ac:dyDescent="0.3">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row>
    <row r="851" spans="1:29" ht="15.75" customHeight="1" x14ac:dyDescent="0.3">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row>
    <row r="852" spans="1:29" ht="15.75" customHeight="1" x14ac:dyDescent="0.3">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row>
    <row r="853" spans="1:29" ht="15.75" customHeight="1" x14ac:dyDescent="0.3">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row>
    <row r="854" spans="1:29" ht="15.75" customHeight="1" x14ac:dyDescent="0.3">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row>
    <row r="855" spans="1:29" ht="15.75" customHeight="1" x14ac:dyDescent="0.3">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row>
    <row r="856" spans="1:29" ht="15.75" customHeight="1" x14ac:dyDescent="0.3">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row>
    <row r="857" spans="1:29" ht="15.75" customHeight="1" x14ac:dyDescent="0.3">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row>
    <row r="858" spans="1:29" ht="15.75" customHeight="1" x14ac:dyDescent="0.3">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row>
    <row r="859" spans="1:29" ht="15.75" customHeight="1" x14ac:dyDescent="0.3">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row>
    <row r="860" spans="1:29" ht="15.75" customHeight="1" x14ac:dyDescent="0.3">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row>
    <row r="861" spans="1:29" ht="15.75" customHeight="1" x14ac:dyDescent="0.3">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row>
    <row r="862" spans="1:29" ht="15.75" customHeight="1" x14ac:dyDescent="0.3">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row>
    <row r="863" spans="1:29" ht="15.75" customHeight="1" x14ac:dyDescent="0.3">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row>
    <row r="864" spans="1:29" ht="15.75" customHeight="1" x14ac:dyDescent="0.3">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row>
    <row r="865" spans="1:29" ht="15.75" customHeight="1" x14ac:dyDescent="0.3">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row>
    <row r="866" spans="1:29" ht="15.75" customHeight="1" x14ac:dyDescent="0.3">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row>
    <row r="867" spans="1:29" ht="15.75" customHeight="1" x14ac:dyDescent="0.3">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row>
    <row r="868" spans="1:29" ht="15.75" customHeight="1" x14ac:dyDescent="0.3">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row>
    <row r="869" spans="1:29" ht="15.75" customHeight="1" x14ac:dyDescent="0.3">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row>
    <row r="870" spans="1:29" ht="15.75" customHeight="1" x14ac:dyDescent="0.3">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row>
    <row r="871" spans="1:29" ht="15.75" customHeight="1" x14ac:dyDescent="0.3">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row>
    <row r="872" spans="1:29" ht="15.75" customHeight="1" x14ac:dyDescent="0.3">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row>
    <row r="873" spans="1:29" ht="15.75" customHeight="1" x14ac:dyDescent="0.3">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row>
    <row r="874" spans="1:29" ht="15.75" customHeight="1" x14ac:dyDescent="0.3">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row>
    <row r="875" spans="1:29" ht="15.75" customHeight="1" x14ac:dyDescent="0.3">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row>
    <row r="876" spans="1:29" ht="15.75" customHeight="1" x14ac:dyDescent="0.3">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row>
    <row r="877" spans="1:29" ht="15.75" customHeight="1" x14ac:dyDescent="0.3">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row>
    <row r="878" spans="1:29" ht="15.75" customHeight="1" x14ac:dyDescent="0.3">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row>
    <row r="879" spans="1:29" ht="15.75" customHeight="1" x14ac:dyDescent="0.3">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row>
    <row r="880" spans="1:29" ht="15.75" customHeight="1" x14ac:dyDescent="0.3">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row>
    <row r="881" spans="1:29" ht="15.75" customHeight="1" x14ac:dyDescent="0.3">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row>
    <row r="882" spans="1:29" ht="15.75" customHeight="1" x14ac:dyDescent="0.3">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row>
    <row r="883" spans="1:29" ht="15.75" customHeight="1" x14ac:dyDescent="0.3">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row>
    <row r="884" spans="1:29" ht="15.75" customHeight="1" x14ac:dyDescent="0.3">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row>
    <row r="885" spans="1:29" ht="15.75" customHeight="1" x14ac:dyDescent="0.3">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row>
    <row r="886" spans="1:29" ht="15.75" customHeight="1" x14ac:dyDescent="0.3">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row>
    <row r="887" spans="1:29" ht="15.75" customHeight="1" x14ac:dyDescent="0.3">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row>
    <row r="888" spans="1:29" ht="15.75" customHeight="1" x14ac:dyDescent="0.3">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row>
    <row r="889" spans="1:29" ht="15.75" customHeight="1" x14ac:dyDescent="0.3">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row>
    <row r="890" spans="1:29" ht="15.75" customHeight="1" x14ac:dyDescent="0.3">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row>
    <row r="891" spans="1:29" ht="15.75" customHeight="1" x14ac:dyDescent="0.3">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row>
    <row r="892" spans="1:29" ht="15.75" customHeight="1" x14ac:dyDescent="0.3">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row>
    <row r="893" spans="1:29" ht="15.75" customHeight="1" x14ac:dyDescent="0.3">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row>
    <row r="894" spans="1:29" ht="15.75" customHeight="1" x14ac:dyDescent="0.3">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row>
    <row r="895" spans="1:29" ht="15.75" customHeight="1" x14ac:dyDescent="0.3">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row>
    <row r="896" spans="1:29" ht="15.75" customHeight="1" x14ac:dyDescent="0.3">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row>
    <row r="897" spans="1:29" ht="15.75" customHeight="1" x14ac:dyDescent="0.3">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row>
    <row r="898" spans="1:29" ht="15.75" customHeight="1" x14ac:dyDescent="0.3">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row>
    <row r="899" spans="1:29" ht="15.75" customHeight="1" x14ac:dyDescent="0.3">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row>
    <row r="900" spans="1:29" ht="15.75" customHeight="1" x14ac:dyDescent="0.3">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row>
    <row r="901" spans="1:29" ht="15.75" customHeight="1" x14ac:dyDescent="0.3">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row>
    <row r="902" spans="1:29" ht="15.75" customHeight="1" x14ac:dyDescent="0.3">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row>
    <row r="903" spans="1:29" ht="15.75" customHeight="1" x14ac:dyDescent="0.3">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row>
    <row r="904" spans="1:29" ht="15.75" customHeight="1" x14ac:dyDescent="0.3">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row>
    <row r="905" spans="1:29" ht="15.75" customHeight="1" x14ac:dyDescent="0.3">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row>
    <row r="906" spans="1:29" ht="15.75" customHeight="1" x14ac:dyDescent="0.3">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row>
    <row r="907" spans="1:29" ht="15.75" customHeight="1" x14ac:dyDescent="0.3">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row>
    <row r="908" spans="1:29" ht="15.75" customHeight="1" x14ac:dyDescent="0.3">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row>
    <row r="909" spans="1:29" ht="15.75" customHeight="1" x14ac:dyDescent="0.3">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row>
    <row r="910" spans="1:29" ht="15.75" customHeight="1" x14ac:dyDescent="0.3">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row>
    <row r="911" spans="1:29" ht="15.75" customHeight="1" x14ac:dyDescent="0.3">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row>
    <row r="912" spans="1:29" ht="15.75" customHeight="1" x14ac:dyDescent="0.3">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row>
    <row r="913" spans="1:29" ht="15.75" customHeight="1" x14ac:dyDescent="0.3">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row>
    <row r="914" spans="1:29" ht="15.75" customHeight="1" x14ac:dyDescent="0.3">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row>
    <row r="915" spans="1:29" ht="15.75" customHeight="1" x14ac:dyDescent="0.3">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row>
    <row r="916" spans="1:29" ht="15.75" customHeight="1" x14ac:dyDescent="0.3">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row>
    <row r="917" spans="1:29" ht="15.75" customHeight="1" x14ac:dyDescent="0.3">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row>
    <row r="918" spans="1:29" ht="15.75" customHeight="1" x14ac:dyDescent="0.3">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row>
    <row r="919" spans="1:29" ht="15.75" customHeight="1" x14ac:dyDescent="0.3">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row>
    <row r="920" spans="1:29" ht="15.75" customHeight="1" x14ac:dyDescent="0.3">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row>
    <row r="921" spans="1:29" ht="15.75" customHeight="1" x14ac:dyDescent="0.3">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row>
    <row r="922" spans="1:29" ht="15.75" customHeight="1" x14ac:dyDescent="0.3">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row>
    <row r="923" spans="1:29" ht="15.75" customHeight="1" x14ac:dyDescent="0.3">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row>
    <row r="924" spans="1:29" ht="15.75" customHeight="1" x14ac:dyDescent="0.3">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row>
    <row r="925" spans="1:29" ht="15.75" customHeight="1" x14ac:dyDescent="0.3">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row>
    <row r="926" spans="1:29" ht="15.75" customHeight="1" x14ac:dyDescent="0.3">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row>
    <row r="927" spans="1:29" ht="15.75" customHeight="1" x14ac:dyDescent="0.3">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row>
    <row r="928" spans="1:29" ht="15.75" customHeight="1" x14ac:dyDescent="0.3">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row>
    <row r="929" spans="1:29" ht="15.75" customHeight="1" x14ac:dyDescent="0.3">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row>
    <row r="930" spans="1:29" ht="15.75" customHeight="1" x14ac:dyDescent="0.3">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row>
    <row r="931" spans="1:29" ht="15.75" customHeight="1" x14ac:dyDescent="0.3">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row>
    <row r="932" spans="1:29" ht="15.75" customHeight="1" x14ac:dyDescent="0.3">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row>
    <row r="933" spans="1:29" ht="15.75" customHeight="1" x14ac:dyDescent="0.3">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row>
    <row r="934" spans="1:29" ht="15.75" customHeight="1" x14ac:dyDescent="0.3">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row>
    <row r="935" spans="1:29" ht="15.75" customHeight="1" x14ac:dyDescent="0.3">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row>
    <row r="936" spans="1:29" ht="15.75" customHeight="1" x14ac:dyDescent="0.3">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row>
    <row r="937" spans="1:29" ht="15.75" customHeight="1" x14ac:dyDescent="0.3">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row>
    <row r="938" spans="1:29" ht="15.75" customHeight="1" x14ac:dyDescent="0.3">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row>
    <row r="939" spans="1:29" ht="15.75" customHeight="1" x14ac:dyDescent="0.3">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row>
    <row r="940" spans="1:29" ht="15.75" customHeight="1" x14ac:dyDescent="0.3">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row>
    <row r="941" spans="1:29" ht="15.75" customHeight="1" x14ac:dyDescent="0.3">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row>
    <row r="942" spans="1:29" ht="15.75" customHeight="1" x14ac:dyDescent="0.3">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row>
    <row r="943" spans="1:29" ht="15.75" customHeight="1" x14ac:dyDescent="0.3">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row>
    <row r="944" spans="1:29" ht="15.75" customHeight="1" x14ac:dyDescent="0.3">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row>
    <row r="945" spans="1:29" ht="15.75" customHeight="1" x14ac:dyDescent="0.3">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row>
    <row r="946" spans="1:29" ht="15.75" customHeight="1" x14ac:dyDescent="0.3">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row>
    <row r="947" spans="1:29" ht="15.75" customHeight="1" x14ac:dyDescent="0.3">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row>
    <row r="948" spans="1:29" ht="15.75" customHeight="1" x14ac:dyDescent="0.3">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row>
    <row r="949" spans="1:29" ht="15.75" customHeight="1" x14ac:dyDescent="0.3">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row>
    <row r="950" spans="1:29" ht="15.75" customHeight="1" x14ac:dyDescent="0.3">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row>
    <row r="951" spans="1:29" ht="15.75" customHeight="1" x14ac:dyDescent="0.3">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row>
    <row r="952" spans="1:29" ht="15.75" customHeight="1" x14ac:dyDescent="0.3">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row>
    <row r="953" spans="1:29" ht="15.75" customHeight="1" x14ac:dyDescent="0.3">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row>
    <row r="954" spans="1:29" ht="15.75" customHeight="1" x14ac:dyDescent="0.3">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row>
    <row r="955" spans="1:29" ht="15.75" customHeight="1" x14ac:dyDescent="0.3">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row>
    <row r="956" spans="1:29" ht="15.75" customHeight="1" x14ac:dyDescent="0.3">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row>
    <row r="957" spans="1:29" ht="15.75" customHeight="1" x14ac:dyDescent="0.3">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row>
    <row r="958" spans="1:29" ht="15.75" customHeight="1" x14ac:dyDescent="0.3">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row>
    <row r="959" spans="1:29" ht="15.75" customHeight="1" x14ac:dyDescent="0.3">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row>
    <row r="960" spans="1:29" ht="15.75" customHeight="1" x14ac:dyDescent="0.3">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row>
    <row r="961" spans="1:29" ht="15.75" customHeight="1" x14ac:dyDescent="0.3">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row>
    <row r="962" spans="1:29" ht="15.75" customHeight="1" x14ac:dyDescent="0.3">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row>
    <row r="963" spans="1:29" ht="15.75" customHeight="1" x14ac:dyDescent="0.3">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row>
    <row r="964" spans="1:29" ht="15.75" customHeight="1" x14ac:dyDescent="0.3">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row>
    <row r="965" spans="1:29" ht="15.75" customHeight="1" x14ac:dyDescent="0.3">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row>
    <row r="966" spans="1:29" ht="15.75" customHeight="1" x14ac:dyDescent="0.3">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row>
    <row r="967" spans="1:29" ht="15.75" customHeight="1" x14ac:dyDescent="0.3">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row>
    <row r="968" spans="1:29" ht="15.75" customHeight="1" x14ac:dyDescent="0.3">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row>
    <row r="969" spans="1:29" ht="15.75" customHeight="1" x14ac:dyDescent="0.3">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row>
    <row r="970" spans="1:29" ht="15.75" customHeight="1" x14ac:dyDescent="0.3">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row>
    <row r="971" spans="1:29" ht="15.75" customHeight="1" x14ac:dyDescent="0.3">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row>
    <row r="972" spans="1:29" ht="15.75" customHeight="1" x14ac:dyDescent="0.3">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row>
    <row r="973" spans="1:29" ht="15.75" customHeight="1" x14ac:dyDescent="0.3">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row>
    <row r="974" spans="1:29" ht="15.75" customHeight="1" x14ac:dyDescent="0.3">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row>
    <row r="975" spans="1:29" ht="15.75" customHeight="1" x14ac:dyDescent="0.3">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row>
    <row r="976" spans="1:29" ht="15.75" customHeight="1" x14ac:dyDescent="0.3">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row>
    <row r="977" spans="1:29" ht="15.75" customHeight="1" x14ac:dyDescent="0.3">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row>
    <row r="978" spans="1:29" ht="15.75" customHeight="1" x14ac:dyDescent="0.3">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row>
    <row r="979" spans="1:29" ht="15.75" customHeight="1" x14ac:dyDescent="0.3">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row>
    <row r="980" spans="1:29" ht="15.75" customHeight="1" x14ac:dyDescent="0.3">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row>
    <row r="981" spans="1:29" ht="15.75" customHeight="1" x14ac:dyDescent="0.3">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row>
    <row r="982" spans="1:29" ht="15.75" customHeight="1" x14ac:dyDescent="0.3">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row>
    <row r="983" spans="1:29" ht="15.75" customHeight="1" x14ac:dyDescent="0.3">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row>
    <row r="984" spans="1:29" ht="15.75" customHeight="1" x14ac:dyDescent="0.3">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row>
    <row r="985" spans="1:29" ht="15.75" customHeight="1" x14ac:dyDescent="0.3">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row>
    <row r="986" spans="1:29" ht="15.75" customHeight="1" x14ac:dyDescent="0.3">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row>
    <row r="987" spans="1:29" ht="15.75" customHeight="1" x14ac:dyDescent="0.3">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row>
    <row r="988" spans="1:29" ht="15.75" customHeight="1" x14ac:dyDescent="0.3">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row>
    <row r="989" spans="1:29" ht="15.75" customHeight="1" x14ac:dyDescent="0.3">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row>
    <row r="990" spans="1:29" ht="15.75" customHeight="1" x14ac:dyDescent="0.3">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row>
    <row r="991" spans="1:29" ht="15.75" customHeight="1" x14ac:dyDescent="0.3">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row>
    <row r="992" spans="1:29" ht="15.75" customHeight="1" x14ac:dyDescent="0.3">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row>
    <row r="993" spans="1:29" ht="15.75" customHeight="1" x14ac:dyDescent="0.3">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row>
    <row r="994" spans="1:29" ht="15.75" customHeight="1" x14ac:dyDescent="0.3">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row>
    <row r="995" spans="1:29" ht="15.75" customHeight="1" x14ac:dyDescent="0.3">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row>
  </sheetData>
  <mergeCells count="21">
    <mergeCell ref="C6:C7"/>
    <mergeCell ref="D6:D7"/>
    <mergeCell ref="C5:H5"/>
    <mergeCell ref="E6:H6"/>
    <mergeCell ref="E39:Y39"/>
    <mergeCell ref="C37:C38"/>
    <mergeCell ref="D37:D38"/>
    <mergeCell ref="D26:D29"/>
    <mergeCell ref="D9:D17"/>
    <mergeCell ref="D19:D22"/>
    <mergeCell ref="AC36:AD37"/>
    <mergeCell ref="AC38:AC39"/>
    <mergeCell ref="AD38:AD39"/>
    <mergeCell ref="D57:D60"/>
    <mergeCell ref="D50:D53"/>
    <mergeCell ref="D40:D48"/>
    <mergeCell ref="E49:Y49"/>
    <mergeCell ref="E54:Y54"/>
    <mergeCell ref="E56:Y56"/>
    <mergeCell ref="C36:AA36"/>
    <mergeCell ref="E37:AA37"/>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vt:i4>
      </vt:variant>
    </vt:vector>
  </HeadingPairs>
  <TitlesOfParts>
    <vt:vector size="38" baseType="lpstr">
      <vt:lpstr>Rekapitulasi</vt:lpstr>
      <vt:lpstr>Resume Kondisi Sanitasi</vt:lpstr>
      <vt:lpstr>SWOT</vt:lpstr>
      <vt:lpstr>Pembobotan Analisis SWOT</vt:lpstr>
      <vt:lpstr>Data Kondisi Daerah Rencana</vt:lpstr>
      <vt:lpstr>Kriteria Zona Prioritas </vt:lpstr>
      <vt:lpstr>Proyeksi Penduduk</vt:lpstr>
      <vt:lpstr>Debit AL Domestik</vt:lpstr>
      <vt:lpstr>Proyeksi Fasum</vt:lpstr>
      <vt:lpstr>Debit AL Non Domestik</vt:lpstr>
      <vt:lpstr>Rencana Pengembangan</vt:lpstr>
      <vt:lpstr>Debit Total</vt:lpstr>
      <vt:lpstr>Diagram Alir Alternatif </vt:lpstr>
      <vt:lpstr>Scoring</vt:lpstr>
      <vt:lpstr>Removal Efficiency</vt:lpstr>
      <vt:lpstr>Mass Balance</vt:lpstr>
      <vt:lpstr>PFD</vt:lpstr>
      <vt:lpstr>Layout</vt:lpstr>
      <vt:lpstr>Diagram Alir Perencanaan Unit</vt:lpstr>
      <vt:lpstr>Preliminary Design Criteria</vt:lpstr>
      <vt:lpstr>Preliminary Sizing</vt:lpstr>
      <vt:lpstr>Primary Design Criteria</vt:lpstr>
      <vt:lpstr>Primary Sizing</vt:lpstr>
      <vt:lpstr>Secondary Design Criteria</vt:lpstr>
      <vt:lpstr>Secondary Sizing</vt:lpstr>
      <vt:lpstr>Tertiary Design Criteria</vt:lpstr>
      <vt:lpstr>Tertiary Sizing</vt:lpstr>
      <vt:lpstr>Calculation Sludge Volume</vt:lpstr>
      <vt:lpstr>Sludge Thickening Criteria</vt:lpstr>
      <vt:lpstr>Sludge Thickening Sizing</vt:lpstr>
      <vt:lpstr>Sludge Dewatering Criteria</vt:lpstr>
      <vt:lpstr>Sludge Dewatering Sizing</vt:lpstr>
      <vt:lpstr>Pompa</vt:lpstr>
      <vt:lpstr>BOQ</vt:lpstr>
      <vt:lpstr>RAB CAPEX</vt:lpstr>
      <vt:lpstr>RAB OPEX</vt:lpstr>
      <vt:lpstr>'Diagram Alir Perencanaan Unit'!Print_Area</vt:lpstr>
      <vt:lpstr>'Resume Kondisi Sanitasi'!Print_Area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AIKO SARASVATY PRABOWO</cp:lastModifiedBy>
  <cp:lastPrinted>2023-03-29T00:45:45Z</cp:lastPrinted>
  <dcterms:created xsi:type="dcterms:W3CDTF">2023-03-21T00:31:45Z</dcterms:created>
  <dcterms:modified xsi:type="dcterms:W3CDTF">2024-07-21T14:12:01Z</dcterms:modified>
</cp:coreProperties>
</file>