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reg_\Documents\Omega\"/>
    </mc:Choice>
  </mc:AlternateContent>
  <xr:revisionPtr revIDLastSave="0" documentId="13_ncr:1_{A259855B-1326-4FCF-AE56-C05AD324978C}" xr6:coauthVersionLast="47" xr6:coauthVersionMax="47" xr10:uidLastSave="{00000000-0000-0000-0000-000000000000}"/>
  <bookViews>
    <workbookView xWindow="11832" yWindow="372" windowWidth="24768" windowHeight="16032" xr2:uid="{E089F60A-A28D-4566-9E98-6B366C13CDF9}"/>
  </bookViews>
  <sheets>
    <sheet name="About" sheetId="3" r:id="rId1"/>
    <sheet name="Calc" sheetId="1" r:id="rId2"/>
    <sheet name="Config" sheetId="2" r:id="rId3"/>
  </sheets>
  <definedNames>
    <definedName name="CALCDATE">Calc!$M$3</definedName>
    <definedName name="EIR">Config!$B$13</definedName>
    <definedName name="LGD">Config!$B$12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" i="1" l="1"/>
  <c r="B116" i="1"/>
  <c r="B115" i="1"/>
  <c r="B106" i="1"/>
  <c r="B105" i="1"/>
  <c r="A119" i="1"/>
  <c r="A118" i="1"/>
  <c r="A117" i="1"/>
  <c r="A116" i="1"/>
  <c r="A115" i="1"/>
  <c r="A109" i="1"/>
  <c r="A108" i="1"/>
  <c r="A107" i="1"/>
  <c r="A106" i="1"/>
  <c r="A105" i="1"/>
  <c r="C10" i="1"/>
  <c r="A54" i="1"/>
  <c r="A46" i="1"/>
  <c r="E40" i="1"/>
  <c r="E48" i="1" s="1"/>
  <c r="E56" i="1" s="1"/>
  <c r="F40" i="1"/>
  <c r="F48" i="1" s="1"/>
  <c r="F56" i="1" s="1"/>
  <c r="G40" i="1"/>
  <c r="G48" i="1" s="1"/>
  <c r="G56" i="1" s="1"/>
  <c r="D41" i="1"/>
  <c r="D49" i="1" s="1"/>
  <c r="D57" i="1" s="1"/>
  <c r="F41" i="1"/>
  <c r="F49" i="1" s="1"/>
  <c r="F57" i="1" s="1"/>
  <c r="G41" i="1"/>
  <c r="G49" i="1" s="1"/>
  <c r="G57" i="1" s="1"/>
  <c r="D42" i="1"/>
  <c r="D50" i="1" s="1"/>
  <c r="D58" i="1" s="1"/>
  <c r="E42" i="1"/>
  <c r="E50" i="1" s="1"/>
  <c r="E58" i="1" s="1"/>
  <c r="G42" i="1"/>
  <c r="G50" i="1" s="1"/>
  <c r="G58" i="1" s="1"/>
  <c r="D43" i="1"/>
  <c r="D51" i="1" s="1"/>
  <c r="D59" i="1" s="1"/>
  <c r="E43" i="1"/>
  <c r="E51" i="1" s="1"/>
  <c r="E59" i="1" s="1"/>
  <c r="F43" i="1"/>
  <c r="F51" i="1" s="1"/>
  <c r="F59" i="1" s="1"/>
  <c r="D44" i="1"/>
  <c r="E44" i="1"/>
  <c r="F44" i="1"/>
  <c r="G44" i="1"/>
  <c r="A38" i="1"/>
  <c r="E5" i="2"/>
  <c r="E6" i="2"/>
  <c r="E7" i="2"/>
  <c r="E8" i="2"/>
  <c r="E9" i="2"/>
  <c r="E4" i="2"/>
  <c r="C16" i="1"/>
  <c r="C13" i="1"/>
  <c r="A99" i="1"/>
  <c r="A98" i="1"/>
  <c r="A97" i="1"/>
  <c r="A96" i="1"/>
  <c r="A95" i="1"/>
  <c r="C28" i="1"/>
  <c r="C44" i="1" s="1"/>
  <c r="B28" i="1"/>
  <c r="A16" i="1"/>
  <c r="A15" i="1"/>
  <c r="A14" i="1"/>
  <c r="A13" i="1"/>
  <c r="B27" i="1"/>
  <c r="B26" i="1"/>
  <c r="B25" i="1"/>
  <c r="B24" i="1"/>
  <c r="M3" i="1"/>
  <c r="L3" i="1" s="1"/>
  <c r="K3" i="1" s="1"/>
  <c r="J3" i="1" s="1"/>
  <c r="I3" i="1" s="1"/>
  <c r="H3" i="1" s="1"/>
  <c r="G3" i="1" s="1"/>
  <c r="F3" i="1" s="1"/>
  <c r="E3" i="1" s="1"/>
  <c r="D3" i="1" s="1"/>
  <c r="C3" i="1" s="1"/>
  <c r="B3" i="1" s="1"/>
  <c r="H10" i="1"/>
  <c r="B84" i="1" l="1"/>
  <c r="B74" i="1"/>
  <c r="D10" i="1"/>
  <c r="B64" i="1"/>
  <c r="G3" i="2" a="1"/>
  <c r="G10" i="1"/>
  <c r="G16" i="1"/>
  <c r="C23" i="1" a="1"/>
  <c r="C23" i="1" s="1"/>
  <c r="C15" i="1"/>
  <c r="D13" i="1"/>
  <c r="C14" i="1"/>
  <c r="I10" i="1"/>
  <c r="C84" i="1" l="1"/>
  <c r="D84" i="1" s="1"/>
  <c r="E84" i="1" s="1"/>
  <c r="F84" i="1" s="1"/>
  <c r="G84" i="1" s="1"/>
  <c r="H84" i="1" s="1"/>
  <c r="I84" i="1" s="1"/>
  <c r="J84" i="1" s="1"/>
  <c r="K84" i="1" s="1"/>
  <c r="L84" i="1" s="1"/>
  <c r="M84" i="1" s="1"/>
  <c r="N84" i="1" s="1"/>
  <c r="B114" i="1"/>
  <c r="C114" i="1" s="1"/>
  <c r="D114" i="1" s="1"/>
  <c r="E114" i="1" s="1"/>
  <c r="F114" i="1" s="1"/>
  <c r="G114" i="1" s="1"/>
  <c r="H114" i="1" s="1"/>
  <c r="I114" i="1" s="1"/>
  <c r="J114" i="1" s="1"/>
  <c r="K114" i="1" s="1"/>
  <c r="L114" i="1" s="1"/>
  <c r="M114" i="1" s="1"/>
  <c r="N114" i="1" s="1"/>
  <c r="O114" i="1" s="1"/>
  <c r="P114" i="1" s="1"/>
  <c r="Q114" i="1" s="1"/>
  <c r="R114" i="1" s="1"/>
  <c r="S114" i="1" s="1"/>
  <c r="C74" i="1"/>
  <c r="D74" i="1" s="1"/>
  <c r="E74" i="1" s="1"/>
  <c r="F74" i="1" s="1"/>
  <c r="G74" i="1" s="1"/>
  <c r="H74" i="1" s="1"/>
  <c r="I74" i="1" s="1"/>
  <c r="J74" i="1" s="1"/>
  <c r="K74" i="1" s="1"/>
  <c r="L74" i="1" s="1"/>
  <c r="M74" i="1" s="1"/>
  <c r="N74" i="1" s="1"/>
  <c r="B104" i="1"/>
  <c r="C104" i="1" s="1"/>
  <c r="D104" i="1" s="1"/>
  <c r="E104" i="1" s="1"/>
  <c r="F104" i="1" s="1"/>
  <c r="G104" i="1" s="1"/>
  <c r="H104" i="1" s="1"/>
  <c r="I104" i="1" s="1"/>
  <c r="J104" i="1" s="1"/>
  <c r="K104" i="1" s="1"/>
  <c r="L104" i="1" s="1"/>
  <c r="M104" i="1" s="1"/>
  <c r="N104" i="1" s="1"/>
  <c r="O104" i="1" s="1"/>
  <c r="P104" i="1" s="1"/>
  <c r="Q104" i="1" s="1"/>
  <c r="R104" i="1" s="1"/>
  <c r="S104" i="1" s="1"/>
  <c r="D16" i="1"/>
  <c r="E10" i="1"/>
  <c r="H3" i="2"/>
  <c r="G3" i="2"/>
  <c r="I3" i="2"/>
  <c r="D15" i="1"/>
  <c r="F15" i="1"/>
  <c r="E14" i="1"/>
  <c r="E23" i="1"/>
  <c r="F23" i="1"/>
  <c r="G23" i="1"/>
  <c r="D23" i="1"/>
  <c r="C64" i="1"/>
  <c r="D64" i="1" s="1"/>
  <c r="E64" i="1" s="1"/>
  <c r="F64" i="1" s="1"/>
  <c r="G64" i="1" s="1"/>
  <c r="H64" i="1" s="1"/>
  <c r="I64" i="1" s="1"/>
  <c r="J64" i="1" s="1"/>
  <c r="K64" i="1" s="1"/>
  <c r="L64" i="1" s="1"/>
  <c r="M64" i="1" s="1"/>
  <c r="N64" i="1" s="1"/>
  <c r="B94" i="1"/>
  <c r="C94" i="1" s="1"/>
  <c r="D94" i="1" s="1"/>
  <c r="E94" i="1" s="1"/>
  <c r="F94" i="1" s="1"/>
  <c r="G94" i="1" s="1"/>
  <c r="H94" i="1" s="1"/>
  <c r="I94" i="1" s="1"/>
  <c r="J94" i="1" s="1"/>
  <c r="K94" i="1" s="1"/>
  <c r="L94" i="1" s="1"/>
  <c r="M94" i="1" s="1"/>
  <c r="N94" i="1" s="1"/>
  <c r="O94" i="1" s="1"/>
  <c r="P94" i="1" s="1"/>
  <c r="Q94" i="1" s="1"/>
  <c r="R94" i="1" s="1"/>
  <c r="S94" i="1" s="1"/>
  <c r="D14" i="1"/>
  <c r="J10" i="1"/>
  <c r="E16" i="1" l="1"/>
  <c r="F10" i="1"/>
  <c r="D33" i="1"/>
  <c r="E33" i="1" s="1"/>
  <c r="D32" i="1"/>
  <c r="E32" i="1" s="1"/>
  <c r="D34" i="1"/>
  <c r="E34" i="1" s="1"/>
  <c r="K5" i="2"/>
  <c r="L5" i="2" s="1"/>
  <c r="K6" i="2"/>
  <c r="L6" i="2" s="1"/>
  <c r="K7" i="2"/>
  <c r="L7" i="2" s="1"/>
  <c r="K4" i="2"/>
  <c r="L4" i="2" s="1"/>
  <c r="K8" i="2"/>
  <c r="L8" i="2" s="1"/>
  <c r="K9" i="2"/>
  <c r="L9" i="2" s="1"/>
  <c r="E13" i="1"/>
  <c r="E15" i="1"/>
  <c r="K10" i="1"/>
  <c r="F16" i="1" l="1"/>
  <c r="F14" i="1"/>
  <c r="F13" i="1"/>
  <c r="L10" i="1"/>
  <c r="G13" i="1" l="1"/>
  <c r="G14" i="1"/>
  <c r="G15" i="1"/>
  <c r="M10" i="1"/>
  <c r="B12" i="2" s="1"/>
  <c r="C90" i="1" l="1"/>
  <c r="C91" i="1" s="1"/>
  <c r="C80" i="1"/>
  <c r="C70" i="1"/>
  <c r="H16" i="1"/>
  <c r="H13" i="1"/>
  <c r="I16" i="1"/>
  <c r="H15" i="1"/>
  <c r="H14" i="1"/>
  <c r="B99" i="1"/>
  <c r="C81" i="1" l="1"/>
  <c r="C71" i="1"/>
  <c r="C100" i="1"/>
  <c r="B109" i="1"/>
  <c r="I13" i="1"/>
  <c r="J16" i="1"/>
  <c r="I15" i="1"/>
  <c r="I14" i="1"/>
  <c r="C101" i="1" l="1"/>
  <c r="C110" i="1"/>
  <c r="C111" i="1" s="1"/>
  <c r="B119" i="1"/>
  <c r="C120" i="1" s="1"/>
  <c r="C121" i="1" s="1"/>
  <c r="J14" i="1"/>
  <c r="J13" i="1"/>
  <c r="K16" i="1"/>
  <c r="J15" i="1"/>
  <c r="B127" i="1"/>
  <c r="K13" i="1" l="1"/>
  <c r="K14" i="1"/>
  <c r="K15" i="1"/>
  <c r="B126" i="1" l="1"/>
  <c r="L16" i="1"/>
  <c r="L13" i="1"/>
  <c r="M16" i="1"/>
  <c r="L15" i="1"/>
  <c r="L14" i="1"/>
  <c r="B128" i="1" l="1"/>
  <c r="B65" i="1"/>
  <c r="B75" i="1" s="1"/>
  <c r="B85" i="1" s="1"/>
  <c r="G27" i="1"/>
  <c r="M13" i="1"/>
  <c r="D24" i="1" s="1"/>
  <c r="B66" i="1"/>
  <c r="B76" i="1" s="1"/>
  <c r="M15" i="1"/>
  <c r="B98" i="1"/>
  <c r="B108" i="1" s="1"/>
  <c r="B118" i="1" s="1"/>
  <c r="M14" i="1"/>
  <c r="E25" i="1" s="1"/>
  <c r="B97" i="1"/>
  <c r="B107" i="1" s="1"/>
  <c r="B117" i="1" l="1"/>
  <c r="B86" i="1"/>
  <c r="F26" i="1"/>
  <c r="C26" i="1" s="1"/>
  <c r="C42" i="1" s="1"/>
  <c r="C50" i="1" s="1"/>
  <c r="C58" i="1" s="1"/>
  <c r="C27" i="1"/>
  <c r="C43" i="1" s="1"/>
  <c r="C51" i="1" s="1"/>
  <c r="C59" i="1" s="1"/>
  <c r="G43" i="1"/>
  <c r="G51" i="1" s="1"/>
  <c r="G59" i="1" s="1"/>
  <c r="C24" i="1"/>
  <c r="C25" i="1"/>
  <c r="C41" i="1" s="1"/>
  <c r="E41" i="1"/>
  <c r="E49" i="1" s="1"/>
  <c r="E57" i="1" s="1"/>
  <c r="C49" i="1" l="1"/>
  <c r="D56" i="1"/>
  <c r="D40" i="1"/>
  <c r="F42" i="1"/>
  <c r="F50" i="1" s="1"/>
  <c r="C57" i="1" l="1"/>
  <c r="C95" i="1" a="1"/>
  <c r="D48" i="1"/>
  <c r="C75" i="1" s="1" a="1"/>
  <c r="C76" i="1" s="1"/>
  <c r="F58" i="1"/>
  <c r="C65" i="1" a="1"/>
  <c r="C67" i="1" s="1"/>
  <c r="C105" i="1" l="1" a="1"/>
  <c r="C105" i="1" s="1"/>
  <c r="C115" i="1" a="1"/>
  <c r="C116" i="1" s="1"/>
  <c r="C95" i="1"/>
  <c r="C96" i="1"/>
  <c r="C98" i="1"/>
  <c r="C99" i="1"/>
  <c r="C97" i="1"/>
  <c r="C85" i="1" a="1"/>
  <c r="C89" i="1" s="1"/>
  <c r="C77" i="1"/>
  <c r="C79" i="1"/>
  <c r="C75" i="1"/>
  <c r="C78" i="1"/>
  <c r="C69" i="1"/>
  <c r="C68" i="1"/>
  <c r="C65" i="1"/>
  <c r="C66" i="1"/>
  <c r="D100" i="1" l="1"/>
  <c r="C109" i="1"/>
  <c r="C108" i="1"/>
  <c r="C107" i="1"/>
  <c r="C106" i="1"/>
  <c r="D90" i="1"/>
  <c r="D91" i="1" s="1"/>
  <c r="D80" i="1"/>
  <c r="D70" i="1"/>
  <c r="C115" i="1"/>
  <c r="C119" i="1"/>
  <c r="C118" i="1"/>
  <c r="C117" i="1"/>
  <c r="D95" i="1" a="1"/>
  <c r="D98" i="1" s="1"/>
  <c r="C87" i="1"/>
  <c r="C86" i="1"/>
  <c r="C85" i="1"/>
  <c r="C88" i="1"/>
  <c r="D75" i="1" a="1"/>
  <c r="D79" i="1" s="1"/>
  <c r="E80" i="1" s="1"/>
  <c r="E81" i="1" s="1"/>
  <c r="D65" i="1" a="1"/>
  <c r="D69" i="1" s="1"/>
  <c r="E70" i="1" s="1"/>
  <c r="E71" i="1" s="1"/>
  <c r="D120" i="1" l="1"/>
  <c r="D121" i="1" s="1"/>
  <c r="D110" i="1"/>
  <c r="D111" i="1" s="1"/>
  <c r="D101" i="1"/>
  <c r="D105" i="1" a="1"/>
  <c r="D107" i="1" s="1"/>
  <c r="D81" i="1"/>
  <c r="D71" i="1"/>
  <c r="D115" i="1" a="1"/>
  <c r="D96" i="1"/>
  <c r="D97" i="1"/>
  <c r="D99" i="1"/>
  <c r="D95" i="1"/>
  <c r="D85" i="1" a="1"/>
  <c r="D87" i="1" s="1"/>
  <c r="D76" i="1"/>
  <c r="D78" i="1"/>
  <c r="D75" i="1"/>
  <c r="D77" i="1"/>
  <c r="D65" i="1"/>
  <c r="D68" i="1"/>
  <c r="D67" i="1"/>
  <c r="D66" i="1"/>
  <c r="E100" i="1" l="1"/>
  <c r="D108" i="1"/>
  <c r="D106" i="1"/>
  <c r="D105" i="1"/>
  <c r="D109" i="1"/>
  <c r="D115" i="1"/>
  <c r="D119" i="1"/>
  <c r="D117" i="1"/>
  <c r="D116" i="1"/>
  <c r="D118" i="1"/>
  <c r="E95" i="1" a="1"/>
  <c r="D88" i="1"/>
  <c r="D89" i="1"/>
  <c r="D85" i="1"/>
  <c r="D86" i="1"/>
  <c r="E75" i="1" a="1"/>
  <c r="E65" i="1" a="1"/>
  <c r="E69" i="1" s="1"/>
  <c r="E120" i="1" l="1"/>
  <c r="E121" i="1" s="1"/>
  <c r="E110" i="1"/>
  <c r="E111" i="1" s="1"/>
  <c r="E101" i="1"/>
  <c r="E105" i="1" a="1"/>
  <c r="E107" i="1" s="1"/>
  <c r="E90" i="1"/>
  <c r="E91" i="1" s="1"/>
  <c r="F70" i="1"/>
  <c r="E115" i="1" a="1"/>
  <c r="E99" i="1"/>
  <c r="E98" i="1"/>
  <c r="E97" i="1"/>
  <c r="E96" i="1"/>
  <c r="E95" i="1"/>
  <c r="E85" i="1" a="1"/>
  <c r="E85" i="1" s="1"/>
  <c r="E77" i="1"/>
  <c r="E75" i="1"/>
  <c r="E79" i="1"/>
  <c r="E76" i="1"/>
  <c r="E78" i="1"/>
  <c r="E68" i="1"/>
  <c r="E66" i="1"/>
  <c r="E65" i="1"/>
  <c r="E67" i="1"/>
  <c r="F100" i="1" l="1"/>
  <c r="E108" i="1"/>
  <c r="E109" i="1"/>
  <c r="E106" i="1"/>
  <c r="E105" i="1"/>
  <c r="F80" i="1"/>
  <c r="F71" i="1"/>
  <c r="E119" i="1"/>
  <c r="E117" i="1"/>
  <c r="E116" i="1"/>
  <c r="E115" i="1"/>
  <c r="E118" i="1"/>
  <c r="F95" i="1" a="1"/>
  <c r="F97" i="1" s="1"/>
  <c r="E89" i="1"/>
  <c r="E87" i="1"/>
  <c r="E88" i="1"/>
  <c r="E86" i="1"/>
  <c r="F75" i="1" a="1"/>
  <c r="F65" i="1" a="1"/>
  <c r="F67" i="1" s="1"/>
  <c r="F120" i="1" l="1"/>
  <c r="F121" i="1" s="1"/>
  <c r="F110" i="1"/>
  <c r="F111" i="1" s="1"/>
  <c r="F101" i="1"/>
  <c r="F105" i="1" a="1"/>
  <c r="F109" i="1" s="1"/>
  <c r="G110" i="1" s="1"/>
  <c r="G111" i="1" s="1"/>
  <c r="F90" i="1"/>
  <c r="F91" i="1" s="1"/>
  <c r="F81" i="1"/>
  <c r="F115" i="1" a="1"/>
  <c r="F119" i="1" s="1"/>
  <c r="F95" i="1"/>
  <c r="F98" i="1"/>
  <c r="F99" i="1"/>
  <c r="G100" i="1" s="1"/>
  <c r="G101" i="1" s="1"/>
  <c r="F96" i="1"/>
  <c r="F85" i="1" a="1"/>
  <c r="F85" i="1" s="1"/>
  <c r="F77" i="1"/>
  <c r="F78" i="1"/>
  <c r="F79" i="1"/>
  <c r="F75" i="1"/>
  <c r="F76" i="1"/>
  <c r="F69" i="1"/>
  <c r="F68" i="1"/>
  <c r="F65" i="1"/>
  <c r="F66" i="1"/>
  <c r="F107" i="1" l="1"/>
  <c r="F106" i="1"/>
  <c r="F105" i="1"/>
  <c r="F108" i="1"/>
  <c r="G80" i="1"/>
  <c r="G70" i="1"/>
  <c r="F115" i="1"/>
  <c r="F116" i="1"/>
  <c r="F117" i="1"/>
  <c r="F118" i="1"/>
  <c r="G120" i="1"/>
  <c r="G121" i="1" s="1"/>
  <c r="G95" i="1" a="1"/>
  <c r="G99" i="1" s="1"/>
  <c r="H100" i="1" s="1"/>
  <c r="H101" i="1" s="1"/>
  <c r="F88" i="1"/>
  <c r="F89" i="1"/>
  <c r="F86" i="1"/>
  <c r="F87" i="1"/>
  <c r="G75" i="1" a="1"/>
  <c r="G65" i="1" a="1"/>
  <c r="G69" i="1" s="1"/>
  <c r="H70" i="1" s="1"/>
  <c r="H71" i="1" s="1"/>
  <c r="G105" i="1" l="1" a="1"/>
  <c r="G109" i="1" s="1"/>
  <c r="H110" i="1" s="1"/>
  <c r="H111" i="1" s="1"/>
  <c r="G90" i="1"/>
  <c r="G91" i="1" s="1"/>
  <c r="G81" i="1"/>
  <c r="G71" i="1"/>
  <c r="G115" i="1" a="1"/>
  <c r="G85" i="1" a="1"/>
  <c r="G86" i="1" s="1"/>
  <c r="G96" i="1"/>
  <c r="G97" i="1"/>
  <c r="G95" i="1"/>
  <c r="G98" i="1"/>
  <c r="G77" i="1"/>
  <c r="G76" i="1"/>
  <c r="G75" i="1"/>
  <c r="G78" i="1"/>
  <c r="G79" i="1"/>
  <c r="G68" i="1"/>
  <c r="G66" i="1"/>
  <c r="G67" i="1"/>
  <c r="G65" i="1"/>
  <c r="G105" i="1" l="1"/>
  <c r="G107" i="1"/>
  <c r="G106" i="1"/>
  <c r="G108" i="1"/>
  <c r="H80" i="1"/>
  <c r="G117" i="1"/>
  <c r="G119" i="1"/>
  <c r="H120" i="1" s="1"/>
  <c r="H121" i="1" s="1"/>
  <c r="G118" i="1"/>
  <c r="G116" i="1"/>
  <c r="G115" i="1"/>
  <c r="G87" i="1"/>
  <c r="G89" i="1"/>
  <c r="G85" i="1"/>
  <c r="G88" i="1"/>
  <c r="H95" i="1" a="1"/>
  <c r="H98" i="1" s="1"/>
  <c r="H75" i="1" a="1"/>
  <c r="H77" i="1" s="1"/>
  <c r="H65" i="1" a="1"/>
  <c r="H68" i="1" s="1"/>
  <c r="H105" i="1" l="1" a="1"/>
  <c r="H109" i="1" s="1"/>
  <c r="I110" i="1" s="1"/>
  <c r="I111" i="1" s="1"/>
  <c r="H90" i="1"/>
  <c r="H91" i="1" s="1"/>
  <c r="H81" i="1"/>
  <c r="H115" i="1" a="1"/>
  <c r="H118" i="1" s="1"/>
  <c r="H85" i="1" a="1"/>
  <c r="H86" i="1" s="1"/>
  <c r="H99" i="1"/>
  <c r="I100" i="1" s="1"/>
  <c r="H95" i="1"/>
  <c r="H96" i="1"/>
  <c r="H97" i="1"/>
  <c r="H79" i="1"/>
  <c r="I80" i="1" s="1"/>
  <c r="I81" i="1" s="1"/>
  <c r="H75" i="1"/>
  <c r="H76" i="1"/>
  <c r="H78" i="1"/>
  <c r="H69" i="1"/>
  <c r="I70" i="1" s="1"/>
  <c r="H65" i="1"/>
  <c r="H67" i="1"/>
  <c r="H66" i="1"/>
  <c r="I101" i="1" l="1"/>
  <c r="H106" i="1"/>
  <c r="H105" i="1"/>
  <c r="H107" i="1"/>
  <c r="H108" i="1"/>
  <c r="I71" i="1"/>
  <c r="H119" i="1"/>
  <c r="I120" i="1" s="1"/>
  <c r="I121" i="1" s="1"/>
  <c r="H115" i="1"/>
  <c r="H116" i="1"/>
  <c r="H117" i="1"/>
  <c r="H89" i="1"/>
  <c r="I90" i="1" s="1"/>
  <c r="I91" i="1" s="1"/>
  <c r="H85" i="1"/>
  <c r="H87" i="1"/>
  <c r="H88" i="1"/>
  <c r="I95" i="1" a="1"/>
  <c r="I98" i="1" s="1"/>
  <c r="I75" i="1" a="1"/>
  <c r="I78" i="1" s="1"/>
  <c r="I65" i="1" a="1"/>
  <c r="I67" i="1" s="1"/>
  <c r="I105" i="1" l="1" a="1"/>
  <c r="I109" i="1" s="1"/>
  <c r="J110" i="1" s="1"/>
  <c r="J111" i="1" s="1"/>
  <c r="I115" i="1" a="1"/>
  <c r="I116" i="1" s="1"/>
  <c r="I85" i="1" a="1"/>
  <c r="I89" i="1" s="1"/>
  <c r="J90" i="1" s="1"/>
  <c r="J91" i="1" s="1"/>
  <c r="I99" i="1"/>
  <c r="J100" i="1" s="1"/>
  <c r="J101" i="1" s="1"/>
  <c r="I95" i="1"/>
  <c r="I97" i="1"/>
  <c r="I96" i="1"/>
  <c r="I76" i="1"/>
  <c r="I75" i="1"/>
  <c r="I77" i="1"/>
  <c r="I79" i="1"/>
  <c r="J80" i="1" s="1"/>
  <c r="J81" i="1" s="1"/>
  <c r="I69" i="1"/>
  <c r="J70" i="1" s="1"/>
  <c r="J71" i="1" s="1"/>
  <c r="I68" i="1"/>
  <c r="I66" i="1"/>
  <c r="I65" i="1"/>
  <c r="I107" i="1" l="1"/>
  <c r="I106" i="1"/>
  <c r="I108" i="1"/>
  <c r="I105" i="1"/>
  <c r="I115" i="1"/>
  <c r="I119" i="1"/>
  <c r="J120" i="1" s="1"/>
  <c r="J121" i="1" s="1"/>
  <c r="I117" i="1"/>
  <c r="I118" i="1"/>
  <c r="I87" i="1"/>
  <c r="I86" i="1"/>
  <c r="I85" i="1"/>
  <c r="I88" i="1"/>
  <c r="J95" i="1" a="1"/>
  <c r="J99" i="1" s="1"/>
  <c r="K100" i="1" s="1"/>
  <c r="K101" i="1" s="1"/>
  <c r="J75" i="1" a="1"/>
  <c r="J75" i="1" s="1"/>
  <c r="J65" i="1" a="1"/>
  <c r="J66" i="1" s="1"/>
  <c r="J105" i="1" l="1" a="1"/>
  <c r="J109" i="1" s="1"/>
  <c r="K110" i="1" s="1"/>
  <c r="K111" i="1" s="1"/>
  <c r="J115" i="1" a="1"/>
  <c r="J119" i="1" s="1"/>
  <c r="K120" i="1" s="1"/>
  <c r="K121" i="1" s="1"/>
  <c r="J85" i="1" a="1"/>
  <c r="J88" i="1" s="1"/>
  <c r="J98" i="1"/>
  <c r="J95" i="1"/>
  <c r="J97" i="1"/>
  <c r="J96" i="1"/>
  <c r="J77" i="1"/>
  <c r="J79" i="1"/>
  <c r="K80" i="1" s="1"/>
  <c r="K81" i="1" s="1"/>
  <c r="J76" i="1"/>
  <c r="J78" i="1"/>
  <c r="J69" i="1"/>
  <c r="K70" i="1" s="1"/>
  <c r="K71" i="1" s="1"/>
  <c r="J68" i="1"/>
  <c r="J65" i="1"/>
  <c r="J67" i="1"/>
  <c r="J108" i="1" l="1"/>
  <c r="J105" i="1"/>
  <c r="J106" i="1"/>
  <c r="J107" i="1"/>
  <c r="J117" i="1"/>
  <c r="J115" i="1"/>
  <c r="J118" i="1"/>
  <c r="J116" i="1"/>
  <c r="J89" i="1"/>
  <c r="K90" i="1" s="1"/>
  <c r="K91" i="1" s="1"/>
  <c r="J87" i="1"/>
  <c r="J86" i="1"/>
  <c r="J85" i="1"/>
  <c r="K95" i="1" a="1"/>
  <c r="K96" i="1" s="1"/>
  <c r="K75" i="1" a="1"/>
  <c r="K76" i="1" s="1"/>
  <c r="K65" i="1" a="1"/>
  <c r="K65" i="1" s="1"/>
  <c r="K105" i="1" l="1" a="1"/>
  <c r="K107" i="1" s="1"/>
  <c r="K115" i="1" a="1"/>
  <c r="K116" i="1" s="1"/>
  <c r="K85" i="1" a="1"/>
  <c r="K87" i="1" s="1"/>
  <c r="K99" i="1"/>
  <c r="L100" i="1" s="1"/>
  <c r="L101" i="1" s="1"/>
  <c r="K98" i="1"/>
  <c r="K95" i="1"/>
  <c r="K97" i="1"/>
  <c r="K79" i="1"/>
  <c r="L80" i="1" s="1"/>
  <c r="L81" i="1" s="1"/>
  <c r="K75" i="1"/>
  <c r="K77" i="1"/>
  <c r="K78" i="1"/>
  <c r="K67" i="1"/>
  <c r="K69" i="1"/>
  <c r="L70" i="1" s="1"/>
  <c r="L71" i="1" s="1"/>
  <c r="K68" i="1"/>
  <c r="K66" i="1"/>
  <c r="K109" i="1" l="1"/>
  <c r="L110" i="1" s="1"/>
  <c r="L111" i="1" s="1"/>
  <c r="K105" i="1"/>
  <c r="K108" i="1"/>
  <c r="K106" i="1"/>
  <c r="K115" i="1"/>
  <c r="K118" i="1"/>
  <c r="K117" i="1"/>
  <c r="K119" i="1"/>
  <c r="L120" i="1" s="1"/>
  <c r="L121" i="1" s="1"/>
  <c r="K89" i="1"/>
  <c r="L90" i="1" s="1"/>
  <c r="L91" i="1" s="1"/>
  <c r="K88" i="1"/>
  <c r="K86" i="1"/>
  <c r="K85" i="1"/>
  <c r="L95" i="1" a="1"/>
  <c r="L97" i="1" s="1"/>
  <c r="L75" i="1" a="1"/>
  <c r="L77" i="1" s="1"/>
  <c r="L65" i="1" a="1"/>
  <c r="L105" i="1" l="1" a="1"/>
  <c r="L108" i="1" s="1"/>
  <c r="L115" i="1" a="1"/>
  <c r="L118" i="1" s="1"/>
  <c r="L85" i="1" a="1"/>
  <c r="L89" i="1" s="1"/>
  <c r="M90" i="1" s="1"/>
  <c r="M91" i="1" s="1"/>
  <c r="L95" i="1"/>
  <c r="L96" i="1"/>
  <c r="L98" i="1"/>
  <c r="L99" i="1"/>
  <c r="M100" i="1" s="1"/>
  <c r="M101" i="1" s="1"/>
  <c r="L78" i="1"/>
  <c r="L79" i="1"/>
  <c r="M80" i="1" s="1"/>
  <c r="M81" i="1" s="1"/>
  <c r="L76" i="1"/>
  <c r="L75" i="1"/>
  <c r="L68" i="1"/>
  <c r="L66" i="1"/>
  <c r="L69" i="1"/>
  <c r="M70" i="1" s="1"/>
  <c r="M71" i="1" s="1"/>
  <c r="L65" i="1"/>
  <c r="L67" i="1"/>
  <c r="L105" i="1" l="1"/>
  <c r="L107" i="1"/>
  <c r="L106" i="1"/>
  <c r="L109" i="1"/>
  <c r="M110" i="1" s="1"/>
  <c r="M111" i="1" s="1"/>
  <c r="L116" i="1"/>
  <c r="L115" i="1"/>
  <c r="L119" i="1"/>
  <c r="M120" i="1" s="1"/>
  <c r="M121" i="1" s="1"/>
  <c r="L117" i="1"/>
  <c r="L86" i="1"/>
  <c r="L85" i="1"/>
  <c r="L87" i="1"/>
  <c r="L88" i="1"/>
  <c r="M95" i="1" a="1"/>
  <c r="M99" i="1" s="1"/>
  <c r="N100" i="1" s="1"/>
  <c r="N101" i="1" s="1"/>
  <c r="M75" i="1" a="1"/>
  <c r="M79" i="1" s="1"/>
  <c r="N80" i="1" s="1"/>
  <c r="M65" i="1" a="1"/>
  <c r="M105" i="1" l="1" a="1"/>
  <c r="M105" i="1" s="1"/>
  <c r="M115" i="1" a="1"/>
  <c r="M115" i="1" s="1"/>
  <c r="N81" i="1"/>
  <c r="M85" i="1" a="1"/>
  <c r="M87" i="1" s="1"/>
  <c r="M96" i="1"/>
  <c r="M95" i="1"/>
  <c r="M98" i="1"/>
  <c r="M97" i="1"/>
  <c r="M76" i="1"/>
  <c r="M77" i="1"/>
  <c r="M75" i="1"/>
  <c r="M78" i="1"/>
  <c r="M68" i="1"/>
  <c r="M69" i="1"/>
  <c r="N70" i="1" s="1"/>
  <c r="M65" i="1"/>
  <c r="M66" i="1"/>
  <c r="M67" i="1"/>
  <c r="G126" i="1" l="1"/>
  <c r="M106" i="1"/>
  <c r="M107" i="1"/>
  <c r="M109" i="1"/>
  <c r="N110" i="1" s="1"/>
  <c r="N111" i="1" s="1"/>
  <c r="M108" i="1"/>
  <c r="M116" i="1"/>
  <c r="M118" i="1"/>
  <c r="M117" i="1"/>
  <c r="M119" i="1"/>
  <c r="N120" i="1" s="1"/>
  <c r="N121" i="1" s="1"/>
  <c r="N71" i="1"/>
  <c r="M85" i="1"/>
  <c r="M88" i="1"/>
  <c r="M86" i="1"/>
  <c r="M89" i="1"/>
  <c r="N90" i="1" s="1"/>
  <c r="N91" i="1" s="1"/>
  <c r="J126" i="1" s="1"/>
  <c r="K126" i="1" s="1"/>
  <c r="N95" i="1" a="1"/>
  <c r="N98" i="1" s="1"/>
  <c r="N75" i="1" a="1"/>
  <c r="N78" i="1" s="1"/>
  <c r="N65" i="1" a="1"/>
  <c r="D126" i="1" l="1"/>
  <c r="H126" i="1"/>
  <c r="N105" i="1" a="1"/>
  <c r="N105" i="1" s="1"/>
  <c r="N115" i="1" a="1"/>
  <c r="N119" i="1" s="1"/>
  <c r="O120" i="1" s="1"/>
  <c r="O121" i="1" s="1"/>
  <c r="N85" i="1" a="1"/>
  <c r="N88" i="1" s="1"/>
  <c r="N99" i="1"/>
  <c r="O100" i="1" s="1"/>
  <c r="N95" i="1"/>
  <c r="N96" i="1"/>
  <c r="N97" i="1"/>
  <c r="N77" i="1"/>
  <c r="N76" i="1"/>
  <c r="N79" i="1"/>
  <c r="F126" i="1" s="1"/>
  <c r="N75" i="1"/>
  <c r="N66" i="1"/>
  <c r="N67" i="1"/>
  <c r="N68" i="1"/>
  <c r="N65" i="1"/>
  <c r="N69" i="1"/>
  <c r="C126" i="1" s="1"/>
  <c r="E126" i="1" l="1"/>
  <c r="L126" i="1"/>
  <c r="M126" i="1" s="1"/>
  <c r="N108" i="1"/>
  <c r="N109" i="1"/>
  <c r="O110" i="1" s="1"/>
  <c r="O111" i="1" s="1"/>
  <c r="N107" i="1"/>
  <c r="N106" i="1"/>
  <c r="N117" i="1"/>
  <c r="N118" i="1"/>
  <c r="N116" i="1"/>
  <c r="N115" i="1"/>
  <c r="O101" i="1"/>
  <c r="O95" i="1" a="1"/>
  <c r="O95" i="1" s="1"/>
  <c r="N89" i="1"/>
  <c r="I126" i="1" s="1"/>
  <c r="N87" i="1"/>
  <c r="N85" i="1"/>
  <c r="N86" i="1"/>
  <c r="O105" i="1" l="1" a="1"/>
  <c r="O108" i="1" s="1"/>
  <c r="O115" i="1" a="1"/>
  <c r="O115" i="1" s="1"/>
  <c r="O99" i="1"/>
  <c r="O97" i="1"/>
  <c r="O98" i="1"/>
  <c r="O96" i="1"/>
  <c r="O106" i="1" l="1"/>
  <c r="O105" i="1"/>
  <c r="O107" i="1"/>
  <c r="O109" i="1"/>
  <c r="P110" i="1" s="1"/>
  <c r="O118" i="1"/>
  <c r="O117" i="1"/>
  <c r="O116" i="1"/>
  <c r="O119" i="1"/>
  <c r="P120" i="1" s="1"/>
  <c r="P121" i="1" s="1"/>
  <c r="P100" i="1"/>
  <c r="P95" i="1" a="1"/>
  <c r="P99" i="1" s="1"/>
  <c r="Q100" i="1" s="1"/>
  <c r="Q101" i="1" s="1"/>
  <c r="P105" i="1" l="1" a="1"/>
  <c r="P108" i="1" s="1"/>
  <c r="P115" i="1" a="1"/>
  <c r="P117" i="1" s="1"/>
  <c r="P111" i="1"/>
  <c r="P101" i="1"/>
  <c r="P98" i="1"/>
  <c r="P95" i="1"/>
  <c r="P97" i="1"/>
  <c r="P96" i="1"/>
  <c r="P105" i="1" l="1"/>
  <c r="P109" i="1"/>
  <c r="Q110" i="1" s="1"/>
  <c r="P107" i="1"/>
  <c r="P106" i="1"/>
  <c r="P115" i="1"/>
  <c r="P118" i="1"/>
  <c r="P116" i="1"/>
  <c r="P119" i="1"/>
  <c r="Q120" i="1" s="1"/>
  <c r="Q121" i="1" s="1"/>
  <c r="Q95" i="1" a="1"/>
  <c r="Q97" i="1" s="1"/>
  <c r="Q105" i="1" l="1" a="1"/>
  <c r="Q105" i="1" s="1"/>
  <c r="Q115" i="1" a="1"/>
  <c r="Q118" i="1" s="1"/>
  <c r="Q111" i="1"/>
  <c r="Q98" i="1"/>
  <c r="Q95" i="1"/>
  <c r="Q96" i="1"/>
  <c r="Q99" i="1"/>
  <c r="Q106" i="1" l="1"/>
  <c r="Q108" i="1"/>
  <c r="Q109" i="1"/>
  <c r="R110" i="1" s="1"/>
  <c r="R111" i="1" s="1"/>
  <c r="Q107" i="1"/>
  <c r="Q117" i="1"/>
  <c r="Q115" i="1"/>
  <c r="Q116" i="1"/>
  <c r="Q119" i="1"/>
  <c r="R120" i="1" s="1"/>
  <c r="R121" i="1" s="1"/>
  <c r="R100" i="1"/>
  <c r="R95" i="1" a="1"/>
  <c r="R98" i="1" s="1"/>
  <c r="R105" i="1" l="1" a="1"/>
  <c r="R106" i="1" s="1"/>
  <c r="R115" i="1" a="1"/>
  <c r="R115" i="1" s="1"/>
  <c r="R101" i="1"/>
  <c r="R99" i="1"/>
  <c r="S100" i="1" s="1"/>
  <c r="R97" i="1"/>
  <c r="R96" i="1"/>
  <c r="R95" i="1"/>
  <c r="R105" i="1" l="1"/>
  <c r="R109" i="1"/>
  <c r="S110" i="1" s="1"/>
  <c r="S111" i="1" s="1"/>
  <c r="R108" i="1"/>
  <c r="R107" i="1"/>
  <c r="S101" i="1"/>
  <c r="D127" i="1" s="1"/>
  <c r="R119" i="1"/>
  <c r="S120" i="1" s="1"/>
  <c r="S121" i="1" s="1"/>
  <c r="J127" i="1" s="1"/>
  <c r="K127" i="1" s="1"/>
  <c r="R118" i="1"/>
  <c r="R117" i="1"/>
  <c r="R116" i="1"/>
  <c r="S95" i="1" a="1"/>
  <c r="S96" i="1" s="1"/>
  <c r="S105" i="1" l="1" a="1"/>
  <c r="S109" i="1" s="1"/>
  <c r="F127" i="1" s="1"/>
  <c r="G127" i="1"/>
  <c r="G128" i="1" s="1"/>
  <c r="H128" i="1" s="1"/>
  <c r="D128" i="1"/>
  <c r="E128" i="1" s="1"/>
  <c r="E127" i="1"/>
  <c r="S115" i="1" a="1"/>
  <c r="S117" i="1" s="1"/>
  <c r="S97" i="1"/>
  <c r="S95" i="1"/>
  <c r="S99" i="1"/>
  <c r="S98" i="1"/>
  <c r="G33" i="1" l="1"/>
  <c r="F128" i="1" s="1"/>
  <c r="S108" i="1"/>
  <c r="S105" i="1"/>
  <c r="S106" i="1"/>
  <c r="S107" i="1"/>
  <c r="L127" i="1"/>
  <c r="H127" i="1"/>
  <c r="J128" i="1"/>
  <c r="K128" i="1" s="1"/>
  <c r="G32" i="1"/>
  <c r="C128" i="1" s="1"/>
  <c r="C127" i="1"/>
  <c r="S115" i="1"/>
  <c r="S119" i="1"/>
  <c r="S118" i="1"/>
  <c r="S116" i="1"/>
  <c r="L128" i="1" l="1"/>
  <c r="M128" i="1" s="1"/>
  <c r="M127" i="1"/>
  <c r="G34" i="1"/>
  <c r="I128" i="1" s="1"/>
  <c r="I127" i="1"/>
</calcChain>
</file>

<file path=xl/sharedStrings.xml><?xml version="1.0" encoding="utf-8"?>
<sst xmlns="http://schemas.openxmlformats.org/spreadsheetml/2006/main" count="138" uniqueCount="66">
  <si>
    <t>Current</t>
  </si>
  <si>
    <t>1-30dpd</t>
  </si>
  <si>
    <t>31-60dpd</t>
  </si>
  <si>
    <t>61-90dpd</t>
  </si>
  <si>
    <t>91-120dpd</t>
  </si>
  <si>
    <t>w/o</t>
  </si>
  <si>
    <t>Figures in AUD thousands</t>
  </si>
  <si>
    <t>From</t>
  </si>
  <si>
    <t>To</t>
  </si>
  <si>
    <t>UnE</t>
  </si>
  <si>
    <t>IR</t>
  </si>
  <si>
    <t>DR</t>
  </si>
  <si>
    <t>logodds</t>
  </si>
  <si>
    <t>Model development data</t>
  </si>
  <si>
    <t>Regression</t>
  </si>
  <si>
    <t>pred(logodds)</t>
  </si>
  <si>
    <t>Use</t>
  </si>
  <si>
    <t>Simplifying assumptions (given summarised data):</t>
  </si>
  <si>
    <t>In this illustration:</t>
  </si>
  <si>
    <t>1. ECL is calculated via a roll-rate model</t>
  </si>
  <si>
    <t>1. Historical data (This illustration uses summarised data. An alternative is to examine loan-level data.)</t>
  </si>
  <si>
    <t>2. Historical roll rates</t>
  </si>
  <si>
    <t>2. Data is synthetic</t>
  </si>
  <si>
    <t>LGD</t>
  </si>
  <si>
    <t>EIR</t>
  </si>
  <si>
    <t>4. Scenarios</t>
  </si>
  <si>
    <t>Scenario</t>
  </si>
  <si>
    <t>Base</t>
  </si>
  <si>
    <t>Adverse</t>
  </si>
  <si>
    <t>Favourable</t>
  </si>
  <si>
    <t>EDR</t>
  </si>
  <si>
    <t>ODR</t>
  </si>
  <si>
    <t>logodds(EDR)</t>
  </si>
  <si>
    <t>5. Conditioned RRMs</t>
  </si>
  <si>
    <t>3. DR~fn(UnE,IR)</t>
  </si>
  <si>
    <t>3. Historical RRM</t>
  </si>
  <si>
    <t>6. ECL</t>
  </si>
  <si>
    <t>6.1 ECL | Stage 1 | Base scenario</t>
  </si>
  <si>
    <t>DR model</t>
  </si>
  <si>
    <t>w/o %</t>
  </si>
  <si>
    <t>loss</t>
  </si>
  <si>
    <t>pv(loss)</t>
  </si>
  <si>
    <t>6. Scenarios cover only the next one year</t>
  </si>
  <si>
    <t>6.2 ECL | Stage 1 | Adverse scenario</t>
  </si>
  <si>
    <t>6.3 ECL | Stage 1 | Favourable scenario</t>
  </si>
  <si>
    <t>6.4 ECL | Stage 2 | Base scenario</t>
  </si>
  <si>
    <t>6.5 ECL | Stage 2 | Adverse scenario</t>
  </si>
  <si>
    <t>6.6 ECL | Stage 2 | Favourable scenario</t>
  </si>
  <si>
    <t>The purpose of this illustration is to help readers understand the roll-rate model for the calculation of ECL.</t>
  </si>
  <si>
    <t>Forecast DR</t>
  </si>
  <si>
    <t>6.7 ECL Summary</t>
  </si>
  <si>
    <t>Stage 1</t>
  </si>
  <si>
    <t>Exposure</t>
  </si>
  <si>
    <t>Portfolio</t>
  </si>
  <si>
    <t>Stage 2</t>
  </si>
  <si>
    <t>ECL</t>
  </si>
  <si>
    <t>Base scenario</t>
  </si>
  <si>
    <t>ECL%</t>
  </si>
  <si>
    <t>Weighted average</t>
  </si>
  <si>
    <t>Adverse scenario</t>
  </si>
  <si>
    <t>Favourable scenario</t>
  </si>
  <si>
    <t>4. Conditioned RRMs need to be manually adjusted to produce DRs that match EDRs</t>
  </si>
  <si>
    <t>5. Stage 1 is defined as &lt;31 DPD and stage 2 is defined as &gt;30 DPD</t>
  </si>
  <si>
    <t>1. Each month, an account either deteriorates to the next DPD bucket, or returns to current</t>
  </si>
  <si>
    <t>2. Default is an absorbing state</t>
  </si>
  <si>
    <r>
      <t xml:space="preserve">NB: Values in yellow cells need to be adjusted so that forecast DR </t>
    </r>
    <r>
      <rPr>
        <sz val="11"/>
        <color theme="1"/>
        <rFont val="Symbol"/>
        <family val="1"/>
        <charset val="2"/>
      </rPr>
      <t>»</t>
    </r>
    <r>
      <rPr>
        <i/>
        <sz val="11"/>
        <color theme="1"/>
        <rFont val="Calibri"/>
        <family val="2"/>
        <scheme val="minor"/>
      </rPr>
      <t xml:space="preserve"> EDR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</si>
</sst>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\-mmm\-yyyy"/>
    <numFmt numFmtId="165" formatCode="0.0%"/>
    <numFmt numFmtId="166" formatCode="0.0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quotePrefix="1"/>
    <xf numFmtId="3" fontId="0" fillId="0" borderId="0" xfId="0" applyNumberFormat="1"/>
    <xf numFmtId="164" fontId="0" fillId="0" borderId="0" xfId="0" applyNumberFormat="1"/>
    <xf numFmtId="165" fontId="0" fillId="0" borderId="0" xfId="1" applyNumberFormat="1" applyFont="1"/>
    <xf numFmtId="9" fontId="0" fillId="0" borderId="0" xfId="1" applyFont="1"/>
    <xf numFmtId="0" fontId="0" fillId="0" borderId="1" xfId="0" applyBorder="1" applyAlignment="1">
      <alignment horizontal="right"/>
    </xf>
    <xf numFmtId="165" fontId="0" fillId="0" borderId="1" xfId="0" applyNumberFormat="1" applyBorder="1"/>
    <xf numFmtId="0" fontId="0" fillId="0" borderId="1" xfId="0" applyBorder="1"/>
    <xf numFmtId="9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9" fontId="0" fillId="0" borderId="0" xfId="0" applyNumberFormat="1"/>
    <xf numFmtId="0" fontId="0" fillId="0" borderId="0" xfId="0" applyAlignment="1">
      <alignment horizontal="right"/>
    </xf>
    <xf numFmtId="0" fontId="0" fillId="2" borderId="0" xfId="0" applyFill="1"/>
    <xf numFmtId="166" fontId="0" fillId="0" borderId="0" xfId="0" applyNumberFormat="1"/>
    <xf numFmtId="0" fontId="0" fillId="3" borderId="0" xfId="0" applyFill="1"/>
    <xf numFmtId="0" fontId="0" fillId="0" borderId="3" xfId="0" applyBorder="1" applyAlignment="1">
      <alignment horizontal="center"/>
    </xf>
    <xf numFmtId="0" fontId="0" fillId="0" borderId="0" xfId="0" applyBorder="1"/>
    <xf numFmtId="165" fontId="0" fillId="0" borderId="0" xfId="0" applyNumberFormat="1" applyBorder="1"/>
    <xf numFmtId="9" fontId="0" fillId="0" borderId="0" xfId="0" applyNumberFormat="1" applyBorder="1"/>
    <xf numFmtId="0" fontId="0" fillId="2" borderId="0" xfId="0" applyFill="1" applyBorder="1"/>
    <xf numFmtId="165" fontId="0" fillId="2" borderId="0" xfId="0" applyNumberFormat="1" applyFill="1" applyBorder="1"/>
    <xf numFmtId="9" fontId="0" fillId="2" borderId="0" xfId="0" applyNumberFormat="1" applyFill="1" applyBorder="1"/>
    <xf numFmtId="0" fontId="0" fillId="0" borderId="1" xfId="0" applyFont="1" applyBorder="1"/>
    <xf numFmtId="0" fontId="0" fillId="0" borderId="1" xfId="0" applyFont="1" applyBorder="1" applyAlignment="1">
      <alignment horizontal="right"/>
    </xf>
    <xf numFmtId="165" fontId="0" fillId="0" borderId="1" xfId="0" applyNumberFormat="1" applyFont="1" applyBorder="1" applyAlignment="1">
      <alignment horizontal="right"/>
    </xf>
    <xf numFmtId="10" fontId="0" fillId="0" borderId="1" xfId="0" applyNumberFormat="1" applyBorder="1"/>
    <xf numFmtId="166" fontId="0" fillId="0" borderId="1" xfId="0" applyNumberFormat="1" applyBorder="1"/>
    <xf numFmtId="165" fontId="0" fillId="0" borderId="1" xfId="1" applyNumberFormat="1" applyFont="1" applyBorder="1"/>
    <xf numFmtId="0" fontId="0" fillId="0" borderId="1" xfId="0" applyFill="1" applyBorder="1"/>
    <xf numFmtId="165" fontId="0" fillId="4" borderId="1" xfId="0" applyNumberFormat="1" applyFill="1" applyBorder="1"/>
    <xf numFmtId="0" fontId="3" fillId="0" borderId="0" xfId="0" applyFont="1" applyFill="1" applyBorder="1"/>
    <xf numFmtId="3" fontId="0" fillId="3" borderId="0" xfId="0" applyNumberFormat="1" applyFill="1"/>
    <xf numFmtId="0" fontId="0" fillId="0" borderId="1" xfId="0" applyFont="1" applyFill="1" applyBorder="1" applyAlignment="1">
      <alignment horizontal="right"/>
    </xf>
    <xf numFmtId="3" fontId="0" fillId="0" borderId="1" xfId="0" applyNumberFormat="1" applyBorder="1"/>
    <xf numFmtId="0" fontId="0" fillId="5" borderId="1" xfId="0" applyFill="1" applyBorder="1" applyAlignment="1">
      <alignment horizontal="right"/>
    </xf>
    <xf numFmtId="165" fontId="0" fillId="5" borderId="1" xfId="1" applyNumberFormat="1" applyFont="1" applyFill="1" applyBorder="1"/>
    <xf numFmtId="0" fontId="0" fillId="0" borderId="7" xfId="0" applyBorder="1" applyAlignment="1">
      <alignment horizontal="right"/>
    </xf>
    <xf numFmtId="0" fontId="0" fillId="5" borderId="7" xfId="0" applyFill="1" applyBorder="1" applyAlignment="1">
      <alignment horizontal="right"/>
    </xf>
    <xf numFmtId="0" fontId="2" fillId="0" borderId="3" xfId="0" applyFont="1" applyBorder="1"/>
    <xf numFmtId="0" fontId="2" fillId="0" borderId="3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AU"/>
              <a:t>EDR vs ODR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Config!$L$3</c:f>
              <c:strCache>
                <c:ptCount val="1"/>
                <c:pt idx="0">
                  <c:v>EDR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Config!$C$4:$C$9</c:f>
              <c:numCache>
                <c:formatCode>0%</c:formatCode>
                <c:ptCount val="6"/>
                <c:pt idx="0">
                  <c:v>0.03</c:v>
                </c:pt>
                <c:pt idx="1">
                  <c:v>0.06</c:v>
                </c:pt>
                <c:pt idx="2">
                  <c:v>0.1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</c:numCache>
            </c:numRef>
          </c:xVal>
          <c:yVal>
            <c:numRef>
              <c:f>Config!$L$4:$L$9</c:f>
              <c:numCache>
                <c:formatCode>0.0%</c:formatCode>
                <c:ptCount val="6"/>
                <c:pt idx="0">
                  <c:v>3.0574366544587249E-2</c:v>
                </c:pt>
                <c:pt idx="1">
                  <c:v>5.6689118923686277E-2</c:v>
                </c:pt>
                <c:pt idx="2">
                  <c:v>0.10274541352082289</c:v>
                </c:pt>
                <c:pt idx="3">
                  <c:v>3.0574366544587249E-2</c:v>
                </c:pt>
                <c:pt idx="4">
                  <c:v>3.9316411371454189E-2</c:v>
                </c:pt>
                <c:pt idx="5">
                  <c:v>5.0428020370152912E-2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F0-4F7F-8ED6-9463949907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28540272"/>
        <c:axId val="1828536912"/>
      </c:scatterChart>
      <c:valAx>
        <c:axId val="18285402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DR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8536912"/>
        <c:crosses val="autoZero"/>
        <c:crossBetween val="midCat"/>
      </c:valAx>
      <c:valAx>
        <c:axId val="1828536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pred(DR)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85402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99060</xdr:colOff>
      <xdr:row>0</xdr:row>
      <xdr:rowOff>106680</xdr:rowOff>
    </xdr:from>
    <xdr:to>
      <xdr:col>3</xdr:col>
      <xdr:colOff>350520</xdr:colOff>
      <xdr:row>0</xdr:row>
      <xdr:rowOff>776537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AF5899-846A-75F6-0B58-F52ACF1CE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106680"/>
          <a:ext cx="2080260" cy="6698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163830</xdr:colOff>
      <xdr:row>1</xdr:row>
      <xdr:rowOff>128587</xdr:rowOff>
    </xdr:from>
    <xdr:to>
      <xdr:col>19</xdr:col>
      <xdr:colOff>468630</xdr:colOff>
      <xdr:row>15</xdr:row>
      <xdr:rowOff>166687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54E93C-6B77-8420-472D-24CE931741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7AAB2-715D-44BA-B9AD-36E97F66A779}">
  <dimension ref="A1:A9"/>
  <sheetViews>
    <sheetView tabSelected="1" workbookViewId="0">
      <selection activeCell="B11" sqref="B11"/>
    </sheetView>
  </sheetViews>
  <sheetFormatPr defaultRowHeight="14.4" x14ac:dyDescent="0.3"/>
  <sheetData>
    <row r="1" spans="1:1" ht="72" customHeight="1" x14ac:dyDescent="0.3"/>
    <row r="2" spans="1:1" x14ac:dyDescent="0.3">
      <c r="A2" t="s">
        <v>48</v>
      </c>
    </row>
    <row r="3" spans="1:1" x14ac:dyDescent="0.3">
      <c r="A3" t="s">
        <v>18</v>
      </c>
    </row>
    <row r="4" spans="1:1" x14ac:dyDescent="0.3">
      <c r="A4" t="s">
        <v>19</v>
      </c>
    </row>
    <row r="5" spans="1:1" x14ac:dyDescent="0.3">
      <c r="A5" t="s">
        <v>22</v>
      </c>
    </row>
    <row r="6" spans="1:1" x14ac:dyDescent="0.3">
      <c r="A6" t="s">
        <v>34</v>
      </c>
    </row>
    <row r="7" spans="1:1" x14ac:dyDescent="0.3">
      <c r="A7" t="s">
        <v>61</v>
      </c>
    </row>
    <row r="8" spans="1:1" x14ac:dyDescent="0.3">
      <c r="A8" t="s">
        <v>62</v>
      </c>
    </row>
    <row r="9" spans="1:1" x14ac:dyDescent="0.3">
      <c r="A9" t="s">
        <v>42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550FC-109C-47EE-84B8-28E23955E498}">
  <dimension ref="A1:S128"/>
  <sheetViews>
    <sheetView workbookViewId="0">
      <selection activeCell="D131" sqref="D131"/>
    </sheetView>
  </sheetViews>
  <sheetFormatPr defaultRowHeight="14.4" x14ac:dyDescent="0.3"/>
  <cols>
    <col min="1" max="1" width="12.33203125" customWidth="1"/>
    <col min="2" max="13" width="12" customWidth="1"/>
    <col min="14" max="19" width="11.88671875" customWidth="1"/>
  </cols>
  <sheetData>
    <row r="1" spans="1:13" x14ac:dyDescent="0.3">
      <c r="A1" t="s">
        <v>6</v>
      </c>
    </row>
    <row r="2" spans="1:13" x14ac:dyDescent="0.3">
      <c r="A2" s="18" t="s">
        <v>20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</row>
    <row r="3" spans="1:13" x14ac:dyDescent="0.3">
      <c r="B3" s="3">
        <f t="shared" ref="B3:K3" ca="1" si="0">EOMONTH(C3,-1)</f>
        <v>45869</v>
      </c>
      <c r="C3" s="3">
        <f t="shared" ca="1" si="0"/>
        <v>45900</v>
      </c>
      <c r="D3" s="3">
        <f t="shared" ca="1" si="0"/>
        <v>45930</v>
      </c>
      <c r="E3" s="3">
        <f t="shared" ca="1" si="0"/>
        <v>45961</v>
      </c>
      <c r="F3" s="3">
        <f t="shared" ca="1" si="0"/>
        <v>45991</v>
      </c>
      <c r="G3" s="3">
        <f t="shared" ca="1" si="0"/>
        <v>46022</v>
      </c>
      <c r="H3" s="3">
        <f t="shared" ca="1" si="0"/>
        <v>46053</v>
      </c>
      <c r="I3" s="3">
        <f t="shared" ca="1" si="0"/>
        <v>46081</v>
      </c>
      <c r="J3" s="3">
        <f t="shared" ca="1" si="0"/>
        <v>46112</v>
      </c>
      <c r="K3" s="3">
        <f t="shared" ca="1" si="0"/>
        <v>46142</v>
      </c>
      <c r="L3" s="3">
        <f ca="1">EOMONTH(M3,-1)</f>
        <v>46173</v>
      </c>
      <c r="M3" s="3">
        <f ca="1">EOMONTH(TODAY(),-1)</f>
        <v>46203</v>
      </c>
    </row>
    <row r="4" spans="1:13" x14ac:dyDescent="0.3">
      <c r="A4" t="s">
        <v>0</v>
      </c>
      <c r="B4" s="2">
        <v>550000</v>
      </c>
      <c r="C4" s="2">
        <v>561000</v>
      </c>
      <c r="D4" s="2">
        <v>572220</v>
      </c>
      <c r="E4" s="2">
        <v>583664.4</v>
      </c>
      <c r="F4" s="2">
        <v>595337.68800000008</v>
      </c>
      <c r="G4" s="2">
        <v>607244.44176000007</v>
      </c>
      <c r="H4" s="2">
        <v>619389.33059520007</v>
      </c>
      <c r="I4" s="2">
        <v>631777.11720710411</v>
      </c>
      <c r="J4" s="2">
        <v>644412.65955124621</v>
      </c>
      <c r="K4" s="2">
        <v>657300.91274227109</v>
      </c>
      <c r="L4" s="2">
        <v>670446.93099711649</v>
      </c>
      <c r="M4" s="2">
        <v>683855.86961705878</v>
      </c>
    </row>
    <row r="5" spans="1:13" x14ac:dyDescent="0.3">
      <c r="A5" s="1" t="s">
        <v>1</v>
      </c>
      <c r="B5" s="2">
        <v>30000</v>
      </c>
      <c r="C5" s="2">
        <v>32801.748664607883</v>
      </c>
      <c r="D5" s="2">
        <v>29397.747524949165</v>
      </c>
      <c r="E5" s="2">
        <v>31778.023928700488</v>
      </c>
      <c r="F5" s="2">
        <v>31888.518867923656</v>
      </c>
      <c r="G5" s="2">
        <v>34557.232887707745</v>
      </c>
      <c r="H5" s="2">
        <v>32288.948749764299</v>
      </c>
      <c r="I5" s="2">
        <v>32372.126405141731</v>
      </c>
      <c r="J5" s="2">
        <v>33617.785905638681</v>
      </c>
      <c r="K5" s="2">
        <v>34193.727422743883</v>
      </c>
      <c r="L5" s="2">
        <v>37255.672858424645</v>
      </c>
      <c r="M5" s="2">
        <v>39150.202435074847</v>
      </c>
    </row>
    <row r="6" spans="1:13" x14ac:dyDescent="0.3">
      <c r="A6" s="1" t="s">
        <v>2</v>
      </c>
      <c r="B6" s="2">
        <v>15000</v>
      </c>
      <c r="C6" s="2">
        <v>6110.0509434622136</v>
      </c>
      <c r="D6" s="2">
        <v>6589.3438384517694</v>
      </c>
      <c r="E6" s="2">
        <v>6133.6302422057233</v>
      </c>
      <c r="F6" s="2">
        <v>6467.3341748856137</v>
      </c>
      <c r="G6" s="2">
        <v>6539.8822227173087</v>
      </c>
      <c r="H6" s="2">
        <v>7006.4434253268337</v>
      </c>
      <c r="I6" s="2">
        <v>6533.3718094480246</v>
      </c>
      <c r="J6" s="2">
        <v>6499.6032636925029</v>
      </c>
      <c r="K6" s="2">
        <v>6925.0916002730173</v>
      </c>
      <c r="L6" s="2">
        <v>7072.7312316713487</v>
      </c>
      <c r="M6" s="2">
        <v>7722.5279036606698</v>
      </c>
    </row>
    <row r="7" spans="1:13" x14ac:dyDescent="0.3">
      <c r="A7" s="1" t="s">
        <v>3</v>
      </c>
      <c r="B7" s="2">
        <v>10000</v>
      </c>
      <c r="C7" s="2">
        <v>7596.7810234188228</v>
      </c>
      <c r="D7" s="2">
        <v>3071.7883871448421</v>
      </c>
      <c r="E7" s="2">
        <v>3344.5472639023906</v>
      </c>
      <c r="F7" s="2">
        <v>3081.169211032809</v>
      </c>
      <c r="G7" s="2">
        <v>3297.8060261460341</v>
      </c>
      <c r="H7" s="2">
        <v>3326.1702035539906</v>
      </c>
      <c r="I7" s="2">
        <v>3533.8716045917204</v>
      </c>
      <c r="J7" s="2">
        <v>3271.592420755605</v>
      </c>
      <c r="K7" s="2">
        <v>3259.6566610817436</v>
      </c>
      <c r="L7" s="2">
        <v>3523.9674680198086</v>
      </c>
      <c r="M7" s="2">
        <v>3569.9160898291602</v>
      </c>
    </row>
    <row r="8" spans="1:13" x14ac:dyDescent="0.3">
      <c r="A8" s="1" t="s">
        <v>4</v>
      </c>
      <c r="B8" s="2">
        <v>8000</v>
      </c>
      <c r="C8" s="2">
        <v>8071.0373344721484</v>
      </c>
      <c r="D8" s="2">
        <v>6077.8675723750375</v>
      </c>
      <c r="E8" s="2">
        <v>2485.9166472944335</v>
      </c>
      <c r="F8" s="2">
        <v>2702.5435759940538</v>
      </c>
      <c r="G8" s="2">
        <v>2470.8999976717946</v>
      </c>
      <c r="H8" s="2">
        <v>2651.324896638348</v>
      </c>
      <c r="I8" s="2">
        <v>2667.5854638980236</v>
      </c>
      <c r="J8" s="2">
        <v>2857.3129901471634</v>
      </c>
      <c r="K8" s="2">
        <v>2623.8183454951136</v>
      </c>
      <c r="L8" s="2">
        <v>2630.6791579080791</v>
      </c>
      <c r="M8" s="2">
        <v>2832.6773013665274</v>
      </c>
    </row>
    <row r="9" spans="1:13" x14ac:dyDescent="0.3">
      <c r="A9" t="s">
        <v>5</v>
      </c>
      <c r="B9" s="2">
        <v>3000</v>
      </c>
      <c r="C9" s="2">
        <v>3000</v>
      </c>
      <c r="D9" s="2">
        <v>3000</v>
      </c>
      <c r="E9" s="2">
        <v>3000</v>
      </c>
      <c r="F9" s="2">
        <v>2000</v>
      </c>
      <c r="G9" s="2">
        <v>2000</v>
      </c>
      <c r="H9" s="2">
        <v>2000</v>
      </c>
      <c r="I9" s="2">
        <v>2000</v>
      </c>
      <c r="J9" s="2">
        <v>2000</v>
      </c>
      <c r="K9" s="2">
        <v>2000</v>
      </c>
      <c r="L9" s="2">
        <v>2000</v>
      </c>
      <c r="M9" s="2">
        <v>2000</v>
      </c>
    </row>
    <row r="10" spans="1:13" x14ac:dyDescent="0.3">
      <c r="A10" t="s">
        <v>39</v>
      </c>
      <c r="B10" s="2"/>
      <c r="C10" s="5">
        <f>C9/B8</f>
        <v>0.375</v>
      </c>
      <c r="D10" s="5">
        <f t="shared" ref="D10:M10" si="1">D9/C8</f>
        <v>0.37169943288289869</v>
      </c>
      <c r="E10" s="5">
        <f t="shared" si="1"/>
        <v>0.49359417004008455</v>
      </c>
      <c r="F10" s="5">
        <f t="shared" si="1"/>
        <v>0.80453220431856209</v>
      </c>
      <c r="G10" s="5">
        <f t="shared" si="1"/>
        <v>0.74004357145817967</v>
      </c>
      <c r="H10" s="5">
        <f t="shared" si="1"/>
        <v>0.80942166898073575</v>
      </c>
      <c r="I10" s="5">
        <f t="shared" si="1"/>
        <v>0.75433984063432891</v>
      </c>
      <c r="J10" s="5">
        <f t="shared" si="1"/>
        <v>0.7497416772835046</v>
      </c>
      <c r="K10" s="5">
        <f t="shared" si="1"/>
        <v>0.69995831989585144</v>
      </c>
      <c r="L10" s="5">
        <f t="shared" si="1"/>
        <v>0.7622478909158632</v>
      </c>
      <c r="M10" s="5">
        <f t="shared" si="1"/>
        <v>0.76025994807759212</v>
      </c>
    </row>
    <row r="12" spans="1:13" x14ac:dyDescent="0.3">
      <c r="A12" s="18" t="s">
        <v>21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</row>
    <row r="13" spans="1:13" x14ac:dyDescent="0.3">
      <c r="A13" t="str">
        <f>A5</f>
        <v>1-30dpd</v>
      </c>
      <c r="C13" s="4">
        <f t="shared" ref="C13:M13" si="2">C5/B4</f>
        <v>5.9639543026559785E-2</v>
      </c>
      <c r="D13" s="4">
        <f t="shared" si="2"/>
        <v>5.2402402005256976E-2</v>
      </c>
      <c r="E13" s="4">
        <f t="shared" si="2"/>
        <v>5.5534626417637428E-2</v>
      </c>
      <c r="F13" s="4">
        <f t="shared" si="2"/>
        <v>5.4635024627035081E-2</v>
      </c>
      <c r="G13" s="4">
        <f t="shared" si="2"/>
        <v>5.8046439162621498E-2</v>
      </c>
      <c r="H13" s="4">
        <f t="shared" si="2"/>
        <v>5.3172901272146661E-2</v>
      </c>
      <c r="I13" s="4">
        <f t="shared" si="2"/>
        <v>5.2264585142326951E-2</v>
      </c>
      <c r="J13" s="4">
        <f t="shared" si="2"/>
        <v>5.3211464913849309E-2</v>
      </c>
      <c r="K13" s="4">
        <f t="shared" si="2"/>
        <v>5.3061849291656665E-2</v>
      </c>
      <c r="L13" s="4">
        <f t="shared" si="2"/>
        <v>5.6679782632574352E-2</v>
      </c>
      <c r="M13" s="4">
        <f t="shared" si="2"/>
        <v>5.839418546796693E-2</v>
      </c>
    </row>
    <row r="14" spans="1:13" x14ac:dyDescent="0.3">
      <c r="A14" t="str">
        <f>A6</f>
        <v>31-60dpd</v>
      </c>
      <c r="C14" s="4">
        <f t="shared" ref="C14:M14" si="3">C6/B5</f>
        <v>0.20366836478207379</v>
      </c>
      <c r="D14" s="4">
        <f t="shared" si="3"/>
        <v>0.20088391950766565</v>
      </c>
      <c r="E14" s="4">
        <f t="shared" si="3"/>
        <v>0.20864286411740415</v>
      </c>
      <c r="F14" s="4">
        <f t="shared" si="3"/>
        <v>0.20351593256384351</v>
      </c>
      <c r="G14" s="4">
        <f t="shared" si="3"/>
        <v>0.2050857943513868</v>
      </c>
      <c r="H14" s="4">
        <f t="shared" si="3"/>
        <v>0.20274897148431914</v>
      </c>
      <c r="I14" s="4">
        <f t="shared" si="3"/>
        <v>0.20234080273349614</v>
      </c>
      <c r="J14" s="4">
        <f t="shared" si="3"/>
        <v>0.20077776734061428</v>
      </c>
      <c r="K14" s="4">
        <f t="shared" si="3"/>
        <v>0.20599487484723014</v>
      </c>
      <c r="L14" s="4">
        <f t="shared" si="3"/>
        <v>0.20684294356768304</v>
      </c>
      <c r="M14" s="4">
        <f t="shared" si="3"/>
        <v>0.2072846176475476</v>
      </c>
    </row>
    <row r="15" spans="1:13" x14ac:dyDescent="0.3">
      <c r="A15" t="str">
        <f>A7</f>
        <v>61-90dpd</v>
      </c>
      <c r="C15" s="4">
        <f t="shared" ref="C15:M15" si="4">C7/B6</f>
        <v>0.50645206822792155</v>
      </c>
      <c r="D15" s="4">
        <f t="shared" si="4"/>
        <v>0.50274349846979127</v>
      </c>
      <c r="E15" s="4">
        <f t="shared" si="4"/>
        <v>0.5075690912326446</v>
      </c>
      <c r="F15" s="4">
        <f t="shared" si="4"/>
        <v>0.5023402274612474</v>
      </c>
      <c r="G15" s="4">
        <f t="shared" si="4"/>
        <v>0.50991736888319394</v>
      </c>
      <c r="H15" s="4">
        <f t="shared" si="4"/>
        <v>0.50859787535622825</v>
      </c>
      <c r="I15" s="4">
        <f t="shared" si="4"/>
        <v>0.50437452928221904</v>
      </c>
      <c r="J15" s="4">
        <f t="shared" si="4"/>
        <v>0.50075099292902592</v>
      </c>
      <c r="K15" s="4">
        <f t="shared" si="4"/>
        <v>0.50151625089034946</v>
      </c>
      <c r="L15" s="4">
        <f t="shared" si="4"/>
        <v>0.50886943760872105</v>
      </c>
      <c r="M15" s="4">
        <f t="shared" si="4"/>
        <v>0.50474363762661423</v>
      </c>
    </row>
    <row r="16" spans="1:13" x14ac:dyDescent="0.3">
      <c r="A16" t="str">
        <f>A8</f>
        <v>91-120dpd</v>
      </c>
      <c r="C16" s="4">
        <f t="shared" ref="C16:M16" si="5">C8/B7</f>
        <v>0.80710373344721487</v>
      </c>
      <c r="D16" s="4">
        <f t="shared" si="5"/>
        <v>0.80005828174309812</v>
      </c>
      <c r="E16" s="4">
        <f t="shared" si="5"/>
        <v>0.80927340493172339</v>
      </c>
      <c r="F16" s="4">
        <f t="shared" si="5"/>
        <v>0.80804466576464162</v>
      </c>
      <c r="G16" s="4">
        <f t="shared" si="5"/>
        <v>0.80193583293776582</v>
      </c>
      <c r="H16" s="4">
        <f t="shared" si="5"/>
        <v>0.80396629626418836</v>
      </c>
      <c r="I16" s="4">
        <f t="shared" si="5"/>
        <v>0.8019990862306825</v>
      </c>
      <c r="J16" s="4">
        <f t="shared" si="5"/>
        <v>0.80855031247726328</v>
      </c>
      <c r="K16" s="4">
        <f t="shared" si="5"/>
        <v>0.80200037414474701</v>
      </c>
      <c r="L16" s="4">
        <f t="shared" si="5"/>
        <v>0.80704179348602523</v>
      </c>
      <c r="M16" s="4">
        <f t="shared" si="5"/>
        <v>0.80383185346437613</v>
      </c>
    </row>
    <row r="18" spans="1:13" x14ac:dyDescent="0.3">
      <c r="A18" s="18" t="s">
        <v>35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</row>
    <row r="19" spans="1:13" x14ac:dyDescent="0.3">
      <c r="A19" t="s">
        <v>17</v>
      </c>
    </row>
    <row r="20" spans="1:13" x14ac:dyDescent="0.3">
      <c r="A20" t="s">
        <v>63</v>
      </c>
    </row>
    <row r="21" spans="1:13" x14ac:dyDescent="0.3">
      <c r="A21" t="s">
        <v>64</v>
      </c>
    </row>
    <row r="22" spans="1:13" x14ac:dyDescent="0.3">
      <c r="C22" s="10"/>
      <c r="D22" s="11"/>
      <c r="E22" s="21" t="s">
        <v>8</v>
      </c>
      <c r="F22" s="11"/>
      <c r="G22" s="12"/>
    </row>
    <row r="23" spans="1:13" x14ac:dyDescent="0.3">
      <c r="C23" s="6" t="str">
        <f t="array" ref="C23:G23">TRANSPOSE(B24:B28)</f>
        <v>Current</v>
      </c>
      <c r="D23" s="6" t="str">
        <v>1-30dpd</v>
      </c>
      <c r="E23" s="6" t="str">
        <v>31-60dpd</v>
      </c>
      <c r="F23" s="6" t="str">
        <v>61-90dpd</v>
      </c>
      <c r="G23" s="6" t="str">
        <v>91-120dpd</v>
      </c>
    </row>
    <row r="24" spans="1:13" x14ac:dyDescent="0.3">
      <c r="A24" s="13"/>
      <c r="B24" s="8" t="str">
        <f>A4</f>
        <v>Current</v>
      </c>
      <c r="C24" s="7">
        <f>1-SUM(D24:G24)</f>
        <v>0.94481429054912436</v>
      </c>
      <c r="D24" s="7">
        <f>AVERAGE(C13:M13)</f>
        <v>5.51857094508756E-2</v>
      </c>
      <c r="E24" s="8">
        <v>0</v>
      </c>
      <c r="F24" s="8">
        <v>0</v>
      </c>
      <c r="G24" s="8">
        <v>0</v>
      </c>
    </row>
    <row r="25" spans="1:13" x14ac:dyDescent="0.3">
      <c r="A25" s="14"/>
      <c r="B25" s="8" t="str">
        <f>A5</f>
        <v>1-30dpd</v>
      </c>
      <c r="C25" s="7">
        <f>1-SUM(D25:G25)</f>
        <v>0.79565574064152145</v>
      </c>
      <c r="D25" s="8">
        <v>0</v>
      </c>
      <c r="E25" s="7">
        <f>AVERAGE(C14:M14)</f>
        <v>0.20434425935847858</v>
      </c>
      <c r="F25" s="8">
        <v>0</v>
      </c>
      <c r="G25" s="8">
        <v>0</v>
      </c>
    </row>
    <row r="26" spans="1:13" x14ac:dyDescent="0.3">
      <c r="A26" s="14" t="s">
        <v>7</v>
      </c>
      <c r="B26" s="8" t="str">
        <f>A6</f>
        <v>31-60dpd</v>
      </c>
      <c r="C26" s="7">
        <f>1-SUM(D26:G26)</f>
        <v>0.4947386383665493</v>
      </c>
      <c r="D26" s="8">
        <v>0</v>
      </c>
      <c r="E26" s="8">
        <v>0</v>
      </c>
      <c r="F26" s="7">
        <f>AVERAGE(C15:M15)</f>
        <v>0.5052613616334507</v>
      </c>
      <c r="G26" s="8">
        <v>0</v>
      </c>
    </row>
    <row r="27" spans="1:13" x14ac:dyDescent="0.3">
      <c r="A27" s="14"/>
      <c r="B27" s="8" t="str">
        <f>A7</f>
        <v>61-90dpd</v>
      </c>
      <c r="C27" s="7">
        <f>1-SUM(D27:G27)</f>
        <v>0.19510857864620668</v>
      </c>
      <c r="D27" s="8">
        <v>0</v>
      </c>
      <c r="E27" s="8">
        <v>0</v>
      </c>
      <c r="F27" s="8">
        <v>0</v>
      </c>
      <c r="G27" s="7">
        <f>AVERAGE(C16:M16)</f>
        <v>0.80489142135379332</v>
      </c>
    </row>
    <row r="28" spans="1:13" x14ac:dyDescent="0.3">
      <c r="A28" s="15"/>
      <c r="B28" s="8" t="str">
        <f>A8</f>
        <v>91-120dpd</v>
      </c>
      <c r="C28" s="7">
        <f>1-SUM(D28:G28)</f>
        <v>0</v>
      </c>
      <c r="D28" s="8">
        <v>0</v>
      </c>
      <c r="E28" s="8">
        <v>0</v>
      </c>
      <c r="F28" s="8">
        <v>0</v>
      </c>
      <c r="G28" s="9">
        <v>1</v>
      </c>
    </row>
    <row r="29" spans="1:13" x14ac:dyDescent="0.3">
      <c r="A29" s="22"/>
      <c r="B29" s="22"/>
      <c r="C29" s="23"/>
      <c r="D29" s="22"/>
      <c r="E29" s="22"/>
      <c r="F29" s="22"/>
      <c r="G29" s="24"/>
    </row>
    <row r="30" spans="1:13" x14ac:dyDescent="0.3">
      <c r="A30" s="25" t="s">
        <v>25</v>
      </c>
      <c r="B30" s="25"/>
      <c r="C30" s="26"/>
      <c r="D30" s="25"/>
      <c r="E30" s="25"/>
      <c r="F30" s="25"/>
      <c r="G30" s="27"/>
      <c r="H30" s="18"/>
      <c r="I30" s="18"/>
      <c r="J30" s="18"/>
      <c r="K30" s="18"/>
      <c r="L30" s="18"/>
      <c r="M30" s="18"/>
    </row>
    <row r="31" spans="1:13" x14ac:dyDescent="0.3">
      <c r="A31" s="28" t="s">
        <v>26</v>
      </c>
      <c r="B31" s="29" t="s">
        <v>9</v>
      </c>
      <c r="C31" s="30" t="s">
        <v>10</v>
      </c>
      <c r="D31" s="29" t="s">
        <v>32</v>
      </c>
      <c r="E31" s="29" t="s">
        <v>30</v>
      </c>
      <c r="G31" s="38" t="s">
        <v>49</v>
      </c>
    </row>
    <row r="32" spans="1:13" x14ac:dyDescent="0.3">
      <c r="A32" s="8" t="s">
        <v>27</v>
      </c>
      <c r="B32" s="31">
        <v>0.04</v>
      </c>
      <c r="C32" s="31">
        <v>0.05</v>
      </c>
      <c r="D32" s="32">
        <f>Config!$I$3+Config!$H$3*B32+Config!$G$3*C32</f>
        <v>-3.3914071214619894</v>
      </c>
      <c r="E32" s="33">
        <f>EXP(D32)/(1+EXP(D32))</f>
        <v>3.2565095324123855E-2</v>
      </c>
      <c r="G32" s="33">
        <f>SUM(C69:N69,C99:S99)/SUM($M$4:$M$7)</f>
        <v>3.3216062846431672E-2</v>
      </c>
    </row>
    <row r="33" spans="1:13" x14ac:dyDescent="0.3">
      <c r="A33" s="34" t="s">
        <v>28</v>
      </c>
      <c r="B33" s="31">
        <v>0.06</v>
      </c>
      <c r="C33" s="31">
        <v>0.06</v>
      </c>
      <c r="D33" s="32">
        <f>Config!$I$3+Config!$H$3*B33+Config!$G$3*C33</f>
        <v>-3.0039083465938496</v>
      </c>
      <c r="E33" s="33">
        <f t="shared" ref="E33:E34" si="6">EXP(D33)/(1+EXP(D33))</f>
        <v>4.7249619118840736E-2</v>
      </c>
      <c r="G33" s="33">
        <f>SUM(C79:N79,C109:S109)/SUM($M$4:$M$7)</f>
        <v>4.7242043287360397E-2</v>
      </c>
    </row>
    <row r="34" spans="1:13" x14ac:dyDescent="0.3">
      <c r="A34" s="34" t="s">
        <v>29</v>
      </c>
      <c r="B34" s="31">
        <v>3.5000000000000003E-2</v>
      </c>
      <c r="C34" s="31">
        <v>4.7500000000000001E-2</v>
      </c>
      <c r="D34" s="32">
        <f>Config!$I$3+Config!$H$3*B34+Config!$G$3*C34</f>
        <v>-3.488281815179024</v>
      </c>
      <c r="E34" s="33">
        <f t="shared" si="6"/>
        <v>2.9647493886945226E-2</v>
      </c>
      <c r="G34" s="33">
        <f>SUM(C89:N89,C119:S119)/SUM($M$4:$M$7)</f>
        <v>3.0462253338923596E-2</v>
      </c>
    </row>
    <row r="35" spans="1:13" x14ac:dyDescent="0.3">
      <c r="A35" s="22"/>
      <c r="B35" s="22"/>
      <c r="C35" s="23"/>
      <c r="D35" s="22"/>
      <c r="E35" s="22"/>
      <c r="F35" s="22"/>
      <c r="G35" s="24"/>
    </row>
    <row r="36" spans="1:13" x14ac:dyDescent="0.3">
      <c r="A36" s="25" t="s">
        <v>33</v>
      </c>
      <c r="B36" s="25"/>
      <c r="C36" s="26"/>
      <c r="D36" s="25"/>
      <c r="E36" s="25"/>
      <c r="F36" s="25"/>
      <c r="G36" s="27"/>
      <c r="H36" s="18"/>
      <c r="I36" s="18"/>
      <c r="J36" s="18"/>
      <c r="K36" s="18"/>
      <c r="L36" s="18"/>
      <c r="M36" s="18"/>
    </row>
    <row r="37" spans="1:13" x14ac:dyDescent="0.3">
      <c r="A37" s="36" t="s">
        <v>65</v>
      </c>
    </row>
    <row r="38" spans="1:13" x14ac:dyDescent="0.3">
      <c r="A38" s="22" t="str">
        <f>A32</f>
        <v>Base</v>
      </c>
      <c r="B38" s="16">
        <v>0.5</v>
      </c>
      <c r="C38" s="10"/>
      <c r="D38" s="11"/>
      <c r="E38" s="21" t="s">
        <v>8</v>
      </c>
      <c r="F38" s="11"/>
      <c r="G38" s="12"/>
    </row>
    <row r="39" spans="1:13" x14ac:dyDescent="0.3">
      <c r="C39" s="6" t="s">
        <v>0</v>
      </c>
      <c r="D39" s="6" t="s">
        <v>1</v>
      </c>
      <c r="E39" s="6" t="s">
        <v>2</v>
      </c>
      <c r="F39" s="6" t="s">
        <v>3</v>
      </c>
      <c r="G39" s="6" t="s">
        <v>4</v>
      </c>
    </row>
    <row r="40" spans="1:13" x14ac:dyDescent="0.3">
      <c r="A40" s="13"/>
      <c r="B40" s="8" t="s">
        <v>0</v>
      </c>
      <c r="C40" s="35">
        <v>0.97099999999999997</v>
      </c>
      <c r="D40" s="7">
        <f>1-C40</f>
        <v>2.9000000000000026E-2</v>
      </c>
      <c r="E40" s="7">
        <f>E24</f>
        <v>0</v>
      </c>
      <c r="F40" s="7">
        <f>F24</f>
        <v>0</v>
      </c>
      <c r="G40" s="7">
        <f>G24</f>
        <v>0</v>
      </c>
    </row>
    <row r="41" spans="1:13" x14ac:dyDescent="0.3">
      <c r="A41" s="14"/>
      <c r="B41" s="8" t="s">
        <v>1</v>
      </c>
      <c r="C41" s="7">
        <f>C25</f>
        <v>0.79565574064152145</v>
      </c>
      <c r="D41" s="7">
        <f t="shared" ref="D41:G41" si="7">D25</f>
        <v>0</v>
      </c>
      <c r="E41" s="7">
        <f t="shared" si="7"/>
        <v>0.20434425935847858</v>
      </c>
      <c r="F41" s="7">
        <f t="shared" si="7"/>
        <v>0</v>
      </c>
      <c r="G41" s="7">
        <f t="shared" si="7"/>
        <v>0</v>
      </c>
    </row>
    <row r="42" spans="1:13" x14ac:dyDescent="0.3">
      <c r="A42" s="14" t="s">
        <v>7</v>
      </c>
      <c r="B42" s="8" t="s">
        <v>2</v>
      </c>
      <c r="C42" s="7">
        <f>C26</f>
        <v>0.4947386383665493</v>
      </c>
      <c r="D42" s="7">
        <f t="shared" ref="D42:G42" si="8">D26</f>
        <v>0</v>
      </c>
      <c r="E42" s="7">
        <f t="shared" si="8"/>
        <v>0</v>
      </c>
      <c r="F42" s="7">
        <f t="shared" si="8"/>
        <v>0.5052613616334507</v>
      </c>
      <c r="G42" s="7">
        <f t="shared" si="8"/>
        <v>0</v>
      </c>
    </row>
    <row r="43" spans="1:13" x14ac:dyDescent="0.3">
      <c r="A43" s="14"/>
      <c r="B43" s="8" t="s">
        <v>3</v>
      </c>
      <c r="C43" s="7">
        <f>C27</f>
        <v>0.19510857864620668</v>
      </c>
      <c r="D43" s="7">
        <f t="shared" ref="D43:G43" si="9">D27</f>
        <v>0</v>
      </c>
      <c r="E43" s="7">
        <f t="shared" si="9"/>
        <v>0</v>
      </c>
      <c r="F43" s="7">
        <f t="shared" si="9"/>
        <v>0</v>
      </c>
      <c r="G43" s="7">
        <f t="shared" si="9"/>
        <v>0.80489142135379332</v>
      </c>
    </row>
    <row r="44" spans="1:13" x14ac:dyDescent="0.3">
      <c r="A44" s="15"/>
      <c r="B44" s="8" t="s">
        <v>4</v>
      </c>
      <c r="C44" s="7">
        <f>C28</f>
        <v>0</v>
      </c>
      <c r="D44" s="7">
        <f t="shared" ref="D44:G44" si="10">D28</f>
        <v>0</v>
      </c>
      <c r="E44" s="7">
        <f t="shared" si="10"/>
        <v>0</v>
      </c>
      <c r="F44" s="7">
        <f t="shared" si="10"/>
        <v>0</v>
      </c>
      <c r="G44" s="7">
        <f t="shared" si="10"/>
        <v>1</v>
      </c>
    </row>
    <row r="45" spans="1:13" x14ac:dyDescent="0.3">
      <c r="A45" s="22"/>
      <c r="B45" s="22"/>
      <c r="C45" s="23"/>
      <c r="D45" s="22"/>
      <c r="E45" s="22"/>
      <c r="F45" s="22"/>
      <c r="G45" s="24"/>
    </row>
    <row r="46" spans="1:13" x14ac:dyDescent="0.3">
      <c r="A46" t="str">
        <f>A33</f>
        <v>Adverse</v>
      </c>
      <c r="B46" s="16">
        <v>0.3</v>
      </c>
      <c r="C46" s="10"/>
      <c r="D46" s="11"/>
      <c r="E46" s="21" t="s">
        <v>8</v>
      </c>
      <c r="F46" s="11"/>
      <c r="G46" s="12"/>
    </row>
    <row r="47" spans="1:13" x14ac:dyDescent="0.3">
      <c r="C47" s="6" t="s">
        <v>0</v>
      </c>
      <c r="D47" s="6" t="s">
        <v>1</v>
      </c>
      <c r="E47" s="6" t="s">
        <v>2</v>
      </c>
      <c r="F47" s="6" t="s">
        <v>3</v>
      </c>
      <c r="G47" s="6" t="s">
        <v>4</v>
      </c>
    </row>
    <row r="48" spans="1:13" x14ac:dyDescent="0.3">
      <c r="A48" s="13"/>
      <c r="B48" s="8" t="s">
        <v>0</v>
      </c>
      <c r="C48" s="35">
        <v>0.95</v>
      </c>
      <c r="D48" s="7">
        <f>1-C48</f>
        <v>5.0000000000000044E-2</v>
      </c>
      <c r="E48" s="7">
        <f t="shared" ref="E48:G48" si="11">E40</f>
        <v>0</v>
      </c>
      <c r="F48" s="7">
        <f t="shared" si="11"/>
        <v>0</v>
      </c>
      <c r="G48" s="7">
        <f t="shared" si="11"/>
        <v>0</v>
      </c>
    </row>
    <row r="49" spans="1:14" x14ac:dyDescent="0.3">
      <c r="A49" s="14"/>
      <c r="B49" s="8" t="s">
        <v>1</v>
      </c>
      <c r="C49" s="7">
        <f t="shared" ref="C49:G49" si="12">C41</f>
        <v>0.79565574064152145</v>
      </c>
      <c r="D49" s="7">
        <f t="shared" si="12"/>
        <v>0</v>
      </c>
      <c r="E49" s="7">
        <f t="shared" si="12"/>
        <v>0.20434425935847858</v>
      </c>
      <c r="F49" s="7">
        <f t="shared" si="12"/>
        <v>0</v>
      </c>
      <c r="G49" s="7">
        <f t="shared" si="12"/>
        <v>0</v>
      </c>
    </row>
    <row r="50" spans="1:14" x14ac:dyDescent="0.3">
      <c r="A50" s="14" t="s">
        <v>7</v>
      </c>
      <c r="B50" s="8" t="s">
        <v>2</v>
      </c>
      <c r="C50" s="7">
        <f t="shared" ref="C50:G50" si="13">C42</f>
        <v>0.4947386383665493</v>
      </c>
      <c r="D50" s="7">
        <f t="shared" si="13"/>
        <v>0</v>
      </c>
      <c r="E50" s="7">
        <f t="shared" si="13"/>
        <v>0</v>
      </c>
      <c r="F50" s="7">
        <f t="shared" si="13"/>
        <v>0.5052613616334507</v>
      </c>
      <c r="G50" s="7">
        <f t="shared" si="13"/>
        <v>0</v>
      </c>
    </row>
    <row r="51" spans="1:14" x14ac:dyDescent="0.3">
      <c r="A51" s="14"/>
      <c r="B51" s="8" t="s">
        <v>3</v>
      </c>
      <c r="C51" s="7">
        <f t="shared" ref="C51:G51" si="14">C43</f>
        <v>0.19510857864620668</v>
      </c>
      <c r="D51" s="7">
        <f t="shared" si="14"/>
        <v>0</v>
      </c>
      <c r="E51" s="7">
        <f t="shared" si="14"/>
        <v>0</v>
      </c>
      <c r="F51" s="7">
        <f t="shared" si="14"/>
        <v>0</v>
      </c>
      <c r="G51" s="7">
        <f t="shared" si="14"/>
        <v>0.80489142135379332</v>
      </c>
    </row>
    <row r="52" spans="1:14" x14ac:dyDescent="0.3">
      <c r="A52" s="15"/>
      <c r="B52" s="8" t="s">
        <v>4</v>
      </c>
      <c r="C52" s="7">
        <v>0</v>
      </c>
      <c r="D52" s="7">
        <v>0</v>
      </c>
      <c r="E52" s="7">
        <v>0</v>
      </c>
      <c r="F52" s="7">
        <v>0</v>
      </c>
      <c r="G52" s="7">
        <v>1</v>
      </c>
    </row>
    <row r="53" spans="1:14" x14ac:dyDescent="0.3">
      <c r="A53" s="22"/>
      <c r="B53" s="22"/>
      <c r="C53" s="23"/>
      <c r="D53" s="22"/>
      <c r="E53" s="22"/>
      <c r="F53" s="22"/>
      <c r="G53" s="24"/>
    </row>
    <row r="54" spans="1:14" x14ac:dyDescent="0.3">
      <c r="A54" t="str">
        <f>A34</f>
        <v>Favourable</v>
      </c>
      <c r="B54" s="16">
        <f>1-B38-B46</f>
        <v>0.2</v>
      </c>
      <c r="C54" s="10"/>
      <c r="D54" s="11"/>
      <c r="E54" s="21" t="s">
        <v>8</v>
      </c>
      <c r="F54" s="11"/>
      <c r="G54" s="12"/>
    </row>
    <row r="55" spans="1:14" x14ac:dyDescent="0.3">
      <c r="C55" s="6" t="s">
        <v>0</v>
      </c>
      <c r="D55" s="6" t="s">
        <v>1</v>
      </c>
      <c r="E55" s="6" t="s">
        <v>2</v>
      </c>
      <c r="F55" s="6" t="s">
        <v>3</v>
      </c>
      <c r="G55" s="6" t="s">
        <v>4</v>
      </c>
    </row>
    <row r="56" spans="1:14" x14ac:dyDescent="0.3">
      <c r="A56" s="13"/>
      <c r="B56" s="8" t="s">
        <v>0</v>
      </c>
      <c r="C56" s="35">
        <v>0.97499999999999998</v>
      </c>
      <c r="D56" s="7">
        <f>1-C56</f>
        <v>2.5000000000000022E-2</v>
      </c>
      <c r="E56" s="7">
        <f t="shared" ref="E56:G56" si="15">E48</f>
        <v>0</v>
      </c>
      <c r="F56" s="7">
        <f t="shared" si="15"/>
        <v>0</v>
      </c>
      <c r="G56" s="7">
        <f t="shared" si="15"/>
        <v>0</v>
      </c>
    </row>
    <row r="57" spans="1:14" x14ac:dyDescent="0.3">
      <c r="A57" s="14"/>
      <c r="B57" s="8" t="s">
        <v>1</v>
      </c>
      <c r="C57" s="7">
        <f t="shared" ref="C57:G57" si="16">C49</f>
        <v>0.79565574064152145</v>
      </c>
      <c r="D57" s="7">
        <f t="shared" si="16"/>
        <v>0</v>
      </c>
      <c r="E57" s="7">
        <f t="shared" si="16"/>
        <v>0.20434425935847858</v>
      </c>
      <c r="F57" s="7">
        <f t="shared" si="16"/>
        <v>0</v>
      </c>
      <c r="G57" s="7">
        <f t="shared" si="16"/>
        <v>0</v>
      </c>
    </row>
    <row r="58" spans="1:14" x14ac:dyDescent="0.3">
      <c r="A58" s="14" t="s">
        <v>7</v>
      </c>
      <c r="B58" s="8" t="s">
        <v>2</v>
      </c>
      <c r="C58" s="7">
        <f t="shared" ref="C58:G58" si="17">C50</f>
        <v>0.4947386383665493</v>
      </c>
      <c r="D58" s="7">
        <f t="shared" si="17"/>
        <v>0</v>
      </c>
      <c r="E58" s="7">
        <f t="shared" si="17"/>
        <v>0</v>
      </c>
      <c r="F58" s="7">
        <f t="shared" si="17"/>
        <v>0.5052613616334507</v>
      </c>
      <c r="G58" s="7">
        <f t="shared" si="17"/>
        <v>0</v>
      </c>
    </row>
    <row r="59" spans="1:14" x14ac:dyDescent="0.3">
      <c r="A59" s="14"/>
      <c r="B59" s="8" t="s">
        <v>3</v>
      </c>
      <c r="C59" s="7">
        <f t="shared" ref="C59:G59" si="18">C51</f>
        <v>0.19510857864620668</v>
      </c>
      <c r="D59" s="7">
        <f t="shared" si="18"/>
        <v>0</v>
      </c>
      <c r="E59" s="7">
        <f t="shared" si="18"/>
        <v>0</v>
      </c>
      <c r="F59" s="7">
        <f t="shared" si="18"/>
        <v>0</v>
      </c>
      <c r="G59" s="7">
        <f t="shared" si="18"/>
        <v>0.80489142135379332</v>
      </c>
    </row>
    <row r="60" spans="1:14" x14ac:dyDescent="0.3">
      <c r="A60" s="15"/>
      <c r="B60" s="8" t="s">
        <v>4</v>
      </c>
      <c r="C60" s="7">
        <v>0</v>
      </c>
      <c r="D60" s="7">
        <v>0</v>
      </c>
      <c r="E60" s="7">
        <v>0</v>
      </c>
      <c r="F60" s="7">
        <v>0</v>
      </c>
      <c r="G60" s="7">
        <v>1</v>
      </c>
    </row>
    <row r="61" spans="1:14" x14ac:dyDescent="0.3">
      <c r="A61" s="22"/>
      <c r="B61" s="22"/>
      <c r="C61" s="23"/>
      <c r="D61" s="22"/>
      <c r="E61" s="22"/>
      <c r="F61" s="22"/>
      <c r="G61" s="24"/>
    </row>
    <row r="62" spans="1:14" x14ac:dyDescent="0.3">
      <c r="A62" s="18" t="s">
        <v>36</v>
      </c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</row>
    <row r="63" spans="1:14" x14ac:dyDescent="0.3">
      <c r="A63" s="18" t="s">
        <v>37</v>
      </c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</row>
    <row r="64" spans="1:14" x14ac:dyDescent="0.3">
      <c r="B64" s="3">
        <f ca="1">CALCDATE</f>
        <v>46203</v>
      </c>
      <c r="C64" s="3">
        <f ca="1">EOMONTH(B64,1)</f>
        <v>46234</v>
      </c>
      <c r="D64" s="3">
        <f t="shared" ref="D64:N64" ca="1" si="19">EOMONTH(C64,1)</f>
        <v>46265</v>
      </c>
      <c r="E64" s="3">
        <f t="shared" ca="1" si="19"/>
        <v>46295</v>
      </c>
      <c r="F64" s="3">
        <f t="shared" ca="1" si="19"/>
        <v>46326</v>
      </c>
      <c r="G64" s="3">
        <f t="shared" ca="1" si="19"/>
        <v>46356</v>
      </c>
      <c r="H64" s="3">
        <f t="shared" ca="1" si="19"/>
        <v>46387</v>
      </c>
      <c r="I64" s="3">
        <f t="shared" ca="1" si="19"/>
        <v>46418</v>
      </c>
      <c r="J64" s="3">
        <f t="shared" ca="1" si="19"/>
        <v>46446</v>
      </c>
      <c r="K64" s="3">
        <f t="shared" ca="1" si="19"/>
        <v>46477</v>
      </c>
      <c r="L64" s="3">
        <f t="shared" ca="1" si="19"/>
        <v>46507</v>
      </c>
      <c r="M64" s="3">
        <f t="shared" ca="1" si="19"/>
        <v>46538</v>
      </c>
      <c r="N64" s="3">
        <f t="shared" ca="1" si="19"/>
        <v>46568</v>
      </c>
    </row>
    <row r="65" spans="1:14" x14ac:dyDescent="0.3">
      <c r="A65" t="s">
        <v>0</v>
      </c>
      <c r="B65" s="2">
        <f>M4</f>
        <v>683855.86961705878</v>
      </c>
      <c r="C65" s="2">
        <f t="array" ref="C65:C69">TRANSPOSE(MMULT(TRANSPOSE(B65:B68),$C$40:$G$43))</f>
        <v>695174.13271290902</v>
      </c>
      <c r="D65" s="2">
        <f t="array" ref="D65:D69">TRANSPOSE(MMULT(TRANSPOSE(C65:C68),$C$40:$G$43))</f>
        <v>694751.35250913107</v>
      </c>
      <c r="E65" s="2">
        <f t="array" ref="E65:E69">TRANSPOSE(MMULT(TRANSPOSE(D65:D68),$C$40:$G$43))</f>
        <v>693437.61857319286</v>
      </c>
      <c r="F65" s="2">
        <f t="array" ref="F65:F69">TRANSPOSE(MMULT(TRANSPOSE(E65:E68),$C$40:$G$43))</f>
        <v>691796.25299605448</v>
      </c>
      <c r="G65" s="2">
        <f t="array" ref="G65:G69">TRANSPOSE(MMULT(TRANSPOSE(F65:F68),$C$40:$G$43))</f>
        <v>690177.54638711642</v>
      </c>
      <c r="H65" s="2">
        <f t="array" ref="H65:H69">TRANSPOSE(MMULT(TRANSPOSE(G65:G68),$C$40:$G$43))</f>
        <v>688563.8107679371</v>
      </c>
      <c r="I65" s="2">
        <f t="array" ref="I65:I69">TRANSPOSE(MMULT(TRANSPOSE(H65:H68),$C$40:$G$43))</f>
        <v>686953.94377371657</v>
      </c>
      <c r="J65" s="2">
        <f t="array" ref="J65:J69">TRANSPOSE(MMULT(TRANSPOSE(I65:I68),$C$40:$G$43))</f>
        <v>685347.82294830028</v>
      </c>
      <c r="K65" s="2">
        <f t="array" ref="K65:K69">TRANSPOSE(MMULT(TRANSPOSE(J65:J68),$C$40:$G$43))</f>
        <v>683745.45672862697</v>
      </c>
      <c r="L65" s="2">
        <f t="array" ref="L65:L69">TRANSPOSE(MMULT(TRANSPOSE(K65:K68),$C$40:$G$43))</f>
        <v>682146.83691636997</v>
      </c>
      <c r="M65" s="2">
        <f t="array" ref="M65:M69">TRANSPOSE(MMULT(TRANSPOSE(L65:L68),$C$40:$G$43))</f>
        <v>680551.95474262105</v>
      </c>
      <c r="N65" s="2">
        <f t="array" ref="N65:N69">TRANSPOSE(MMULT(TRANSPOSE(M65:M68),$C$40:$G$43))</f>
        <v>678960.8014568002</v>
      </c>
    </row>
    <row r="66" spans="1:14" x14ac:dyDescent="0.3">
      <c r="A66" t="s">
        <v>1</v>
      </c>
      <c r="B66" s="2">
        <f>M5</f>
        <v>39150.202435074847</v>
      </c>
      <c r="C66" s="2">
        <v>19831.820218894722</v>
      </c>
      <c r="D66" s="2">
        <v>20160.049848674378</v>
      </c>
      <c r="E66" s="2">
        <v>20147.789222764819</v>
      </c>
      <c r="F66" s="2">
        <v>20109.690938622611</v>
      </c>
      <c r="G66" s="2">
        <v>20062.091336885598</v>
      </c>
      <c r="H66" s="2">
        <v>20015.148845226395</v>
      </c>
      <c r="I66" s="2">
        <v>19968.350512270194</v>
      </c>
      <c r="J66" s="2">
        <v>19921.6643694378</v>
      </c>
      <c r="K66" s="2">
        <v>19875.086865500725</v>
      </c>
      <c r="L66" s="2">
        <v>19828.618245130201</v>
      </c>
      <c r="M66" s="2">
        <v>19782.258270574748</v>
      </c>
      <c r="N66" s="2">
        <v>19736.006687536028</v>
      </c>
    </row>
    <row r="67" spans="1:14" x14ac:dyDescent="0.3">
      <c r="A67" t="s">
        <v>2</v>
      </c>
      <c r="B67" s="20">
        <v>0</v>
      </c>
      <c r="C67" s="2">
        <v>8000.119120329874</v>
      </c>
      <c r="D67" s="2">
        <v>4052.5186143605424</v>
      </c>
      <c r="E67" s="2">
        <v>4119.5904549573743</v>
      </c>
      <c r="F67" s="2">
        <v>4117.0850664366135</v>
      </c>
      <c r="G67" s="2">
        <v>4109.2999007807457</v>
      </c>
      <c r="H67" s="2">
        <v>4099.5731954180374</v>
      </c>
      <c r="I67" s="2">
        <v>4089.9807667274954</v>
      </c>
      <c r="J67" s="2">
        <v>4080.417796040349</v>
      </c>
      <c r="K67" s="2">
        <v>4070.8777507609593</v>
      </c>
      <c r="L67" s="2">
        <v>4061.3599052161712</v>
      </c>
      <c r="M67" s="2">
        <v>4051.8643094031463</v>
      </c>
      <c r="N67" s="2">
        <v>4042.3909147387344</v>
      </c>
    </row>
    <row r="68" spans="1:14" x14ac:dyDescent="0.3">
      <c r="A68" t="s">
        <v>3</v>
      </c>
      <c r="B68" s="20">
        <v>0</v>
      </c>
      <c r="C68" s="2">
        <v>0</v>
      </c>
      <c r="D68" s="2">
        <v>4042.1510799676762</v>
      </c>
      <c r="E68" s="2">
        <v>2047.5810731367126</v>
      </c>
      <c r="F68" s="2">
        <v>2081.4698826439294</v>
      </c>
      <c r="G68" s="2">
        <v>2080.204006628509</v>
      </c>
      <c r="H68" s="2">
        <v>2076.2704632286836</v>
      </c>
      <c r="I68" s="2">
        <v>2071.355934832914</v>
      </c>
      <c r="J68" s="2">
        <v>2066.5092512513588</v>
      </c>
      <c r="K68" s="2">
        <v>2061.6774516607106</v>
      </c>
      <c r="L68" s="2">
        <v>2056.8572353928016</v>
      </c>
      <c r="M68" s="2">
        <v>2052.048235793025</v>
      </c>
      <c r="N68" s="2">
        <v>2047.250478123015</v>
      </c>
    </row>
    <row r="69" spans="1:14" x14ac:dyDescent="0.3">
      <c r="A69" t="s">
        <v>4</v>
      </c>
      <c r="B69" s="20">
        <v>0</v>
      </c>
      <c r="C69" s="2">
        <v>0</v>
      </c>
      <c r="D69" s="2">
        <v>0</v>
      </c>
      <c r="E69" s="2">
        <v>3253.4927280819534</v>
      </c>
      <c r="F69" s="2">
        <v>1648.080440294134</v>
      </c>
      <c r="G69" s="2">
        <v>1675.3572523463856</v>
      </c>
      <c r="H69" s="2">
        <v>1674.3383596010763</v>
      </c>
      <c r="I69" s="2">
        <v>1671.172284263034</v>
      </c>
      <c r="J69" s="2">
        <v>1667.2166225172796</v>
      </c>
      <c r="K69" s="2">
        <v>1663.3155684804694</v>
      </c>
      <c r="L69" s="2">
        <v>1659.426494440256</v>
      </c>
      <c r="M69" s="2">
        <v>1655.546743717146</v>
      </c>
      <c r="N69" s="2">
        <v>1651.676021193992</v>
      </c>
    </row>
    <row r="70" spans="1:14" x14ac:dyDescent="0.3">
      <c r="A70" t="s">
        <v>40</v>
      </c>
      <c r="C70" s="2">
        <f>LGD*B69</f>
        <v>0</v>
      </c>
      <c r="D70" s="2">
        <f>LGD*C69</f>
        <v>0</v>
      </c>
      <c r="E70" s="2">
        <f>LGD*D69</f>
        <v>0</v>
      </c>
      <c r="F70" s="2">
        <f>LGD*E69</f>
        <v>2165.2995957801063</v>
      </c>
      <c r="G70" s="2">
        <f>LGD*F69</f>
        <v>1096.8482825796245</v>
      </c>
      <c r="H70" s="2">
        <f>LGD*G69</f>
        <v>1115.0018409389604</v>
      </c>
      <c r="I70" s="2">
        <f>LGD*H69</f>
        <v>1114.3237364420547</v>
      </c>
      <c r="J70" s="2">
        <f>LGD*I69</f>
        <v>1112.2166158112016</v>
      </c>
      <c r="K70" s="2">
        <f>LGD*J69</f>
        <v>1109.584001112175</v>
      </c>
      <c r="L70" s="2">
        <f>LGD*K69</f>
        <v>1106.9877295249933</v>
      </c>
      <c r="M70" s="2">
        <f>LGD*L69</f>
        <v>1104.3994309944485</v>
      </c>
      <c r="N70" s="2">
        <f>LGD*M69</f>
        <v>1101.8173374185301</v>
      </c>
    </row>
    <row r="71" spans="1:14" x14ac:dyDescent="0.3">
      <c r="A71" t="s">
        <v>41</v>
      </c>
      <c r="C71" s="2">
        <f ca="1">C70*EXP(-EIR*YEARFRAC(CALCDATE,C64))</f>
        <v>0</v>
      </c>
      <c r="D71" s="2">
        <f ca="1">D70*EXP(-EIR*YEARFRAC(CALCDATE,D64))</f>
        <v>0</v>
      </c>
      <c r="E71" s="2">
        <f ca="1">E70*EXP(-EIR*YEARFRAC(CALCDATE,E64))</f>
        <v>0</v>
      </c>
      <c r="F71" s="2">
        <f ca="1">F70*EXP(-EIR*YEARFRAC(CALCDATE,F64))</f>
        <v>2122.4237910953138</v>
      </c>
      <c r="G71" s="2">
        <f ca="1">G70*EXP(-EIR*YEARFRAC(CALCDATE,G64))</f>
        <v>1069.7670019911614</v>
      </c>
      <c r="H71" s="2">
        <f ca="1">H70*EXP(-EIR*YEARFRAC(CALCDATE,H64))</f>
        <v>1082.0485564375783</v>
      </c>
      <c r="I71" s="2">
        <f ca="1">I70*EXP(-EIR*YEARFRAC(CALCDATE,I64))</f>
        <v>1075.997035372817</v>
      </c>
      <c r="J71" s="2">
        <f ca="1">J70*EXP(-EIR*YEARFRAC(CALCDATE,J64))</f>
        <v>1068.9622398875754</v>
      </c>
      <c r="K71" s="2">
        <f ca="1">K70*EXP(-EIR*YEARFRAC(CALCDATE,K64))</f>
        <v>1060.7595109455349</v>
      </c>
      <c r="L71" s="2">
        <f ca="1">L70*EXP(-EIR*YEARFRAC(CALCDATE,L64))</f>
        <v>1052.9993008854115</v>
      </c>
      <c r="M71" s="2">
        <f ca="1">M70*EXP(-EIR*YEARFRAC(CALCDATE,M64))</f>
        <v>1045.297658844524</v>
      </c>
      <c r="N71" s="2">
        <f ca="1">N70*EXP(-EIR*YEARFRAC(CALCDATE,N64))</f>
        <v>1037.6524908690008</v>
      </c>
    </row>
    <row r="73" spans="1:14" x14ac:dyDescent="0.3">
      <c r="A73" s="18" t="s">
        <v>43</v>
      </c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</row>
    <row r="74" spans="1:14" x14ac:dyDescent="0.3">
      <c r="B74" s="3">
        <f ca="1">CALCDATE</f>
        <v>46203</v>
      </c>
      <c r="C74" s="3">
        <f ca="1">EOMONTH(B74,1)</f>
        <v>46234</v>
      </c>
      <c r="D74" s="3">
        <f t="shared" ref="D74" ca="1" si="20">EOMONTH(C74,1)</f>
        <v>46265</v>
      </c>
      <c r="E74" s="3">
        <f t="shared" ref="E74" ca="1" si="21">EOMONTH(D74,1)</f>
        <v>46295</v>
      </c>
      <c r="F74" s="3">
        <f t="shared" ref="F74" ca="1" si="22">EOMONTH(E74,1)</f>
        <v>46326</v>
      </c>
      <c r="G74" s="3">
        <f t="shared" ref="G74" ca="1" si="23">EOMONTH(F74,1)</f>
        <v>46356</v>
      </c>
      <c r="H74" s="3">
        <f t="shared" ref="H74" ca="1" si="24">EOMONTH(G74,1)</f>
        <v>46387</v>
      </c>
      <c r="I74" s="3">
        <f t="shared" ref="I74" ca="1" si="25">EOMONTH(H74,1)</f>
        <v>46418</v>
      </c>
      <c r="J74" s="3">
        <f t="shared" ref="J74" ca="1" si="26">EOMONTH(I74,1)</f>
        <v>46446</v>
      </c>
      <c r="K74" s="3">
        <f t="shared" ref="K74" ca="1" si="27">EOMONTH(J74,1)</f>
        <v>46477</v>
      </c>
      <c r="L74" s="3">
        <f t="shared" ref="L74" ca="1" si="28">EOMONTH(K74,1)</f>
        <v>46507</v>
      </c>
      <c r="M74" s="3">
        <f t="shared" ref="M74" ca="1" si="29">EOMONTH(L74,1)</f>
        <v>46538</v>
      </c>
      <c r="N74" s="3">
        <f t="shared" ref="N74" ca="1" si="30">EOMONTH(M74,1)</f>
        <v>46568</v>
      </c>
    </row>
    <row r="75" spans="1:14" x14ac:dyDescent="0.3">
      <c r="A75" t="s">
        <v>0</v>
      </c>
      <c r="B75" s="2">
        <f>B65</f>
        <v>683855.86961705878</v>
      </c>
      <c r="C75" s="2">
        <f t="array" ref="C75:C79">TRANSPOSE(MMULT(TRANSPOSE(B75:B78),$C$48:$G$51))</f>
        <v>680813.1594509508</v>
      </c>
      <c r="D75" s="2">
        <f t="array" ref="D75:D79">TRANSPOSE(MMULT(TRANSPOSE(C75:C78),$C$48:$G$51))</f>
        <v>677936.16194037616</v>
      </c>
      <c r="E75" s="2">
        <f t="array" ref="E75:E79">TRANSPOSE(MMULT(TRANSPOSE(D75:D78),$C$48:$G$51))</f>
        <v>675369.4459904941</v>
      </c>
      <c r="F75" s="2">
        <f t="array" ref="F75:F79">TRANSPOSE(MMULT(TRANSPOSE(E75:E78),$C$48:$G$51))</f>
        <v>672701.36625794217</v>
      </c>
      <c r="G75" s="2">
        <f t="array" ref="G75:G79">TRANSPOSE(MMULT(TRANSPOSE(F75:F78),$C$48:$G$51))</f>
        <v>670046.97192458075</v>
      </c>
      <c r="H75" s="2">
        <f t="array" ref="H75:H79">TRANSPOSE(MMULT(TRANSPOSE(G75:G78),$C$48:$G$51))</f>
        <v>667403.28152274399</v>
      </c>
      <c r="I75" s="2">
        <f t="array" ref="I75:I79">TRANSPOSE(MMULT(TRANSPOSE(H75:H78),$C$48:$G$51))</f>
        <v>664770.10444265243</v>
      </c>
      <c r="J75" s="2">
        <f t="array" ref="J75:J79">TRANSPOSE(MMULT(TRANSPOSE(I75:I78),$C$48:$G$51))</f>
        <v>662147.30793232715</v>
      </c>
      <c r="K75" s="2">
        <f t="array" ref="K75:K79">TRANSPOSE(MMULT(TRANSPOSE(J75:J78),$C$48:$G$51))</f>
        <v>659534.859103514</v>
      </c>
      <c r="L75" s="2">
        <f t="array" ref="L75:L79">TRANSPOSE(MMULT(TRANSPOSE(K75:K78),$C$48:$G$51))</f>
        <v>656932.71746462618</v>
      </c>
      <c r="M75" s="2">
        <f t="array" ref="M75:M79">TRANSPOSE(MMULT(TRANSPOSE(L75:L78),$C$48:$G$51))</f>
        <v>654340.84237724217</v>
      </c>
      <c r="N75" s="2">
        <f t="array" ref="N75:N79">TRANSPOSE(MMULT(TRANSPOSE(M75:M78),$C$48:$G$51))</f>
        <v>651759.19332403759</v>
      </c>
    </row>
    <row r="76" spans="1:14" x14ac:dyDescent="0.3">
      <c r="A76" t="s">
        <v>1</v>
      </c>
      <c r="B76" s="2">
        <f>B66</f>
        <v>39150.202435074847</v>
      </c>
      <c r="C76" s="2">
        <v>34192.793480852968</v>
      </c>
      <c r="D76" s="2">
        <v>34040.657972547568</v>
      </c>
      <c r="E76" s="2">
        <v>33896.808097018838</v>
      </c>
      <c r="F76" s="2">
        <v>33768.472299524736</v>
      </c>
      <c r="G76" s="2">
        <v>33635.068312897136</v>
      </c>
      <c r="H76" s="2">
        <v>33502.348596229065</v>
      </c>
      <c r="I76" s="2">
        <v>33370.164076137225</v>
      </c>
      <c r="J76" s="2">
        <v>33238.505222132648</v>
      </c>
      <c r="K76" s="2">
        <v>33107.365396616384</v>
      </c>
      <c r="L76" s="2">
        <v>32976.74295517573</v>
      </c>
      <c r="M76" s="2">
        <v>32846.635873231338</v>
      </c>
      <c r="N76" s="2">
        <v>32717.042118862137</v>
      </c>
    </row>
    <row r="77" spans="1:14" x14ac:dyDescent="0.3">
      <c r="A77" t="s">
        <v>2</v>
      </c>
      <c r="B77" s="20">
        <v>0</v>
      </c>
      <c r="C77" s="2">
        <v>8000.119120329874</v>
      </c>
      <c r="D77" s="2">
        <v>6987.1010592423145</v>
      </c>
      <c r="E77" s="2">
        <v>6956.0130414755222</v>
      </c>
      <c r="F77" s="2">
        <v>6926.6181452017945</v>
      </c>
      <c r="G77" s="2">
        <v>6900.393461713682</v>
      </c>
      <c r="H77" s="2">
        <v>6873.1331228707968</v>
      </c>
      <c r="I77" s="2">
        <v>6846.0126106659927</v>
      </c>
      <c r="J77" s="2">
        <v>6819.0014628091703</v>
      </c>
      <c r="K77" s="2">
        <v>6792.0977317996185</v>
      </c>
      <c r="L77" s="2">
        <v>6765.300061282097</v>
      </c>
      <c r="M77" s="2">
        <v>6738.6081152303104</v>
      </c>
      <c r="N77" s="2">
        <v>6712.0214799330915</v>
      </c>
    </row>
    <row r="78" spans="1:14" x14ac:dyDescent="0.3">
      <c r="A78" t="s">
        <v>3</v>
      </c>
      <c r="B78" s="20">
        <v>0</v>
      </c>
      <c r="C78" s="2">
        <v>0</v>
      </c>
      <c r="D78" s="2">
        <v>4042.1510799676762</v>
      </c>
      <c r="E78" s="2">
        <v>3530.3121950632976</v>
      </c>
      <c r="F78" s="2">
        <v>3514.6046208759631</v>
      </c>
      <c r="G78" s="2">
        <v>3499.7525155596254</v>
      </c>
      <c r="H78" s="2">
        <v>3486.5021962720152</v>
      </c>
      <c r="I78" s="2">
        <v>3472.7286003496702</v>
      </c>
      <c r="J78" s="2">
        <v>3459.0256534248742</v>
      </c>
      <c r="K78" s="2">
        <v>3445.3779640794537</v>
      </c>
      <c r="L78" s="2">
        <v>3431.7845483165474</v>
      </c>
      <c r="M78" s="2">
        <v>3418.2447208222598</v>
      </c>
      <c r="N78" s="2">
        <v>3404.7583118154876</v>
      </c>
    </row>
    <row r="79" spans="1:14" x14ac:dyDescent="0.3">
      <c r="A79" t="s">
        <v>4</v>
      </c>
      <c r="B79" s="20">
        <v>0</v>
      </c>
      <c r="C79" s="2">
        <v>0</v>
      </c>
      <c r="D79" s="2">
        <v>0</v>
      </c>
      <c r="E79" s="2">
        <v>3253.4927280819534</v>
      </c>
      <c r="F79" s="2">
        <v>2841.5180005071279</v>
      </c>
      <c r="G79" s="2">
        <v>2828.8751087934638</v>
      </c>
      <c r="H79" s="2">
        <v>2816.9207766353006</v>
      </c>
      <c r="I79" s="2">
        <v>2806.2557083105044</v>
      </c>
      <c r="J79" s="2">
        <v>2795.1694591114151</v>
      </c>
      <c r="K79" s="2">
        <v>2784.1400746843806</v>
      </c>
      <c r="L79" s="2">
        <v>2773.1551666089504</v>
      </c>
      <c r="M79" s="2">
        <v>2762.2139428744913</v>
      </c>
      <c r="N79" s="2">
        <v>2751.3158518777291</v>
      </c>
    </row>
    <row r="80" spans="1:14" x14ac:dyDescent="0.3">
      <c r="A80" t="s">
        <v>40</v>
      </c>
      <c r="C80" s="2">
        <f>LGD*B79</f>
        <v>0</v>
      </c>
      <c r="D80" s="2">
        <f>LGD*C79</f>
        <v>0</v>
      </c>
      <c r="E80" s="2">
        <f>LGD*D79</f>
        <v>0</v>
      </c>
      <c r="F80" s="2">
        <f>LGD*E79</f>
        <v>2165.2995957801063</v>
      </c>
      <c r="G80" s="2">
        <f>LGD*F79</f>
        <v>1891.1177285855597</v>
      </c>
      <c r="H80" s="2">
        <f>LGD*G79</f>
        <v>1882.7034948358419</v>
      </c>
      <c r="I80" s="2">
        <f>LGD*H79</f>
        <v>1874.7475186732174</v>
      </c>
      <c r="J80" s="2">
        <f>LGD*I79</f>
        <v>1867.6495872921744</v>
      </c>
      <c r="K80" s="2">
        <f>LGD*J79</f>
        <v>1860.2713470698097</v>
      </c>
      <c r="L80" s="2">
        <f>LGD*K79</f>
        <v>1852.9309521042919</v>
      </c>
      <c r="M80" s="2">
        <f>LGD*L79</f>
        <v>1845.6201575203331</v>
      </c>
      <c r="N80" s="2">
        <f>LGD*M79</f>
        <v>1838.3384362104687</v>
      </c>
    </row>
    <row r="81" spans="1:19" x14ac:dyDescent="0.3">
      <c r="A81" t="s">
        <v>41</v>
      </c>
      <c r="C81" s="2">
        <f ca="1">C80*EXP(-EIR*YEARFRAC(CALCDATE,C74))</f>
        <v>0</v>
      </c>
      <c r="D81" s="2">
        <f ca="1">D80*EXP(-EIR*YEARFRAC(CALCDATE,D74))</f>
        <v>0</v>
      </c>
      <c r="E81" s="2">
        <f ca="1">E80*EXP(-EIR*YEARFRAC(CALCDATE,E74))</f>
        <v>0</v>
      </c>
      <c r="F81" s="2">
        <f ca="1">F80*EXP(-EIR*YEARFRAC(CALCDATE,F74))</f>
        <v>2122.4237910953138</v>
      </c>
      <c r="G81" s="2">
        <f ca="1">G80*EXP(-EIR*YEARFRAC(CALCDATE,G74))</f>
        <v>1844.4258655020024</v>
      </c>
      <c r="H81" s="2">
        <f ca="1">H80*EXP(-EIR*YEARFRAC(CALCDATE,H74))</f>
        <v>1827.0611975596096</v>
      </c>
      <c r="I81" s="2">
        <f ca="1">I80*EXP(-EIR*YEARFRAC(CALCDATE,I74))</f>
        <v>1810.2663581462921</v>
      </c>
      <c r="J81" s="2">
        <f ca="1">J80*EXP(-EIR*YEARFRAC(CALCDATE,J74))</f>
        <v>1795.0162385416518</v>
      </c>
      <c r="K81" s="2">
        <f ca="1">K80*EXP(-EIR*YEARFRAC(CALCDATE,K74))</f>
        <v>1778.4147233250069</v>
      </c>
      <c r="L81" s="2">
        <f ca="1">L80*EXP(-EIR*YEARFRAC(CALCDATE,L74))</f>
        <v>1762.5624432097256</v>
      </c>
      <c r="M81" s="2">
        <f ca="1">M80*EXP(-EIR*YEARFRAC(CALCDATE,M74))</f>
        <v>1746.8520678565649</v>
      </c>
      <c r="N81" s="2">
        <f ca="1">N80*EXP(-EIR*YEARFRAC(CALCDATE,N74))</f>
        <v>1731.2819399477492</v>
      </c>
    </row>
    <row r="83" spans="1:19" x14ac:dyDescent="0.3">
      <c r="A83" s="18" t="s">
        <v>44</v>
      </c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</row>
    <row r="84" spans="1:19" x14ac:dyDescent="0.3">
      <c r="B84" s="3">
        <f ca="1">CALCDATE</f>
        <v>46203</v>
      </c>
      <c r="C84" s="3">
        <f ca="1">EOMONTH(B84,1)</f>
        <v>46234</v>
      </c>
      <c r="D84" s="3">
        <f t="shared" ref="D84" ca="1" si="31">EOMONTH(C84,1)</f>
        <v>46265</v>
      </c>
      <c r="E84" s="3">
        <f t="shared" ref="E84" ca="1" si="32">EOMONTH(D84,1)</f>
        <v>46295</v>
      </c>
      <c r="F84" s="3">
        <f t="shared" ref="F84" ca="1" si="33">EOMONTH(E84,1)</f>
        <v>46326</v>
      </c>
      <c r="G84" s="3">
        <f t="shared" ref="G84" ca="1" si="34">EOMONTH(F84,1)</f>
        <v>46356</v>
      </c>
      <c r="H84" s="3">
        <f t="shared" ref="H84" ca="1" si="35">EOMONTH(G84,1)</f>
        <v>46387</v>
      </c>
      <c r="I84" s="3">
        <f t="shared" ref="I84" ca="1" si="36">EOMONTH(H84,1)</f>
        <v>46418</v>
      </c>
      <c r="J84" s="3">
        <f t="shared" ref="J84" ca="1" si="37">EOMONTH(I84,1)</f>
        <v>46446</v>
      </c>
      <c r="K84" s="3">
        <f t="shared" ref="K84" ca="1" si="38">EOMONTH(J84,1)</f>
        <v>46477</v>
      </c>
      <c r="L84" s="3">
        <f t="shared" ref="L84" ca="1" si="39">EOMONTH(K84,1)</f>
        <v>46507</v>
      </c>
      <c r="M84" s="3">
        <f t="shared" ref="M84" ca="1" si="40">EOMONTH(L84,1)</f>
        <v>46538</v>
      </c>
      <c r="N84" s="3">
        <f t="shared" ref="N84" ca="1" si="41">EOMONTH(M84,1)</f>
        <v>46568</v>
      </c>
    </row>
    <row r="85" spans="1:19" x14ac:dyDescent="0.3">
      <c r="A85" t="s">
        <v>0</v>
      </c>
      <c r="B85" s="2">
        <f>B75</f>
        <v>683855.86961705878</v>
      </c>
      <c r="C85" s="2">
        <f t="array" ref="C85:C89">TRANSPOSE(MMULT(TRANSPOSE(B85:B88),$C$56:$G$59))</f>
        <v>697909.55619137723</v>
      </c>
      <c r="D85" s="2">
        <f t="array" ref="D85:D89">TRANSPOSE(MMULT(TRANSPOSE(C85:C88),$C$56:$G$59))</f>
        <v>698022.63153776038</v>
      </c>
      <c r="E85" s="2">
        <f t="array" ref="E85:E89">TRANSPOSE(MMULT(TRANSPOSE(D85:D88),$C$56:$G$59))</f>
        <v>696971.51215409779</v>
      </c>
      <c r="F85" s="2">
        <f t="array" ref="F85:F89">TRANSPOSE(MMULT(TRANSPOSE(E85:E88),$C$56:$G$59))</f>
        <v>695540.17836564349</v>
      </c>
      <c r="G85" s="2">
        <f t="array" ref="G85:G89">TRANSPOSE(MMULT(TRANSPOSE(F85:F88),$C$56:$G$59))</f>
        <v>694131.08306826209</v>
      </c>
      <c r="H85" s="2">
        <f t="array" ref="H85:H89">TRANSPOSE(MMULT(TRANSPOSE(G85:G88),$C$56:$G$59))</f>
        <v>692726.14425019966</v>
      </c>
      <c r="I85" s="2">
        <f t="array" ref="I85:I89">TRANSPOSE(MMULT(TRANSPOSE(H85:H88),$C$56:$G$59))</f>
        <v>691324.15308979084</v>
      </c>
      <c r="J85" s="2">
        <f t="array" ref="J85:J89">TRANSPOSE(MMULT(TRANSPOSE(I85:I88),$C$56:$G$59))</f>
        <v>689924.98329985572</v>
      </c>
      <c r="K85" s="2">
        <f t="array" ref="K85:K89">TRANSPOSE(MMULT(TRANSPOSE(J85:J88),$C$56:$G$59))</f>
        <v>688528.6446838819</v>
      </c>
      <c r="L85" s="2">
        <f t="array" ref="L85:L89">TRANSPOSE(MMULT(TRANSPOSE(K85:K88),$C$56:$G$59))</f>
        <v>687135.13212674134</v>
      </c>
      <c r="M85" s="2">
        <f t="array" ref="M85:M89">TRANSPOSE(MMULT(TRANSPOSE(L85:L88),$C$56:$G$59))</f>
        <v>685744.43990823277</v>
      </c>
      <c r="N85" s="2">
        <f t="array" ref="N85:N89">TRANSPOSE(MMULT(TRANSPOSE(M85:M88),$C$56:$G$59))</f>
        <v>684356.56231059099</v>
      </c>
    </row>
    <row r="86" spans="1:19" x14ac:dyDescent="0.3">
      <c r="A86" t="s">
        <v>1</v>
      </c>
      <c r="B86" s="2">
        <f>B76</f>
        <v>39150.202435074847</v>
      </c>
      <c r="C86" s="2">
        <v>17096.396740426484</v>
      </c>
      <c r="D86" s="2">
        <v>17447.738904784444</v>
      </c>
      <c r="E86" s="2">
        <v>17450.565788444026</v>
      </c>
      <c r="F86" s="2">
        <v>17424.287803852461</v>
      </c>
      <c r="G86" s="2">
        <v>17388.504459141102</v>
      </c>
      <c r="H86" s="2">
        <v>17353.277076706567</v>
      </c>
      <c r="I86" s="2">
        <v>17318.153606255008</v>
      </c>
      <c r="J86" s="2">
        <v>17283.103827244788</v>
      </c>
      <c r="K86" s="2">
        <v>17248.12458249641</v>
      </c>
      <c r="L86" s="2">
        <v>17213.216117097061</v>
      </c>
      <c r="M86" s="2">
        <v>17178.378303168549</v>
      </c>
      <c r="N86" s="2">
        <v>17143.610997705833</v>
      </c>
    </row>
    <row r="87" spans="1:19" x14ac:dyDescent="0.3">
      <c r="A87" t="s">
        <v>2</v>
      </c>
      <c r="B87" s="20">
        <v>0</v>
      </c>
      <c r="C87" s="2">
        <v>8000.119120329874</v>
      </c>
      <c r="D87" s="2">
        <v>3493.5505296211572</v>
      </c>
      <c r="E87" s="2">
        <v>3565.3452839782894</v>
      </c>
      <c r="F87" s="2">
        <v>3565.9229414259994</v>
      </c>
      <c r="G87" s="2">
        <v>3560.5531861272025</v>
      </c>
      <c r="H87" s="2">
        <v>3553.2410650547909</v>
      </c>
      <c r="I87" s="2">
        <v>3546.0425516820678</v>
      </c>
      <c r="J87" s="2">
        <v>3538.8652721265444</v>
      </c>
      <c r="K87" s="2">
        <v>3531.7030509940228</v>
      </c>
      <c r="L87" s="2">
        <v>3524.5552431329966</v>
      </c>
      <c r="M87" s="2">
        <v>3517.4218986256255</v>
      </c>
      <c r="N87" s="2">
        <v>3510.3029913407349</v>
      </c>
    </row>
    <row r="88" spans="1:19" x14ac:dyDescent="0.3">
      <c r="A88" t="s">
        <v>3</v>
      </c>
      <c r="B88" s="20">
        <v>0</v>
      </c>
      <c r="C88" s="2">
        <v>0</v>
      </c>
      <c r="D88" s="2">
        <v>4042.1510799676762</v>
      </c>
      <c r="E88" s="2">
        <v>1765.1560975316488</v>
      </c>
      <c r="F88" s="2">
        <v>1801.4312128762724</v>
      </c>
      <c r="G88" s="2">
        <v>1801.7230808648601</v>
      </c>
      <c r="H88" s="2">
        <v>1799.0099509909517</v>
      </c>
      <c r="I88" s="2">
        <v>1795.3154187414762</v>
      </c>
      <c r="J88" s="2">
        <v>1791.6782880730375</v>
      </c>
      <c r="K88" s="2">
        <v>1788.0518860319899</v>
      </c>
      <c r="L88" s="2">
        <v>1784.4330924302521</v>
      </c>
      <c r="M88" s="2">
        <v>1780.8215812976957</v>
      </c>
      <c r="N88" s="2">
        <v>1777.2173779389009</v>
      </c>
    </row>
    <row r="89" spans="1:19" x14ac:dyDescent="0.3">
      <c r="A89" t="s">
        <v>4</v>
      </c>
      <c r="B89" s="20">
        <v>0</v>
      </c>
      <c r="C89" s="2">
        <v>0</v>
      </c>
      <c r="D89" s="2">
        <v>0</v>
      </c>
      <c r="E89" s="2">
        <v>3253.4927280819534</v>
      </c>
      <c r="F89" s="2">
        <v>1420.759000253564</v>
      </c>
      <c r="G89" s="2">
        <v>1449.9565294030708</v>
      </c>
      <c r="H89" s="2">
        <v>1450.1914514432528</v>
      </c>
      <c r="I89" s="2">
        <v>1448.0076764827252</v>
      </c>
      <c r="J89" s="2">
        <v>1445.0339791692074</v>
      </c>
      <c r="K89" s="2">
        <v>1442.1064838958382</v>
      </c>
      <c r="L89" s="2">
        <v>1439.1876240026193</v>
      </c>
      <c r="M89" s="2">
        <v>1436.2748880769304</v>
      </c>
      <c r="N89" s="2">
        <v>1433.3680137482122</v>
      </c>
    </row>
    <row r="90" spans="1:19" x14ac:dyDescent="0.3">
      <c r="A90" t="s">
        <v>40</v>
      </c>
      <c r="C90" s="2">
        <f>LGD*B89</f>
        <v>0</v>
      </c>
      <c r="D90" s="2">
        <f>LGD*C89</f>
        <v>0</v>
      </c>
      <c r="E90" s="2">
        <f>LGD*D89</f>
        <v>0</v>
      </c>
      <c r="F90" s="2">
        <f>LGD*E89</f>
        <v>2165.2995957801063</v>
      </c>
      <c r="G90" s="2">
        <f>LGD*F89</f>
        <v>945.55886429277984</v>
      </c>
      <c r="H90" s="2">
        <f>LGD*G89</f>
        <v>964.99071902524031</v>
      </c>
      <c r="I90" s="2">
        <f>LGD*H89</f>
        <v>965.14706687696764</v>
      </c>
      <c r="J90" s="2">
        <f>LGD*I89</f>
        <v>963.6936973954588</v>
      </c>
      <c r="K90" s="2">
        <f>LGD*J89</f>
        <v>961.71461026384918</v>
      </c>
      <c r="L90" s="2">
        <f>LGD*K89</f>
        <v>959.7662720126641</v>
      </c>
      <c r="M90" s="2">
        <f>LGD*L89</f>
        <v>957.82368087287944</v>
      </c>
      <c r="N90" s="2">
        <f>LGD*M89</f>
        <v>955.8851654220623</v>
      </c>
    </row>
    <row r="91" spans="1:19" x14ac:dyDescent="0.3">
      <c r="A91" t="s">
        <v>41</v>
      </c>
      <c r="C91" s="2">
        <f ca="1">C90*EXP(-EIR*YEARFRAC(CALCDATE,C84))</f>
        <v>0</v>
      </c>
      <c r="D91" s="2">
        <f ca="1">D90*EXP(-EIR*YEARFRAC(CALCDATE,D84))</f>
        <v>0</v>
      </c>
      <c r="E91" s="2">
        <f ca="1">E90*EXP(-EIR*YEARFRAC(CALCDATE,E84))</f>
        <v>0</v>
      </c>
      <c r="F91" s="2">
        <f ca="1">F90*EXP(-EIR*YEARFRAC(CALCDATE,F84))</f>
        <v>2122.4237910953138</v>
      </c>
      <c r="G91" s="2">
        <f ca="1">G90*EXP(-EIR*YEARFRAC(CALCDATE,G84))</f>
        <v>922.21293275100118</v>
      </c>
      <c r="H91" s="2">
        <f ca="1">H90*EXP(-EIR*YEARFRAC(CALCDATE,H84))</f>
        <v>936.47093319380781</v>
      </c>
      <c r="I91" s="2">
        <f ca="1">I90*EXP(-EIR*YEARFRAC(CALCDATE,I84))</f>
        <v>931.95123526150371</v>
      </c>
      <c r="J91" s="2">
        <f ca="1">J90*EXP(-EIR*YEARFRAC(CALCDATE,J84))</f>
        <v>926.21541405586845</v>
      </c>
      <c r="K91" s="2">
        <f ca="1">K90*EXP(-EIR*YEARFRAC(CALCDATE,K84))</f>
        <v>919.39674565434098</v>
      </c>
      <c r="L91" s="2">
        <f ca="1">L90*EXP(-EIR*YEARFRAC(CALCDATE,L84))</f>
        <v>912.95791858180223</v>
      </c>
      <c r="M91" s="2">
        <f ca="1">M90*EXP(-EIR*YEARFRAC(CALCDATE,M84))</f>
        <v>906.56588830431792</v>
      </c>
      <c r="N91" s="2">
        <f ca="1">N90*EXP(-EIR*YEARFRAC(CALCDATE,N84))</f>
        <v>900.21874697381088</v>
      </c>
    </row>
    <row r="93" spans="1:19" x14ac:dyDescent="0.3">
      <c r="A93" s="18" t="s">
        <v>45</v>
      </c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</row>
    <row r="94" spans="1:19" x14ac:dyDescent="0.3">
      <c r="B94" s="3">
        <f ca="1">B64</f>
        <v>46203</v>
      </c>
      <c r="C94" s="3">
        <f ca="1">EOMONTH(B94,1)</f>
        <v>46234</v>
      </c>
      <c r="D94" s="3">
        <f t="shared" ref="D94:M94" ca="1" si="42">EOMONTH(C94,1)</f>
        <v>46265</v>
      </c>
      <c r="E94" s="3">
        <f t="shared" ca="1" si="42"/>
        <v>46295</v>
      </c>
      <c r="F94" s="3">
        <f t="shared" ca="1" si="42"/>
        <v>46326</v>
      </c>
      <c r="G94" s="3">
        <f t="shared" ca="1" si="42"/>
        <v>46356</v>
      </c>
      <c r="H94" s="3">
        <f t="shared" ca="1" si="42"/>
        <v>46387</v>
      </c>
      <c r="I94" s="3">
        <f t="shared" ca="1" si="42"/>
        <v>46418</v>
      </c>
      <c r="J94" s="3">
        <f t="shared" ca="1" si="42"/>
        <v>46446</v>
      </c>
      <c r="K94" s="3">
        <f t="shared" ca="1" si="42"/>
        <v>46477</v>
      </c>
      <c r="L94" s="3">
        <f t="shared" ca="1" si="42"/>
        <v>46507</v>
      </c>
      <c r="M94" s="3">
        <f t="shared" ca="1" si="42"/>
        <v>46538</v>
      </c>
      <c r="N94" s="3">
        <f t="shared" ref="N94:S94" ca="1" si="43">EOMONTH(M94,1)</f>
        <v>46568</v>
      </c>
      <c r="O94" s="3">
        <f t="shared" ca="1" si="43"/>
        <v>46599</v>
      </c>
      <c r="P94" s="3">
        <f t="shared" ca="1" si="43"/>
        <v>46630</v>
      </c>
      <c r="Q94" s="3">
        <f t="shared" ca="1" si="43"/>
        <v>46660</v>
      </c>
      <c r="R94" s="3">
        <f t="shared" ca="1" si="43"/>
        <v>46691</v>
      </c>
      <c r="S94" s="3">
        <f t="shared" ca="1" si="43"/>
        <v>46721</v>
      </c>
    </row>
    <row r="95" spans="1:19" x14ac:dyDescent="0.3">
      <c r="A95" t="str">
        <f>A65</f>
        <v>Current</v>
      </c>
      <c r="B95" s="20">
        <v>0</v>
      </c>
      <c r="C95" s="2">
        <f t="array" ref="C95:C99">TRANSPOSE(MMULT(TRANSPOSE(B95:B98),$C$40:$G$43))</f>
        <v>4517.1541939775534</v>
      </c>
      <c r="D95" s="2">
        <f t="array" ref="D95:D99">TRANSPOSE(MMULT(TRANSPOSE(C95:C98),$C$40:$G$43))</f>
        <v>5147.4499027769225</v>
      </c>
      <c r="E95" s="2">
        <f t="array" ref="E95:E99">TRANSPOSE(MMULT(TRANSPOSE(D95:D98),$C$40:$G$43))</f>
        <v>5102.4027459046256</v>
      </c>
      <c r="F95" s="2">
        <f t="array" ref="F95:F99">TRANSPOSE(MMULT(TRANSPOSE(E95:E98),$C$40:$G$43))</f>
        <v>5086.448861624689</v>
      </c>
      <c r="G95" s="2">
        <f t="array" ref="G95:G99">TRANSPOSE(MMULT(TRANSPOSE(F95:F98),$C$40:$G$43))</f>
        <v>5074.4049991734773</v>
      </c>
      <c r="H95" s="2">
        <f t="array" ref="H95:H99">TRANSPOSE(MMULT(TRANSPOSE(G95:G98),$C$40:$G$43))</f>
        <v>5062.5784301144313</v>
      </c>
      <c r="I95" s="2">
        <f t="array" ref="I95:I99">TRANSPOSE(MMULT(TRANSPOSE(H95:H98),$C$40:$G$43))</f>
        <v>5050.7438414475118</v>
      </c>
      <c r="J95" s="2">
        <f t="array" ref="J95:J99">TRANSPOSE(MMULT(TRANSPOSE(I95:I98),$C$40:$G$43))</f>
        <v>5038.934938976503</v>
      </c>
      <c r="K95" s="2">
        <f t="array" ref="K95:K99">TRANSPOSE(MMULT(TRANSPOSE(J95:J98),$C$40:$G$43))</f>
        <v>5027.1537140099599</v>
      </c>
      <c r="L95" s="2">
        <f t="array" ref="L95:L99">TRANSPOSE(MMULT(TRANSPOSE(K95:K98),$C$40:$G$43))</f>
        <v>5015.4000600122372</v>
      </c>
      <c r="M95" s="2">
        <f t="array" ref="M95:M99">TRANSPOSE(MMULT(TRANSPOSE(L95:L98),$C$40:$G$43))</f>
        <v>5003.6738866785972</v>
      </c>
      <c r="N95" s="2">
        <f t="array" ref="N95:N99">TRANSPOSE(MMULT(TRANSPOSE(M95:M98),$C$40:$G$43))</f>
        <v>4991.9751293936142</v>
      </c>
      <c r="O95" s="2">
        <f t="array" ref="O95:O99">TRANSPOSE(MMULT(TRANSPOSE(N95:N98),$C$40:$G$43))</f>
        <v>4980.3037241829734</v>
      </c>
      <c r="P95" s="2">
        <f t="array" ref="P95:P99">TRANSPOSE(MMULT(TRANSPOSE(O95:O98),$C$40:$G$43))</f>
        <v>4968.6596071096856</v>
      </c>
      <c r="Q95" s="2">
        <f t="array" ref="Q95:Q99">TRANSPOSE(MMULT(TRANSPOSE(P95:P98),$C$40:$G$43))</f>
        <v>4957.0427143725929</v>
      </c>
      <c r="R95" s="2">
        <f t="array" ref="R95:R99">TRANSPOSE(MMULT(TRANSPOSE(Q95:Q98),$C$40:$G$43))</f>
        <v>4945.452982320181</v>
      </c>
      <c r="S95" s="2">
        <f t="array" ref="S95:S99">TRANSPOSE(MMULT(TRANSPOSE(R95:R98),$C$40:$G$43))</f>
        <v>4933.8903474498557</v>
      </c>
    </row>
    <row r="96" spans="1:19" x14ac:dyDescent="0.3">
      <c r="A96" t="str">
        <f t="shared" ref="A96:A99" si="44">A66</f>
        <v>1-30dpd</v>
      </c>
      <c r="B96" s="20">
        <v>0</v>
      </c>
      <c r="C96" s="2">
        <v>0</v>
      </c>
      <c r="D96" s="2">
        <v>130.99747162534916</v>
      </c>
      <c r="E96" s="2">
        <v>149.2760471805309</v>
      </c>
      <c r="F96" s="2">
        <v>147.96967963123427</v>
      </c>
      <c r="G96" s="2">
        <v>147.50701698711612</v>
      </c>
      <c r="H96" s="2">
        <v>147.15774497603098</v>
      </c>
      <c r="I96" s="2">
        <v>146.81477447331864</v>
      </c>
      <c r="J96" s="2">
        <v>146.47157140197797</v>
      </c>
      <c r="K96" s="2">
        <v>146.12911323031872</v>
      </c>
      <c r="L96" s="2">
        <v>145.78745770628896</v>
      </c>
      <c r="M96" s="2">
        <v>145.44660174035502</v>
      </c>
      <c r="N96" s="2">
        <v>145.10654271367946</v>
      </c>
      <c r="O96" s="2">
        <v>144.76727875241494</v>
      </c>
      <c r="P96" s="2">
        <v>144.42880800130635</v>
      </c>
      <c r="Q96" s="2">
        <v>144.091128606181</v>
      </c>
      <c r="R96" s="2">
        <v>143.75423871680533</v>
      </c>
      <c r="S96" s="2">
        <v>143.41813648728538</v>
      </c>
    </row>
    <row r="97" spans="1:19" x14ac:dyDescent="0.3">
      <c r="A97" t="str">
        <f t="shared" si="44"/>
        <v>31-60dpd</v>
      </c>
      <c r="B97" s="2">
        <f>M6</f>
        <v>7722.5279036606698</v>
      </c>
      <c r="C97" s="2">
        <v>0</v>
      </c>
      <c r="D97" s="2">
        <v>0</v>
      </c>
      <c r="E97" s="2">
        <v>26.768581317115288</v>
      </c>
      <c r="F97" s="2">
        <v>30.503703301066892</v>
      </c>
      <c r="G97" s="2">
        <v>30.236754591755922</v>
      </c>
      <c r="H97" s="2">
        <v>30.142212136410762</v>
      </c>
      <c r="I97" s="2">
        <v>30.070840405990925</v>
      </c>
      <c r="J97" s="2">
        <v>30.000756352632365</v>
      </c>
      <c r="K97" s="2">
        <v>29.930624775209701</v>
      </c>
      <c r="L97" s="2">
        <v>29.860645413760732</v>
      </c>
      <c r="M97" s="2">
        <v>29.790830068747137</v>
      </c>
      <c r="N97" s="2">
        <v>29.721178108840448</v>
      </c>
      <c r="O97" s="2">
        <v>29.651688998896265</v>
      </c>
      <c r="P97" s="2">
        <v>29.582362356004644</v>
      </c>
      <c r="Q97" s="2">
        <v>29.513197801054851</v>
      </c>
      <c r="R97" s="2">
        <v>29.444194955157343</v>
      </c>
      <c r="S97" s="2">
        <v>29.375353440227514</v>
      </c>
    </row>
    <row r="98" spans="1:19" x14ac:dyDescent="0.3">
      <c r="A98" t="str">
        <f t="shared" si="44"/>
        <v>61-90dpd</v>
      </c>
      <c r="B98" s="2">
        <f>M7</f>
        <v>3569.9160898291602</v>
      </c>
      <c r="C98" s="2">
        <v>3901.8949638559075</v>
      </c>
      <c r="D98" s="2">
        <v>0</v>
      </c>
      <c r="E98" s="2">
        <v>0</v>
      </c>
      <c r="F98" s="2">
        <v>13.52512984528142</v>
      </c>
      <c r="G98" s="2">
        <v>15.412342664759842</v>
      </c>
      <c r="H98" s="2">
        <v>15.277463796407091</v>
      </c>
      <c r="I98" s="2">
        <v>15.229695146687225</v>
      </c>
      <c r="J98" s="2">
        <v>15.193633768993163</v>
      </c>
      <c r="K98" s="2">
        <v>15.158223004764425</v>
      </c>
      <c r="L98" s="2">
        <v>15.122788228462348</v>
      </c>
      <c r="M98" s="2">
        <v>15.087430361010403</v>
      </c>
      <c r="N98" s="2">
        <v>15.052155364725925</v>
      </c>
      <c r="O98" s="2">
        <v>15.016962920623032</v>
      </c>
      <c r="P98" s="2">
        <v>14.981852758313938</v>
      </c>
      <c r="Q98" s="2">
        <v>14.946824684329041</v>
      </c>
      <c r="R98" s="2">
        <v>14.911878507118336</v>
      </c>
      <c r="S98" s="2">
        <v>14.87701403524358</v>
      </c>
    </row>
    <row r="99" spans="1:19" x14ac:dyDescent="0.3">
      <c r="A99" t="str">
        <f t="shared" si="44"/>
        <v>91-120dpd</v>
      </c>
      <c r="B99" s="37">
        <f>M8</f>
        <v>2832.6773013665274</v>
      </c>
      <c r="C99" s="2">
        <v>2873.3948356563687</v>
      </c>
      <c r="D99" s="2">
        <v>3140.6017834311892</v>
      </c>
      <c r="E99" s="2">
        <v>0</v>
      </c>
      <c r="F99" s="2">
        <v>0</v>
      </c>
      <c r="G99" s="2">
        <v>10.886260985163172</v>
      </c>
      <c r="H99" s="2">
        <v>12.40526239383026</v>
      </c>
      <c r="I99" s="2">
        <v>12.296699549771223</v>
      </c>
      <c r="J99" s="2">
        <v>12.258250973402049</v>
      </c>
      <c r="K99" s="2">
        <v>12.229225479853898</v>
      </c>
      <c r="L99" s="2">
        <v>12.200723659502605</v>
      </c>
      <c r="M99" s="2">
        <v>12.172202512039473</v>
      </c>
      <c r="N99" s="2">
        <v>12.143743267850038</v>
      </c>
      <c r="O99" s="2">
        <v>12.115350725952375</v>
      </c>
      <c r="P99" s="2">
        <v>12.087024629597483</v>
      </c>
      <c r="Q99" s="2">
        <v>12.058764761152554</v>
      </c>
      <c r="R99" s="2">
        <v>12.030570964895565</v>
      </c>
      <c r="S99" s="2">
        <v>12.00244308664956</v>
      </c>
    </row>
    <row r="100" spans="1:19" x14ac:dyDescent="0.3">
      <c r="A100" t="s">
        <v>40</v>
      </c>
      <c r="C100" s="2">
        <f>LGD*B99</f>
        <v>1885.233971074646</v>
      </c>
      <c r="D100" s="2">
        <f>LGD*C99</f>
        <v>1912.3327439650752</v>
      </c>
      <c r="E100" s="2">
        <f>LGD*D99</f>
        <v>2090.1671958488969</v>
      </c>
      <c r="F100" s="2">
        <f>LGD*E99</f>
        <v>0</v>
      </c>
      <c r="G100" s="2">
        <f>LGD*F99</f>
        <v>0</v>
      </c>
      <c r="H100" s="2">
        <f>LGD*G99</f>
        <v>7.2451419077328252</v>
      </c>
      <c r="I100" s="2">
        <f>LGD*H99</f>
        <v>8.256084120016574</v>
      </c>
      <c r="J100" s="2">
        <f>LGD*I99</f>
        <v>8.1838322043049452</v>
      </c>
      <c r="K100" s="2">
        <f>LGD*J99</f>
        <v>8.1582434927790484</v>
      </c>
      <c r="L100" s="2">
        <f>LGD*K99</f>
        <v>8.1389261330368061</v>
      </c>
      <c r="M100" s="2">
        <f>LGD*L99</f>
        <v>8.1199572939326128</v>
      </c>
      <c r="N100" s="2">
        <f>LGD*M99</f>
        <v>8.1009755920403457</v>
      </c>
      <c r="O100" s="2">
        <f>LGD*N99</f>
        <v>8.0820350886829218</v>
      </c>
      <c r="P100" s="2">
        <f>LGD*O99</f>
        <v>8.0631389777546456</v>
      </c>
      <c r="Q100" s="2">
        <f>LGD*P99</f>
        <v>8.0442870883811484</v>
      </c>
      <c r="R100" s="2">
        <f>LGD*Q99</f>
        <v>8.0254792757210982</v>
      </c>
      <c r="S100" s="2">
        <f>LGD*R99</f>
        <v>8.006715436136691</v>
      </c>
    </row>
    <row r="101" spans="1:19" x14ac:dyDescent="0.3">
      <c r="A101" t="s">
        <v>41</v>
      </c>
      <c r="C101" s="2">
        <f ca="1">C100*EXP(-EIR*YEARFRAC(CALCDATE,C94))</f>
        <v>1875.831327417249</v>
      </c>
      <c r="D101" s="2">
        <f ca="1">D100*EXP(-EIR*YEARFRAC(CALCDATE,D94))</f>
        <v>1893.3047152357133</v>
      </c>
      <c r="E101" s="2">
        <f ca="1">E100*EXP(-EIR*YEARFRAC(CALCDATE,E94))</f>
        <v>2059.0486603974014</v>
      </c>
      <c r="F101" s="2">
        <f ca="1">F100*EXP(-EIR*YEARFRAC(CALCDATE,F94))</f>
        <v>0</v>
      </c>
      <c r="G101" s="2">
        <f ca="1">G100*EXP(-EIR*YEARFRAC(CALCDATE,G94))</f>
        <v>0</v>
      </c>
      <c r="H101" s="2">
        <f ca="1">H100*EXP(-EIR*YEARFRAC(CALCDATE,H94))</f>
        <v>7.0310156042844376</v>
      </c>
      <c r="I101" s="2">
        <f ca="1">I100*EXP(-EIR*YEARFRAC(CALCDATE,I94))</f>
        <v>7.9721195433660883</v>
      </c>
      <c r="J101" s="2">
        <f ca="1">J100*EXP(-EIR*YEARFRAC(CALCDATE,J94))</f>
        <v>7.8655609704206153</v>
      </c>
      <c r="K101" s="2">
        <f ca="1">K100*EXP(-EIR*YEARFRAC(CALCDATE,K94))</f>
        <v>7.7992602352780445</v>
      </c>
      <c r="L101" s="2">
        <f ca="1">L100*EXP(-EIR*YEARFRAC(CALCDATE,L94))</f>
        <v>7.7419860215824228</v>
      </c>
      <c r="M101" s="2">
        <f ca="1">M100*EXP(-EIR*YEARFRAC(CALCDATE,M94))</f>
        <v>7.6854189807237798</v>
      </c>
      <c r="N101" s="2">
        <f ca="1">N100*EXP(-EIR*YEARFRAC(CALCDATE,N94))</f>
        <v>7.6292115000152592</v>
      </c>
      <c r="O101" s="2">
        <f ca="1">O100*EXP(-EIR*YEARFRAC(CALCDATE,O94))</f>
        <v>7.573412119479273</v>
      </c>
      <c r="P101" s="2">
        <f ca="1">P100*EXP(-EIR*YEARFRAC(CALCDATE,P94))</f>
        <v>7.5180209519011969</v>
      </c>
      <c r="Q101" s="2">
        <f ca="1">Q100*EXP(-EIR*YEARFRAC(CALCDATE,Q94))</f>
        <v>7.4630349484024903</v>
      </c>
      <c r="R101" s="2">
        <f ca="1">R100*EXP(-EIR*YEARFRAC(CALCDATE,R94))</f>
        <v>7.4084511070053241</v>
      </c>
      <c r="S101" s="2">
        <f ca="1">S100*EXP(-EIR*YEARFRAC(CALCDATE,S94))</f>
        <v>7.3542664857983233</v>
      </c>
    </row>
    <row r="103" spans="1:19" x14ac:dyDescent="0.3">
      <c r="A103" s="18" t="s">
        <v>46</v>
      </c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</row>
    <row r="104" spans="1:19" x14ac:dyDescent="0.3">
      <c r="B104" s="3">
        <f ca="1">B74</f>
        <v>46203</v>
      </c>
      <c r="C104" s="3">
        <f ca="1">EOMONTH(B104,1)</f>
        <v>46234</v>
      </c>
      <c r="D104" s="3">
        <f t="shared" ref="D104" ca="1" si="45">EOMONTH(C104,1)</f>
        <v>46265</v>
      </c>
      <c r="E104" s="3">
        <f t="shared" ref="E104" ca="1" si="46">EOMONTH(D104,1)</f>
        <v>46295</v>
      </c>
      <c r="F104" s="3">
        <f t="shared" ref="F104" ca="1" si="47">EOMONTH(E104,1)</f>
        <v>46326</v>
      </c>
      <c r="G104" s="3">
        <f t="shared" ref="G104" ca="1" si="48">EOMONTH(F104,1)</f>
        <v>46356</v>
      </c>
      <c r="H104" s="3">
        <f t="shared" ref="H104" ca="1" si="49">EOMONTH(G104,1)</f>
        <v>46387</v>
      </c>
      <c r="I104" s="3">
        <f t="shared" ref="I104" ca="1" si="50">EOMONTH(H104,1)</f>
        <v>46418</v>
      </c>
      <c r="J104" s="3">
        <f t="shared" ref="J104" ca="1" si="51">EOMONTH(I104,1)</f>
        <v>46446</v>
      </c>
      <c r="K104" s="3">
        <f t="shared" ref="K104" ca="1" si="52">EOMONTH(J104,1)</f>
        <v>46477</v>
      </c>
      <c r="L104" s="3">
        <f t="shared" ref="L104" ca="1" si="53">EOMONTH(K104,1)</f>
        <v>46507</v>
      </c>
      <c r="M104" s="3">
        <f t="shared" ref="M104" ca="1" si="54">EOMONTH(L104,1)</f>
        <v>46538</v>
      </c>
      <c r="N104" s="3">
        <f t="shared" ref="N104" ca="1" si="55">EOMONTH(M104,1)</f>
        <v>46568</v>
      </c>
      <c r="O104" s="3">
        <f t="shared" ref="O104" ca="1" si="56">EOMONTH(N104,1)</f>
        <v>46599</v>
      </c>
      <c r="P104" s="3">
        <f t="shared" ref="P104" ca="1" si="57">EOMONTH(O104,1)</f>
        <v>46630</v>
      </c>
      <c r="Q104" s="3">
        <f t="shared" ref="Q104" ca="1" si="58">EOMONTH(P104,1)</f>
        <v>46660</v>
      </c>
      <c r="R104" s="3">
        <f t="shared" ref="R104" ca="1" si="59">EOMONTH(Q104,1)</f>
        <v>46691</v>
      </c>
      <c r="S104" s="3">
        <f t="shared" ref="S104" ca="1" si="60">EOMONTH(R104,1)</f>
        <v>46721</v>
      </c>
    </row>
    <row r="105" spans="1:19" x14ac:dyDescent="0.3">
      <c r="A105" t="str">
        <f>A75</f>
        <v>Current</v>
      </c>
      <c r="B105" s="20">
        <f>B95</f>
        <v>0</v>
      </c>
      <c r="C105" s="2">
        <f t="array" ref="C105:C109">TRANSPOSE(MMULT(TRANSPOSE(B105:B108),$C$48:$G$51))</f>
        <v>4517.1541939775534</v>
      </c>
      <c r="D105" s="2">
        <f t="array" ref="D105:D109">TRANSPOSE(MMULT(TRANSPOSE(C105:C108),$C$48:$G$51))</f>
        <v>5052.5896647033942</v>
      </c>
      <c r="E105" s="2">
        <f t="array" ref="E105:E109">TRANSPOSE(MMULT(TRANSPOSE(D105:D108),$C$48:$G$51))</f>
        <v>4979.665164758283</v>
      </c>
      <c r="F105" s="2">
        <f t="array" ref="F105:F109">TRANSPOSE(MMULT(TRANSPOSE(E105:E108),$C$48:$G$51))</f>
        <v>4954.5215421321363</v>
      </c>
      <c r="G105" s="2">
        <f t="array" ref="G105:G109">TRANSPOSE(MMULT(TRANSPOSE(F105:F108),$C$48:$G$51))</f>
        <v>4934.9902806894615</v>
      </c>
      <c r="H105" s="2">
        <f t="array" ref="H105:H109">TRANSPOSE(MMULT(TRANSPOSE(G105:G108),$C$48:$G$51))</f>
        <v>4915.6059785321013</v>
      </c>
      <c r="I105" s="2">
        <f t="array" ref="I105:I109">TRANSPOSE(MMULT(TRANSPOSE(H105:H108),$C$48:$G$51))</f>
        <v>4896.2133351172706</v>
      </c>
      <c r="J105" s="2">
        <f t="array" ref="J105:J109">TRANSPOSE(MMULT(TRANSPOSE(I105:I108),$C$48:$G$51))</f>
        <v>4876.8951095190268</v>
      </c>
      <c r="K105" s="2">
        <f t="array" ref="K105:K109">TRANSPOSE(MMULT(TRANSPOSE(J105:J108),$C$48:$G$51))</f>
        <v>4857.6536447549188</v>
      </c>
      <c r="L105" s="2">
        <f t="array" ref="L105:L109">TRANSPOSE(MMULT(TRANSPOSE(K105:K108),$C$48:$G$51))</f>
        <v>4838.4881691881037</v>
      </c>
      <c r="M105" s="2">
        <f t="array" ref="M105:M109">TRANSPOSE(MMULT(TRANSPOSE(L105:L108),$C$48:$G$51))</f>
        <v>4819.3983048880436</v>
      </c>
      <c r="N105" s="2">
        <f t="array" ref="N105:N109">TRANSPOSE(MMULT(TRANSPOSE(M105:M108),$C$48:$G$51))</f>
        <v>4800.3837573231676</v>
      </c>
      <c r="O105" s="2">
        <f t="array" ref="O105:O109">TRANSPOSE(MMULT(TRANSPOSE(N105:N108),$C$48:$G$51))</f>
        <v>4781.4442301127838</v>
      </c>
      <c r="P105" s="2">
        <f t="array" ref="P105:P109">TRANSPOSE(MMULT(TRANSPOSE(O105:O108),$C$48:$G$51))</f>
        <v>4762.579427290354</v>
      </c>
      <c r="Q105" s="2">
        <f t="array" ref="Q105:Q109">TRANSPOSE(MMULT(TRANSPOSE(P105:P108),$C$48:$G$51))</f>
        <v>4743.7890540273456</v>
      </c>
      <c r="R105" s="2">
        <f t="array" ref="R105:R109">TRANSPOSE(MMULT(TRANSPOSE(Q105:Q108),$C$48:$G$51))</f>
        <v>4725.0728166674617</v>
      </c>
      <c r="S105" s="2">
        <f t="array" ref="S105:S109">TRANSPOSE(MMULT(TRANSPOSE(R105:R108),$C$48:$G$51))</f>
        <v>4706.430422713529</v>
      </c>
    </row>
    <row r="106" spans="1:19" x14ac:dyDescent="0.3">
      <c r="A106" t="str">
        <f t="shared" ref="A106:A109" si="61">A76</f>
        <v>1-30dpd</v>
      </c>
      <c r="B106" s="20">
        <f t="shared" ref="B106:B109" si="62">B96</f>
        <v>0</v>
      </c>
      <c r="C106" s="2">
        <v>0</v>
      </c>
      <c r="D106" s="2">
        <v>225.85770969887787</v>
      </c>
      <c r="E106" s="2">
        <v>252.62948323516994</v>
      </c>
      <c r="F106" s="2">
        <v>248.98325823791438</v>
      </c>
      <c r="G106" s="2">
        <v>247.72607710660705</v>
      </c>
      <c r="H106" s="2">
        <v>246.74951403447329</v>
      </c>
      <c r="I106" s="2">
        <v>245.78029892660527</v>
      </c>
      <c r="J106" s="2">
        <v>244.81066675586374</v>
      </c>
      <c r="K106" s="2">
        <v>243.84475547595156</v>
      </c>
      <c r="L106" s="2">
        <v>242.88268223774617</v>
      </c>
      <c r="M106" s="2">
        <v>241.92440845940541</v>
      </c>
      <c r="N106" s="2">
        <v>240.96991524440239</v>
      </c>
      <c r="O106" s="2">
        <v>240.0191878661586</v>
      </c>
      <c r="P106" s="2">
        <v>239.07221150563939</v>
      </c>
      <c r="Q106" s="2">
        <v>238.12897136451792</v>
      </c>
      <c r="R106" s="2">
        <v>237.18945270136749</v>
      </c>
      <c r="S106" s="2">
        <v>236.25364083337328</v>
      </c>
    </row>
    <row r="107" spans="1:19" x14ac:dyDescent="0.3">
      <c r="A107" t="str">
        <f t="shared" si="61"/>
        <v>31-60dpd</v>
      </c>
      <c r="B107" s="2">
        <f t="shared" si="62"/>
        <v>7722.5279036606698</v>
      </c>
      <c r="C107" s="2">
        <v>0</v>
      </c>
      <c r="D107" s="2">
        <v>0</v>
      </c>
      <c r="E107" s="2">
        <v>46.152726408819461</v>
      </c>
      <c r="F107" s="2">
        <v>51.623384643805984</v>
      </c>
      <c r="G107" s="2">
        <v>50.878299497287422</v>
      </c>
      <c r="H107" s="2">
        <v>50.621401750130971</v>
      </c>
      <c r="I107" s="2">
        <v>50.421846692438962</v>
      </c>
      <c r="J107" s="2">
        <v>50.223793149062622</v>
      </c>
      <c r="K107" s="2">
        <v>50.025654381282287</v>
      </c>
      <c r="L107" s="2">
        <v>49.828275956182637</v>
      </c>
      <c r="M107" s="2">
        <v>49.631681812872941</v>
      </c>
      <c r="N107" s="2">
        <v>49.435864067375249</v>
      </c>
      <c r="O107" s="2">
        <v>49.240818858292762</v>
      </c>
      <c r="P107" s="2">
        <v>49.046543176333707</v>
      </c>
      <c r="Q107" s="2">
        <v>48.853033993313424</v>
      </c>
      <c r="R107" s="2">
        <v>48.660288285278767</v>
      </c>
      <c r="S107" s="2">
        <v>48.468303039903823</v>
      </c>
    </row>
    <row r="108" spans="1:19" x14ac:dyDescent="0.3">
      <c r="A108" t="str">
        <f t="shared" si="61"/>
        <v>61-90dpd</v>
      </c>
      <c r="B108" s="2">
        <f t="shared" si="62"/>
        <v>3569.9160898291602</v>
      </c>
      <c r="C108" s="2">
        <v>3901.8949638559075</v>
      </c>
      <c r="D108" s="2">
        <v>0</v>
      </c>
      <c r="E108" s="2">
        <v>0</v>
      </c>
      <c r="F108" s="2">
        <v>23.319189388416241</v>
      </c>
      <c r="G108" s="2">
        <v>26.08330161725678</v>
      </c>
      <c r="H108" s="2">
        <v>25.706838881593953</v>
      </c>
      <c r="I108" s="2">
        <v>25.577038376065119</v>
      </c>
      <c r="J108" s="2">
        <v>25.476210915894811</v>
      </c>
      <c r="K108" s="2">
        <v>25.376142112892154</v>
      </c>
      <c r="L108" s="2">
        <v>25.276030249291086</v>
      </c>
      <c r="M108" s="2">
        <v>25.176302557468173</v>
      </c>
      <c r="N108" s="2">
        <v>25.076971132930353</v>
      </c>
      <c r="O108" s="2">
        <v>24.978031992208198</v>
      </c>
      <c r="P108" s="2">
        <v>24.8794831842871</v>
      </c>
      <c r="Q108" s="2">
        <v>24.781323188688198</v>
      </c>
      <c r="R108" s="2">
        <v>24.683550475386795</v>
      </c>
      <c r="S108" s="2">
        <v>24.5861635164962</v>
      </c>
    </row>
    <row r="109" spans="1:19" x14ac:dyDescent="0.3">
      <c r="A109" t="str">
        <f t="shared" si="61"/>
        <v>91-120dpd</v>
      </c>
      <c r="B109" s="37">
        <f t="shared" si="62"/>
        <v>2832.6773013665274</v>
      </c>
      <c r="C109" s="2">
        <v>2873.3948356563687</v>
      </c>
      <c r="D109" s="2">
        <v>3140.6017834311892</v>
      </c>
      <c r="E109" s="2">
        <v>0</v>
      </c>
      <c r="F109" s="2">
        <v>0</v>
      </c>
      <c r="G109" s="2">
        <v>18.769415491660641</v>
      </c>
      <c r="H109" s="2">
        <v>20.994225712313504</v>
      </c>
      <c r="I109" s="2">
        <v>20.691214085919114</v>
      </c>
      <c r="J109" s="2">
        <v>20.586738772531572</v>
      </c>
      <c r="K109" s="2">
        <v>20.505583614803598</v>
      </c>
      <c r="L109" s="2">
        <v>20.425039093721619</v>
      </c>
      <c r="M109" s="2">
        <v>20.344459913533377</v>
      </c>
      <c r="N109" s="2">
        <v>20.2641899499137</v>
      </c>
      <c r="O109" s="2">
        <v>20.184238938432358</v>
      </c>
      <c r="P109" s="2">
        <v>20.104603672828979</v>
      </c>
      <c r="Q109" s="2">
        <v>20.025282582748645</v>
      </c>
      <c r="R109" s="2">
        <v>19.94627444437096</v>
      </c>
      <c r="S109" s="2">
        <v>19.867578026192177</v>
      </c>
    </row>
    <row r="110" spans="1:19" x14ac:dyDescent="0.3">
      <c r="A110" t="s">
        <v>40</v>
      </c>
      <c r="C110" s="2">
        <f>LGD*B109</f>
        <v>1885.233971074646</v>
      </c>
      <c r="D110" s="2">
        <f>LGD*C109</f>
        <v>1912.3327439650752</v>
      </c>
      <c r="E110" s="2">
        <f>LGD*D109</f>
        <v>2090.1671958488969</v>
      </c>
      <c r="F110" s="2">
        <f>LGD*E109</f>
        <v>0</v>
      </c>
      <c r="G110" s="2">
        <f>LGD*F109</f>
        <v>0</v>
      </c>
      <c r="H110" s="2">
        <f>LGD*G109</f>
        <v>12.491623978849699</v>
      </c>
      <c r="I110" s="2">
        <f>LGD*H109</f>
        <v>13.972303689576178</v>
      </c>
      <c r="J110" s="2">
        <f>LGD*I109</f>
        <v>13.770640121532722</v>
      </c>
      <c r="K110" s="2">
        <f>LGD*J109</f>
        <v>13.701108583350859</v>
      </c>
      <c r="L110" s="2">
        <f>LGD*K109</f>
        <v>13.647097326861145</v>
      </c>
      <c r="M110" s="2">
        <f>LGD*L109</f>
        <v>13.593492467862758</v>
      </c>
      <c r="N110" s="2">
        <f>LGD*M109</f>
        <v>13.53986454216189</v>
      </c>
      <c r="O110" s="2">
        <f>LGD*N109</f>
        <v>13.48644240960915</v>
      </c>
      <c r="P110" s="2">
        <f>LGD*O109</f>
        <v>13.433232549526007</v>
      </c>
      <c r="Q110" s="2">
        <f>LGD*P109</f>
        <v>13.380232828047456</v>
      </c>
      <c r="R110" s="2">
        <f>LGD*Q109</f>
        <v>13.327442200053939</v>
      </c>
      <c r="S110" s="2">
        <f>LGD*R109</f>
        <v>13.2748598510553</v>
      </c>
    </row>
    <row r="111" spans="1:19" x14ac:dyDescent="0.3">
      <c r="A111" t="s">
        <v>41</v>
      </c>
      <c r="C111" s="2">
        <f ca="1">C110*EXP(-EIR*YEARFRAC(CALCDATE,C104))</f>
        <v>1875.831327417249</v>
      </c>
      <c r="D111" s="2">
        <f ca="1">D110*EXP(-EIR*YEARFRAC(CALCDATE,D104))</f>
        <v>1893.3047152357133</v>
      </c>
      <c r="E111" s="2">
        <f ca="1">E110*EXP(-EIR*YEARFRAC(CALCDATE,E104))</f>
        <v>2059.0486603974014</v>
      </c>
      <c r="F111" s="2">
        <f ca="1">F110*EXP(-EIR*YEARFRAC(CALCDATE,F104))</f>
        <v>0</v>
      </c>
      <c r="G111" s="2">
        <f ca="1">G110*EXP(-EIR*YEARFRAC(CALCDATE,G104))</f>
        <v>0</v>
      </c>
      <c r="H111" s="2">
        <f ca="1">H110*EXP(-EIR*YEARFRAC(CALCDATE,H104))</f>
        <v>12.122440697042133</v>
      </c>
      <c r="I111" s="2">
        <f ca="1">I110*EXP(-EIR*YEARFRAC(CALCDATE,I104))</f>
        <v>13.491732120250337</v>
      </c>
      <c r="J111" s="2">
        <f ca="1">J110*EXP(-EIR*YEARFRAC(CALCDATE,J104))</f>
        <v>13.235096562788716</v>
      </c>
      <c r="K111" s="2">
        <f ca="1">K110*EXP(-EIR*YEARFRAC(CALCDATE,K104))</f>
        <v>13.098225304005293</v>
      </c>
      <c r="L111" s="2">
        <f ca="1">L110*EXP(-EIR*YEARFRAC(CALCDATE,L104))</f>
        <v>12.98152053633536</v>
      </c>
      <c r="M111" s="2">
        <f ca="1">M110*EXP(-EIR*YEARFRAC(CALCDATE,M104))</f>
        <v>12.866038729649652</v>
      </c>
      <c r="N111" s="2">
        <f ca="1">N110*EXP(-EIR*YEARFRAC(CALCDATE,N104))</f>
        <v>12.751364215342999</v>
      </c>
      <c r="O111" s="2">
        <f ca="1">O110*EXP(-EIR*YEARFRAC(CALCDATE,O104))</f>
        <v>12.637706378757883</v>
      </c>
      <c r="P111" s="2">
        <f ca="1">P110*EXP(-EIR*YEARFRAC(CALCDATE,P104))</f>
        <v>12.525063010537474</v>
      </c>
      <c r="Q111" s="2">
        <f ca="1">Q110*EXP(-EIR*YEARFRAC(CALCDATE,Q104))</f>
        <v>12.413423851780498</v>
      </c>
      <c r="R111" s="2">
        <f ca="1">R110*EXP(-EIR*YEARFRAC(CALCDATE,R104))</f>
        <v>12.302779750392858</v>
      </c>
      <c r="S111" s="2">
        <f ca="1">S110*EXP(-EIR*YEARFRAC(CALCDATE,S104))</f>
        <v>12.193121846901994</v>
      </c>
    </row>
    <row r="113" spans="1:19" x14ac:dyDescent="0.3">
      <c r="A113" s="18" t="s">
        <v>47</v>
      </c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</row>
    <row r="114" spans="1:19" x14ac:dyDescent="0.3">
      <c r="B114" s="3">
        <f ca="1">B84</f>
        <v>46203</v>
      </c>
      <c r="C114" s="3">
        <f ca="1">EOMONTH(B114,1)</f>
        <v>46234</v>
      </c>
      <c r="D114" s="3">
        <f t="shared" ref="D114" ca="1" si="63">EOMONTH(C114,1)</f>
        <v>46265</v>
      </c>
      <c r="E114" s="3">
        <f t="shared" ref="E114" ca="1" si="64">EOMONTH(D114,1)</f>
        <v>46295</v>
      </c>
      <c r="F114" s="3">
        <f t="shared" ref="F114" ca="1" si="65">EOMONTH(E114,1)</f>
        <v>46326</v>
      </c>
      <c r="G114" s="3">
        <f t="shared" ref="G114" ca="1" si="66">EOMONTH(F114,1)</f>
        <v>46356</v>
      </c>
      <c r="H114" s="3">
        <f t="shared" ref="H114" ca="1" si="67">EOMONTH(G114,1)</f>
        <v>46387</v>
      </c>
      <c r="I114" s="3">
        <f t="shared" ref="I114" ca="1" si="68">EOMONTH(H114,1)</f>
        <v>46418</v>
      </c>
      <c r="J114" s="3">
        <f t="shared" ref="J114" ca="1" si="69">EOMONTH(I114,1)</f>
        <v>46446</v>
      </c>
      <c r="K114" s="3">
        <f t="shared" ref="K114" ca="1" si="70">EOMONTH(J114,1)</f>
        <v>46477</v>
      </c>
      <c r="L114" s="3">
        <f t="shared" ref="L114" ca="1" si="71">EOMONTH(K114,1)</f>
        <v>46507</v>
      </c>
      <c r="M114" s="3">
        <f t="shared" ref="M114" ca="1" si="72">EOMONTH(L114,1)</f>
        <v>46538</v>
      </c>
      <c r="N114" s="3">
        <f t="shared" ref="N114" ca="1" si="73">EOMONTH(M114,1)</f>
        <v>46568</v>
      </c>
      <c r="O114" s="3">
        <f t="shared" ref="O114" ca="1" si="74">EOMONTH(N114,1)</f>
        <v>46599</v>
      </c>
      <c r="P114" s="3">
        <f t="shared" ref="P114" ca="1" si="75">EOMONTH(O114,1)</f>
        <v>46630</v>
      </c>
      <c r="Q114" s="3">
        <f t="shared" ref="Q114" ca="1" si="76">EOMONTH(P114,1)</f>
        <v>46660</v>
      </c>
      <c r="R114" s="3">
        <f t="shared" ref="R114" ca="1" si="77">EOMONTH(Q114,1)</f>
        <v>46691</v>
      </c>
      <c r="S114" s="3">
        <f t="shared" ref="S114" ca="1" si="78">EOMONTH(R114,1)</f>
        <v>46721</v>
      </c>
    </row>
    <row r="115" spans="1:19" x14ac:dyDescent="0.3">
      <c r="A115" t="str">
        <f>A85</f>
        <v>Current</v>
      </c>
      <c r="B115" s="20">
        <f>B105</f>
        <v>0</v>
      </c>
      <c r="C115" s="2">
        <f t="array" ref="C115:C119">TRANSPOSE(MMULT(TRANSPOSE(B115:B118),$C$56:$G$59))</f>
        <v>4517.1541939775534</v>
      </c>
      <c r="D115" s="2">
        <f t="array" ref="D115:D119">TRANSPOSE(MMULT(TRANSPOSE(C115:C118),$C$56:$G$59))</f>
        <v>5165.5185195528329</v>
      </c>
      <c r="E115" s="2">
        <f t="array" ref="E115:E119">TRANSPOSE(MMULT(TRANSPOSE(D115:D118),$C$56:$G$59))</f>
        <v>5126.233048209042</v>
      </c>
      <c r="F115" s="2">
        <f t="array" ref="F115:F119">TRANSPOSE(MMULT(TRANSPOSE(E115:E118),$C$56:$G$59))</f>
        <v>5112.2433521008261</v>
      </c>
      <c r="G115" s="2">
        <f t="array" ref="G115:G119">TRANSPOSE(MMULT(TRANSPOSE(F115:F118),$C$56:$G$59))</f>
        <v>5101.7355347895582</v>
      </c>
      <c r="H115" s="2">
        <f t="array" ref="H115:H119">TRANSPOSE(MMULT(TRANSPOSE(G115:G118),$C$56:$G$59))</f>
        <v>5091.4393704553841</v>
      </c>
      <c r="I115" s="2">
        <f t="array" ref="I115:I119">TRANSPOSE(MMULT(TRANSPOSE(H115:H118),$C$56:$G$59))</f>
        <v>5081.1364526108646</v>
      </c>
      <c r="J115" s="2">
        <f t="array" ref="J115:J119">TRANSPOSE(MMULT(TRANSPOSE(I115:I118),$C$56:$G$59))</f>
        <v>5070.8526995757302</v>
      </c>
      <c r="K115" s="2">
        <f t="array" ref="K115:K119">TRANSPOSE(MMULT(TRANSPOSE(J115:J118),$C$56:$G$59))</f>
        <v>5060.5897863412811</v>
      </c>
      <c r="L115" s="2">
        <f t="array" ref="L115:L119">TRANSPOSE(MMULT(TRANSPOSE(K115:K118),$C$56:$G$59))</f>
        <v>5050.3476626489664</v>
      </c>
      <c r="M115" s="2">
        <f t="array" ref="M115:M119">TRANSPOSE(MMULT(TRANSPOSE(L115:L118),$C$56:$G$59))</f>
        <v>5040.1262683293889</v>
      </c>
      <c r="N115" s="2">
        <f t="array" ref="N115:N119">TRANSPOSE(MMULT(TRANSPOSE(M115:M118),$C$56:$G$59))</f>
        <v>5029.9255610038281</v>
      </c>
      <c r="O115" s="2">
        <f t="array" ref="O115:O119">TRANSPOSE(MMULT(TRANSPOSE(N115:N118),$C$56:$G$59))</f>
        <v>5019.7454988726986</v>
      </c>
      <c r="P115" s="2">
        <f t="array" ref="P115:P119">TRANSPOSE(MMULT(TRANSPOSE(O115:O118),$C$56:$G$59))</f>
        <v>5009.5860401610498</v>
      </c>
      <c r="Q115" s="2">
        <f t="array" ref="Q115:Q119">TRANSPOSE(MMULT(TRANSPOSE(P115:P118),$C$56:$G$59))</f>
        <v>4999.4471431694383</v>
      </c>
      <c r="R115" s="2">
        <f t="array" ref="R115:R119">TRANSPOSE(MMULT(TRANSPOSE(Q115:Q118),$C$56:$G$59))</f>
        <v>4989.3287662829589</v>
      </c>
      <c r="S115" s="2">
        <f t="array" ref="S115:S119">TRANSPOSE(MMULT(TRANSPOSE(R115:R118),$C$56:$G$59))</f>
        <v>4979.2308679709877</v>
      </c>
    </row>
    <row r="116" spans="1:19" x14ac:dyDescent="0.3">
      <c r="A116" t="str">
        <f t="shared" ref="A116:A119" si="79">A86</f>
        <v>1-30dpd</v>
      </c>
      <c r="B116" s="20">
        <f t="shared" ref="B116:B119" si="80">B106</f>
        <v>0</v>
      </c>
      <c r="C116" s="2">
        <v>0</v>
      </c>
      <c r="D116" s="2">
        <v>112.92885484943893</v>
      </c>
      <c r="E116" s="2">
        <v>129.13796298882093</v>
      </c>
      <c r="F116" s="2">
        <v>128.15582620522616</v>
      </c>
      <c r="G116" s="2">
        <v>127.80608380252076</v>
      </c>
      <c r="H116" s="2">
        <v>127.54338836973906</v>
      </c>
      <c r="I116" s="2">
        <v>127.28598426138471</v>
      </c>
      <c r="J116" s="2">
        <v>127.02841131527173</v>
      </c>
      <c r="K116" s="2">
        <v>126.77131748939337</v>
      </c>
      <c r="L116" s="2">
        <v>126.51474465853214</v>
      </c>
      <c r="M116" s="2">
        <v>126.25869156622427</v>
      </c>
      <c r="N116" s="2">
        <v>126.00315670823484</v>
      </c>
      <c r="O116" s="2">
        <v>125.74813902509581</v>
      </c>
      <c r="P116" s="2">
        <v>125.49363747181758</v>
      </c>
      <c r="Q116" s="2">
        <v>125.23965100402636</v>
      </c>
      <c r="R116" s="2">
        <v>124.98617857923607</v>
      </c>
      <c r="S116" s="2">
        <v>124.73321915707409</v>
      </c>
    </row>
    <row r="117" spans="1:19" x14ac:dyDescent="0.3">
      <c r="A117" t="str">
        <f t="shared" si="79"/>
        <v>31-60dpd</v>
      </c>
      <c r="B117" s="2">
        <f t="shared" si="80"/>
        <v>7722.5279036606698</v>
      </c>
      <c r="C117" s="2">
        <v>0</v>
      </c>
      <c r="D117" s="2">
        <v>0</v>
      </c>
      <c r="E117" s="2">
        <v>23.076363204409731</v>
      </c>
      <c r="F117" s="2">
        <v>26.388601402013233</v>
      </c>
      <c r="G117" s="2">
        <v>26.18790738838084</v>
      </c>
      <c r="H117" s="2">
        <v>26.11643953613375</v>
      </c>
      <c r="I117" s="2">
        <v>26.062759232485121</v>
      </c>
      <c r="J117" s="2">
        <v>26.01016018060762</v>
      </c>
      <c r="K117" s="2">
        <v>25.95752662770338</v>
      </c>
      <c r="L117" s="2">
        <v>25.904990980268629</v>
      </c>
      <c r="M117" s="2">
        <v>25.852561795174783</v>
      </c>
      <c r="N117" s="2">
        <v>25.800238815670685</v>
      </c>
      <c r="O117" s="2">
        <v>25.748021734374561</v>
      </c>
      <c r="P117" s="2">
        <v>25.695910334790199</v>
      </c>
      <c r="Q117" s="2">
        <v>25.643904403379977</v>
      </c>
      <c r="R117" s="2">
        <v>25.592003726732106</v>
      </c>
      <c r="S117" s="2">
        <v>25.540208091820535</v>
      </c>
    </row>
    <row r="118" spans="1:19" x14ac:dyDescent="0.3">
      <c r="A118" t="str">
        <f t="shared" si="79"/>
        <v>61-90dpd</v>
      </c>
      <c r="B118" s="2">
        <f t="shared" si="80"/>
        <v>3569.9160898291602</v>
      </c>
      <c r="C118" s="2">
        <v>3901.8949638559075</v>
      </c>
      <c r="D118" s="2">
        <v>0</v>
      </c>
      <c r="E118" s="2">
        <v>0</v>
      </c>
      <c r="F118" s="2">
        <v>11.659594694208121</v>
      </c>
      <c r="G118" s="2">
        <v>13.333140675983593</v>
      </c>
      <c r="H118" s="2">
        <v>13.231737745384008</v>
      </c>
      <c r="I118" s="2">
        <v>13.195627801044624</v>
      </c>
      <c r="J118" s="2">
        <v>13.168505217730221</v>
      </c>
      <c r="K118" s="2">
        <v>13.141928949157966</v>
      </c>
      <c r="L118" s="2">
        <v>13.115335248549965</v>
      </c>
      <c r="M118" s="2">
        <v>13.088791015792786</v>
      </c>
      <c r="N118" s="2">
        <v>13.062300574342938</v>
      </c>
      <c r="O118" s="2">
        <v>13.035863794473977</v>
      </c>
      <c r="P118" s="2">
        <v>13.009480520877773</v>
      </c>
      <c r="Q118" s="2">
        <v>12.983150644167154</v>
      </c>
      <c r="R118" s="2">
        <v>12.956874056449809</v>
      </c>
      <c r="S118" s="2">
        <v>12.930650649897009</v>
      </c>
    </row>
    <row r="119" spans="1:19" x14ac:dyDescent="0.3">
      <c r="A119" t="str">
        <f t="shared" si="79"/>
        <v>91-120dpd</v>
      </c>
      <c r="B119" s="37">
        <f t="shared" si="80"/>
        <v>2832.6773013665274</v>
      </c>
      <c r="C119" s="2">
        <v>2873.3948356563687</v>
      </c>
      <c r="D119" s="2">
        <v>3140.6017834311892</v>
      </c>
      <c r="E119" s="2">
        <v>0</v>
      </c>
      <c r="F119" s="2">
        <v>0</v>
      </c>
      <c r="G119" s="2">
        <v>9.3847077458303207</v>
      </c>
      <c r="H119" s="2">
        <v>10.73173054980251</v>
      </c>
      <c r="I119" s="2">
        <v>10.65011220086277</v>
      </c>
      <c r="J119" s="2">
        <v>10.621047616438439</v>
      </c>
      <c r="K119" s="2">
        <v>10.599216881803722</v>
      </c>
      <c r="L119" s="2">
        <v>10.57782587121832</v>
      </c>
      <c r="M119" s="2">
        <v>10.556420829736886</v>
      </c>
      <c r="N119" s="2">
        <v>10.535055604504215</v>
      </c>
      <c r="O119" s="2">
        <v>10.513733675433357</v>
      </c>
      <c r="P119" s="2">
        <v>10.492454938108613</v>
      </c>
      <c r="Q119" s="2">
        <v>10.471219267523798</v>
      </c>
      <c r="R119" s="2">
        <v>10.450026575634118</v>
      </c>
      <c r="S119" s="2">
        <v>10.428876775597976</v>
      </c>
    </row>
    <row r="120" spans="1:19" x14ac:dyDescent="0.3">
      <c r="A120" t="s">
        <v>40</v>
      </c>
      <c r="C120" s="2">
        <f>LGD*B119</f>
        <v>1885.233971074646</v>
      </c>
      <c r="D120" s="2">
        <f>LGD*C119</f>
        <v>1912.3327439650752</v>
      </c>
      <c r="E120" s="2">
        <f>LGD*D119</f>
        <v>2090.1671958488969</v>
      </c>
      <c r="F120" s="2">
        <f>LGD*E119</f>
        <v>0</v>
      </c>
      <c r="G120" s="2">
        <f>LGD*F119</f>
        <v>0</v>
      </c>
      <c r="H120" s="2">
        <f>LGD*G119</f>
        <v>6.2458119894248494</v>
      </c>
      <c r="I120" s="2">
        <f>LGD*H119</f>
        <v>7.1422971445237105</v>
      </c>
      <c r="J120" s="2">
        <f>LGD*I119</f>
        <v>7.0879776200194566</v>
      </c>
      <c r="K120" s="2">
        <f>LGD*J119</f>
        <v>7.068634244095386</v>
      </c>
      <c r="L120" s="2">
        <f>LGD*K119</f>
        <v>7.0541052179592176</v>
      </c>
      <c r="M120" s="2">
        <f>LGD*L119</f>
        <v>7.0398688417183504</v>
      </c>
      <c r="N120" s="2">
        <f>LGD*M119</f>
        <v>7.0256231274841197</v>
      </c>
      <c r="O120" s="2">
        <f>LGD*N119</f>
        <v>7.0114039121895075</v>
      </c>
      <c r="P120" s="2">
        <f>LGD*O119</f>
        <v>6.9972135118238059</v>
      </c>
      <c r="Q120" s="2">
        <f>LGD*P119</f>
        <v>6.9830518568951527</v>
      </c>
      <c r="R120" s="2">
        <f>LGD*Q119</f>
        <v>6.9689188642080815</v>
      </c>
      <c r="S120" s="2">
        <f>LGD*R119</f>
        <v>6.9548144751660717</v>
      </c>
    </row>
    <row r="121" spans="1:19" x14ac:dyDescent="0.3">
      <c r="A121" t="s">
        <v>41</v>
      </c>
      <c r="C121" s="2">
        <f ca="1">C120*EXP(-EIR*YEARFRAC(CALCDATE,C114))</f>
        <v>1875.831327417249</v>
      </c>
      <c r="D121" s="2">
        <f ca="1">D120*EXP(-EIR*YEARFRAC(CALCDATE,D114))</f>
        <v>1893.3047152357133</v>
      </c>
      <c r="E121" s="2">
        <f ca="1">E120*EXP(-EIR*YEARFRAC(CALCDATE,E114))</f>
        <v>2059.0486603974014</v>
      </c>
      <c r="F121" s="2">
        <f ca="1">F120*EXP(-EIR*YEARFRAC(CALCDATE,F114))</f>
        <v>0</v>
      </c>
      <c r="G121" s="2">
        <f ca="1">G120*EXP(-EIR*YEARFRAC(CALCDATE,G114))</f>
        <v>0</v>
      </c>
      <c r="H121" s="2">
        <f ca="1">H120*EXP(-EIR*YEARFRAC(CALCDATE,H114))</f>
        <v>6.0612203485210667</v>
      </c>
      <c r="I121" s="2">
        <f ca="1">I120*EXP(-EIR*YEARFRAC(CALCDATE,I114))</f>
        <v>6.8966408072730454</v>
      </c>
      <c r="J121" s="2">
        <f ca="1">J120*EXP(-EIR*YEARFRAC(CALCDATE,J114))</f>
        <v>6.8123244386551765</v>
      </c>
      <c r="K121" s="2">
        <f ca="1">K120*EXP(-EIR*YEARFRAC(CALCDATE,K114))</f>
        <v>6.7575965373544067</v>
      </c>
      <c r="L121" s="2">
        <f ca="1">L120*EXP(-EIR*YEARFRAC(CALCDATE,L114))</f>
        <v>6.71007244684683</v>
      </c>
      <c r="M121" s="2">
        <f ca="1">M120*EXP(-EIR*YEARFRAC(CALCDATE,M114))</f>
        <v>6.6631313022269145</v>
      </c>
      <c r="N121" s="2">
        <f ca="1">N120*EXP(-EIR*YEARFRAC(CALCDATE,N114))</f>
        <v>6.616482687793793</v>
      </c>
      <c r="O121" s="2">
        <f ca="1">O120*EXP(-EIR*YEARFRAC(CALCDATE,O114))</f>
        <v>6.5701584787098248</v>
      </c>
      <c r="P121" s="2">
        <f ca="1">P120*EXP(-EIR*YEARFRAC(CALCDATE,P114))</f>
        <v>6.5241586349869136</v>
      </c>
      <c r="Q121" s="2">
        <f ca="1">Q120*EXP(-EIR*YEARFRAC(CALCDATE,Q114))</f>
        <v>6.4784808749289837</v>
      </c>
      <c r="R121" s="2">
        <f ca="1">R120*EXP(-EIR*YEARFRAC(CALCDATE,R114))</f>
        <v>6.4331229201926678</v>
      </c>
      <c r="S121" s="2">
        <f ca="1">S120*EXP(-EIR*YEARFRAC(CALCDATE,S114))</f>
        <v>6.3880825311731115</v>
      </c>
    </row>
    <row r="123" spans="1:19" x14ac:dyDescent="0.3">
      <c r="A123" s="18" t="s">
        <v>50</v>
      </c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</row>
    <row r="124" spans="1:19" x14ac:dyDescent="0.3">
      <c r="C124" s="10"/>
      <c r="D124" s="45" t="s">
        <v>56</v>
      </c>
      <c r="E124" s="11"/>
      <c r="F124" s="10"/>
      <c r="G124" s="45" t="s">
        <v>59</v>
      </c>
      <c r="H124" s="11"/>
      <c r="I124" s="10"/>
      <c r="J124" s="45" t="s">
        <v>60</v>
      </c>
      <c r="K124" s="12"/>
      <c r="L124" s="44" t="s">
        <v>58</v>
      </c>
      <c r="M124" s="12"/>
    </row>
    <row r="125" spans="1:19" x14ac:dyDescent="0.3">
      <c r="B125" s="6" t="s">
        <v>52</v>
      </c>
      <c r="C125" s="42" t="s">
        <v>11</v>
      </c>
      <c r="D125" s="42" t="s">
        <v>55</v>
      </c>
      <c r="E125" s="43" t="s">
        <v>57</v>
      </c>
      <c r="F125" s="42" t="s">
        <v>11</v>
      </c>
      <c r="G125" s="42" t="s">
        <v>55</v>
      </c>
      <c r="H125" s="43" t="s">
        <v>57</v>
      </c>
      <c r="I125" s="42" t="s">
        <v>11</v>
      </c>
      <c r="J125" s="42" t="s">
        <v>55</v>
      </c>
      <c r="K125" s="43" t="s">
        <v>57</v>
      </c>
      <c r="L125" s="6" t="s">
        <v>55</v>
      </c>
      <c r="M125" s="40" t="s">
        <v>57</v>
      </c>
    </row>
    <row r="126" spans="1:19" x14ac:dyDescent="0.3">
      <c r="A126" s="8" t="s">
        <v>51</v>
      </c>
      <c r="B126" s="39">
        <f>SUM(M4:M5)</f>
        <v>723006.07205213362</v>
      </c>
      <c r="C126" s="33">
        <f>SUM(C69:N69)/B126</f>
        <v>2.5199819502514452E-2</v>
      </c>
      <c r="D126" s="39">
        <f ca="1">SUM(C71:N71)</f>
        <v>10615.907586328916</v>
      </c>
      <c r="E126" s="41">
        <f ca="1">D126/B126</f>
        <v>1.4683013043303234E-2</v>
      </c>
      <c r="F126" s="33">
        <f>SUM(C79:N79)/B126</f>
        <v>3.9298503727416202E-2</v>
      </c>
      <c r="G126" s="39">
        <f ca="1">SUM(C81:N81)</f>
        <v>16418.304625183915</v>
      </c>
      <c r="H126" s="41">
        <f ca="1">G126/B126</f>
        <v>2.2708391063139016E-2</v>
      </c>
      <c r="I126" s="33">
        <f>SUM(C89:N89)/B126</f>
        <v>2.243187021725029E-2</v>
      </c>
      <c r="J126" s="39">
        <f ca="1">SUM(C91:N91)</f>
        <v>9478.4136058717668</v>
      </c>
      <c r="K126" s="41">
        <f ca="1">J126/B126</f>
        <v>1.3109728911361493E-2</v>
      </c>
      <c r="L126" s="39">
        <f ca="1">D126*$B$38+G126*$B$46+J126*$B$54</f>
        <v>12129.127901893986</v>
      </c>
      <c r="M126" s="41">
        <f ca="1">L126/B126</f>
        <v>1.6775969622865622E-2</v>
      </c>
    </row>
    <row r="127" spans="1:19" x14ac:dyDescent="0.3">
      <c r="A127" s="8" t="s">
        <v>54</v>
      </c>
      <c r="B127" s="39">
        <f>SUM(M6:M7)</f>
        <v>11292.443993489829</v>
      </c>
      <c r="C127" s="33">
        <f>SUM(C99:S99)/B127</f>
        <v>0.5464612572473041</v>
      </c>
      <c r="D127" s="39">
        <f ca="1">SUM(C101:S101)</f>
        <v>5919.2264615186195</v>
      </c>
      <c r="E127" s="41">
        <f ca="1">D127/B127</f>
        <v>0.52417585289164104</v>
      </c>
      <c r="F127" s="33">
        <f>SUM(C109:S109)/B127</f>
        <v>0.55583233062790416</v>
      </c>
      <c r="G127" s="39">
        <f ca="1">SUM(C111:S111)</f>
        <v>5980.8032160541479</v>
      </c>
      <c r="H127" s="41">
        <f ca="1">G127/B127</f>
        <v>0.52962876942335257</v>
      </c>
      <c r="I127" s="33">
        <f>SUM(C119:S119)/B127</f>
        <v>0.54461275620809602</v>
      </c>
      <c r="J127" s="39">
        <f ca="1">SUM(C121:S121)</f>
        <v>5907.0961750590259</v>
      </c>
      <c r="K127" s="41">
        <f ca="1">J127/B127</f>
        <v>0.52310165792847918</v>
      </c>
      <c r="L127" s="39">
        <f ca="1">D127*$B$38+G127*$B$46+J127*$B$54</f>
        <v>5935.2734305873591</v>
      </c>
      <c r="M127" s="41">
        <f ca="1">L127/B127</f>
        <v>0.52559688885852207</v>
      </c>
    </row>
    <row r="128" spans="1:19" x14ac:dyDescent="0.3">
      <c r="A128" s="8" t="s">
        <v>53</v>
      </c>
      <c r="B128" s="39">
        <f>SUM(B126:B127)</f>
        <v>734298.51604562346</v>
      </c>
      <c r="C128" s="7">
        <f>G32</f>
        <v>3.3216062846431672E-2</v>
      </c>
      <c r="D128" s="39">
        <f ca="1">SUM(D126:D127)</f>
        <v>16535.134047847536</v>
      </c>
      <c r="E128" s="41">
        <f ca="1">D128/B128</f>
        <v>2.251827245531322E-2</v>
      </c>
      <c r="F128" s="7">
        <f>G33</f>
        <v>4.7242043287360397E-2</v>
      </c>
      <c r="G128" s="39">
        <f ca="1">SUM(G126:G127)</f>
        <v>22399.107841238063</v>
      </c>
      <c r="H128" s="41">
        <f ca="1">G128/B128</f>
        <v>3.0504089756115429E-2</v>
      </c>
      <c r="I128" s="7">
        <f>G34</f>
        <v>3.0462253338923596E-2</v>
      </c>
      <c r="J128" s="39">
        <f ca="1">SUM(J126:J127)</f>
        <v>15385.509780930792</v>
      </c>
      <c r="K128" s="41">
        <f ca="1">J128/B128</f>
        <v>2.0952663589442498E-2</v>
      </c>
      <c r="L128" s="39">
        <f ca="1">SUM(L126:L127)</f>
        <v>18064.401332481346</v>
      </c>
      <c r="M128" s="41">
        <f ca="1">L128/B128</f>
        <v>2.4600895872379739E-2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CB881-0BB9-462F-90C6-4D4BB5310CC2}">
  <dimension ref="A1:T13"/>
  <sheetViews>
    <sheetView workbookViewId="0">
      <selection activeCell="C10" sqref="C10"/>
    </sheetView>
  </sheetViews>
  <sheetFormatPr defaultRowHeight="14.4" x14ac:dyDescent="0.3"/>
  <cols>
    <col min="7" max="7" width="10" customWidth="1"/>
    <col min="8" max="8" width="9.5546875" bestFit="1" customWidth="1"/>
    <col min="9" max="9" width="9.33203125" bestFit="1" customWidth="1"/>
  </cols>
  <sheetData>
    <row r="1" spans="1:20" x14ac:dyDescent="0.3">
      <c r="A1" s="18" t="s">
        <v>38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</row>
    <row r="2" spans="1:20" x14ac:dyDescent="0.3">
      <c r="A2" s="18" t="s">
        <v>13</v>
      </c>
      <c r="B2" s="18"/>
      <c r="C2" s="18"/>
      <c r="G2" s="18" t="s">
        <v>14</v>
      </c>
      <c r="H2" s="18"/>
      <c r="I2" s="18"/>
      <c r="K2" s="18" t="s">
        <v>16</v>
      </c>
      <c r="L2" s="18"/>
    </row>
    <row r="3" spans="1:20" x14ac:dyDescent="0.3">
      <c r="A3" s="17" t="s">
        <v>9</v>
      </c>
      <c r="B3" s="17" t="s">
        <v>10</v>
      </c>
      <c r="C3" s="17" t="s">
        <v>31</v>
      </c>
      <c r="D3" s="17"/>
      <c r="E3" s="17" t="s">
        <v>12</v>
      </c>
      <c r="G3" s="19">
        <f t="array" ref="G3:I3">LINEST(E4:E9,A4:B9)</f>
        <v>6.5134680923831993</v>
      </c>
      <c r="H3" s="19">
        <v>16.11820469721539</v>
      </c>
      <c r="I3" s="19">
        <v>-4.361808713969765</v>
      </c>
      <c r="K3" t="s">
        <v>15</v>
      </c>
      <c r="L3" s="17" t="s">
        <v>30</v>
      </c>
    </row>
    <row r="4" spans="1:20" x14ac:dyDescent="0.3">
      <c r="A4" s="16">
        <v>0.04</v>
      </c>
      <c r="B4" s="16">
        <v>0.04</v>
      </c>
      <c r="C4" s="16">
        <v>0.03</v>
      </c>
      <c r="D4" s="16"/>
      <c r="E4">
        <f>LN(C4/(1-C4))</f>
        <v>-3.4760986898352733</v>
      </c>
      <c r="K4">
        <f t="shared" ref="K4:K9" si="0">$I$3+$H$3*A4+$G$3*B4</f>
        <v>-3.4565418023858214</v>
      </c>
      <c r="L4" s="4">
        <f>EXP(K4)/(1+EXP(K4))</f>
        <v>3.0574366544587249E-2</v>
      </c>
    </row>
    <row r="5" spans="1:20" x14ac:dyDescent="0.3">
      <c r="A5" s="16">
        <v>0.08</v>
      </c>
      <c r="B5" s="16">
        <v>0.04</v>
      </c>
      <c r="C5" s="16">
        <v>0.06</v>
      </c>
      <c r="D5" s="16"/>
      <c r="E5">
        <f t="shared" ref="E5:E9" si="1">LN(C5/(1-C5))</f>
        <v>-2.7515353130419489</v>
      </c>
      <c r="K5">
        <f t="shared" si="0"/>
        <v>-2.8118136144972059</v>
      </c>
      <c r="L5" s="4">
        <f t="shared" ref="L5:L9" si="2">EXP(K5)/(1+EXP(K5))</f>
        <v>5.6689118923686277E-2</v>
      </c>
    </row>
    <row r="6" spans="1:20" x14ac:dyDescent="0.3">
      <c r="A6" s="16">
        <v>0.12</v>
      </c>
      <c r="B6" s="16">
        <v>0.04</v>
      </c>
      <c r="C6" s="16">
        <v>0.1</v>
      </c>
      <c r="D6" s="16"/>
      <c r="E6">
        <f t="shared" si="1"/>
        <v>-2.1972245773362191</v>
      </c>
      <c r="K6">
        <f t="shared" si="0"/>
        <v>-2.1670854266085904</v>
      </c>
      <c r="L6" s="4">
        <f t="shared" si="2"/>
        <v>0.10274541352082289</v>
      </c>
    </row>
    <row r="7" spans="1:20" x14ac:dyDescent="0.3">
      <c r="A7" s="16">
        <v>0.04</v>
      </c>
      <c r="B7" s="16">
        <v>0.04</v>
      </c>
      <c r="C7" s="16">
        <v>0.03</v>
      </c>
      <c r="D7" s="16"/>
      <c r="E7">
        <f t="shared" si="1"/>
        <v>-3.4760986898352733</v>
      </c>
      <c r="K7">
        <f t="shared" si="0"/>
        <v>-3.4565418023858214</v>
      </c>
      <c r="L7" s="4">
        <f t="shared" si="2"/>
        <v>3.0574366544587249E-2</v>
      </c>
    </row>
    <row r="8" spans="1:20" x14ac:dyDescent="0.3">
      <c r="A8" s="16">
        <v>0.04</v>
      </c>
      <c r="B8" s="16">
        <v>0.08</v>
      </c>
      <c r="C8" s="16">
        <v>0.04</v>
      </c>
      <c r="D8" s="16"/>
      <c r="E8">
        <f t="shared" si="1"/>
        <v>-3.1780538303479453</v>
      </c>
      <c r="K8">
        <f t="shared" si="0"/>
        <v>-3.1960030786904934</v>
      </c>
      <c r="L8" s="4">
        <f t="shared" si="2"/>
        <v>3.9316411371454189E-2</v>
      </c>
    </row>
    <row r="9" spans="1:20" x14ac:dyDescent="0.3">
      <c r="A9" s="16">
        <v>0.04</v>
      </c>
      <c r="B9" s="16">
        <v>0.12</v>
      </c>
      <c r="C9" s="16">
        <v>0.05</v>
      </c>
      <c r="D9" s="16"/>
      <c r="E9">
        <f t="shared" si="1"/>
        <v>-2.9444389791664403</v>
      </c>
      <c r="K9">
        <f t="shared" si="0"/>
        <v>-2.9354643549951653</v>
      </c>
      <c r="L9" s="4">
        <f t="shared" si="2"/>
        <v>5.0428020370152912E-2</v>
      </c>
    </row>
    <row r="12" spans="1:20" x14ac:dyDescent="0.3">
      <c r="A12" t="s">
        <v>23</v>
      </c>
      <c r="B12" s="16">
        <f>AVERAGE(Calc!C10:M10)</f>
        <v>0.66553079313523633</v>
      </c>
    </row>
    <row r="13" spans="1:20" x14ac:dyDescent="0.3">
      <c r="A13" t="s">
        <v>24</v>
      </c>
      <c r="B13" s="16">
        <v>0.06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About</vt:lpstr>
      <vt:lpstr>Calc</vt:lpstr>
      <vt:lpstr>Config</vt:lpstr>
      <vt:lpstr>CALCDATE</vt:lpstr>
      <vt:lpstr>EIR</vt:lpstr>
      <vt:lpstr>LGD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 Monahan</dc:creator>
  <cp:lastModifiedBy>Greg Monahan</cp:lastModifiedBy>
  <dcterms:created xsi:type="dcterms:W3CDTF">2026-04-21T07:53:01Z</dcterms:created>
  <dcterms:modified xsi:type="dcterms:W3CDTF">2026-07-15T05:30:02Z</dcterms:modified>
</cp:coreProperties>
</file>