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f0e9d3cc7514644b/Documents/"/>
    </mc:Choice>
  </mc:AlternateContent>
  <xr:revisionPtr revIDLastSave="41" documentId="8_{0AB7152E-C43F-4E5E-A61B-769C4BEECC53}" xr6:coauthVersionLast="47" xr6:coauthVersionMax="47" xr10:uidLastSave="{3ECE4530-B141-4F7E-BA39-72BBB7E85A02}"/>
  <bookViews>
    <workbookView xWindow="-98" yWindow="-98" windowWidth="21795" windowHeight="13875" firstSheet="3" activeTab="6" xr2:uid="{00000000-000D-0000-FFFF-FFFF00000000}"/>
  </bookViews>
  <sheets>
    <sheet name="1. Carga Financiera" sheetId="1" r:id="rId1"/>
    <sheet name="2. Burn Rate" sheetId="2" r:id="rId2"/>
    <sheet name="3. Flujo de Caja 18M" sheetId="3" r:id="rId3"/>
    <sheet name="4. CAC_LTV" sheetId="4" r:id="rId4"/>
    <sheet name="5. Diversificación Capital" sheetId="5" r:id="rId5"/>
    <sheet name="6. OKR_Financieros" sheetId="6" r:id="rId6"/>
    <sheet name="7. Informe Ejecutivo" sheetId="7" r:id="rId7"/>
    <sheet name="zones_data" sheetId="8" state="hidden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8" l="1" a="1"/>
  <c r="B2" i="8"/>
  <c r="B4" i="8" a="1"/>
  <c r="B4" i="8"/>
  <c r="C14" i="6"/>
  <c r="A28" i="7"/>
  <c r="A27" i="7"/>
  <c r="A26" i="7"/>
  <c r="A25" i="7"/>
  <c r="A24" i="7"/>
  <c r="A23" i="7"/>
  <c r="A22" i="7"/>
  <c r="A21" i="7" a="1"/>
  <c r="A21" i="7"/>
  <c r="A20" i="7"/>
  <c r="A19" i="7" a="1"/>
  <c r="A19" i="7" s="1"/>
  <c r="C12" i="6"/>
  <c r="C11" i="6"/>
  <c r="B31" i="1"/>
  <c r="C3" i="6"/>
  <c r="C11" i="7"/>
  <c r="B5" i="1"/>
  <c r="B4" i="1"/>
  <c r="B4" i="2"/>
  <c r="B3" i="1"/>
  <c r="B3" i="4"/>
  <c r="B29" i="1"/>
  <c r="C10" i="6"/>
  <c r="B8" i="5"/>
  <c r="C6" i="5"/>
  <c r="B10" i="4"/>
  <c r="B7" i="4"/>
  <c r="B5" i="4"/>
  <c r="E7" i="3"/>
  <c r="G7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B7" i="3"/>
  <c r="B8" i="3"/>
  <c r="B7" i="2"/>
  <c r="B6" i="2"/>
  <c r="B5" i="2"/>
  <c r="B3" i="2"/>
  <c r="C8" i="6"/>
  <c r="B30" i="1"/>
  <c r="B32" i="1"/>
  <c r="C9" i="6"/>
  <c r="B10" i="1"/>
  <c r="B11" i="1"/>
  <c r="B12" i="1"/>
  <c r="B14" i="1"/>
  <c r="C7" i="6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B11" i="4"/>
  <c r="B9" i="2"/>
  <c r="C8" i="5"/>
  <c r="C6" i="6"/>
  <c r="B13" i="4"/>
  <c r="B7" i="7"/>
  <c r="D7" i="7"/>
  <c r="F7" i="3"/>
  <c r="H7" i="3"/>
  <c r="B9" i="3"/>
  <c r="F8" i="3"/>
  <c r="C7" i="5"/>
  <c r="E8" i="3"/>
  <c r="B10" i="2"/>
  <c r="B11" i="2"/>
  <c r="C4" i="5"/>
  <c r="C3" i="5"/>
  <c r="C5" i="5"/>
  <c r="B6" i="7"/>
  <c r="B12" i="2" a="1"/>
  <c r="B12" i="2"/>
  <c r="B9" i="7"/>
  <c r="D9" i="7"/>
  <c r="C5" i="6"/>
  <c r="G8" i="3"/>
  <c r="E9" i="3"/>
  <c r="I7" i="3"/>
  <c r="H8" i="3"/>
  <c r="F9" i="3"/>
  <c r="B10" i="3"/>
  <c r="D6" i="7"/>
  <c r="B11" i="3"/>
  <c r="F10" i="3"/>
  <c r="I8" i="3"/>
  <c r="G9" i="3"/>
  <c r="H9" i="3"/>
  <c r="E10" i="3"/>
  <c r="G10" i="3"/>
  <c r="E11" i="3"/>
  <c r="H10" i="3"/>
  <c r="I9" i="3"/>
  <c r="B12" i="3"/>
  <c r="F11" i="3"/>
  <c r="I10" i="3"/>
  <c r="F12" i="3"/>
  <c r="B13" i="3"/>
  <c r="G11" i="3"/>
  <c r="E12" i="3"/>
  <c r="H11" i="3"/>
  <c r="I11" i="3"/>
  <c r="G12" i="3"/>
  <c r="E13" i="3"/>
  <c r="B14" i="3"/>
  <c r="F13" i="3"/>
  <c r="H12" i="3"/>
  <c r="I12" i="3"/>
  <c r="B15" i="3"/>
  <c r="F14" i="3"/>
  <c r="G13" i="3"/>
  <c r="E14" i="3"/>
  <c r="H13" i="3"/>
  <c r="I13" i="3"/>
  <c r="G14" i="3"/>
  <c r="E15" i="3"/>
  <c r="H14" i="3"/>
  <c r="I14" i="3"/>
  <c r="B16" i="3"/>
  <c r="F15" i="3"/>
  <c r="B17" i="3"/>
  <c r="F16" i="3"/>
  <c r="G15" i="3"/>
  <c r="E16" i="3"/>
  <c r="H15" i="3"/>
  <c r="I15" i="3"/>
  <c r="G16" i="3"/>
  <c r="E17" i="3"/>
  <c r="H16" i="3"/>
  <c r="I16" i="3"/>
  <c r="B18" i="3"/>
  <c r="F17" i="3"/>
  <c r="B19" i="3"/>
  <c r="F18" i="3"/>
  <c r="G17" i="3"/>
  <c r="H17" i="3"/>
  <c r="I17" i="3"/>
  <c r="E18" i="3"/>
  <c r="G18" i="3"/>
  <c r="E19" i="3"/>
  <c r="H18" i="3"/>
  <c r="I18" i="3"/>
  <c r="F19" i="3"/>
  <c r="B20" i="3"/>
  <c r="G19" i="3"/>
  <c r="H19" i="3"/>
  <c r="I19" i="3"/>
  <c r="E20" i="3"/>
  <c r="B21" i="3"/>
  <c r="F20" i="3"/>
  <c r="G20" i="3"/>
  <c r="H20" i="3"/>
  <c r="I20" i="3"/>
  <c r="E21" i="3"/>
  <c r="B22" i="3"/>
  <c r="F21" i="3"/>
  <c r="F22" i="3"/>
  <c r="B23" i="3"/>
  <c r="G21" i="3"/>
  <c r="H21" i="3"/>
  <c r="I21" i="3"/>
  <c r="E22" i="3"/>
  <c r="G22" i="3"/>
  <c r="H22" i="3"/>
  <c r="I22" i="3"/>
  <c r="E23" i="3"/>
  <c r="B24" i="3"/>
  <c r="F24" i="3"/>
  <c r="F23" i="3"/>
  <c r="G23" i="3"/>
  <c r="H23" i="3"/>
  <c r="I23" i="3"/>
  <c r="E24" i="3"/>
  <c r="G24" i="3"/>
  <c r="H24" i="3"/>
  <c r="I24" i="3"/>
  <c r="B8" i="7"/>
  <c r="D8" i="7"/>
  <c r="C4" i="6"/>
  <c r="B10" i="7"/>
  <c r="D10" i="7"/>
  <c r="B14" i="7"/>
  <c r="B3" i="8" a="1"/>
  <c r="B3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<sst xmlns="http://schemas.openxmlformats.org/spreadsheetml/2006/main" count="124" uniqueCount="120">
  <si>
    <t>ESTADO DE RESULTADOS RESUMIDO (Valores mensuales promedio 3 meses)</t>
  </si>
  <si>
    <t>Concepto</t>
  </si>
  <si>
    <t>Valor (MXN)</t>
  </si>
  <si>
    <t>Ingresos por ventas</t>
  </si>
  <si>
    <t>Costo de ventas</t>
  </si>
  <si>
    <t>Gastos operativos (nomina, admin, marketing)</t>
  </si>
  <si>
    <t>Gastos financieros (intereses)</t>
  </si>
  <si>
    <t>Depreciaciones y amortizaciones</t>
  </si>
  <si>
    <t>Impuestos</t>
  </si>
  <si>
    <t>Utilidad Bruta</t>
  </si>
  <si>
    <t>Utilidad Operativa</t>
  </si>
  <si>
    <t>Utilidad Neta</t>
  </si>
  <si>
    <t>Margen Neto</t>
  </si>
  <si>
    <t>BALANCE GENERAL RESUMIDO</t>
  </si>
  <si>
    <t>Efectivo y equivalentes</t>
  </si>
  <si>
    <t>Cuentas por cobrar</t>
  </si>
  <si>
    <t>Inventarios</t>
  </si>
  <si>
    <t>Activos fijos</t>
  </si>
  <si>
    <t>Pasivo circulante</t>
  </si>
  <si>
    <t>Pasivo largo plazo</t>
  </si>
  <si>
    <t>Capital contable</t>
  </si>
  <si>
    <t>Activos Totales</t>
  </si>
  <si>
    <t>Pasivos Totales</t>
  </si>
  <si>
    <t>Razón Corriente (Activo Circulante / Pasivo Circulante)</t>
  </si>
  <si>
    <t>Endeudamiento (Pasivos/Activos)</t>
  </si>
  <si>
    <t>BURN RATE Y RUNWAY (VERDADERO)</t>
  </si>
  <si>
    <t>Caja Disponinble</t>
  </si>
  <si>
    <t>Ingresos Promedio (mensual)</t>
  </si>
  <si>
    <t>Costo de ventas (mensual)</t>
  </si>
  <si>
    <t>Gastos operativos (mensual)</t>
  </si>
  <si>
    <t>Gastos financieros (mensual)</t>
  </si>
  <si>
    <t>Efectivo disponible (saldo)</t>
  </si>
  <si>
    <t>Burn Rate Operativo (Ingresos - Gastos Operativos)</t>
  </si>
  <si>
    <t>Burn Rate Total (Ingresos - Costos - Gastos Operativos - Gastos Financieros)</t>
  </si>
  <si>
    <t>Runway (meses)</t>
  </si>
  <si>
    <t>PROYECCIÓN DE FLUJO DE CAJA - 18 MESES</t>
  </si>
  <si>
    <t>Tasa mensual crecimiento ingresos (base)</t>
  </si>
  <si>
    <t>Tasa mensual crecimiento gastos (base)</t>
  </si>
  <si>
    <t>Mes</t>
  </si>
  <si>
    <t>Ingresos</t>
  </si>
  <si>
    <t>Costos Operativos</t>
  </si>
  <si>
    <t>Gastos Admin</t>
  </si>
  <si>
    <t>Gastos Financieros</t>
  </si>
  <si>
    <t>Flujo Operativo</t>
  </si>
  <si>
    <t>Flujo Financiero</t>
  </si>
  <si>
    <t>Flujo Neto</t>
  </si>
  <si>
    <t>Caja Final</t>
  </si>
  <si>
    <t>Instrucciones</t>
  </si>
  <si>
    <t>Para calcular las tasas de crecimiento de ingresos y gastos:</t>
  </si>
  <si>
    <r>
      <t xml:space="preserve">1. Identifica el </t>
    </r>
    <r>
      <rPr>
        <b/>
        <sz val="11"/>
        <color theme="1"/>
        <rFont val="Calibri"/>
        <family val="2"/>
        <scheme val="minor"/>
      </rPr>
      <t>Ingreso Actual</t>
    </r>
    <r>
      <rPr>
        <sz val="11"/>
        <color theme="1"/>
        <rFont val="Calibri"/>
        <family val="2"/>
        <scheme val="minor"/>
      </rPr>
      <t xml:space="preserve"> (por ejemplo, ingresos de este mes o de este trimestre).</t>
    </r>
  </si>
  <si>
    <r>
      <t xml:space="preserve">2. Identifica el </t>
    </r>
    <r>
      <rPr>
        <b/>
        <sz val="11"/>
        <color theme="1"/>
        <rFont val="Calibri"/>
        <family val="2"/>
        <scheme val="minor"/>
      </rPr>
      <t>Ingreso Anterior</t>
    </r>
    <r>
      <rPr>
        <sz val="11"/>
        <color theme="1"/>
        <rFont val="Calibri"/>
        <family val="2"/>
        <scheme val="minor"/>
      </rPr>
      <t xml:space="preserve"> (mismo periodo previo).</t>
    </r>
  </si>
  <si>
    <t>3. Resta:</t>
  </si>
  <si>
    <t>Ingreso Actual – Ingreso Anterior</t>
  </si>
  <si>
    <r>
      <t xml:space="preserve">4. Divide el resultado entre el </t>
    </r>
    <r>
      <rPr>
        <b/>
        <sz val="11"/>
        <color theme="1"/>
        <rFont val="Calibri"/>
        <family val="2"/>
        <scheme val="minor"/>
      </rPr>
      <t>Ingreso Anterior</t>
    </r>
    <r>
      <rPr>
        <sz val="11"/>
        <color theme="1"/>
        <rFont val="Calibri"/>
        <family val="2"/>
        <scheme val="minor"/>
      </rPr>
      <t>.</t>
    </r>
  </si>
  <si>
    <t>5. Multiplica por 100 para obtener un porcentaje.</t>
  </si>
  <si>
    <t>CAC / LTV</t>
  </si>
  <si>
    <t>Gasto en marketing (periodo)</t>
  </si>
  <si>
    <t>Nuevos clientes (periodo)</t>
  </si>
  <si>
    <t>CAC</t>
  </si>
  <si>
    <t>Ticket promedio (mensual)</t>
  </si>
  <si>
    <t>Frecuencia anual (veces)</t>
  </si>
  <si>
    <t>Años de retención promedio</t>
  </si>
  <si>
    <t>Margen bruto (decimal)</t>
  </si>
  <si>
    <t>LTV</t>
  </si>
  <si>
    <t>Relación LTV/CAC</t>
  </si>
  <si>
    <t>Diversificación de Fuentes de Capital</t>
  </si>
  <si>
    <t>Fuente</t>
  </si>
  <si>
    <t>Monto</t>
  </si>
  <si>
    <t>% sobre total</t>
  </si>
  <si>
    <t>Ventas (anticipos)</t>
  </si>
  <si>
    <t>Inversionista A</t>
  </si>
  <si>
    <t>Crédito Bancario</t>
  </si>
  <si>
    <t>Subsidios/Grants</t>
  </si>
  <si>
    <t>Otros</t>
  </si>
  <si>
    <t>Total</t>
  </si>
  <si>
    <t>OKR Financieros (10 indicadores)</t>
  </si>
  <si>
    <t>#</t>
  </si>
  <si>
    <t>OKR</t>
  </si>
  <si>
    <t>Resultado (0/1)</t>
  </si>
  <si>
    <t>1</t>
  </si>
  <si>
    <t>Runway &gt;= 12 meses</t>
  </si>
  <si>
    <t>2</t>
  </si>
  <si>
    <t>Flujo neto positivo &gt;=12 de 18 meses</t>
  </si>
  <si>
    <t>3</t>
  </si>
  <si>
    <t>LTV/CAC &gt; 3</t>
  </si>
  <si>
    <t>4</t>
  </si>
  <si>
    <t>Ninguna fuente &gt;60%</t>
  </si>
  <si>
    <t>5</t>
  </si>
  <si>
    <t>Margen Neto &gt; 10%</t>
  </si>
  <si>
    <t>6</t>
  </si>
  <si>
    <t>Razón Corriente &gt; 1.5</t>
  </si>
  <si>
    <t>7</t>
  </si>
  <si>
    <t>Endeudamiento &lt; 60%</t>
  </si>
  <si>
    <t>8</t>
  </si>
  <si>
    <t>Crecimiento de ingresos mensual positivo</t>
  </si>
  <si>
    <t>9</t>
  </si>
  <si>
    <t>Gastos operativos &lt;70% de ingresos</t>
  </si>
  <si>
    <t>10</t>
  </si>
  <si>
    <t>Cumplimiento promedio OKRs &gt;=80%</t>
  </si>
  <si>
    <t>CHECKLIST FINANCIERO EMPRESARIAL – CFO ADVISORS</t>
  </si>
  <si>
    <t>Puntaje Total (0-100)</t>
  </si>
  <si>
    <t>Componente</t>
  </si>
  <si>
    <t>Valor</t>
  </si>
  <si>
    <t>Peso (%)</t>
  </si>
  <si>
    <t>Puntaje normalizado (0-100)</t>
  </si>
  <si>
    <t>Flujo Neto (Caja final 18M)</t>
  </si>
  <si>
    <t>Diversificación (max %)</t>
  </si>
  <si>
    <t>OKRs cumplidos (promedio)</t>
  </si>
  <si>
    <t>Score Total (0-100)</t>
  </si>
  <si>
    <t>Interpretación:</t>
  </si>
  <si>
    <t>70–100: Finanzas saludables. 41–69: Requiere ajustes. 0–40: Riesgo alto.</t>
  </si>
  <si>
    <t>Comentarios</t>
  </si>
  <si>
    <t>Nota final:</t>
  </si>
  <si>
    <t>Este Checklist Financiero Empresarial ha sido diseñado para ofrecerte una evaluación rápida, clara y accesible del estado económico de tu empresa. Si tu resultado se encuentra en zona amarilla o roja, puedo acompañarte como CFO Fraccional a fortalecer tu planeación financiera, optimizar tu flujo de caja y diseñar estrategias sostenibles de crecimiento.</t>
  </si>
  <si>
    <t>Ralph Oberholzer | CFO Fraccional   ✉️ ralphoberholzer@gmail.com   |   WhatsApp Business: +52 56 3267 2246   © 2025 CFO Advisors</t>
  </si>
  <si>
    <t>Zone</t>
  </si>
  <si>
    <t>Value</t>
  </si>
  <si>
    <t>Red</t>
  </si>
  <si>
    <t>Yellow</t>
  </si>
  <si>
    <t>Green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</si>
</sst>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>
    <font>
      <sz val="11"/>
      <color theme="1"/>
      <name val="Calibri"/>
      <family val="2"/>
      <scheme val="minor"/>
    </font>
    <font>
      <b/>
      <sz val="11"/>
      <name val="Calibri"/>
    </font>
    <font>
      <b/>
      <sz val="11"/>
      <color rgb="FFFFFFFF"/>
      <name val="Calibri"/>
    </font>
    <font>
      <b/>
      <sz val="12"/>
      <name val="Calibri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10"/>
      <color theme="1"/>
      <name val="Arial Unicode MS"/>
    </font>
  </fonts>
  <fills count="4">
    <fill>
      <patternFill patternType="none"/>
    </fill>
    <fill>
      <patternFill patternType="gray125"/>
    </fill>
    <fill>
      <patternFill patternType="solid">
        <fgColor rgb="FFDDEBF7"/>
        <bgColor rgb="FFDDEBF7"/>
      </patternFill>
    </fill>
    <fill>
      <patternFill patternType="solid">
        <fgColor rgb="FF003366"/>
        <bgColor rgb="FF003366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4">
    <xf numFmtId="0" fontId="0" fillId="0" borderId="0" xfId="0"/>
    <xf numFmtId="43" fontId="0" fillId="0" borderId="0" xfId="1" applyFont="1"/>
    <xf numFmtId="0" fontId="6" fillId="0" borderId="0" xfId="0" applyFont="1" applyAlignment="1">
      <alignment vertical="center"/>
    </xf>
    <xf numFmtId="0" fontId="0" fillId="0" borderId="0" xfId="0" applyAlignment="1">
      <alignment horizontal="left" vertical="center" indent="1"/>
    </xf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horizontal="center" vertical="center" wrapText="1"/>
    </xf>
    <xf numFmtId="0" fontId="0" fillId="0" borderId="0" xfId="0" quotePrefix="1"/>
    <xf numFmtId="0" fontId="0" fillId="0" borderId="0" xfId="0" applyAlignment="1">
      <alignment horizontal="left"/>
    </xf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3" fontId="0" fillId="0" borderId="0" xfId="1" applyFont="1" applyProtection="1">
      <protection hidden="1"/>
    </xf>
    <xf numFmtId="9" fontId="0" fillId="0" borderId="0" xfId="2" applyFont="1" applyProtection="1">
      <protection hidden="1"/>
    </xf>
    <xf numFmtId="0" fontId="1" fillId="0" borderId="0" xfId="0" applyFont="1"/>
    <xf numFmtId="43" fontId="0" fillId="2" borderId="0" xfId="1" applyFont="1" applyFill="1" applyProtection="1">
      <protection locked="0" hidden="1"/>
    </xf>
    <xf numFmtId="43" fontId="0" fillId="2" borderId="0" xfId="1" applyFont="1" applyFill="1" applyProtection="1">
      <protection locked="0"/>
    </xf>
    <xf numFmtId="9" fontId="0" fillId="2" borderId="0" xfId="2" applyFont="1" applyFill="1" applyProtection="1">
      <protection locked="0"/>
    </xf>
    <xf numFmtId="0" fontId="1" fillId="0" borderId="0" xfId="0" applyFont="1"/>
    <xf numFmtId="0" fontId="0" fillId="0" borderId="0" xfId="0"/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10">
    <dxf>
      <fill>
        <patternFill patternType="solid">
          <fgColor rgb="FFC6EFCE"/>
          <bgColor rgb="FFC6EFCE"/>
        </patternFill>
      </fill>
    </dxf>
    <dxf>
      <fill>
        <patternFill patternType="solid">
          <fgColor rgb="FFFFEB9C"/>
          <bgColor rgb="FFFFEB9C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solid">
          <fgColor rgb="FFFFEB9C"/>
          <bgColor rgb="FFFFEB9C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solid">
          <fgColor rgb="FFFFEB9C"/>
          <bgColor rgb="FFFFEB9C"/>
        </patternFill>
      </fill>
    </dxf>
    <dxf>
      <fill>
        <patternFill patternType="solid">
          <fgColor rgb="FFFFC7CE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0585648148148148"/>
          <c:y val="2.3518518518518518E-2"/>
          <c:w val="0.43532407407407409"/>
          <c:h val="0.87064814814814817"/>
        </c:manualLayout>
      </c:layout>
      <c:pieChart>
        <c:varyColors val="1"/>
        <c:ser>
          <c:idx val="0"/>
          <c:order val="0"/>
          <c:spPr>
            <a:ln>
              <a:prstDash val="solid"/>
            </a:ln>
          </c:spPr>
          <c:explosion val="9"/>
          <c:dPt>
            <c:idx val="0"/>
            <c:bubble3D val="0"/>
            <c:spPr>
              <a:solidFill>
                <a:srgbClr val="FF0000"/>
              </a:solidFill>
              <a:ln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8309-4F8B-8054-68C00BC3C4C7}"/>
              </c:ext>
            </c:extLst>
          </c:dPt>
          <c:dPt>
            <c:idx val="1"/>
            <c:bubble3D val="0"/>
            <c:explosion val="0"/>
            <c:spPr>
              <a:solidFill>
                <a:srgbClr val="FFD700"/>
              </a:solidFill>
              <a:ln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309-4F8B-8054-68C00BC3C4C7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8309-4F8B-8054-68C00BC3C4C7}"/>
              </c:ext>
            </c:extLst>
          </c:dPt>
          <c:dPt>
            <c:idx val="3"/>
            <c:bubble3D val="0"/>
            <c:spPr>
              <a:noFill/>
              <a:ln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8309-4F8B-8054-68C00BC3C4C7}"/>
              </c:ext>
            </c:extLst>
          </c:dPt>
          <c:cat>
            <c:strRef>
              <c:f>zones_data!$A$2:$A$5</c:f>
              <c:strCache>
                <c:ptCount val="3"/>
                <c:pt idx="0">
                  <c:v>Red</c:v>
                </c:pt>
                <c:pt idx="1">
                  <c:v>Yellow</c:v>
                </c:pt>
                <c:pt idx="2">
                  <c:v>Green</c:v>
                </c:pt>
              </c:strCache>
            </c:strRef>
          </c:cat>
          <c:val>
            <c:numRef>
              <c:f>zones_data!$B$2:$B$5</c:f>
              <c:numCache>
                <c:formatCode>General</c:formatCode>
                <c:ptCount val="4"/>
                <c:pt idx="0">
                  <c:v>0</c:v>
                </c:pt>
                <c:pt idx="1">
                  <c:v>56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09-4F8B-8054-68C00BC3C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5313</xdr:rowOff>
    </xdr:from>
    <xdr:ext cx="5624512" cy="216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twoCellAnchor editAs="oneCell">
    <xdr:from>
      <xdr:col>0</xdr:col>
      <xdr:colOff>0</xdr:colOff>
      <xdr:row>1</xdr:row>
      <xdr:rowOff>84235</xdr:rowOff>
    </xdr:from>
    <xdr:to>
      <xdr:col>0</xdr:col>
      <xdr:colOff>1108009</xdr:colOff>
      <xdr:row>5</xdr:row>
      <xdr:rowOff>139497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5D8F3AB-BE61-3B89-2F6E-8F09BFFC5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65664"/>
          <a:ext cx="1108009" cy="780976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2"/>
  <sheetViews>
    <sheetView workbookViewId="0">
      <selection activeCell="B3" sqref="B3"/>
    </sheetView>
  </sheetViews>
  <sheetFormatPr defaultRowHeight="14.25"/>
  <cols>
    <col min="1" max="1" width="60" customWidth="1"/>
    <col min="2" max="2" width="25" style="1" customWidth="1"/>
  </cols>
  <sheetData>
    <row r="1" spans="1:3">
      <c r="A1" s="17" t="s">
        <v>0</v>
      </c>
      <c r="B1" s="18"/>
      <c r="C1" s="18"/>
    </row>
    <row r="2" spans="1:3">
      <c r="A2" t="s">
        <v>1</v>
      </c>
      <c r="B2" s="1" t="s">
        <v>2</v>
      </c>
    </row>
    <row r="3" spans="1:3">
      <c r="A3" t="s">
        <v>3</v>
      </c>
      <c r="B3" s="14">
        <f>120000/3</f>
        <v>40000</v>
      </c>
    </row>
    <row r="4" spans="1:3">
      <c r="A4" t="s">
        <v>4</v>
      </c>
      <c r="B4" s="14">
        <f>12000/3</f>
        <v>4000</v>
      </c>
    </row>
    <row r="5" spans="1:3">
      <c r="A5" t="s">
        <v>5</v>
      </c>
      <c r="B5" s="14">
        <f>25000/3</f>
        <v>8333.3333333333339</v>
      </c>
    </row>
    <row r="6" spans="1:3">
      <c r="A6" t="s">
        <v>6</v>
      </c>
      <c r="B6" s="15">
        <v>0</v>
      </c>
    </row>
    <row r="7" spans="1:3">
      <c r="A7" t="s">
        <v>7</v>
      </c>
      <c r="B7" s="15">
        <v>0</v>
      </c>
    </row>
    <row r="8" spans="1:3">
      <c r="A8" t="s">
        <v>8</v>
      </c>
      <c r="B8" s="15">
        <v>0</v>
      </c>
    </row>
    <row r="10" spans="1:3">
      <c r="A10" t="s">
        <v>9</v>
      </c>
      <c r="B10" s="11">
        <f>B3-B4</f>
        <v>36000</v>
      </c>
    </row>
    <row r="11" spans="1:3">
      <c r="A11" t="s">
        <v>10</v>
      </c>
      <c r="B11" s="11">
        <f>B10-B5</f>
        <v>27666.666666666664</v>
      </c>
    </row>
    <row r="12" spans="1:3">
      <c r="A12" t="s">
        <v>11</v>
      </c>
      <c r="B12" s="11">
        <f>B11-B6-B8</f>
        <v>27666.666666666664</v>
      </c>
    </row>
    <row r="14" spans="1:3">
      <c r="A14" t="s">
        <v>12</v>
      </c>
      <c r="B14" s="12">
        <f>IF(B3&lt;&gt;0,B12/B3,0)</f>
        <v>0.69166666666666665</v>
      </c>
    </row>
    <row r="17" spans="1:2">
      <c r="A17" s="17" t="s">
        <v>13</v>
      </c>
      <c r="B17" s="18"/>
    </row>
    <row r="18" spans="1:2">
      <c r="A18" t="s">
        <v>1</v>
      </c>
      <c r="B18" s="1" t="s">
        <v>2</v>
      </c>
    </row>
    <row r="19" spans="1:2">
      <c r="A19" t="s">
        <v>14</v>
      </c>
      <c r="B19" s="15">
        <v>10000</v>
      </c>
    </row>
    <row r="20" spans="1:2">
      <c r="A20" t="s">
        <v>15</v>
      </c>
      <c r="B20" s="15">
        <v>0</v>
      </c>
    </row>
    <row r="21" spans="1:2">
      <c r="A21" t="s">
        <v>16</v>
      </c>
      <c r="B21" s="15">
        <v>10000</v>
      </c>
    </row>
    <row r="22" spans="1:2">
      <c r="A22" t="s">
        <v>17</v>
      </c>
      <c r="B22" s="15">
        <v>0</v>
      </c>
    </row>
    <row r="23" spans="1:2">
      <c r="A23" t="s">
        <v>18</v>
      </c>
      <c r="B23" s="15">
        <v>0</v>
      </c>
    </row>
    <row r="24" spans="1:2">
      <c r="A24" t="s">
        <v>19</v>
      </c>
      <c r="B24" s="15">
        <v>0</v>
      </c>
    </row>
    <row r="25" spans="1:2">
      <c r="A25" t="s">
        <v>20</v>
      </c>
      <c r="B25" s="15">
        <v>20000</v>
      </c>
    </row>
    <row r="29" spans="1:2">
      <c r="A29" t="s">
        <v>21</v>
      </c>
      <c r="B29" s="11">
        <f>SUM(B19:B25)</f>
        <v>40000</v>
      </c>
    </row>
    <row r="30" spans="1:2">
      <c r="A30" t="s">
        <v>22</v>
      </c>
      <c r="B30" s="11">
        <f>B23+B24</f>
        <v>0</v>
      </c>
    </row>
    <row r="31" spans="1:2">
      <c r="A31" t="s">
        <v>23</v>
      </c>
      <c r="B31" s="11">
        <f>IF(SUM(B23)=0,0,SUM(B19:B21)/B23)</f>
        <v>0</v>
      </c>
    </row>
    <row r="32" spans="1:2">
      <c r="A32" t="s">
        <v>24</v>
      </c>
      <c r="B32" s="11">
        <f>IF(B29=0,0,B23/B29)</f>
        <v>0</v>
      </c>
    </row>
  </sheetData>
  <sheetProtection algorithmName="SHA-512" hashValue="yeSlWpC3CsvHv1RJ6GqKlDoafcoSbTrfsQjM9G4ApwHWV1uUhBFyhg+eSUI4qoa/scTgUo7yvFOIn4xGiUok0g==" saltValue="hjUQuEhnqu2jrLAlr7rQIQ==" spinCount="100000" sheet="1" objects="1" scenarios="1" selectLockedCells="1"/>
  <mergeCells count="2">
    <mergeCell ref="A1:C1"/>
    <mergeCell ref="A17:B17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2"/>
  <sheetViews>
    <sheetView workbookViewId="0">
      <selection activeCell="B3" sqref="B3"/>
    </sheetView>
  </sheetViews>
  <sheetFormatPr defaultRowHeight="14.25"/>
  <cols>
    <col min="1" max="1" width="60" customWidth="1"/>
    <col min="2" max="2" width="20" style="1" customWidth="1"/>
  </cols>
  <sheetData>
    <row r="1" spans="1:3">
      <c r="A1" s="17" t="s">
        <v>25</v>
      </c>
      <c r="B1" s="18"/>
      <c r="C1" s="18"/>
    </row>
    <row r="2" spans="1:3">
      <c r="A2" t="s">
        <v>26</v>
      </c>
    </row>
    <row r="3" spans="1:3">
      <c r="A3" t="s">
        <v>27</v>
      </c>
      <c r="B3" s="1">
        <f>'1. Carga Financiera'!B3</f>
        <v>40000</v>
      </c>
    </row>
    <row r="4" spans="1:3">
      <c r="A4" t="s">
        <v>28</v>
      </c>
      <c r="B4" s="1">
        <f>'1. Carga Financiera'!B4</f>
        <v>4000</v>
      </c>
    </row>
    <row r="5" spans="1:3">
      <c r="A5" t="s">
        <v>29</v>
      </c>
      <c r="B5" s="1">
        <f>'1. Carga Financiera'!B5</f>
        <v>8333.3333333333339</v>
      </c>
    </row>
    <row r="6" spans="1:3">
      <c r="A6" t="s">
        <v>30</v>
      </c>
      <c r="B6" s="1">
        <f>'1. Carga Financiera'!B6</f>
        <v>0</v>
      </c>
    </row>
    <row r="7" spans="1:3">
      <c r="A7" t="s">
        <v>31</v>
      </c>
      <c r="B7" s="1">
        <f>'1. Carga Financiera'!B19</f>
        <v>10000</v>
      </c>
    </row>
    <row r="9" spans="1:3">
      <c r="A9" t="s">
        <v>32</v>
      </c>
      <c r="B9" s="1">
        <f>B3-B5</f>
        <v>31666.666666666664</v>
      </c>
    </row>
    <row r="10" spans="1:3">
      <c r="A10" t="s">
        <v>33</v>
      </c>
      <c r="B10" s="1">
        <f>B3-(B4+B5+B6)</f>
        <v>27666.666666666664</v>
      </c>
    </row>
    <row r="11" spans="1:3">
      <c r="A11" t="s">
        <v>34</v>
      </c>
      <c r="B11" s="1">
        <f>B7/B10</f>
        <v>0.36144578313253017</v>
      </c>
    </row>
    <row r="12" spans="1:3">
      <c r="B12" s="1" t="str" cm="1">
        <f t="array" ref="B12">IF(B11&lt;6, "RIESGO CRÍTICO",
 IF(AND(B11&gt;=6, B11&lt;=12), "ALERTA",
 SI(B11&gt;12, "SALUDABLE", "")))</f>
        <v>RIESGO CRÍTICO</v>
      </c>
    </row>
  </sheetData>
  <sheetProtection algorithmName="SHA-512" hashValue="jr6vXK9xXlLP9u3ZFKVYWJTTfV53LcNvO2jR0tQn/ExZiKB4VBr9ohwO6IDpL0Azre3KVk3xc7ZDz38dMU7F+g==" saltValue="9ExDuuDksx1sqpcnYRc/lQ==" spinCount="100000" sheet="1" objects="1" scenarios="1" selectLockedCells="1"/>
  <mergeCells count="1">
    <mergeCell ref="A1:C1"/>
  </mergeCells>
  <conditionalFormatting sqref="B12">
    <cfRule type="containsText" dxfId="9" priority="1" stopIfTrue="1" operator="containsText" text="Riesgo">
      <formula>NOT(ISERROR(SEARCH("Riesgo",B12)))</formula>
    </cfRule>
    <cfRule type="containsText" dxfId="8" priority="2" stopIfTrue="1" operator="containsText" text="Alerta">
      <formula>NOT(ISERROR(SEARCH("Alerta",B12)))</formula>
    </cfRule>
    <cfRule type="containsText" dxfId="7" priority="3" stopIfTrue="1" operator="containsText" text="Saliudable">
      <formula>NOT(ISERROR(SEARCH("Saliudable",B12)))</formula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7"/>
  <sheetViews>
    <sheetView workbookViewId="0">
      <selection activeCell="B4" sqref="B4"/>
    </sheetView>
  </sheetViews>
  <sheetFormatPr defaultRowHeight="14.25"/>
  <cols>
    <col min="1" max="9" width="18" customWidth="1"/>
  </cols>
  <sheetData>
    <row r="1" spans="1:9">
      <c r="A1" s="17" t="s">
        <v>35</v>
      </c>
      <c r="B1" s="18"/>
      <c r="C1" s="18"/>
      <c r="D1" s="18"/>
      <c r="E1" s="18"/>
      <c r="F1" s="18"/>
      <c r="G1" s="18"/>
      <c r="H1" s="18"/>
    </row>
    <row r="3" spans="1:9">
      <c r="A3" t="s">
        <v>36</v>
      </c>
      <c r="B3" s="16">
        <v>0.01</v>
      </c>
    </row>
    <row r="4" spans="1:9">
      <c r="A4" t="s">
        <v>37</v>
      </c>
      <c r="B4" s="16">
        <v>0.05</v>
      </c>
    </row>
    <row r="6" spans="1:9">
      <c r="A6" s="13" t="s">
        <v>38</v>
      </c>
      <c r="B6" s="13" t="s">
        <v>39</v>
      </c>
      <c r="C6" s="13" t="s">
        <v>40</v>
      </c>
      <c r="D6" s="13" t="s">
        <v>41</v>
      </c>
      <c r="E6" s="13" t="s">
        <v>42</v>
      </c>
      <c r="F6" s="13" t="s">
        <v>43</v>
      </c>
      <c r="G6" s="13" t="s">
        <v>44</v>
      </c>
      <c r="H6" s="13" t="s">
        <v>45</v>
      </c>
      <c r="I6" s="13" t="s">
        <v>46</v>
      </c>
    </row>
    <row r="7" spans="1:9">
      <c r="A7">
        <v>1</v>
      </c>
      <c r="B7" s="1">
        <f>'1. Carga Financiera'!B3</f>
        <v>40000</v>
      </c>
      <c r="C7" s="1">
        <f>'1. Carga Financiera'!B4</f>
        <v>4000</v>
      </c>
      <c r="D7" s="1">
        <f>'1. Carga Financiera'!B5</f>
        <v>8333.3333333333339</v>
      </c>
      <c r="E7" s="1">
        <f>'1. Carga Financiera'!B6</f>
        <v>0</v>
      </c>
      <c r="F7" s="1">
        <f t="shared" ref="F7:F24" si="0">B7-(C7+D7)</f>
        <v>27666.666666666664</v>
      </c>
      <c r="G7" s="1">
        <f t="shared" ref="G7:G24" si="1">-E7</f>
        <v>0</v>
      </c>
      <c r="H7" s="1">
        <f t="shared" ref="H7:H24" si="2">F7+G7</f>
        <v>27666.666666666664</v>
      </c>
      <c r="I7" s="1">
        <f>IF('1. Carga Financiera'!B19&lt;&gt;"",'1. Carga Financiera'!B19,0)+H7</f>
        <v>37666.666666666664</v>
      </c>
    </row>
    <row r="8" spans="1:9">
      <c r="A8">
        <v>2</v>
      </c>
      <c r="B8" s="1">
        <f t="shared" ref="B8:B24" si="3">B7*(1+$B$3)</f>
        <v>40400</v>
      </c>
      <c r="C8" s="1">
        <f t="shared" ref="C8:C24" si="4">C7*(1+$B$4)</f>
        <v>4200</v>
      </c>
      <c r="D8" s="1">
        <f t="shared" ref="D8:D24" si="5">D7*(1+$B$4)</f>
        <v>8750.0000000000018</v>
      </c>
      <c r="E8" s="1">
        <f t="shared" ref="E8:E24" si="6">E7</f>
        <v>0</v>
      </c>
      <c r="F8" s="1">
        <f t="shared" si="0"/>
        <v>27450</v>
      </c>
      <c r="G8" s="1">
        <f t="shared" si="1"/>
        <v>0</v>
      </c>
      <c r="H8" s="1">
        <f t="shared" si="2"/>
        <v>27450</v>
      </c>
      <c r="I8" s="1">
        <f t="shared" ref="I8:I24" si="7">I7+H8</f>
        <v>65116.666666666664</v>
      </c>
    </row>
    <row r="9" spans="1:9">
      <c r="A9">
        <v>3</v>
      </c>
      <c r="B9" s="1">
        <f t="shared" si="3"/>
        <v>40804</v>
      </c>
      <c r="C9" s="1">
        <f t="shared" si="4"/>
        <v>4410</v>
      </c>
      <c r="D9" s="1">
        <f t="shared" si="5"/>
        <v>9187.5000000000018</v>
      </c>
      <c r="E9" s="1">
        <f t="shared" si="6"/>
        <v>0</v>
      </c>
      <c r="F9" s="1">
        <f t="shared" si="0"/>
        <v>27206.5</v>
      </c>
      <c r="G9" s="1">
        <f t="shared" si="1"/>
        <v>0</v>
      </c>
      <c r="H9" s="1">
        <f t="shared" si="2"/>
        <v>27206.5</v>
      </c>
      <c r="I9" s="1">
        <f t="shared" si="7"/>
        <v>92323.166666666657</v>
      </c>
    </row>
    <row r="10" spans="1:9">
      <c r="A10">
        <v>4</v>
      </c>
      <c r="B10" s="1">
        <f t="shared" si="3"/>
        <v>41212.04</v>
      </c>
      <c r="C10" s="1">
        <f t="shared" si="4"/>
        <v>4630.5</v>
      </c>
      <c r="D10" s="1">
        <f t="shared" si="5"/>
        <v>9646.8750000000018</v>
      </c>
      <c r="E10" s="1">
        <f t="shared" si="6"/>
        <v>0</v>
      </c>
      <c r="F10" s="1">
        <f t="shared" si="0"/>
        <v>26934.665000000001</v>
      </c>
      <c r="G10" s="1">
        <f t="shared" si="1"/>
        <v>0</v>
      </c>
      <c r="H10" s="1">
        <f t="shared" si="2"/>
        <v>26934.665000000001</v>
      </c>
      <c r="I10" s="1">
        <f t="shared" si="7"/>
        <v>119257.83166666667</v>
      </c>
    </row>
    <row r="11" spans="1:9">
      <c r="A11">
        <v>5</v>
      </c>
      <c r="B11" s="1">
        <f t="shared" si="3"/>
        <v>41624.160400000001</v>
      </c>
      <c r="C11" s="1">
        <f t="shared" si="4"/>
        <v>4862.0250000000005</v>
      </c>
      <c r="D11" s="1">
        <f t="shared" si="5"/>
        <v>10129.218750000002</v>
      </c>
      <c r="E11" s="1">
        <f t="shared" si="6"/>
        <v>0</v>
      </c>
      <c r="F11" s="1">
        <f t="shared" si="0"/>
        <v>26632.916649999999</v>
      </c>
      <c r="G11" s="1">
        <f t="shared" si="1"/>
        <v>0</v>
      </c>
      <c r="H11" s="1">
        <f t="shared" si="2"/>
        <v>26632.916649999999</v>
      </c>
      <c r="I11" s="1">
        <f t="shared" si="7"/>
        <v>145890.74831666666</v>
      </c>
    </row>
    <row r="12" spans="1:9">
      <c r="A12">
        <v>6</v>
      </c>
      <c r="B12" s="1">
        <f t="shared" si="3"/>
        <v>42040.402004000003</v>
      </c>
      <c r="C12" s="1">
        <f t="shared" si="4"/>
        <v>5105.1262500000012</v>
      </c>
      <c r="D12" s="1">
        <f t="shared" si="5"/>
        <v>10635.679687500002</v>
      </c>
      <c r="E12" s="1">
        <f t="shared" si="6"/>
        <v>0</v>
      </c>
      <c r="F12" s="1">
        <f t="shared" si="0"/>
        <v>26299.596066500002</v>
      </c>
      <c r="G12" s="1">
        <f t="shared" si="1"/>
        <v>0</v>
      </c>
      <c r="H12" s="1">
        <f t="shared" si="2"/>
        <v>26299.596066500002</v>
      </c>
      <c r="I12" s="1">
        <f t="shared" si="7"/>
        <v>172190.34438316667</v>
      </c>
    </row>
    <row r="13" spans="1:9">
      <c r="A13">
        <v>7</v>
      </c>
      <c r="B13" s="1">
        <f t="shared" si="3"/>
        <v>42460.806024040001</v>
      </c>
      <c r="C13" s="1">
        <f t="shared" si="4"/>
        <v>5360.3825625000018</v>
      </c>
      <c r="D13" s="1">
        <f t="shared" si="5"/>
        <v>11167.463671875003</v>
      </c>
      <c r="E13" s="1">
        <f t="shared" si="6"/>
        <v>0</v>
      </c>
      <c r="F13" s="1">
        <f t="shared" si="0"/>
        <v>25932.959789664998</v>
      </c>
      <c r="G13" s="1">
        <f t="shared" si="1"/>
        <v>0</v>
      </c>
      <c r="H13" s="1">
        <f t="shared" si="2"/>
        <v>25932.959789664998</v>
      </c>
      <c r="I13" s="1">
        <f t="shared" si="7"/>
        <v>198123.30417283167</v>
      </c>
    </row>
    <row r="14" spans="1:9">
      <c r="A14">
        <v>8</v>
      </c>
      <c r="B14" s="1">
        <f t="shared" si="3"/>
        <v>42885.414084280404</v>
      </c>
      <c r="C14" s="1">
        <f t="shared" si="4"/>
        <v>5628.4016906250017</v>
      </c>
      <c r="D14" s="1">
        <f t="shared" si="5"/>
        <v>11725.836855468753</v>
      </c>
      <c r="E14" s="1">
        <f t="shared" si="6"/>
        <v>0</v>
      </c>
      <c r="F14" s="1">
        <f t="shared" si="0"/>
        <v>25531.17553818665</v>
      </c>
      <c r="G14" s="1">
        <f t="shared" si="1"/>
        <v>0</v>
      </c>
      <c r="H14" s="1">
        <f t="shared" si="2"/>
        <v>25531.17553818665</v>
      </c>
      <c r="I14" s="1">
        <f t="shared" si="7"/>
        <v>223654.47971101833</v>
      </c>
    </row>
    <row r="15" spans="1:9">
      <c r="A15">
        <v>9</v>
      </c>
      <c r="B15" s="1">
        <f t="shared" si="3"/>
        <v>43314.268225123211</v>
      </c>
      <c r="C15" s="1">
        <f t="shared" si="4"/>
        <v>5909.8217751562524</v>
      </c>
      <c r="D15" s="1">
        <f t="shared" si="5"/>
        <v>12312.128698242192</v>
      </c>
      <c r="E15" s="1">
        <f t="shared" si="6"/>
        <v>0</v>
      </c>
      <c r="F15" s="1">
        <f t="shared" si="0"/>
        <v>25092.317751724768</v>
      </c>
      <c r="G15" s="1">
        <f t="shared" si="1"/>
        <v>0</v>
      </c>
      <c r="H15" s="1">
        <f t="shared" si="2"/>
        <v>25092.317751724768</v>
      </c>
      <c r="I15" s="1">
        <f t="shared" si="7"/>
        <v>248746.7974627431</v>
      </c>
    </row>
    <row r="16" spans="1:9">
      <c r="A16">
        <v>10</v>
      </c>
      <c r="B16" s="1">
        <f t="shared" si="3"/>
        <v>43747.41090737444</v>
      </c>
      <c r="C16" s="1">
        <f t="shared" si="4"/>
        <v>6205.312863914065</v>
      </c>
      <c r="D16" s="1">
        <f t="shared" si="5"/>
        <v>12927.735133154301</v>
      </c>
      <c r="E16" s="1">
        <f t="shared" si="6"/>
        <v>0</v>
      </c>
      <c r="F16" s="1">
        <f t="shared" si="0"/>
        <v>24614.362910306074</v>
      </c>
      <c r="G16" s="1">
        <f t="shared" si="1"/>
        <v>0</v>
      </c>
      <c r="H16" s="1">
        <f t="shared" si="2"/>
        <v>24614.362910306074</v>
      </c>
      <c r="I16" s="1">
        <f t="shared" si="7"/>
        <v>273361.16037304915</v>
      </c>
    </row>
    <row r="17" spans="1:9">
      <c r="A17">
        <v>11</v>
      </c>
      <c r="B17" s="1">
        <f t="shared" si="3"/>
        <v>44184.885016448185</v>
      </c>
      <c r="C17" s="1">
        <f t="shared" si="4"/>
        <v>6515.5785071097689</v>
      </c>
      <c r="D17" s="1">
        <f t="shared" si="5"/>
        <v>13574.121889812017</v>
      </c>
      <c r="E17" s="1">
        <f t="shared" si="6"/>
        <v>0</v>
      </c>
      <c r="F17" s="1">
        <f t="shared" si="0"/>
        <v>24095.184619526401</v>
      </c>
      <c r="G17" s="1">
        <f t="shared" si="1"/>
        <v>0</v>
      </c>
      <c r="H17" s="1">
        <f t="shared" si="2"/>
        <v>24095.184619526401</v>
      </c>
      <c r="I17" s="1">
        <f t="shared" si="7"/>
        <v>297456.34499257553</v>
      </c>
    </row>
    <row r="18" spans="1:9">
      <c r="A18">
        <v>12</v>
      </c>
      <c r="B18" s="1">
        <f t="shared" si="3"/>
        <v>44626.733866612667</v>
      </c>
      <c r="C18" s="1">
        <f t="shared" si="4"/>
        <v>6841.3574324652573</v>
      </c>
      <c r="D18" s="1">
        <f t="shared" si="5"/>
        <v>14252.827984302618</v>
      </c>
      <c r="E18" s="1">
        <f t="shared" si="6"/>
        <v>0</v>
      </c>
      <c r="F18" s="1">
        <f t="shared" si="0"/>
        <v>23532.548449844791</v>
      </c>
      <c r="G18" s="1">
        <f t="shared" si="1"/>
        <v>0</v>
      </c>
      <c r="H18" s="1">
        <f t="shared" si="2"/>
        <v>23532.548449844791</v>
      </c>
      <c r="I18" s="1">
        <f t="shared" si="7"/>
        <v>320988.89344242029</v>
      </c>
    </row>
    <row r="19" spans="1:9">
      <c r="A19">
        <v>13</v>
      </c>
      <c r="B19" s="1">
        <f t="shared" si="3"/>
        <v>45073.001205278793</v>
      </c>
      <c r="C19" s="1">
        <f t="shared" si="4"/>
        <v>7183.4253040885205</v>
      </c>
      <c r="D19" s="1">
        <f t="shared" si="5"/>
        <v>14965.46938351775</v>
      </c>
      <c r="E19" s="1">
        <f t="shared" si="6"/>
        <v>0</v>
      </c>
      <c r="F19" s="1">
        <f t="shared" si="0"/>
        <v>22924.106517672524</v>
      </c>
      <c r="G19" s="1">
        <f t="shared" si="1"/>
        <v>0</v>
      </c>
      <c r="H19" s="1">
        <f t="shared" si="2"/>
        <v>22924.106517672524</v>
      </c>
      <c r="I19" s="1">
        <f t="shared" si="7"/>
        <v>343912.99996009283</v>
      </c>
    </row>
    <row r="20" spans="1:9">
      <c r="A20">
        <v>14</v>
      </c>
      <c r="B20" s="1">
        <f t="shared" si="3"/>
        <v>45523.73121733158</v>
      </c>
      <c r="C20" s="1">
        <f t="shared" si="4"/>
        <v>7542.5965692929467</v>
      </c>
      <c r="D20" s="1">
        <f t="shared" si="5"/>
        <v>15713.742852693638</v>
      </c>
      <c r="E20" s="1">
        <f t="shared" si="6"/>
        <v>0</v>
      </c>
      <c r="F20" s="1">
        <f t="shared" si="0"/>
        <v>22267.391795344996</v>
      </c>
      <c r="G20" s="1">
        <f t="shared" si="1"/>
        <v>0</v>
      </c>
      <c r="H20" s="1">
        <f t="shared" si="2"/>
        <v>22267.391795344996</v>
      </c>
      <c r="I20" s="1">
        <f t="shared" si="7"/>
        <v>366180.39175543783</v>
      </c>
    </row>
    <row r="21" spans="1:9">
      <c r="A21">
        <v>15</v>
      </c>
      <c r="B21" s="1">
        <f t="shared" si="3"/>
        <v>45978.968529504898</v>
      </c>
      <c r="C21" s="1">
        <f t="shared" si="4"/>
        <v>7919.726397757594</v>
      </c>
      <c r="D21" s="1">
        <f t="shared" si="5"/>
        <v>16499.429995328323</v>
      </c>
      <c r="E21" s="1">
        <f t="shared" si="6"/>
        <v>0</v>
      </c>
      <c r="F21" s="1">
        <f t="shared" si="0"/>
        <v>21559.812136418983</v>
      </c>
      <c r="G21" s="1">
        <f t="shared" si="1"/>
        <v>0</v>
      </c>
      <c r="H21" s="1">
        <f t="shared" si="2"/>
        <v>21559.812136418983</v>
      </c>
      <c r="I21" s="1">
        <f t="shared" si="7"/>
        <v>387740.20389185683</v>
      </c>
    </row>
    <row r="22" spans="1:9">
      <c r="A22">
        <v>16</v>
      </c>
      <c r="B22" s="1">
        <f t="shared" si="3"/>
        <v>46438.758214799949</v>
      </c>
      <c r="C22" s="1">
        <f t="shared" si="4"/>
        <v>8315.7127176454742</v>
      </c>
      <c r="D22" s="1">
        <f t="shared" si="5"/>
        <v>17324.401495094738</v>
      </c>
      <c r="E22" s="1">
        <f t="shared" si="6"/>
        <v>0</v>
      </c>
      <c r="F22" s="1">
        <f t="shared" si="0"/>
        <v>20798.644002059737</v>
      </c>
      <c r="G22" s="1">
        <f t="shared" si="1"/>
        <v>0</v>
      </c>
      <c r="H22" s="1">
        <f t="shared" si="2"/>
        <v>20798.644002059737</v>
      </c>
      <c r="I22" s="1">
        <f t="shared" si="7"/>
        <v>408538.84789391654</v>
      </c>
    </row>
    <row r="23" spans="1:9">
      <c r="A23">
        <v>17</v>
      </c>
      <c r="B23" s="1">
        <f t="shared" si="3"/>
        <v>46903.145796947952</v>
      </c>
      <c r="C23" s="1">
        <f t="shared" si="4"/>
        <v>8731.4983535277479</v>
      </c>
      <c r="D23" s="1">
        <f t="shared" si="5"/>
        <v>18190.621569849478</v>
      </c>
      <c r="E23" s="1">
        <f t="shared" si="6"/>
        <v>0</v>
      </c>
      <c r="F23" s="1">
        <f t="shared" si="0"/>
        <v>19981.025873570725</v>
      </c>
      <c r="G23" s="1">
        <f t="shared" si="1"/>
        <v>0</v>
      </c>
      <c r="H23" s="1">
        <f t="shared" si="2"/>
        <v>19981.025873570725</v>
      </c>
      <c r="I23" s="1">
        <f t="shared" si="7"/>
        <v>428519.87376748724</v>
      </c>
    </row>
    <row r="24" spans="1:9">
      <c r="A24">
        <v>18</v>
      </c>
      <c r="B24" s="1">
        <f t="shared" si="3"/>
        <v>47372.177254917435</v>
      </c>
      <c r="C24" s="1">
        <f t="shared" si="4"/>
        <v>9168.0732712041354</v>
      </c>
      <c r="D24" s="1">
        <f t="shared" si="5"/>
        <v>19100.152648341951</v>
      </c>
      <c r="E24" s="1">
        <f t="shared" si="6"/>
        <v>0</v>
      </c>
      <c r="F24" s="1">
        <f t="shared" si="0"/>
        <v>19103.951335371348</v>
      </c>
      <c r="G24" s="1">
        <f t="shared" si="1"/>
        <v>0</v>
      </c>
      <c r="H24" s="1">
        <f t="shared" si="2"/>
        <v>19103.951335371348</v>
      </c>
      <c r="I24" s="1">
        <f t="shared" si="7"/>
        <v>447623.82510285859</v>
      </c>
    </row>
    <row r="26" spans="1:9">
      <c r="A26" t="s">
        <v>47</v>
      </c>
    </row>
    <row r="27" spans="1:9" ht="17.649999999999999">
      <c r="A27" s="2" t="s">
        <v>48</v>
      </c>
    </row>
    <row r="28" spans="1:9">
      <c r="A28" s="3" t="s">
        <v>49</v>
      </c>
    </row>
    <row r="29" spans="1:9">
      <c r="A29" s="3" t="s">
        <v>50</v>
      </c>
    </row>
    <row r="30" spans="1:9">
      <c r="A30" s="3" t="s">
        <v>51</v>
      </c>
    </row>
    <row r="31" spans="1:9">
      <c r="A31" s="4" t="s">
        <v>52</v>
      </c>
    </row>
    <row r="32" spans="1:9">
      <c r="A32" s="3" t="s">
        <v>53</v>
      </c>
    </row>
    <row r="33" spans="1:1">
      <c r="A33" s="3" t="s">
        <v>54</v>
      </c>
    </row>
    <row r="35" spans="1:1">
      <c r="A35" s="3"/>
    </row>
    <row r="37" spans="1:1">
      <c r="A37" s="3"/>
    </row>
  </sheetData>
  <sheetProtection algorithmName="SHA-512" hashValue="uAPz0WxGTQjSRW48gleq73MDP31fcyR/2YqFQGB8Xp293kR11oVLdRh+8UqNQm/nW1x89QItXMgIE1dqj2rHEQ==" saltValue="zhQs8GgtvC5mOEFXW97Zig==" spinCount="100000" sheet="1" objects="1" scenarios="1" selectLockedCells="1"/>
  <mergeCells count="1">
    <mergeCell ref="A1:H1"/>
  </mergeCells>
  <conditionalFormatting sqref="I7:I24">
    <cfRule type="cellIs" dxfId="6" priority="1" stopIfTrue="1" operator="lessThan">
      <formula>0</formula>
    </cfRule>
  </conditionalFormatting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3"/>
  <sheetViews>
    <sheetView workbookViewId="0">
      <selection activeCell="B3" sqref="B3"/>
    </sheetView>
  </sheetViews>
  <sheetFormatPr defaultRowHeight="14.25"/>
  <cols>
    <col min="1" max="1" width="25" customWidth="1"/>
    <col min="2" max="2" width="10.86328125" style="1" bestFit="1" customWidth="1"/>
  </cols>
  <sheetData>
    <row r="1" spans="1:3">
      <c r="A1" s="17" t="s">
        <v>55</v>
      </c>
      <c r="B1" s="18"/>
      <c r="C1" s="18"/>
    </row>
    <row r="3" spans="1:3">
      <c r="A3" t="s">
        <v>56</v>
      </c>
      <c r="B3" s="15">
        <f>3000*12</f>
        <v>36000</v>
      </c>
    </row>
    <row r="4" spans="1:3">
      <c r="A4" t="s">
        <v>57</v>
      </c>
      <c r="B4" s="15">
        <v>50</v>
      </c>
    </row>
    <row r="5" spans="1:3">
      <c r="A5" t="s">
        <v>58</v>
      </c>
      <c r="B5" s="1">
        <f>IF(B4&gt;0,B3/B4,"")</f>
        <v>720</v>
      </c>
    </row>
    <row r="7" spans="1:3">
      <c r="A7" t="s">
        <v>59</v>
      </c>
      <c r="B7" s="1">
        <f>'1. Carga Financiera'!B3</f>
        <v>40000</v>
      </c>
    </row>
    <row r="8" spans="1:3">
      <c r="A8" t="s">
        <v>60</v>
      </c>
      <c r="B8" s="1">
        <v>12</v>
      </c>
    </row>
    <row r="9" spans="1:3">
      <c r="A9" t="s">
        <v>61</v>
      </c>
      <c r="B9" s="1">
        <v>1</v>
      </c>
    </row>
    <row r="10" spans="1:3">
      <c r="A10" t="s">
        <v>62</v>
      </c>
      <c r="B10" s="1">
        <f>IF('1. Carga Financiera'!B3&lt;&gt;0,('1. Carga Financiera'!B3-'1. Carga Financiera'!B4)/'1. Carga Financiera'!B3,0)</f>
        <v>0.9</v>
      </c>
    </row>
    <row r="11" spans="1:3">
      <c r="A11" t="s">
        <v>63</v>
      </c>
      <c r="B11" s="1">
        <f>B7*B8*B9*B10</f>
        <v>432000</v>
      </c>
    </row>
    <row r="13" spans="1:3">
      <c r="A13" t="s">
        <v>64</v>
      </c>
      <c r="B13" s="1">
        <f>IF(B5&gt;0,B11/B5,"")</f>
        <v>600</v>
      </c>
    </row>
  </sheetData>
  <sheetProtection algorithmName="SHA-512" hashValue="DJEJryKFRPUyWG24CY+u0iAu2hU0EvR3RccAcSs2qvRo6kDsB1TSTiV6jbniJ3LdIsgucjpcazUhh34m5t6Myw==" saltValue="yX+UsnmnIsBBXaF3W595DA==" spinCount="100000" sheet="1" objects="1" scenarios="1" selectLockedCells="1"/>
  <mergeCells count="1">
    <mergeCell ref="A1:C1"/>
  </mergeCells>
  <conditionalFormatting sqref="B13">
    <cfRule type="cellIs" dxfId="5" priority="1" stopIfTrue="1" operator="lessThan">
      <formula>2</formula>
    </cfRule>
    <cfRule type="cellIs" dxfId="4" priority="2" stopIfTrue="1" operator="between">
      <formula>2</formula>
      <formula>3</formula>
    </cfRule>
    <cfRule type="cellIs" dxfId="3" priority="3" stopIfTrue="1" operator="greaterThanOrEqual">
      <formula>3</formula>
    </cfRule>
  </conditionalFormatting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8"/>
  <sheetViews>
    <sheetView workbookViewId="0">
      <selection activeCell="C8" sqref="C8"/>
    </sheetView>
  </sheetViews>
  <sheetFormatPr defaultRowHeight="14.25"/>
  <cols>
    <col min="1" max="1" width="40" customWidth="1"/>
    <col min="2" max="3" width="18" customWidth="1"/>
  </cols>
  <sheetData>
    <row r="1" spans="1:3">
      <c r="A1" s="17" t="s">
        <v>65</v>
      </c>
      <c r="B1" s="18"/>
      <c r="C1" s="18"/>
    </row>
    <row r="2" spans="1:3">
      <c r="A2" t="s">
        <v>66</v>
      </c>
      <c r="B2" t="s">
        <v>67</v>
      </c>
      <c r="C2" t="s">
        <v>68</v>
      </c>
    </row>
    <row r="3" spans="1:3">
      <c r="A3" t="s">
        <v>69</v>
      </c>
      <c r="C3">
        <f>IF($B$8&gt;0,B3/$B$8,0)</f>
        <v>0</v>
      </c>
    </row>
    <row r="4" spans="1:3">
      <c r="A4" t="s">
        <v>70</v>
      </c>
      <c r="B4">
        <v>10000</v>
      </c>
      <c r="C4">
        <f>IF($B$8&gt;0,B4/$B$8,0)</f>
        <v>1</v>
      </c>
    </row>
    <row r="5" spans="1:3">
      <c r="A5" t="s">
        <v>71</v>
      </c>
      <c r="C5">
        <f>IF($B$8&gt;0,B5/$B$8,0)</f>
        <v>0</v>
      </c>
    </row>
    <row r="6" spans="1:3">
      <c r="A6" t="s">
        <v>72</v>
      </c>
      <c r="C6">
        <f>IF($B$8&gt;0,B6/$B$8,0)</f>
        <v>0</v>
      </c>
    </row>
    <row r="7" spans="1:3">
      <c r="A7" t="s">
        <v>73</v>
      </c>
      <c r="C7">
        <f>IF($B$8&gt;0,B7/$B$8,0)</f>
        <v>0</v>
      </c>
    </row>
    <row r="8" spans="1:3">
      <c r="A8" t="s">
        <v>74</v>
      </c>
      <c r="B8">
        <f>SUM(B3:B7)</f>
        <v>10000</v>
      </c>
      <c r="C8">
        <f>IF(B8&gt;0,MAX(C3:C7),0)</f>
        <v>1</v>
      </c>
    </row>
  </sheetData>
  <sheetProtection algorithmName="SHA-512" hashValue="TrUwKp9SWIB4ew3pocI9i5rcQiFeRO4/mOsS62ghmQKgtHV4XW9tT/lJi9VoKXkraMd/xn/N/SJi5NTBq7AyLQ==" saltValue="3nqFF7W0IudEtzGYLVF2eA==" spinCount="100000" sheet="1" objects="1" scenarios="1" selectLockedCells="1"/>
  <mergeCells count="1">
    <mergeCell ref="A1:C1"/>
  </mergeCells>
  <conditionalFormatting sqref="C8">
    <cfRule type="cellIs" dxfId="2" priority="1" stopIfTrue="1" operator="greaterThan">
      <formula>0.6</formula>
    </cfRule>
    <cfRule type="cellIs" dxfId="1" priority="2" stopIfTrue="1" operator="between">
      <formula>0.4</formula>
      <formula>0.6</formula>
    </cfRule>
    <cfRule type="cellIs" dxfId="0" priority="3" stopIfTrue="1" operator="lessThanOrEqual">
      <formula>0.4</formula>
    </cfRule>
  </conditionalFormatting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26"/>
  <sheetViews>
    <sheetView workbookViewId="0">
      <selection activeCell="B16" sqref="B16"/>
    </sheetView>
  </sheetViews>
  <sheetFormatPr defaultRowHeight="14.25"/>
  <cols>
    <col min="1" max="1" width="6" customWidth="1"/>
    <col min="2" max="2" width="55" customWidth="1"/>
    <col min="3" max="3" width="18" customWidth="1"/>
    <col min="4" max="4" width="40" customWidth="1"/>
  </cols>
  <sheetData>
    <row r="1" spans="1:4">
      <c r="A1" s="17" t="s">
        <v>75</v>
      </c>
      <c r="B1" s="18"/>
      <c r="C1" s="18"/>
      <c r="D1" s="18"/>
    </row>
    <row r="2" spans="1:4">
      <c r="A2" t="s">
        <v>76</v>
      </c>
      <c r="B2" t="s">
        <v>77</v>
      </c>
      <c r="C2" t="s">
        <v>78</v>
      </c>
    </row>
    <row r="3" spans="1:4">
      <c r="A3" t="s">
        <v>79</v>
      </c>
      <c r="B3" t="s">
        <v>80</v>
      </c>
      <c r="C3">
        <f>IF(AND(ISNUMBER('2. Burn Rate'!B11),VALUE('2. Burn Rate'!B11)&gt;=12),1,0)</f>
        <v>0</v>
      </c>
    </row>
    <row r="4" spans="1:4">
      <c r="A4" t="s">
        <v>81</v>
      </c>
      <c r="B4" t="s">
        <v>82</v>
      </c>
      <c r="C4">
        <f>IF(COUNTIF('3. Flujo de Caja 18M'!H7:H24,"&gt;0")&gt;=12,1,0)</f>
        <v>1</v>
      </c>
    </row>
    <row r="5" spans="1:4">
      <c r="A5" t="s">
        <v>83</v>
      </c>
      <c r="B5" t="s">
        <v>84</v>
      </c>
      <c r="C5">
        <f>IF(AND(ISNUMBER('4. CAC_LTV'!B13), '4. CAC_LTV'!B13&gt;=3),1,0)</f>
        <v>1</v>
      </c>
    </row>
    <row r="6" spans="1:4">
      <c r="A6" t="s">
        <v>85</v>
      </c>
      <c r="B6" t="s">
        <v>86</v>
      </c>
      <c r="C6">
        <f>IF('5. Diversificación Capital'!C8&lt;=0.6,1,0)</f>
        <v>0</v>
      </c>
    </row>
    <row r="7" spans="1:4">
      <c r="A7" t="s">
        <v>87</v>
      </c>
      <c r="B7" t="s">
        <v>88</v>
      </c>
      <c r="C7">
        <f>IF(AND(ISNUMBER('1. Carga Financiera'!B14),'1. Carga Financiera'!B14&gt;0.1),1,0)</f>
        <v>1</v>
      </c>
    </row>
    <row r="8" spans="1:4">
      <c r="A8" t="s">
        <v>89</v>
      </c>
      <c r="B8" t="s">
        <v>90</v>
      </c>
      <c r="C8">
        <f>IF('1. Carga Financiera'!B31&gt;1.5,1,0)</f>
        <v>0</v>
      </c>
    </row>
    <row r="9" spans="1:4">
      <c r="A9" t="s">
        <v>91</v>
      </c>
      <c r="B9" t="s">
        <v>92</v>
      </c>
      <c r="C9">
        <f>IF('1. Carga Financiera'!B32&lt;0.6,1,0)</f>
        <v>1</v>
      </c>
    </row>
    <row r="10" spans="1:4">
      <c r="A10" t="s">
        <v>93</v>
      </c>
      <c r="B10" t="s">
        <v>94</v>
      </c>
      <c r="C10">
        <f>IF('3. Flujo de Caja 18M'!B3&gt;0,1,0)</f>
        <v>1</v>
      </c>
    </row>
    <row r="11" spans="1:4">
      <c r="A11" t="s">
        <v>95</v>
      </c>
      <c r="B11" t="s">
        <v>96</v>
      </c>
      <c r="C11">
        <f>IF('1. Carga Financiera'!B4/'1. Carga Financiera'!B3&lt;0.7,1,0)</f>
        <v>1</v>
      </c>
    </row>
    <row r="12" spans="1:4">
      <c r="A12" t="s">
        <v>97</v>
      </c>
      <c r="B12" t="s">
        <v>98</v>
      </c>
      <c r="C12">
        <f>IF(AVERAGE(C3:C11)&gt;=0.8,1,0)</f>
        <v>0</v>
      </c>
    </row>
    <row r="14" spans="1:4">
      <c r="C14">
        <f>+COUNTIF(C3:C12,0)/10</f>
        <v>0.4</v>
      </c>
    </row>
    <row r="26" spans="3:3">
      <c r="C26" s="6"/>
    </row>
  </sheetData>
  <sheetProtection algorithmName="SHA-512" hashValue="Z+lUSguNU/SiR/TNEkJUCObj9BK6obKu3Zkbv7ehpRHNuWNYDjNurr558BWsHYDQ0fe/gyFXaRMQyNEeVK8GFw==" saltValue="ciyqyJDPdjrfi4rcQAaewg==" spinCount="100000" sheet="1" objects="1" scenarios="1" selectLockedCells="1"/>
  <mergeCells count="1">
    <mergeCell ref="A1:D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34"/>
  <sheetViews>
    <sheetView tabSelected="1" zoomScale="147" zoomScaleNormal="76" workbookViewId="0">
      <selection activeCell="A3" sqref="A3"/>
    </sheetView>
  </sheetViews>
  <sheetFormatPr defaultRowHeight="14.25"/>
  <cols>
    <col min="1" max="1" width="21.3984375" customWidth="1"/>
    <col min="2" max="2" width="12.265625" bestFit="1" customWidth="1"/>
    <col min="10" max="10" width="22.73046875" customWidth="1"/>
    <col min="12" max="12" width="21" customWidth="1"/>
  </cols>
  <sheetData>
    <row r="1" spans="1:7">
      <c r="A1" s="19" t="s">
        <v>99</v>
      </c>
      <c r="B1" s="18"/>
      <c r="C1" s="18"/>
      <c r="D1" s="18"/>
      <c r="E1" s="18"/>
      <c r="F1" s="18"/>
      <c r="G1" s="18"/>
    </row>
    <row r="3" spans="1:7">
      <c r="A3" t="s">
        <v>100</v>
      </c>
    </row>
    <row r="5" spans="1:7">
      <c r="A5" t="s">
        <v>101</v>
      </c>
      <c r="B5" t="s">
        <v>102</v>
      </c>
      <c r="C5" t="s">
        <v>103</v>
      </c>
      <c r="D5" t="s">
        <v>104</v>
      </c>
    </row>
    <row r="6" spans="1:7">
      <c r="A6" t="s">
        <v>34</v>
      </c>
      <c r="B6" s="1">
        <f>'2. Burn Rate'!B11</f>
        <v>0.36144578313253017</v>
      </c>
      <c r="C6">
        <v>30</v>
      </c>
      <c r="D6" s="1">
        <f>IF(ISNUMBER(B6),IF(B6&gt;12,100,IF(B6&gt;=6,70,IF(B6&gt;=3,40,10))),0)</f>
        <v>10</v>
      </c>
    </row>
    <row r="7" spans="1:7">
      <c r="A7" t="s">
        <v>64</v>
      </c>
      <c r="B7" s="1">
        <f>'4. CAC_LTV'!B13</f>
        <v>600</v>
      </c>
      <c r="C7">
        <v>25</v>
      </c>
      <c r="D7" s="1">
        <f>IF(ISNUMBER(B7),IF(B7&gt;=3,100,IF(B7&gt;=2,60,20)),0)</f>
        <v>100</v>
      </c>
    </row>
    <row r="8" spans="1:7">
      <c r="A8" t="s">
        <v>105</v>
      </c>
      <c r="B8" s="1">
        <f>'3. Flujo de Caja 18M'!I24</f>
        <v>447623.82510285859</v>
      </c>
      <c r="C8">
        <v>15</v>
      </c>
      <c r="D8" s="1">
        <f>IF(ISNUMBER(B8),IF(B8&gt;=0,100,IF(B8&gt;=-50000,60,30)),0)</f>
        <v>100</v>
      </c>
    </row>
    <row r="9" spans="1:7">
      <c r="A9" t="s">
        <v>106</v>
      </c>
      <c r="B9" s="1">
        <f>'5. Diversificación Capital'!C8</f>
        <v>1</v>
      </c>
      <c r="C9">
        <v>15</v>
      </c>
      <c r="D9" s="1">
        <f>IF(ISNUMBER(B9),IF(B9&lt;=0.4,100,IF(B9&lt;=0.6,60,20)),0)</f>
        <v>20</v>
      </c>
    </row>
    <row r="10" spans="1:7">
      <c r="A10" t="s">
        <v>107</v>
      </c>
      <c r="B10" s="1">
        <f>AVERAGE('6. OKR_Financieros'!C2:C11)</f>
        <v>0.66666666666666663</v>
      </c>
      <c r="C10">
        <v>15</v>
      </c>
      <c r="D10" s="1">
        <f>IF(ISNUMBER(B10),B10*100,0)</f>
        <v>66.666666666666657</v>
      </c>
    </row>
    <row r="11" spans="1:7">
      <c r="C11">
        <f>SUM(C6:C10)</f>
        <v>100</v>
      </c>
    </row>
    <row r="14" spans="1:7" ht="24.4" customHeight="1">
      <c r="A14" t="s">
        <v>108</v>
      </c>
      <c r="B14" s="23">
        <f>IF(SUM(C6:C10)=0,0,SUMPRODUCT(C6:C10,D6:D10)/SUM(C6:C10))</f>
        <v>56</v>
      </c>
      <c r="C14" s="23"/>
      <c r="D14" s="23"/>
      <c r="E14" s="23"/>
      <c r="F14" s="23"/>
      <c r="G14" s="23"/>
    </row>
    <row r="16" spans="1:7">
      <c r="A16" t="s">
        <v>109</v>
      </c>
    </row>
    <row r="17" spans="1:12">
      <c r="A17" t="s">
        <v>110</v>
      </c>
    </row>
    <row r="18" spans="1:12">
      <c r="A18" t="s">
        <v>111</v>
      </c>
    </row>
    <row r="19" spans="1:12">
      <c r="A19" t="str" cm="1">
        <f t="array" ref="A19">IF('7. Informe Ejecutivo'!$B$14&lt;40, "El análisis revela riesgo financiero significativo que requiere atención inmediata.",
 IF(AND('7. Informe Ejecutivo'!$B$14&gt;=50, '7. Informe Ejecutivo'!$B$14&lt;=69), "El desempeño es estable pero hay señales de alerta que deben atenderse.", IF(AND('7. Informe Ejecutivo'!$B$14&gt;=70, '7. Informe Ejecutivo'!$B$14&lt;=84), "La salud financiera es buena, aunque existen áreas por fortalecer.",
 SI('7. Informe Ejecutivo'!$B$14&gt;85, “Tu empresa presenta una condición financiera sobresaliente.”, ""))))</f>
        <v>El desempeño es estable pero hay señales de alerta que deben atenderse.</v>
      </c>
    </row>
    <row r="20" spans="1:12">
      <c r="A20" t="str">
        <f>IF('3. Flujo de Caja 18M'!B4&gt;'3. Flujo de Caja 18M'!B3,"Los gastos crecen más rápido que los ingresos, afectando los márgenes.","")</f>
        <v>Los gastos crecen más rápido que los ingresos, afectando los márgenes.</v>
      </c>
      <c r="J20" s="5"/>
      <c r="K20" s="5"/>
      <c r="L20" s="5"/>
    </row>
    <row r="21" spans="1:12" s="7" customFormat="1" ht="28.9" customHeight="1">
      <c r="A21" s="22" t="str" cm="1">
        <f t="array" ref="A21">IF('2. Burn Rate'!B11&lt;6, "El runway es crítico; se requiere reducir gastos, buscar financiamiento o realizar campanas mas agresivas de mercadeo.",
 IF(AND('2. Burn Rate'!B11&gt;=6, '2. Burn Rate'!B11&lt;=12), "El runway está en zona de alerta; es recomendable optimizar la estructura de costos.",
 SI('2. Burn Rate'!B11&gt;12, "", "")))</f>
        <v>El runway es crítico; se requiere reducir gastos, buscar financiamiento o realizar campanas mas agresivas de mercadeo.</v>
      </c>
      <c r="B21" s="22"/>
      <c r="C21" s="22"/>
      <c r="D21" s="22"/>
      <c r="E21" s="22"/>
      <c r="F21" s="22"/>
      <c r="G21" s="22"/>
      <c r="J21" s="8"/>
      <c r="K21" s="9"/>
      <c r="L21" s="10"/>
    </row>
    <row r="22" spans="1:12" s="7" customFormat="1" ht="28.9" customHeight="1">
      <c r="A22" s="22" t="str">
        <f>IF('6. OKR_Financieros'!C4=1,"El flujo de caja muestra una tendencia saludable, con capacidad para sostener operaciones durante la mayoría de los periodos evaluados.","La volatilidad del flujo de caja refleja presión operativa y riesgo de liquidez en el corto plazo.")</f>
        <v>El flujo de caja muestra una tendencia saludable, con capacidad para sostener operaciones durante la mayoría de los periodos evaluados.</v>
      </c>
      <c r="B22" s="22"/>
      <c r="C22" s="22"/>
      <c r="D22" s="22"/>
      <c r="E22" s="22"/>
      <c r="F22" s="22"/>
      <c r="G22" s="22"/>
      <c r="J22" s="8"/>
      <c r="K22" s="9"/>
      <c r="L22" s="10"/>
    </row>
    <row r="23" spans="1:12" s="7" customFormat="1" ht="28.9" customHeight="1">
      <c r="A23" s="22" t="str">
        <f>IF('6. OKR_Financieros'!C5=1,"La rentabilidad por cliente es sólida: cada peso invertido en adquisición se recupera con amplio margen.","La empresa necesita revisar su estrategia comercial o mejorar la retención para elevar la rentabilidad por cliente.")</f>
        <v>La rentabilidad por cliente es sólida: cada peso invertido en adquisición se recupera con amplio margen.</v>
      </c>
      <c r="B23" s="22"/>
      <c r="C23" s="22"/>
      <c r="D23" s="22"/>
      <c r="E23" s="22"/>
      <c r="F23" s="22"/>
      <c r="G23" s="22"/>
      <c r="J23" s="8"/>
      <c r="K23" s="9"/>
      <c r="L23" s="10"/>
    </row>
    <row r="24" spans="1:12" s="7" customFormat="1" ht="28.9" customHeight="1">
      <c r="A24" s="22" t="str">
        <f>IF('6. OKR_Financieros'!C6=1,"Los ingresos están bien diversificados, lo que reduce riesgos de dependencia y fortalece la estabilidad financiera.","Existe una alta concentración de ingresos en una única fuente, lo que aumenta el riesgo financiero y operativo.")</f>
        <v>Existe una alta concentración de ingresos en una única fuente, lo que aumenta el riesgo financiero y operativo.</v>
      </c>
      <c r="B24" s="22"/>
      <c r="C24" s="22"/>
      <c r="D24" s="22"/>
      <c r="E24" s="22"/>
      <c r="F24" s="22"/>
      <c r="G24" s="22"/>
      <c r="J24" s="8"/>
      <c r="K24" s="9"/>
      <c r="L24" s="10"/>
    </row>
    <row r="25" spans="1:12" s="7" customFormat="1" ht="28.9" customHeight="1">
      <c r="A25" s="22" t="str">
        <f>IF('6. OKR_Financieros'!C7=1,"La rentabilidad neta es sólida, lo que indica control en costos y eficiencia en operaciones.","Los gastos están absorbiendo una parte significativa de los ingresos, limitando la rentabilidad.")</f>
        <v>La rentabilidad neta es sólida, lo que indica control en costos y eficiencia en operaciones.</v>
      </c>
      <c r="B25" s="22"/>
      <c r="C25" s="22"/>
      <c r="D25" s="22"/>
      <c r="E25" s="22"/>
      <c r="F25" s="22"/>
      <c r="G25" s="22"/>
      <c r="J25" s="8"/>
      <c r="K25" s="9"/>
      <c r="L25" s="10"/>
    </row>
    <row r="26" spans="1:12" s="7" customFormat="1" ht="28.9" customHeight="1">
      <c r="A26" s="22" t="str">
        <f>IF('6. OKR_Financieros'!C8=1,"La empresa mantiene un colchón financiero que respalda operaciones y reduce riesgos de tensión de caja.","Se recomienda fortalecer caja o renegociar pasivos para mantener estabilidad operativa.")</f>
        <v>Se recomienda fortalecer caja o renegociar pasivos para mantener estabilidad operativa.</v>
      </c>
      <c r="B26" s="22"/>
      <c r="C26" s="22"/>
      <c r="D26" s="22"/>
      <c r="E26" s="22"/>
      <c r="F26" s="22"/>
      <c r="G26" s="22"/>
      <c r="J26" s="8"/>
      <c r="K26" s="9"/>
      <c r="L26" s="10"/>
    </row>
    <row r="27" spans="1:12" s="7" customFormat="1" ht="28.9" customHeight="1">
      <c r="A27" s="22" t="str">
        <f>IF('6. OKR_Financieros'!C9=1,"La empresa mantiene un balance equilibrado entre capital propio y deuda.","El nivel de endeudamiento supera el umbral recomendado, aumentando riesgos financieros.")</f>
        <v>La empresa mantiene un balance equilibrado entre capital propio y deuda.</v>
      </c>
      <c r="B27" s="22"/>
      <c r="C27" s="22"/>
      <c r="D27" s="22"/>
      <c r="E27" s="22"/>
      <c r="F27" s="22"/>
      <c r="G27" s="22"/>
      <c r="J27" s="8"/>
      <c r="K27" s="9"/>
      <c r="L27" s="10"/>
    </row>
    <row r="28" spans="1:12" s="7" customFormat="1" ht="28.9" customHeight="1">
      <c r="A28" s="22" t="str">
        <f>IF('6. OKR_Financieros'!C11=1,"La eficiencia operativa es adecuada; los gastos se mantienen dentro de parámetros saludables.","Existe oportunidad para renegociar costos, automatizar procesos o ajustar el modelo operativo.")</f>
        <v>La eficiencia operativa es adecuada; los gastos se mantienen dentro de parámetros saludables.</v>
      </c>
      <c r="B28" s="22"/>
      <c r="C28" s="22"/>
      <c r="D28" s="22"/>
      <c r="E28" s="22"/>
      <c r="F28" s="22"/>
      <c r="G28" s="22"/>
    </row>
    <row r="30" spans="1:12">
      <c r="A30" t="s">
        <v>112</v>
      </c>
    </row>
    <row r="31" spans="1:12" ht="70.900000000000006" customHeight="1">
      <c r="A31" s="21" t="s">
        <v>113</v>
      </c>
      <c r="B31" s="21"/>
      <c r="C31" s="21"/>
      <c r="D31" s="21"/>
      <c r="E31" s="21"/>
      <c r="F31" s="21"/>
      <c r="G31" s="21"/>
    </row>
    <row r="33" spans="1:7">
      <c r="A33" s="20" t="s">
        <v>114</v>
      </c>
      <c r="B33" s="20"/>
      <c r="C33" s="20"/>
      <c r="D33" s="20"/>
      <c r="E33" s="20"/>
      <c r="F33" s="20"/>
      <c r="G33" s="20"/>
    </row>
    <row r="34" spans="1:7">
      <c r="A34" s="20"/>
      <c r="B34" s="20"/>
      <c r="C34" s="20"/>
      <c r="D34" s="20"/>
      <c r="E34" s="20"/>
      <c r="F34" s="20"/>
      <c r="G34" s="20"/>
    </row>
  </sheetData>
  <sheetProtection algorithmName="SHA-512" hashValue="hdfhWcmX1Ykk6IPuKwHPCtR+PAYGCLJbhqDy0leGypPzWY3YtWQ1fftKHJFvJgn9nsgK6fWTOxt5D0SsrF8MWw==" saltValue="3JqwxQL2ADeKp+okW2hhuA==" spinCount="100000" sheet="1" objects="1" scenarios="1" selectLockedCells="1"/>
  <mergeCells count="12">
    <mergeCell ref="A1:G1"/>
    <mergeCell ref="A33:G34"/>
    <mergeCell ref="A31:G31"/>
    <mergeCell ref="A21:G21"/>
    <mergeCell ref="A22:G22"/>
    <mergeCell ref="A23:G23"/>
    <mergeCell ref="A24:G24"/>
    <mergeCell ref="A25:G25"/>
    <mergeCell ref="A26:G26"/>
    <mergeCell ref="A27:G27"/>
    <mergeCell ref="A28:G28"/>
    <mergeCell ref="B14:G14"/>
  </mergeCells>
  <pageMargins left="0.75" right="0.75" top="1" bottom="1" header="0.5" footer="0.5"/>
  <pageSetup scale="94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4"/>
  <sheetViews>
    <sheetView workbookViewId="0">
      <selection activeCell="A5" sqref="A5"/>
    </sheetView>
  </sheetViews>
  <sheetFormatPr defaultRowHeight="14.25"/>
  <sheetData>
    <row r="1" spans="1:2">
      <c r="A1" t="s">
        <v>115</v>
      </c>
      <c r="B1" t="s">
        <v>116</v>
      </c>
    </row>
    <row r="2" spans="1:2">
      <c r="A2" t="s">
        <v>117</v>
      </c>
      <c r="B2" cm="1">
        <f t="array" ref="B2">IF('7. Informe Ejecutivo'!$B$14&lt;40, '7. Informe Ejecutivo'!$B$14,
 IF(AND('7. Informe Ejecutivo'!$B$14&gt;=40, '7. Informe Ejecutivo'!$B$14&lt;=70), 0,
 SI('7. Informe Ejecutivo'!$B$14&gt;70, 0, "")))</f>
        <v>0</v>
      </c>
    </row>
    <row r="3" spans="1:2">
      <c r="A3" t="s">
        <v>118</v>
      </c>
      <c r="B3" cm="1">
        <f t="array" ref="B3">IF('7. Informe Ejecutivo'!$B$14&lt;40, 0,
 IF(AND('7. Informe Ejecutivo'!$B$14&gt;=40, '7. Informe Ejecutivo'!$B$14&lt;=70), '7. Informe Ejecutivo'!$B$14,
 SI('7. Informe Ejecutivo'!$B$14&gt;70, 0, "")))</f>
        <v>56</v>
      </c>
    </row>
    <row r="4" spans="1:2">
      <c r="A4" t="s">
        <v>119</v>
      </c>
      <c r="B4" cm="1">
        <f t="array" ref="B4">IF('7. Informe Ejecutivo'!$B$14&lt;40, 0,
 IF(AND('7. Informe Ejecutivo'!$B$14&gt;=40, '7. Informe Ejecutivo'!$B$14&lt;=70), 0,
 SI('7. Informe Ejecutivo'!$B$14&gt;70,'7. Informe Ejecutivo'!$B$120, "")))</f>
        <v>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1. Carga Financiera</vt:lpstr>
      <vt:lpstr>2. Burn Rate</vt:lpstr>
      <vt:lpstr>3. Flujo de Caja 18M</vt:lpstr>
      <vt:lpstr>4. CAC_LTV</vt:lpstr>
      <vt:lpstr>5. Diversificación Capital</vt:lpstr>
      <vt:lpstr>6. OKR_Financieros</vt:lpstr>
      <vt:lpstr>7. Informe Ejecutivo</vt:lpstr>
      <vt:lpstr>zones_data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Ralph Oberholzer</cp:lastModifiedBy>
  <cp:revision/>
  <dcterms:created xsi:type="dcterms:W3CDTF">2025-11-06T17:24:52Z</dcterms:created>
  <dcterms:modified xsi:type="dcterms:W3CDTF">2025-11-23T16:49:56Z</dcterms:modified>
  <cp:category/>
  <cp:contentStatus/>
</cp:coreProperties>
</file>