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VE\Documents\Zoho WorkDrive (Samsic Surete)\My Folders\Documents\personnel\Groupe Scolaire Sainte Charlotte\Finances\"/>
    </mc:Choice>
  </mc:AlternateContent>
  <bookViews>
    <workbookView xWindow="6510" yWindow="0" windowWidth="22530" windowHeight="14715" activeTab="1"/>
  </bookViews>
  <sheets>
    <sheet name="Tarifs" sheetId="3" r:id="rId1"/>
    <sheet name="Simulateur" sheetId="5" r:id="rId2"/>
  </sheets>
  <definedNames>
    <definedName name="_xlnm.Print_Area" localSheetId="1">Simulateur!$A$1:$N$51</definedName>
    <definedName name="_xlnm.Print_Area" localSheetId="0">Tarifs!$A$1:$K$59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B34" i="3"/>
  <c r="G35" i="5" l="1"/>
  <c r="L30" i="5"/>
  <c r="E12" i="5"/>
  <c r="E13" i="5"/>
  <c r="E14" i="5"/>
  <c r="E15" i="5"/>
  <c r="E16" i="5"/>
  <c r="E17" i="5"/>
  <c r="M12" i="5"/>
  <c r="F18" i="5" l="1"/>
  <c r="M43" i="5"/>
  <c r="F40" i="5" s="1"/>
  <c r="M42" i="5"/>
  <c r="F39" i="5" s="1"/>
  <c r="J18" i="5"/>
  <c r="E40" i="5" s="1"/>
  <c r="I18" i="5"/>
  <c r="E39" i="5" s="1"/>
  <c r="H18" i="5"/>
  <c r="F34" i="5" s="1"/>
  <c r="G34" i="5" s="1"/>
  <c r="G36" i="5" s="1"/>
  <c r="G48" i="5" s="1"/>
  <c r="C30" i="5"/>
  <c r="C29" i="5"/>
  <c r="E29" i="5" s="1"/>
  <c r="M38" i="5"/>
  <c r="M39" i="5"/>
  <c r="M33" i="5"/>
  <c r="M35" i="5" s="1"/>
  <c r="M32" i="5"/>
  <c r="M31" i="5"/>
  <c r="M30" i="5"/>
  <c r="L31" i="5"/>
  <c r="L32" i="5" s="1"/>
  <c r="L33" i="5" s="1"/>
  <c r="L34" i="5" s="1"/>
  <c r="L35" i="5" s="1"/>
  <c r="D18" i="5"/>
  <c r="M4" i="5"/>
  <c r="G14" i="5" s="1"/>
  <c r="M5" i="5"/>
  <c r="M3" i="5"/>
  <c r="G39" i="5" l="1" a="1"/>
  <c r="G40" i="5" s="1"/>
  <c r="G13" i="5"/>
  <c r="G22" i="5"/>
  <c r="G17" i="5"/>
  <c r="G16" i="5"/>
  <c r="G15" i="5"/>
  <c r="F30" i="5"/>
  <c r="F29" i="5"/>
  <c r="G29" i="5" s="1"/>
  <c r="E30" i="5"/>
  <c r="M34" i="5"/>
  <c r="M8" i="5"/>
  <c r="C33" i="3"/>
  <c r="C15" i="3"/>
  <c r="E11" i="3"/>
  <c r="E13" i="3" s="1"/>
  <c r="G39" i="5" l="1"/>
  <c r="G41" i="5" s="1"/>
  <c r="G49" i="5" s="1"/>
  <c r="D33" i="3"/>
  <c r="D34" i="3" s="1"/>
  <c r="M10" i="5" s="1"/>
  <c r="G12" i="5" s="1"/>
  <c r="G20" i="5" s="1"/>
  <c r="C34" i="3"/>
  <c r="M9" i="5" s="1"/>
  <c r="G30" i="5"/>
  <c r="G31" i="5" s="1"/>
  <c r="G47" i="5" s="1"/>
  <c r="E31" i="5"/>
  <c r="D15" i="3"/>
  <c r="F11" i="3"/>
  <c r="E12" i="3"/>
  <c r="E14" i="3" s="1"/>
  <c r="D16" i="3"/>
  <c r="E16" i="3"/>
  <c r="C18" i="3"/>
  <c r="E15" i="3"/>
  <c r="G19" i="5" l="1"/>
  <c r="G23" i="5" s="1"/>
  <c r="G26" i="5" s="1"/>
  <c r="E33" i="3"/>
  <c r="G18" i="5"/>
  <c r="E17" i="3"/>
  <c r="D17" i="3"/>
  <c r="F13" i="3"/>
  <c r="F12" i="3"/>
  <c r="G11" i="3"/>
  <c r="G19" i="3" s="1"/>
  <c r="F15" i="3"/>
  <c r="D18" i="3"/>
  <c r="C21" i="3"/>
  <c r="F19" i="3"/>
  <c r="E19" i="3"/>
  <c r="D19" i="3"/>
  <c r="F18" i="3"/>
  <c r="E18" i="3"/>
  <c r="F16" i="3"/>
  <c r="G24" i="5" l="1"/>
  <c r="H24" i="5" s="1"/>
  <c r="E34" i="3"/>
  <c r="M11" i="5" s="1"/>
  <c r="H23" i="5"/>
  <c r="G18" i="3"/>
  <c r="G20" i="3" s="1"/>
  <c r="E20" i="3"/>
  <c r="F20" i="3"/>
  <c r="F14" i="3"/>
  <c r="D21" i="3"/>
  <c r="E22" i="3"/>
  <c r="G21" i="3"/>
  <c r="F21" i="3"/>
  <c r="E21" i="3"/>
  <c r="C24" i="3"/>
  <c r="F22" i="3"/>
  <c r="D22" i="3"/>
  <c r="G22" i="3"/>
  <c r="D20" i="3"/>
  <c r="F17" i="3"/>
  <c r="G13" i="3"/>
  <c r="G12" i="3"/>
  <c r="H11" i="3"/>
  <c r="G16" i="3"/>
  <c r="G15" i="3"/>
  <c r="G46" i="5" l="1"/>
  <c r="G50" i="5" s="1"/>
  <c r="G25" i="5"/>
  <c r="H25" i="5" s="1"/>
  <c r="G14" i="3"/>
  <c r="G17" i="3"/>
  <c r="D23" i="3"/>
  <c r="I11" i="3"/>
  <c r="I25" i="3" s="1"/>
  <c r="H13" i="3"/>
  <c r="H12" i="3"/>
  <c r="H16" i="3"/>
  <c r="H15" i="3"/>
  <c r="H19" i="3"/>
  <c r="H18" i="3"/>
  <c r="H25" i="3"/>
  <c r="F25" i="3"/>
  <c r="E25" i="3"/>
  <c r="D25" i="3"/>
  <c r="G24" i="3"/>
  <c r="C27" i="3"/>
  <c r="G25" i="3"/>
  <c r="H24" i="3"/>
  <c r="F24" i="3"/>
  <c r="F26" i="3" s="1"/>
  <c r="E24" i="3"/>
  <c r="D24" i="3"/>
  <c r="E23" i="3"/>
  <c r="F23" i="3"/>
  <c r="G23" i="3"/>
  <c r="H21" i="3"/>
  <c r="H22" i="3"/>
  <c r="E26" i="3" l="1"/>
  <c r="H26" i="3"/>
  <c r="H14" i="3"/>
  <c r="I24" i="3"/>
  <c r="I26" i="3" s="1"/>
  <c r="D26" i="3"/>
  <c r="H20" i="3"/>
  <c r="H17" i="3"/>
  <c r="H23" i="3"/>
  <c r="I28" i="3"/>
  <c r="H28" i="3"/>
  <c r="G28" i="3"/>
  <c r="E28" i="3"/>
  <c r="D27" i="3"/>
  <c r="F28" i="3"/>
  <c r="D28" i="3"/>
  <c r="I27" i="3"/>
  <c r="H27" i="3"/>
  <c r="G27" i="3"/>
  <c r="F27" i="3"/>
  <c r="E27" i="3"/>
  <c r="G26" i="3"/>
  <c r="I13" i="3"/>
  <c r="I12" i="3"/>
  <c r="I16" i="3"/>
  <c r="I15" i="3"/>
  <c r="I19" i="3"/>
  <c r="I18" i="3"/>
  <c r="I21" i="3"/>
  <c r="I22" i="3"/>
  <c r="E29" i="3" l="1"/>
  <c r="G29" i="3"/>
  <c r="F29" i="3"/>
  <c r="I20" i="3"/>
  <c r="I17" i="3"/>
  <c r="I14" i="3"/>
  <c r="I23" i="3"/>
  <c r="H29" i="3"/>
  <c r="I29" i="3"/>
  <c r="D29" i="3"/>
</calcChain>
</file>

<file path=xl/comments1.xml><?xml version="1.0" encoding="utf-8"?>
<comments xmlns="http://schemas.openxmlformats.org/spreadsheetml/2006/main">
  <authors>
    <author>Benoit VANDAME</author>
  </authors>
  <commentList>
    <comment ref="D18" authorId="0" shapeId="0">
      <text>
        <r>
          <rPr>
            <sz val="9"/>
            <color indexed="81"/>
            <rFont val="Century Gothic"/>
            <family val="2"/>
          </rPr>
          <t>Nombre d'enfants inscrits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>
      <text>
        <r>
          <rPr>
            <sz val="9"/>
            <color indexed="81"/>
            <rFont val="Century Gothic"/>
            <family val="2"/>
          </rPr>
          <t>Nombre d'enfants en maternelle en temps partiel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<sst xmlns="http://schemas.openxmlformats.org/spreadsheetml/2006/main" count="151" uniqueCount="112">
  <si>
    <t>4 matinées</t>
  </si>
  <si>
    <t>Il est néanmoins possible de régler par trimestre ou par mois : au plus tard le 5 du mois concerné.</t>
  </si>
  <si>
    <t>Maternelle / Primaire</t>
  </si>
  <si>
    <t>Collège</t>
  </si>
  <si>
    <t>Niveau</t>
  </si>
  <si>
    <t>Nombre d'enfants maternelle (hors temps partiel) + primaire</t>
  </si>
  <si>
    <t>Nombre d'enfants collège</t>
  </si>
  <si>
    <t>Enfants inscrits</t>
  </si>
  <si>
    <t>Tarifs année scolaire 2025 - 2026</t>
  </si>
  <si>
    <t>Scolarité maternelle temps plein, primaire et collège</t>
  </si>
  <si>
    <t>Scolarité école maternelle hors temps plein</t>
  </si>
  <si>
    <t>Il est possible d'évoluer en cours d'année mais pour un temps supérieur uniquement</t>
  </si>
  <si>
    <t>Pour l'école maternelle hors temps plein, il n'y a pas de réduction en fonction du nombre d'enfants</t>
  </si>
  <si>
    <t>Réduction</t>
  </si>
  <si>
    <t>Inscription  :</t>
  </si>
  <si>
    <t>par enfant</t>
  </si>
  <si>
    <t>Réinscription :</t>
  </si>
  <si>
    <t>Surveillance des repas :</t>
  </si>
  <si>
    <t>par an</t>
  </si>
  <si>
    <t>par famille</t>
  </si>
  <si>
    <t>Logo :</t>
  </si>
  <si>
    <t>Coût annuel</t>
  </si>
  <si>
    <t>Ces dons ouvrent droit à une réduction d'impôt de 66% des sommes versées (100€ donnés ne coûtent finalement que 34€)</t>
  </si>
  <si>
    <t>≥ 4</t>
  </si>
  <si>
    <t>École et Collège Sainte Charlotte
Compiègne
www.saintecharlotte.fr</t>
  </si>
  <si>
    <t>Tarif / mois / enfant</t>
  </si>
  <si>
    <t>1. Frais fixes en sus de la scolarité : à verser lors du dépôt du dossier d'inscription ou de réinscription</t>
  </si>
  <si>
    <t>2. Scolarité de base : le coût est annuel et payable avant la rentrée.</t>
  </si>
  <si>
    <t>3. Forfaits d'intendance :</t>
  </si>
  <si>
    <t>4. Uniforme :</t>
  </si>
  <si>
    <t>5. Locations et achats des fournitures mises à disposition par l'école : facturations par élève et par famille courant octobre.</t>
  </si>
  <si>
    <t>Pour toute question financière, vous pouvez contacter contact@saintecharlotte.fr</t>
  </si>
  <si>
    <t>+1 après-midi</t>
  </si>
  <si>
    <t>+2 après-midi</t>
  </si>
  <si>
    <t>+3 après-midi</t>
  </si>
  <si>
    <t>Enfant</t>
  </si>
  <si>
    <t>Moyenne section</t>
  </si>
  <si>
    <t>-</t>
  </si>
  <si>
    <t>Petite section</t>
  </si>
  <si>
    <t>Maternelle</t>
  </si>
  <si>
    <t>Primaire</t>
  </si>
  <si>
    <t>Grande section</t>
  </si>
  <si>
    <t>CE1</t>
  </si>
  <si>
    <t>CE2</t>
  </si>
  <si>
    <t>CM1</t>
  </si>
  <si>
    <t>CM2</t>
  </si>
  <si>
    <t>6ème</t>
  </si>
  <si>
    <t>5ème</t>
  </si>
  <si>
    <t>3ème</t>
  </si>
  <si>
    <t>Classe</t>
  </si>
  <si>
    <t>Ecole</t>
  </si>
  <si>
    <t>Enfant n°1</t>
  </si>
  <si>
    <t>Enfant n°2</t>
  </si>
  <si>
    <t>Enfant n°3</t>
  </si>
  <si>
    <t>Enfant n°4</t>
  </si>
  <si>
    <t>Enfant n°5</t>
  </si>
  <si>
    <t>Enfant n°6</t>
  </si>
  <si>
    <t>Tarif de base</t>
  </si>
  <si>
    <t>Tarif</t>
  </si>
  <si>
    <t>Enfants</t>
  </si>
  <si>
    <t>Total</t>
  </si>
  <si>
    <t>Total après réduction</t>
  </si>
  <si>
    <t>Ménage* :</t>
  </si>
  <si>
    <t>* Les familles qui s'engagent à participer à l'entretien des locaux sont dispensées de payer le forfait ménage</t>
  </si>
  <si>
    <t>Non récupérables en cas de changement de décision (sauf déménagement pour raison professionnelle uniquement)</t>
  </si>
  <si>
    <t>Réinscription</t>
  </si>
  <si>
    <t>Est-ce une réinscription ?</t>
  </si>
  <si>
    <t>Total scolarité</t>
  </si>
  <si>
    <t>Frais</t>
  </si>
  <si>
    <t>Inscription</t>
  </si>
  <si>
    <t>Nombre</t>
  </si>
  <si>
    <t>Montant par enfant</t>
  </si>
  <si>
    <t>FRAIS INSCRIPTION</t>
  </si>
  <si>
    <t>FRAIS SCOLARITÉ</t>
  </si>
  <si>
    <t>Surveillance des repas</t>
  </si>
  <si>
    <t>FORFAITS INTENDANCE</t>
  </si>
  <si>
    <t>Déjeune sur place ?</t>
  </si>
  <si>
    <t>UNIFORME</t>
  </si>
  <si>
    <t>Logo</t>
  </si>
  <si>
    <t>Uniforme</t>
  </si>
  <si>
    <t>Coût</t>
  </si>
  <si>
    <t>Prix unitaire</t>
  </si>
  <si>
    <t>Total intendance</t>
  </si>
  <si>
    <t>Total uniforme</t>
  </si>
  <si>
    <t>Total inscription</t>
  </si>
  <si>
    <t>FOURNITURES ÉCOLE</t>
  </si>
  <si>
    <t>Versement annuel</t>
  </si>
  <si>
    <t>ou</t>
  </si>
  <si>
    <t>Versement trimestriel</t>
  </si>
  <si>
    <t>Versement mensuel</t>
  </si>
  <si>
    <t>Sur facture</t>
  </si>
  <si>
    <t>Simulateur coût de scolarité (non contractuel) - Remplir les cases bleues</t>
  </si>
  <si>
    <t>Je m'engage à participer à l'entretien des locaux</t>
  </si>
  <si>
    <t>Si maternelle, nombre d'après-midi</t>
  </si>
  <si>
    <t>Après-midi</t>
  </si>
  <si>
    <t>École et Collège Sainte Charlotte
www.saintecharlotte.fr</t>
  </si>
  <si>
    <t>Compiègne</t>
  </si>
  <si>
    <t>www.saintecharlotte.fr</t>
  </si>
  <si>
    <t>Haut d'uniforme :</t>
  </si>
  <si>
    <t>Nb haut uniforme*</t>
  </si>
  <si>
    <t>Nb logo*</t>
  </si>
  <si>
    <t>*Uniforme obligatoire</t>
  </si>
  <si>
    <t>TOTAL</t>
  </si>
  <si>
    <t>Scolarité</t>
  </si>
  <si>
    <t>Intendance</t>
  </si>
  <si>
    <t>Type de frais</t>
  </si>
  <si>
    <t>Montant soumis à réduction</t>
  </si>
  <si>
    <t>Montant non soumis à réduction</t>
  </si>
  <si>
    <t>Haut d'uniforme</t>
  </si>
  <si>
    <t>à définir</t>
  </si>
  <si>
    <t>Les scolarités ne couvrant qu'une partie des coûts, les familles peuvent verser un supplément sous forme de don à l'association.</t>
  </si>
  <si>
    <t>Possibilité de bourse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</si>
</sst>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strike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u/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indexed="81"/>
      <name val="Tahoma"/>
      <family val="2"/>
    </font>
    <font>
      <sz val="9"/>
      <color indexed="8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quotePrefix="1" applyFont="1" applyBorder="1" applyAlignment="1" applyProtection="1">
      <alignment horizontal="center" vertical="center" wrapText="1"/>
      <protection hidden="1"/>
    </xf>
    <xf numFmtId="6" fontId="2" fillId="0" borderId="0" xfId="0" applyNumberFormat="1" applyFont="1" applyAlignment="1" applyProtection="1">
      <protection hidden="1"/>
    </xf>
    <xf numFmtId="6" fontId="2" fillId="0" borderId="4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6" fontId="2" fillId="0" borderId="4" xfId="0" applyNumberFormat="1" applyFont="1" applyBorder="1" applyAlignment="1" applyProtection="1">
      <alignment horizontal="center" vertical="center"/>
      <protection hidden="1"/>
    </xf>
    <xf numFmtId="9" fontId="2" fillId="0" borderId="4" xfId="0" applyNumberFormat="1" applyFont="1" applyBorder="1" applyAlignment="1" applyProtection="1">
      <alignment horizontal="center" vertical="center"/>
      <protection hidden="1"/>
    </xf>
    <xf numFmtId="9" fontId="2" fillId="2" borderId="4" xfId="1" applyFont="1" applyFill="1" applyBorder="1" applyAlignment="1" applyProtection="1">
      <alignment horizontal="center" vertical="center"/>
      <protection hidden="1"/>
    </xf>
    <xf numFmtId="9" fontId="2" fillId="3" borderId="4" xfId="1" applyFont="1" applyFill="1" applyBorder="1" applyAlignment="1" applyProtection="1">
      <alignment horizontal="center" vertical="center"/>
      <protection hidden="1"/>
    </xf>
    <xf numFmtId="9" fontId="2" fillId="4" borderId="4" xfId="1" applyFont="1" applyFill="1" applyBorder="1" applyAlignment="1" applyProtection="1">
      <alignment horizontal="center" vertical="center"/>
      <protection hidden="1"/>
    </xf>
    <xf numFmtId="9" fontId="2" fillId="0" borderId="0" xfId="0" applyNumberFormat="1" applyFont="1" applyAlignment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6" fontId="2" fillId="0" borderId="2" xfId="0" applyNumberFormat="1" applyFont="1" applyBorder="1" applyAlignment="1" applyProtection="1">
      <alignment horizontal="center"/>
      <protection hidden="1"/>
    </xf>
    <xf numFmtId="6" fontId="2" fillId="5" borderId="2" xfId="0" applyNumberFormat="1" applyFont="1" applyFill="1" applyBorder="1" applyAlignment="1" applyProtection="1">
      <alignment horizontal="center"/>
      <protection hidden="1"/>
    </xf>
    <xf numFmtId="6" fontId="5" fillId="0" borderId="2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Alignment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9" fontId="2" fillId="0" borderId="2" xfId="1" applyFont="1" applyBorder="1" applyAlignment="1" applyProtection="1">
      <alignment horizontal="center"/>
      <protection hidden="1"/>
    </xf>
    <xf numFmtId="9" fontId="2" fillId="5" borderId="2" xfId="1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6" fontId="2" fillId="0" borderId="3" xfId="0" applyNumberFormat="1" applyFont="1" applyBorder="1" applyAlignment="1" applyProtection="1">
      <alignment horizontal="center"/>
      <protection hidden="1"/>
    </xf>
    <xf numFmtId="6" fontId="2" fillId="5" borderId="3" xfId="0" applyNumberFormat="1" applyFont="1" applyFill="1" applyBorder="1" applyAlignment="1" applyProtection="1">
      <alignment horizontal="center"/>
      <protection hidden="1"/>
    </xf>
    <xf numFmtId="6" fontId="2" fillId="5" borderId="1" xfId="0" applyNumberFormat="1" applyFont="1" applyFill="1" applyBorder="1" applyAlignment="1" applyProtection="1">
      <alignment horizontal="center"/>
      <protection hidden="1"/>
    </xf>
    <xf numFmtId="6" fontId="5" fillId="0" borderId="1" xfId="0" applyNumberFormat="1" applyFont="1" applyBorder="1" applyAlignment="1" applyProtection="1">
      <alignment horizontal="center"/>
      <protection hidden="1"/>
    </xf>
    <xf numFmtId="6" fontId="2" fillId="0" borderId="1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6" fontId="6" fillId="0" borderId="0" xfId="0" applyNumberFormat="1" applyFont="1" applyProtection="1">
      <protection hidden="1"/>
    </xf>
    <xf numFmtId="0" fontId="9" fillId="0" borderId="0" xfId="3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Protection="1">
      <protection hidden="1"/>
    </xf>
    <xf numFmtId="0" fontId="6" fillId="5" borderId="4" xfId="0" applyFont="1" applyFill="1" applyBorder="1" applyProtection="1">
      <protection hidden="1"/>
    </xf>
    <xf numFmtId="164" fontId="6" fillId="5" borderId="4" xfId="2" applyNumberFormat="1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0" borderId="4" xfId="0" applyFont="1" applyBorder="1" applyAlignment="1" applyProtection="1">
      <alignment horizontal="right"/>
      <protection hidden="1"/>
    </xf>
    <xf numFmtId="9" fontId="6" fillId="5" borderId="4" xfId="1" applyFont="1" applyFill="1" applyBorder="1" applyProtection="1">
      <protection hidden="1"/>
    </xf>
    <xf numFmtId="0" fontId="7" fillId="0" borderId="4" xfId="0" applyFont="1" applyBorder="1" applyAlignment="1" applyProtection="1">
      <alignment horizontal="right"/>
      <protection hidden="1"/>
    </xf>
    <xf numFmtId="164" fontId="7" fillId="5" borderId="4" xfId="2" applyNumberFormat="1" applyFont="1" applyFill="1" applyBorder="1" applyProtection="1">
      <protection hidden="1"/>
    </xf>
    <xf numFmtId="164" fontId="6" fillId="5" borderId="4" xfId="0" applyNumberFormat="1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9" fontId="10" fillId="0" borderId="0" xfId="0" applyNumberFormat="1" applyFont="1" applyProtection="1">
      <protection hidden="1"/>
    </xf>
    <xf numFmtId="9" fontId="6" fillId="0" borderId="0" xfId="0" applyNumberFormat="1" applyFont="1" applyProtection="1">
      <protection hidden="1"/>
    </xf>
    <xf numFmtId="0" fontId="6" fillId="5" borderId="4" xfId="0" applyFont="1" applyFill="1" applyBorder="1" applyAlignment="1" applyProtection="1">
      <alignment horizontal="right"/>
      <protection hidden="1"/>
    </xf>
    <xf numFmtId="164" fontId="7" fillId="5" borderId="4" xfId="0" applyNumberFormat="1" applyFont="1" applyFill="1" applyBorder="1" applyProtection="1">
      <protection hidden="1"/>
    </xf>
    <xf numFmtId="0" fontId="6" fillId="5" borderId="4" xfId="2" applyNumberFormat="1" applyFont="1" applyFill="1" applyBorder="1" applyProtection="1">
      <protection hidden="1"/>
    </xf>
    <xf numFmtId="0" fontId="7" fillId="0" borderId="4" xfId="0" applyFont="1" applyBorder="1" applyProtection="1">
      <protection hidden="1"/>
    </xf>
    <xf numFmtId="0" fontId="7" fillId="0" borderId="4" xfId="2" applyNumberFormat="1" applyFont="1" applyBorder="1" applyAlignment="1" applyProtection="1">
      <alignment horizontal="right"/>
      <protection hidden="1"/>
    </xf>
    <xf numFmtId="164" fontId="7" fillId="0" borderId="4" xfId="2" applyNumberFormat="1" applyFont="1" applyBorder="1" applyAlignment="1" applyProtection="1">
      <alignment horizontal="right"/>
      <protection hidden="1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hidden="1"/>
    </xf>
    <xf numFmtId="164" fontId="4" fillId="5" borderId="4" xfId="2" applyNumberFormat="1" applyFont="1" applyFill="1" applyBorder="1" applyProtection="1">
      <protection hidden="1"/>
    </xf>
    <xf numFmtId="6" fontId="2" fillId="0" borderId="0" xfId="0" applyNumberFormat="1" applyFont="1" applyAlignment="1" applyProtection="1">
      <alignment horizontal="right"/>
      <protection hidden="1"/>
    </xf>
    <xf numFmtId="164" fontId="6" fillId="5" borderId="4" xfId="2" applyNumberFormat="1" applyFont="1" applyFill="1" applyBorder="1" applyAlignment="1" applyProtection="1">
      <alignment horizontal="right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textRotation="90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164" fontId="4" fillId="5" borderId="4" xfId="0" applyNumberFormat="1" applyFont="1" applyFill="1" applyBorder="1" applyAlignment="1" applyProtection="1">
      <alignment horizontal="left"/>
      <protection hidden="1"/>
    </xf>
    <xf numFmtId="0" fontId="7" fillId="0" borderId="4" xfId="0" applyFont="1" applyBorder="1" applyAlignment="1" applyProtection="1">
      <alignment horizontal="center"/>
      <protection hidden="1"/>
    </xf>
    <xf numFmtId="164" fontId="6" fillId="5" borderId="4" xfId="0" applyNumberFormat="1" applyFont="1" applyFill="1" applyBorder="1" applyAlignment="1" applyProtection="1">
      <alignment horizontal="left"/>
      <protection hidden="1"/>
    </xf>
  </cellXfs>
  <cellStyles count="4">
    <cellStyle name="Lien hypertexte" xfId="3" builtinId="8"/>
    <cellStyle name="Monétaire" xfId="2" builtinId="4"/>
    <cellStyle name="Normal" xfId="0" builtinId="0"/>
    <cellStyle name="Pourcentage" xfId="1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0" formatCode="#,##0\ &quot;€&quot;;[Red]\-#,##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0" formatCode="#,##0\ &quot;€&quot;;[Red]\-#,##0\ &quot;€&quot;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0" formatCode="#,##0\ &quot;€&quot;;[Red]\-#,##0\ &quot;€&quot;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3" formatCode="0%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0" formatCode="#,##0\ &quot;€&quot;;[Red]\-#,##0\ &quot;€&quot;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protection locked="1" hidden="1"/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58255</xdr:colOff>
      <xdr:row>0</xdr:row>
      <xdr:rowOff>91966</xdr:rowOff>
    </xdr:from>
    <xdr:to>
      <xdr:col>2</xdr:col>
      <xdr:colOff>591206</xdr:colOff>
      <xdr:row>2</xdr:row>
      <xdr:rowOff>155006</xdr:rowOff>
    </xdr:to>
    <xdr:pic>
      <xdr:nvPicPr>
        <xdr:cNvPr id="6" name="Image 5"/>
        <xdr:cNvPicPr preferRelativeResize="0">
          <a:picLocks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927" y="91966"/>
          <a:ext cx="1235831" cy="124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172554</xdr:colOff>
      <xdr:row>0</xdr:row>
      <xdr:rowOff>0</xdr:rowOff>
    </xdr:from>
    <xdr:to>
      <xdr:col>2</xdr:col>
      <xdr:colOff>352425</xdr:colOff>
      <xdr:row>6</xdr:row>
      <xdr:rowOff>151296</xdr:rowOff>
    </xdr:to>
    <xdr:pic>
      <xdr:nvPicPr>
        <xdr:cNvPr id="3" name="Image 2"/>
        <xdr:cNvPicPr preferRelativeResize="0">
          <a:picLocks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054" y="0"/>
          <a:ext cx="1199046" cy="11990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ecole" displayName="ecole" ref="L2:M5" totalsRowShown="0" headerRowDxfId="23" dataDxfId="22">
  <autoFilter ref="L2:M5"/>
  <tableColumns count="2">
    <tableColumn id="1" name="Ecole" dataDxfId="21"/>
    <tableColumn id="2" name="Tarif" dataDxfId="20">
      <calculatedColumnFormula>Tarifs!C8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lasse" displayName="classe" ref="L14:M24" totalsRowShown="0" headerRowDxfId="19" dataDxfId="18">
  <autoFilter ref="L14:M24"/>
  <tableColumns count="2">
    <tableColumn id="1" name="Classe" dataDxfId="17"/>
    <tableColumn id="2" name="Ecole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reduction" displayName="reduction" ref="L28:M35" totalsRowShown="0" headerRowDxfId="15" dataDxfId="14">
  <autoFilter ref="L28:M35"/>
  <tableColumns count="2">
    <tableColumn id="1" name="Enfants" dataDxfId="13">
      <calculatedColumnFormula>L28+1</calculatedColumnFormula>
    </tableColumn>
    <tableColumn id="2" name="Réduction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inscription" displayName="inscription" ref="L37:M39" totalsRowShown="0" headerRowDxfId="11" dataDxfId="10">
  <autoFilter ref="L37:M39"/>
  <tableColumns count="2">
    <tableColumn id="1" name="Inscription" dataDxfId="9"/>
    <tableColumn id="2" name="Frais" dataDxfId="8">
      <calculatedColumnFormula>Tarifs!F42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uniforme" displayName="uniforme" ref="L41:M43" totalsRowShown="0" headerRowDxfId="7" dataDxfId="6">
  <autoFilter ref="L41:M43"/>
  <tableColumns count="2">
    <tableColumn id="1" name="Uniforme" dataDxfId="5"/>
    <tableColumn id="2" name="Coût" dataDxfId="4">
      <calculatedColumnFormula>Tarifs!F49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maternelle" displayName="maternelle" ref="L7:M12" totalsRowShown="0" headerRowDxfId="3" dataDxfId="2">
  <autoFilter ref="L7:M12"/>
  <tableColumns count="2">
    <tableColumn id="1" name="Après-midi" dataDxfId="1"/>
    <tableColumn id="2" name="Tarif" dataDxfId="0">
      <calculatedColumnFormula>Tarifs!D33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comments" Target="../comments1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showGridLines="0" zoomScaleNormal="100" zoomScaleSheetLayoutView="100" workbookViewId="0"/>
  </sheetViews>
  <sheetFormatPr baseColWidth="10" defaultColWidth="0" defaultRowHeight="13.5" zeroHeight="1" x14ac:dyDescent="0.3"/>
  <cols>
    <col min="1" max="1" width="1.7109375" style="1" customWidth="1"/>
    <col min="2" max="10" width="10.5703125" style="1" customWidth="1"/>
    <col min="11" max="11" width="1.7109375" style="1" customWidth="1"/>
    <col min="12" max="12" width="0" style="1" hidden="1" customWidth="1"/>
    <col min="13" max="16384" width="11.42578125" style="1" hidden="1"/>
  </cols>
  <sheetData>
    <row r="1" spans="1:12" x14ac:dyDescent="0.3"/>
    <row r="2" spans="1:12" ht="79.5" customHeight="1" x14ac:dyDescent="0.3">
      <c r="B2" s="75" t="s">
        <v>24</v>
      </c>
      <c r="C2" s="75"/>
      <c r="D2" s="75"/>
      <c r="E2" s="75"/>
      <c r="F2" s="75"/>
      <c r="G2" s="75"/>
      <c r="H2" s="75"/>
      <c r="I2" s="75"/>
      <c r="J2" s="75"/>
    </row>
    <row r="3" spans="1:12" ht="14.25" thickBot="1" x14ac:dyDescent="0.35"/>
    <row r="4" spans="1:12" ht="14.25" thickBot="1" x14ac:dyDescent="0.35">
      <c r="B4" s="72" t="s">
        <v>8</v>
      </c>
      <c r="C4" s="73"/>
      <c r="D4" s="73"/>
      <c r="E4" s="73"/>
      <c r="F4" s="73"/>
      <c r="G4" s="73"/>
      <c r="H4" s="73"/>
      <c r="I4" s="73"/>
      <c r="J4" s="74"/>
    </row>
    <row r="5" spans="1:12" x14ac:dyDescent="0.3"/>
    <row r="6" spans="1:12" x14ac:dyDescent="0.3">
      <c r="B6" s="2" t="s">
        <v>9</v>
      </c>
    </row>
    <row r="7" spans="1:12" ht="27" x14ac:dyDescent="0.3">
      <c r="A7" s="2"/>
      <c r="B7" s="3" t="s">
        <v>4</v>
      </c>
      <c r="C7" s="3" t="s">
        <v>2</v>
      </c>
      <c r="D7" s="3" t="s">
        <v>3</v>
      </c>
      <c r="F7" s="3" t="s">
        <v>7</v>
      </c>
      <c r="G7" s="10">
        <v>1</v>
      </c>
      <c r="H7" s="10">
        <v>2</v>
      </c>
      <c r="I7" s="10">
        <v>3</v>
      </c>
      <c r="J7" s="10" t="s">
        <v>23</v>
      </c>
    </row>
    <row r="8" spans="1:12" ht="27" x14ac:dyDescent="0.3">
      <c r="B8" s="3" t="s">
        <v>25</v>
      </c>
      <c r="C8" s="11">
        <v>230</v>
      </c>
      <c r="D8" s="11">
        <v>280</v>
      </c>
      <c r="F8" s="3" t="s">
        <v>13</v>
      </c>
      <c r="G8" s="12">
        <v>0</v>
      </c>
      <c r="H8" s="13">
        <v>-0.05</v>
      </c>
      <c r="I8" s="14">
        <v>-0.1</v>
      </c>
      <c r="J8" s="15">
        <v>-0.15</v>
      </c>
    </row>
    <row r="9" spans="1:12" x14ac:dyDescent="0.3"/>
    <row r="10" spans="1:12" x14ac:dyDescent="0.3">
      <c r="D10" s="69" t="s">
        <v>5</v>
      </c>
      <c r="E10" s="70"/>
      <c r="F10" s="70"/>
      <c r="G10" s="70"/>
      <c r="H10" s="70"/>
      <c r="I10" s="71"/>
      <c r="J10" s="16"/>
      <c r="K10" s="16"/>
      <c r="L10" s="16"/>
    </row>
    <row r="11" spans="1:12" x14ac:dyDescent="0.3">
      <c r="D11" s="17">
        <v>0</v>
      </c>
      <c r="E11" s="17">
        <f>D11+1</f>
        <v>1</v>
      </c>
      <c r="F11" s="17">
        <f>E11+1</f>
        <v>2</v>
      </c>
      <c r="G11" s="17">
        <f t="shared" ref="G11:I11" si="0">F11+1</f>
        <v>3</v>
      </c>
      <c r="H11" s="17">
        <f t="shared" si="0"/>
        <v>4</v>
      </c>
      <c r="I11" s="17">
        <f t="shared" si="0"/>
        <v>5</v>
      </c>
      <c r="J11" s="5"/>
      <c r="K11" s="5"/>
      <c r="L11" s="5"/>
    </row>
    <row r="12" spans="1:12" x14ac:dyDescent="0.3">
      <c r="B12" s="76" t="s">
        <v>6</v>
      </c>
      <c r="C12" s="18">
        <v>0</v>
      </c>
      <c r="D12" s="19" t="s">
        <v>37</v>
      </c>
      <c r="E12" s="20">
        <f>IF($C12+E$11&gt;6,"-",E$11*$C$8+$C12*$D$8)</f>
        <v>230</v>
      </c>
      <c r="F12" s="21">
        <f>IF($C12+F$11&gt;6,"-",F$11*$C$8+$C12*$D$8)</f>
        <v>460</v>
      </c>
      <c r="G12" s="21">
        <f>IF($C12+G$11&gt;6,"-",G$11*$C$8+$C12*$D$8)</f>
        <v>690</v>
      </c>
      <c r="H12" s="21">
        <f>IF($C12+H$11&gt;6,"-",H$11*$C$8+$C12*$D$8)</f>
        <v>920</v>
      </c>
      <c r="I12" s="21">
        <f>IF($C12+I$11&gt;6,"-",I$11*$C$8+$C12*$D$8)</f>
        <v>1150</v>
      </c>
      <c r="J12" s="22"/>
      <c r="K12" s="5"/>
      <c r="L12" s="5"/>
    </row>
    <row r="13" spans="1:12" ht="15" hidden="1" customHeight="1" x14ac:dyDescent="0.3">
      <c r="B13" s="76"/>
      <c r="C13" s="23"/>
      <c r="D13" s="24" t="s">
        <v>37</v>
      </c>
      <c r="E13" s="25">
        <f>IF($C12+E$11&gt;6,"-",IF($C12+E$11=$G$7,$G$8,IF($C12+E$11=$H$7,$H$8,IF($C12+E$11=$I$7,$I$8,IF($C12+E$11&gt;$I$7,$J$8,"-")))))</f>
        <v>0</v>
      </c>
      <c r="F13" s="24">
        <f>IF($C12+F$11&gt;6,"-",IF($C12+F$11=$G$7,$G$8,IF($C12+F$11=$H$7,$H$8,IF($C12+F$11=$I$7,$I$8,IF($C12+F$11&gt;$I$7,$J$8,"-")))))</f>
        <v>-0.05</v>
      </c>
      <c r="G13" s="24">
        <f>IF($C12+G$11&gt;6,"-",IF($C12+G$11=$G$7,$G$8,IF($C12+G$11=$H$7,$H$8,IF($C12+G$11=$I$7,$I$8,IF($C12+G$11&gt;$I$7,$J$8,"-")))))</f>
        <v>-0.1</v>
      </c>
      <c r="H13" s="24">
        <f>IF($C12+H$11&gt;6,"-",IF($C12+H$11=$G$7,$G$8,IF($C12+H$11=$H$7,$H$8,IF($C12+H$11=$I$7,$I$8,IF($C12+H$11&gt;$I$7,$J$8,"-")))))</f>
        <v>-0.15</v>
      </c>
      <c r="I13" s="24">
        <f>IF($C12+I$11&gt;6,"-",IF($C12+I$11=$G$7,$G$8,IF($C12+I$11=$H$7,$H$8,IF($C12+I$11=$I$7,$I$8,IF($C12+I$11&gt;$I$7,$J$8,"-")))))</f>
        <v>-0.15</v>
      </c>
      <c r="J13" s="22"/>
      <c r="K13" s="5"/>
      <c r="L13" s="5"/>
    </row>
    <row r="14" spans="1:12" x14ac:dyDescent="0.3">
      <c r="B14" s="76"/>
      <c r="C14" s="26"/>
      <c r="D14" s="27" t="s">
        <v>37</v>
      </c>
      <c r="E14" s="28">
        <f t="shared" ref="E14:I14" si="1">IFERROR(E12*(1+E13),"-")</f>
        <v>230</v>
      </c>
      <c r="F14" s="27">
        <f t="shared" si="1"/>
        <v>437</v>
      </c>
      <c r="G14" s="27">
        <f t="shared" si="1"/>
        <v>621</v>
      </c>
      <c r="H14" s="27">
        <f t="shared" si="1"/>
        <v>782</v>
      </c>
      <c r="I14" s="27">
        <f t="shared" si="1"/>
        <v>977.5</v>
      </c>
      <c r="J14" s="22"/>
      <c r="K14" s="5"/>
      <c r="L14" s="5"/>
    </row>
    <row r="15" spans="1:12" x14ac:dyDescent="0.3">
      <c r="B15" s="76"/>
      <c r="C15" s="18">
        <f>C12+1</f>
        <v>1</v>
      </c>
      <c r="D15" s="29">
        <f t="shared" ref="D15:I15" si="2">IF($C15+D$11&gt;6,"-",D$11*$C$8+$C15*$D$8)</f>
        <v>280</v>
      </c>
      <c r="E15" s="30">
        <f t="shared" si="2"/>
        <v>510</v>
      </c>
      <c r="F15" s="30">
        <f t="shared" si="2"/>
        <v>740</v>
      </c>
      <c r="G15" s="30">
        <f t="shared" si="2"/>
        <v>970</v>
      </c>
      <c r="H15" s="30">
        <f t="shared" si="2"/>
        <v>1200</v>
      </c>
      <c r="I15" s="30">
        <f t="shared" si="2"/>
        <v>1430</v>
      </c>
      <c r="J15" s="22"/>
      <c r="K15" s="5"/>
    </row>
    <row r="16" spans="1:12" ht="15" hidden="1" customHeight="1" x14ac:dyDescent="0.3">
      <c r="B16" s="76"/>
      <c r="C16" s="23"/>
      <c r="D16" s="25">
        <f t="shared" ref="D16:I16" si="3">IF($C15+D$11&gt;6,"-",IF($C15+D$11=$G$7,$G$8,IF($C15+D$11=$H$7,$H$8,IF($C15+D$11=$I$7,$I$8,IF($C15+D$11&gt;$I$7,$J$8,"-")))))</f>
        <v>0</v>
      </c>
      <c r="E16" s="24">
        <f t="shared" si="3"/>
        <v>-0.05</v>
      </c>
      <c r="F16" s="24">
        <f t="shared" si="3"/>
        <v>-0.1</v>
      </c>
      <c r="G16" s="24">
        <f t="shared" si="3"/>
        <v>-0.15</v>
      </c>
      <c r="H16" s="24">
        <f t="shared" si="3"/>
        <v>-0.15</v>
      </c>
      <c r="I16" s="24">
        <f t="shared" si="3"/>
        <v>-0.15</v>
      </c>
      <c r="J16" s="22"/>
      <c r="K16" s="5"/>
    </row>
    <row r="17" spans="2:11" x14ac:dyDescent="0.3">
      <c r="B17" s="76"/>
      <c r="C17" s="26"/>
      <c r="D17" s="28">
        <f t="shared" ref="D17:I17" si="4">IFERROR(D15*(1+D16),"-")</f>
        <v>280</v>
      </c>
      <c r="E17" s="27">
        <f t="shared" si="4"/>
        <v>484.5</v>
      </c>
      <c r="F17" s="27">
        <f t="shared" si="4"/>
        <v>666</v>
      </c>
      <c r="G17" s="27">
        <f t="shared" si="4"/>
        <v>824.5</v>
      </c>
      <c r="H17" s="27">
        <f t="shared" si="4"/>
        <v>1020</v>
      </c>
      <c r="I17" s="27">
        <f t="shared" si="4"/>
        <v>1215.5</v>
      </c>
      <c r="J17" s="22"/>
      <c r="K17" s="5"/>
    </row>
    <row r="18" spans="2:11" x14ac:dyDescent="0.3">
      <c r="B18" s="76"/>
      <c r="C18" s="18">
        <f>C15+1</f>
        <v>2</v>
      </c>
      <c r="D18" s="30">
        <f t="shared" ref="D18:I18" si="5">IF($C18+D$11&gt;6,"-",D$11*$C$8+$C18*$D$8)</f>
        <v>560</v>
      </c>
      <c r="E18" s="30">
        <f t="shared" si="5"/>
        <v>790</v>
      </c>
      <c r="F18" s="30">
        <f t="shared" si="5"/>
        <v>1020</v>
      </c>
      <c r="G18" s="30">
        <f t="shared" si="5"/>
        <v>1250</v>
      </c>
      <c r="H18" s="30">
        <f t="shared" si="5"/>
        <v>1480</v>
      </c>
      <c r="I18" s="31" t="str">
        <f t="shared" si="5"/>
        <v>-</v>
      </c>
      <c r="J18" s="22"/>
      <c r="K18" s="5"/>
    </row>
    <row r="19" spans="2:11" ht="15" hidden="1" customHeight="1" x14ac:dyDescent="0.3">
      <c r="B19" s="76"/>
      <c r="C19" s="23"/>
      <c r="D19" s="24">
        <f t="shared" ref="D19:I19" si="6">IF($C18+D$11&gt;6,"-",IF($C18+D$11=$G$7,$G$8,IF($C18+D$11=$H$7,$H$8,IF($C18+D$11=$I$7,$I$8,IF($C18+D$11&gt;$I$7,$J$8,"-")))))</f>
        <v>-0.05</v>
      </c>
      <c r="E19" s="24">
        <f t="shared" si="6"/>
        <v>-0.1</v>
      </c>
      <c r="F19" s="24">
        <f t="shared" si="6"/>
        <v>-0.15</v>
      </c>
      <c r="G19" s="24">
        <f t="shared" si="6"/>
        <v>-0.15</v>
      </c>
      <c r="H19" s="24">
        <f t="shared" si="6"/>
        <v>-0.15</v>
      </c>
      <c r="I19" s="24" t="str">
        <f t="shared" si="6"/>
        <v>-</v>
      </c>
      <c r="J19" s="22"/>
      <c r="K19" s="5"/>
    </row>
    <row r="20" spans="2:11" x14ac:dyDescent="0.3">
      <c r="B20" s="76"/>
      <c r="C20" s="26"/>
      <c r="D20" s="27">
        <f t="shared" ref="D20:I20" si="7">IFERROR(D18*(1+D19),"-")</f>
        <v>532</v>
      </c>
      <c r="E20" s="27">
        <f t="shared" si="7"/>
        <v>711</v>
      </c>
      <c r="F20" s="27">
        <f t="shared" si="7"/>
        <v>867</v>
      </c>
      <c r="G20" s="27">
        <f t="shared" si="7"/>
        <v>1062.5</v>
      </c>
      <c r="H20" s="27">
        <f t="shared" si="7"/>
        <v>1258</v>
      </c>
      <c r="I20" s="27" t="str">
        <f t="shared" si="7"/>
        <v>-</v>
      </c>
      <c r="J20" s="22"/>
      <c r="K20" s="5"/>
    </row>
    <row r="21" spans="2:11" x14ac:dyDescent="0.3">
      <c r="B21" s="76"/>
      <c r="C21" s="18">
        <f>C18+1</f>
        <v>3</v>
      </c>
      <c r="D21" s="30">
        <f t="shared" ref="D21:I21" si="8">IF($C21+D$11&gt;6,"-",D$11*$C$8+$C21*$D$8)</f>
        <v>840</v>
      </c>
      <c r="E21" s="30">
        <f t="shared" si="8"/>
        <v>1070</v>
      </c>
      <c r="F21" s="30">
        <f t="shared" si="8"/>
        <v>1300</v>
      </c>
      <c r="G21" s="30">
        <f t="shared" si="8"/>
        <v>1530</v>
      </c>
      <c r="H21" s="31" t="str">
        <f t="shared" si="8"/>
        <v>-</v>
      </c>
      <c r="I21" s="31" t="str">
        <f t="shared" si="8"/>
        <v>-</v>
      </c>
      <c r="J21" s="22"/>
    </row>
    <row r="22" spans="2:11" ht="15" hidden="1" customHeight="1" x14ac:dyDescent="0.3">
      <c r="B22" s="76"/>
      <c r="C22" s="23"/>
      <c r="D22" s="24">
        <f t="shared" ref="D22:I22" si="9">IF($C21+D$11&gt;6,"-",IF($C21+D$11=$G$7,$G$8,IF($C21+D$11=$H$7,$H$8,IF($C21+D$11=$I$7,$I$8,IF($C21+D$11&gt;$I$7,$J$8,"-")))))</f>
        <v>-0.1</v>
      </c>
      <c r="E22" s="24">
        <f t="shared" si="9"/>
        <v>-0.15</v>
      </c>
      <c r="F22" s="24">
        <f t="shared" si="9"/>
        <v>-0.15</v>
      </c>
      <c r="G22" s="24">
        <f t="shared" si="9"/>
        <v>-0.15</v>
      </c>
      <c r="H22" s="24" t="str">
        <f t="shared" si="9"/>
        <v>-</v>
      </c>
      <c r="I22" s="24" t="str">
        <f t="shared" si="9"/>
        <v>-</v>
      </c>
      <c r="J22" s="22"/>
    </row>
    <row r="23" spans="2:11" x14ac:dyDescent="0.3">
      <c r="B23" s="76"/>
      <c r="C23" s="26"/>
      <c r="D23" s="27">
        <f t="shared" ref="D23:I23" si="10">IFERROR(D21*(1+D22),"-")</f>
        <v>756</v>
      </c>
      <c r="E23" s="27">
        <f t="shared" si="10"/>
        <v>909.5</v>
      </c>
      <c r="F23" s="27">
        <f t="shared" si="10"/>
        <v>1105</v>
      </c>
      <c r="G23" s="27">
        <f t="shared" si="10"/>
        <v>1300.5</v>
      </c>
      <c r="H23" s="27" t="str">
        <f t="shared" si="10"/>
        <v>-</v>
      </c>
      <c r="I23" s="27" t="str">
        <f t="shared" si="10"/>
        <v>-</v>
      </c>
      <c r="J23" s="22"/>
    </row>
    <row r="24" spans="2:11" x14ac:dyDescent="0.3">
      <c r="B24" s="76"/>
      <c r="C24" s="18">
        <f>C21+1</f>
        <v>4</v>
      </c>
      <c r="D24" s="30">
        <f t="shared" ref="D24:I24" si="11">IF($C24+D$11&gt;6,"-",D$11*$C$8+$C24*$D$8)</f>
        <v>1120</v>
      </c>
      <c r="E24" s="30">
        <f t="shared" si="11"/>
        <v>1350</v>
      </c>
      <c r="F24" s="30">
        <f t="shared" si="11"/>
        <v>1580</v>
      </c>
      <c r="G24" s="31" t="str">
        <f t="shared" si="11"/>
        <v>-</v>
      </c>
      <c r="H24" s="31" t="str">
        <f t="shared" si="11"/>
        <v>-</v>
      </c>
      <c r="I24" s="31" t="str">
        <f t="shared" si="11"/>
        <v>-</v>
      </c>
      <c r="J24" s="22"/>
    </row>
    <row r="25" spans="2:11" ht="15" hidden="1" customHeight="1" x14ac:dyDescent="0.3">
      <c r="B25" s="76"/>
      <c r="C25" s="23"/>
      <c r="D25" s="24">
        <f t="shared" ref="D25:I25" si="12">IF($C24+D$11&gt;6,"-",IF($C24+D$11=$G$7,$G$8,IF($C24+D$11=$H$7,$H$8,IF($C24+D$11=$I$7,$I$8,IF($C24+D$11&gt;$I$7,$J$8,"-")))))</f>
        <v>-0.15</v>
      </c>
      <c r="E25" s="24">
        <f t="shared" si="12"/>
        <v>-0.15</v>
      </c>
      <c r="F25" s="24">
        <f t="shared" si="12"/>
        <v>-0.15</v>
      </c>
      <c r="G25" s="24" t="str">
        <f t="shared" si="12"/>
        <v>-</v>
      </c>
      <c r="H25" s="24" t="str">
        <f t="shared" si="12"/>
        <v>-</v>
      </c>
      <c r="I25" s="24" t="str">
        <f t="shared" si="12"/>
        <v>-</v>
      </c>
      <c r="J25" s="22"/>
    </row>
    <row r="26" spans="2:11" x14ac:dyDescent="0.3">
      <c r="B26" s="76"/>
      <c r="C26" s="26"/>
      <c r="D26" s="27">
        <f t="shared" ref="D26:I26" si="13">IFERROR(D24*(1+D25),"-")</f>
        <v>952</v>
      </c>
      <c r="E26" s="27">
        <f t="shared" si="13"/>
        <v>1147.5</v>
      </c>
      <c r="F26" s="27">
        <f t="shared" si="13"/>
        <v>1343</v>
      </c>
      <c r="G26" s="27" t="str">
        <f t="shared" si="13"/>
        <v>-</v>
      </c>
      <c r="H26" s="27" t="str">
        <f t="shared" si="13"/>
        <v>-</v>
      </c>
      <c r="I26" s="27" t="str">
        <f t="shared" si="13"/>
        <v>-</v>
      </c>
      <c r="J26" s="22"/>
    </row>
    <row r="27" spans="2:11" x14ac:dyDescent="0.3">
      <c r="B27" s="76"/>
      <c r="C27" s="18">
        <f>C24+1</f>
        <v>5</v>
      </c>
      <c r="D27" s="30">
        <f t="shared" ref="D27:I27" si="14">IF($C27+D$11&gt;6,"-",D$11*$C$8+$C27*$D$8)</f>
        <v>1400</v>
      </c>
      <c r="E27" s="30">
        <f t="shared" si="14"/>
        <v>1630</v>
      </c>
      <c r="F27" s="31" t="str">
        <f t="shared" si="14"/>
        <v>-</v>
      </c>
      <c r="G27" s="31" t="str">
        <f t="shared" si="14"/>
        <v>-</v>
      </c>
      <c r="H27" s="31" t="str">
        <f t="shared" si="14"/>
        <v>-</v>
      </c>
      <c r="I27" s="31" t="str">
        <f t="shared" si="14"/>
        <v>-</v>
      </c>
      <c r="J27" s="22"/>
    </row>
    <row r="28" spans="2:11" ht="15" hidden="1" customHeight="1" x14ac:dyDescent="0.3">
      <c r="B28" s="76"/>
      <c r="C28" s="23"/>
      <c r="D28" s="24">
        <f t="shared" ref="D28:I28" si="15">IF($C27+D$11&gt;6,"-",IF($C27+D$11=$G$7,$G$8,IF($C27+D$11=$H$7,$H$8,IF($C27+D$11=$I$7,$I$8,IF($C27+D$11&gt;$I$7,$J$8,"-")))))</f>
        <v>-0.15</v>
      </c>
      <c r="E28" s="24">
        <f t="shared" si="15"/>
        <v>-0.15</v>
      </c>
      <c r="F28" s="24" t="str">
        <f t="shared" si="15"/>
        <v>-</v>
      </c>
      <c r="G28" s="24" t="str">
        <f t="shared" si="15"/>
        <v>-</v>
      </c>
      <c r="H28" s="24" t="str">
        <f t="shared" si="15"/>
        <v>-</v>
      </c>
      <c r="I28" s="24" t="str">
        <f t="shared" si="15"/>
        <v>-</v>
      </c>
      <c r="J28" s="22"/>
    </row>
    <row r="29" spans="2:11" x14ac:dyDescent="0.3">
      <c r="B29" s="76"/>
      <c r="C29" s="26"/>
      <c r="D29" s="27">
        <f t="shared" ref="D29:I29" si="16">IFERROR(D27*(1+D28),"-")</f>
        <v>1190</v>
      </c>
      <c r="E29" s="27">
        <f t="shared" si="16"/>
        <v>1385.5</v>
      </c>
      <c r="F29" s="27" t="str">
        <f t="shared" si="16"/>
        <v>-</v>
      </c>
      <c r="G29" s="27" t="str">
        <f t="shared" si="16"/>
        <v>-</v>
      </c>
      <c r="H29" s="27" t="str">
        <f t="shared" si="16"/>
        <v>-</v>
      </c>
      <c r="I29" s="27" t="str">
        <f t="shared" si="16"/>
        <v>-</v>
      </c>
      <c r="J29" s="22"/>
    </row>
    <row r="30" spans="2:11" x14ac:dyDescent="0.3">
      <c r="F30" s="16"/>
      <c r="G30" s="5"/>
      <c r="H30" s="5"/>
    </row>
    <row r="31" spans="2:11" x14ac:dyDescent="0.3">
      <c r="B31" s="2" t="s">
        <v>10</v>
      </c>
    </row>
    <row r="32" spans="2:11" ht="27" x14ac:dyDescent="0.3">
      <c r="B32" s="3" t="s">
        <v>0</v>
      </c>
      <c r="C32" s="4" t="s">
        <v>32</v>
      </c>
      <c r="D32" s="4" t="s">
        <v>33</v>
      </c>
      <c r="E32" s="4" t="s">
        <v>34</v>
      </c>
    </row>
    <row r="33" spans="2:8" hidden="1" x14ac:dyDescent="0.3">
      <c r="B33" s="3">
        <v>4</v>
      </c>
      <c r="C33" s="4">
        <f>B33+1</f>
        <v>5</v>
      </c>
      <c r="D33" s="4">
        <f t="shared" ref="D33:E33" si="17">C33+1</f>
        <v>6</v>
      </c>
      <c r="E33" s="4">
        <f t="shared" si="17"/>
        <v>7</v>
      </c>
      <c r="F33" s="5">
        <v>30</v>
      </c>
    </row>
    <row r="34" spans="2:8" x14ac:dyDescent="0.3">
      <c r="B34" s="6">
        <f>$F$33*B33</f>
        <v>120</v>
      </c>
      <c r="C34" s="6">
        <f>$F$33*C33</f>
        <v>150</v>
      </c>
      <c r="D34" s="6">
        <f>$F$33*D33</f>
        <v>180</v>
      </c>
      <c r="E34" s="6">
        <f>$F$33*E33</f>
        <v>210</v>
      </c>
    </row>
    <row r="35" spans="2:8" x14ac:dyDescent="0.3">
      <c r="B35" s="7" t="str">
        <f>"Sur une base de "&amp;TEXT(F33,"# ##0€")&amp;"/demi-journée, 4 matinées minimum"</f>
        <v>Sur une base de 30€/demi-journée, 4 matinées minimum</v>
      </c>
    </row>
    <row r="36" spans="2:8" x14ac:dyDescent="0.3">
      <c r="B36" s="8" t="s">
        <v>12</v>
      </c>
      <c r="C36" s="9"/>
      <c r="D36" s="9"/>
    </row>
    <row r="37" spans="2:8" x14ac:dyDescent="0.3">
      <c r="B37" s="8" t="s">
        <v>11</v>
      </c>
      <c r="C37" s="9"/>
      <c r="D37" s="9"/>
    </row>
    <row r="38" spans="2:8" x14ac:dyDescent="0.3"/>
    <row r="39" spans="2:8" x14ac:dyDescent="0.3">
      <c r="B39" s="2" t="s">
        <v>21</v>
      </c>
      <c r="F39" s="16"/>
      <c r="G39" s="5"/>
      <c r="H39" s="5"/>
    </row>
    <row r="40" spans="2:8" x14ac:dyDescent="0.3">
      <c r="B40" s="1" t="s">
        <v>26</v>
      </c>
    </row>
    <row r="41" spans="2:8" x14ac:dyDescent="0.3">
      <c r="B41" s="32" t="s">
        <v>64</v>
      </c>
    </row>
    <row r="42" spans="2:8" x14ac:dyDescent="0.3">
      <c r="D42" s="1" t="s">
        <v>14</v>
      </c>
      <c r="F42" s="5">
        <v>100</v>
      </c>
      <c r="G42" s="1" t="s">
        <v>15</v>
      </c>
      <c r="H42" s="1" t="s">
        <v>18</v>
      </c>
    </row>
    <row r="43" spans="2:8" x14ac:dyDescent="0.3">
      <c r="D43" s="1" t="s">
        <v>16</v>
      </c>
      <c r="F43" s="5">
        <v>80</v>
      </c>
      <c r="G43" s="1" t="s">
        <v>15</v>
      </c>
      <c r="H43" s="1" t="s">
        <v>18</v>
      </c>
    </row>
    <row r="44" spans="2:8" x14ac:dyDescent="0.3">
      <c r="B44" s="1" t="s">
        <v>27</v>
      </c>
    </row>
    <row r="45" spans="2:8" x14ac:dyDescent="0.3">
      <c r="B45" s="32" t="s">
        <v>1</v>
      </c>
    </row>
    <row r="46" spans="2:8" x14ac:dyDescent="0.3">
      <c r="B46" s="1" t="s">
        <v>28</v>
      </c>
      <c r="D46" s="1" t="s">
        <v>17</v>
      </c>
      <c r="F46" s="5">
        <v>60</v>
      </c>
      <c r="G46" s="1" t="s">
        <v>19</v>
      </c>
      <c r="H46" s="1" t="s">
        <v>18</v>
      </c>
    </row>
    <row r="47" spans="2:8" x14ac:dyDescent="0.3">
      <c r="D47" s="1" t="s">
        <v>62</v>
      </c>
      <c r="F47" s="5">
        <v>100</v>
      </c>
      <c r="G47" s="1" t="s">
        <v>19</v>
      </c>
      <c r="H47" s="1" t="s">
        <v>18</v>
      </c>
    </row>
    <row r="48" spans="2:8" x14ac:dyDescent="0.3">
      <c r="D48" s="7" t="s">
        <v>63</v>
      </c>
      <c r="F48" s="5"/>
    </row>
    <row r="49" spans="2:6" x14ac:dyDescent="0.3">
      <c r="B49" s="1" t="s">
        <v>29</v>
      </c>
      <c r="D49" s="1" t="s">
        <v>98</v>
      </c>
      <c r="F49" s="67" t="s">
        <v>109</v>
      </c>
    </row>
    <row r="50" spans="2:6" x14ac:dyDescent="0.3">
      <c r="D50" s="1" t="s">
        <v>20</v>
      </c>
      <c r="F50" s="67" t="s">
        <v>109</v>
      </c>
    </row>
    <row r="51" spans="2:6" x14ac:dyDescent="0.3"/>
    <row r="52" spans="2:6" x14ac:dyDescent="0.3">
      <c r="B52" s="1" t="s">
        <v>30</v>
      </c>
    </row>
    <row r="53" spans="2:6" x14ac:dyDescent="0.3"/>
    <row r="54" spans="2:6" x14ac:dyDescent="0.3">
      <c r="B54" s="7" t="s">
        <v>110</v>
      </c>
    </row>
    <row r="55" spans="2:6" x14ac:dyDescent="0.3">
      <c r="B55" s="7" t="s">
        <v>22</v>
      </c>
    </row>
    <row r="56" spans="2:6" x14ac:dyDescent="0.3"/>
    <row r="57" spans="2:6" x14ac:dyDescent="0.3">
      <c r="B57" s="1" t="s">
        <v>31</v>
      </c>
    </row>
    <row r="58" spans="2:6" x14ac:dyDescent="0.3">
      <c r="B58" s="1" t="s">
        <v>111</v>
      </c>
    </row>
    <row r="59" spans="2:6" x14ac:dyDescent="0.3"/>
    <row r="60" spans="2:6" hidden="1" x14ac:dyDescent="0.3"/>
    <row r="61" spans="2:6" hidden="1" x14ac:dyDescent="0.3"/>
    <row r="62" spans="2:6" hidden="1" x14ac:dyDescent="0.3"/>
    <row r="63" spans="2:6" hidden="1" x14ac:dyDescent="0.3"/>
    <row r="64" spans="2:6" hidden="1" x14ac:dyDescent="0.3"/>
    <row r="65" spans="10:10" hidden="1" x14ac:dyDescent="0.3"/>
    <row r="66" spans="10:10" hidden="1" x14ac:dyDescent="0.3"/>
    <row r="67" spans="10:10" hidden="1" x14ac:dyDescent="0.3"/>
    <row r="68" spans="10:10" hidden="1" x14ac:dyDescent="0.3"/>
    <row r="69" spans="10:10" hidden="1" x14ac:dyDescent="0.3"/>
    <row r="70" spans="10:10" hidden="1" x14ac:dyDescent="0.3"/>
    <row r="71" spans="10:10" hidden="1" x14ac:dyDescent="0.3"/>
    <row r="72" spans="10:10" hidden="1" x14ac:dyDescent="0.3"/>
    <row r="73" spans="10:10" hidden="1" x14ac:dyDescent="0.3"/>
    <row r="74" spans="10:10" hidden="1" x14ac:dyDescent="0.3"/>
    <row r="75" spans="10:10" hidden="1" x14ac:dyDescent="0.3"/>
    <row r="76" spans="10:10" hidden="1" x14ac:dyDescent="0.3">
      <c r="J76" s="5"/>
    </row>
    <row r="77" spans="10:10" hidden="1" x14ac:dyDescent="0.3"/>
    <row r="78" spans="10:10" hidden="1" x14ac:dyDescent="0.3">
      <c r="J78" s="5"/>
    </row>
    <row r="79" spans="10:10" hidden="1" x14ac:dyDescent="0.3"/>
    <row r="80" spans="10:1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</sheetData>
  <sheetProtection algorithmName="SHA-512" hashValue="uQ7UyqgGrlQ8xxP1sZWDEbDNdB1dx6S4n1ycv78MVxLL1zjBn4cX33renTPYmujiKYSFVfRQeJa9Q5jyI+NdPg==" saltValue="XrE4/YTvhEnS3nf2hzpDLA==" spinCount="100000" sheet="1" objects="1" scenarios="1"/>
  <mergeCells count="4">
    <mergeCell ref="D10:I10"/>
    <mergeCell ref="B4:J4"/>
    <mergeCell ref="B2:J2"/>
    <mergeCell ref="B12:B29"/>
  </mergeCells>
  <conditionalFormatting sqref="D12:I29">
    <cfRule type="expression" dxfId="27" priority="1">
      <formula>INDIRECT(ADDRESS(ROW()+IF(MOD(ROW()-ROW($C$11),3)=1,1,IF(MOD(ROW()-ROW($C$11),3)=2,0,-1)),COLUMN()))=-15%</formula>
    </cfRule>
    <cfRule type="expression" dxfId="26" priority="2">
      <formula>INDIRECT(ADDRESS(ROW()+IF(MOD(ROW()-ROW($C$11),3)=1,1,IF(MOD(ROW()-ROW($C$11),3)=2,0,-1)),COLUMN()))=-10%</formula>
    </cfRule>
    <cfRule type="expression" dxfId="25" priority="3">
      <formula>INDIRECT(ADDRESS(ROW()+IF(MOD(ROW()-ROW($C$11),3)=1,1,IF(MOD(ROW()-ROW($C$11),3)=2,0,-1)),COLUMN()))=-5%</formula>
    </cfRule>
  </conditionalFormatting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workbookViewId="0"/>
  </sheetViews>
  <sheetFormatPr baseColWidth="10" defaultColWidth="0" defaultRowHeight="13.5" zeroHeight="1" x14ac:dyDescent="0.25"/>
  <cols>
    <col min="1" max="1" width="2.85546875" style="34" customWidth="1"/>
    <col min="2" max="2" width="15.28515625" style="34" customWidth="1"/>
    <col min="3" max="6" width="20.42578125" style="34" customWidth="1"/>
    <col min="7" max="10" width="11.42578125" style="34" customWidth="1"/>
    <col min="11" max="11" width="2.85546875" style="34" hidden="1" customWidth="1"/>
    <col min="12" max="12" width="13.42578125" style="34" hidden="1" customWidth="1"/>
    <col min="13" max="13" width="11.42578125" style="34" hidden="1" customWidth="1"/>
    <col min="14" max="14" width="2.85546875" style="34" customWidth="1"/>
    <col min="15" max="15" width="11.42578125" style="34" hidden="1" customWidth="1"/>
    <col min="16" max="16" width="14.85546875" style="34" hidden="1" customWidth="1"/>
    <col min="17" max="16384" width="11.42578125" style="34" hidden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L2" s="34" t="s">
        <v>50</v>
      </c>
      <c r="M2" s="34" t="s">
        <v>58</v>
      </c>
    </row>
    <row r="3" spans="1:13" x14ac:dyDescent="0.25">
      <c r="A3" s="33"/>
      <c r="B3" s="79" t="s">
        <v>95</v>
      </c>
      <c r="C3" s="79"/>
      <c r="D3" s="79"/>
      <c r="E3" s="79"/>
      <c r="F3" s="79"/>
      <c r="G3" s="79"/>
      <c r="H3" s="79"/>
      <c r="I3" s="79"/>
      <c r="J3" s="79"/>
      <c r="L3" s="34" t="s">
        <v>39</v>
      </c>
      <c r="M3" s="35">
        <f>Tarifs!C8</f>
        <v>230</v>
      </c>
    </row>
    <row r="4" spans="1:13" x14ac:dyDescent="0.25">
      <c r="A4" s="33"/>
      <c r="B4" s="79" t="s">
        <v>96</v>
      </c>
      <c r="C4" s="79"/>
      <c r="D4" s="79"/>
      <c r="E4" s="79"/>
      <c r="F4" s="79"/>
      <c r="G4" s="79"/>
      <c r="H4" s="79"/>
      <c r="I4" s="79"/>
      <c r="J4" s="79"/>
      <c r="L4" s="34" t="s">
        <v>40</v>
      </c>
      <c r="M4" s="35">
        <f>Tarifs!C8</f>
        <v>230</v>
      </c>
    </row>
    <row r="5" spans="1:13" x14ac:dyDescent="0.25">
      <c r="A5" s="33"/>
      <c r="B5" s="80" t="s">
        <v>97</v>
      </c>
      <c r="C5" s="80"/>
      <c r="D5" s="80"/>
      <c r="E5" s="80"/>
      <c r="F5" s="80"/>
      <c r="G5" s="80"/>
      <c r="H5" s="80"/>
      <c r="I5" s="80"/>
      <c r="J5" s="80"/>
      <c r="L5" s="34" t="s">
        <v>3</v>
      </c>
      <c r="M5" s="35">
        <f>Tarifs!D8</f>
        <v>280</v>
      </c>
    </row>
    <row r="6" spans="1:13" ht="15" x14ac:dyDescent="0.25">
      <c r="A6" s="33"/>
      <c r="B6" s="36"/>
      <c r="C6" s="37"/>
      <c r="D6" s="37"/>
      <c r="E6" s="37"/>
      <c r="F6" s="37"/>
      <c r="G6" s="37"/>
      <c r="H6" s="37"/>
      <c r="I6" s="37"/>
      <c r="J6" s="37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L7" s="34" t="s">
        <v>94</v>
      </c>
      <c r="M7" s="34" t="s">
        <v>58</v>
      </c>
    </row>
    <row r="8" spans="1:13" x14ac:dyDescent="0.25">
      <c r="A8" s="33"/>
      <c r="B8" s="82" t="s">
        <v>91</v>
      </c>
      <c r="C8" s="82"/>
      <c r="D8" s="82"/>
      <c r="E8" s="82"/>
      <c r="F8" s="82"/>
      <c r="G8" s="82"/>
      <c r="H8" s="82"/>
      <c r="I8" s="82"/>
      <c r="J8" s="82"/>
      <c r="L8" s="34">
        <v>0</v>
      </c>
      <c r="M8" s="35">
        <f>Tarifs!$B$34</f>
        <v>120</v>
      </c>
    </row>
    <row r="9" spans="1:13" x14ac:dyDescent="0.25">
      <c r="D9" s="35"/>
      <c r="E9" s="35"/>
      <c r="F9" s="35"/>
      <c r="G9" s="35"/>
      <c r="H9" s="35"/>
      <c r="L9" s="34">
        <v>1</v>
      </c>
      <c r="M9" s="35">
        <f>Tarifs!$C$34</f>
        <v>150</v>
      </c>
    </row>
    <row r="10" spans="1:13" x14ac:dyDescent="0.25">
      <c r="B10" s="38" t="s">
        <v>73</v>
      </c>
      <c r="L10" s="34">
        <v>2</v>
      </c>
      <c r="M10" s="35">
        <f>Tarifs!$D$34</f>
        <v>180</v>
      </c>
    </row>
    <row r="11" spans="1:13" ht="27" x14ac:dyDescent="0.25">
      <c r="B11" s="39" t="s">
        <v>35</v>
      </c>
      <c r="C11" s="39" t="s">
        <v>66</v>
      </c>
      <c r="D11" s="39" t="s">
        <v>49</v>
      </c>
      <c r="E11" s="39" t="s">
        <v>50</v>
      </c>
      <c r="F11" s="39" t="s">
        <v>93</v>
      </c>
      <c r="G11" s="39" t="s">
        <v>57</v>
      </c>
      <c r="H11" s="39" t="s">
        <v>76</v>
      </c>
      <c r="I11" s="39" t="s">
        <v>99</v>
      </c>
      <c r="J11" s="39" t="s">
        <v>100</v>
      </c>
      <c r="L11" s="34">
        <v>3</v>
      </c>
      <c r="M11" s="35">
        <f>Tarifs!$E$34</f>
        <v>210</v>
      </c>
    </row>
    <row r="12" spans="1:13" x14ac:dyDescent="0.25">
      <c r="B12" s="40" t="s">
        <v>51</v>
      </c>
      <c r="C12" s="63"/>
      <c r="D12" s="63"/>
      <c r="E12" s="41" t="str">
        <f>IFERROR(VLOOKUP(D12,classe[],2,FALSE),"")</f>
        <v/>
      </c>
      <c r="F12" s="63"/>
      <c r="G12" s="42" t="str">
        <f>IFERROR(IF(E12="Maternelle",VLOOKUP(F12,maternelle[],2,FALSE),VLOOKUP(E12,ecole[],2,FALSE)),"-")</f>
        <v>-</v>
      </c>
      <c r="H12" s="64"/>
      <c r="I12" s="64"/>
      <c r="J12" s="64"/>
      <c r="L12" s="34">
        <v>4</v>
      </c>
      <c r="M12" s="35">
        <f>Tarifs!C8</f>
        <v>230</v>
      </c>
    </row>
    <row r="13" spans="1:13" x14ac:dyDescent="0.25">
      <c r="B13" s="40" t="s">
        <v>52</v>
      </c>
      <c r="C13" s="63"/>
      <c r="D13" s="63"/>
      <c r="E13" s="41" t="str">
        <f>IFERROR(VLOOKUP(D13,classe[],2,FALSE),"")</f>
        <v/>
      </c>
      <c r="F13" s="63"/>
      <c r="G13" s="42" t="str">
        <f>IFERROR(IF(E13="Maternelle",VLOOKUP(F13,maternelle[],2,FALSE),VLOOKUP(E13,ecole[],2,FALSE)),"-")</f>
        <v>-</v>
      </c>
      <c r="H13" s="64"/>
      <c r="I13" s="64"/>
      <c r="J13" s="64"/>
    </row>
    <row r="14" spans="1:13" x14ac:dyDescent="0.25">
      <c r="B14" s="40" t="s">
        <v>53</v>
      </c>
      <c r="C14" s="63"/>
      <c r="D14" s="63"/>
      <c r="E14" s="41" t="str">
        <f>IFERROR(VLOOKUP(D14,classe[],2,FALSE),"")</f>
        <v/>
      </c>
      <c r="F14" s="63"/>
      <c r="G14" s="42" t="str">
        <f>IFERROR(IF(E14="Maternelle",VLOOKUP(F14,maternelle[],2,FALSE),VLOOKUP(E14,ecole[],2,FALSE)),"-")</f>
        <v>-</v>
      </c>
      <c r="H14" s="64"/>
      <c r="I14" s="64"/>
      <c r="J14" s="64"/>
      <c r="L14" s="34" t="s">
        <v>49</v>
      </c>
      <c r="M14" s="34" t="s">
        <v>50</v>
      </c>
    </row>
    <row r="15" spans="1:13" x14ac:dyDescent="0.25">
      <c r="B15" s="40" t="s">
        <v>54</v>
      </c>
      <c r="C15" s="63"/>
      <c r="D15" s="63"/>
      <c r="E15" s="41" t="str">
        <f>IFERROR(VLOOKUP(D15,classe[],2,FALSE),"")</f>
        <v/>
      </c>
      <c r="F15" s="63"/>
      <c r="G15" s="42" t="str">
        <f>IFERROR(IF(E15="Maternelle",VLOOKUP(F15,maternelle[],2,FALSE),VLOOKUP(E15,ecole[],2,FALSE)),"-")</f>
        <v>-</v>
      </c>
      <c r="H15" s="64"/>
      <c r="I15" s="64"/>
      <c r="J15" s="64"/>
      <c r="L15" s="34" t="s">
        <v>38</v>
      </c>
      <c r="M15" s="34" t="s">
        <v>39</v>
      </c>
    </row>
    <row r="16" spans="1:13" x14ac:dyDescent="0.25">
      <c r="B16" s="40" t="s">
        <v>55</v>
      </c>
      <c r="C16" s="63"/>
      <c r="D16" s="63"/>
      <c r="E16" s="41" t="str">
        <f>IFERROR(VLOOKUP(D16,classe[],2,FALSE),"")</f>
        <v/>
      </c>
      <c r="F16" s="63"/>
      <c r="G16" s="42" t="str">
        <f>IFERROR(IF(E16="Maternelle",VLOOKUP(F16,maternelle[],2,FALSE),VLOOKUP(E16,ecole[],2,FALSE)),"-")</f>
        <v>-</v>
      </c>
      <c r="H16" s="64"/>
      <c r="I16" s="64"/>
      <c r="J16" s="64"/>
      <c r="L16" s="34" t="s">
        <v>36</v>
      </c>
      <c r="M16" s="34" t="s">
        <v>39</v>
      </c>
    </row>
    <row r="17" spans="2:13" x14ac:dyDescent="0.25">
      <c r="B17" s="40" t="s">
        <v>56</v>
      </c>
      <c r="C17" s="63"/>
      <c r="D17" s="63"/>
      <c r="E17" s="41" t="str">
        <f>IFERROR(VLOOKUP(D17,classe[],2,FALSE),"")</f>
        <v/>
      </c>
      <c r="F17" s="63"/>
      <c r="G17" s="42" t="str">
        <f>IFERROR(IF(E17="Maternelle",VLOOKUP(F17,maternelle[],2,FALSE),VLOOKUP(E17,ecole[],2,FALSE)),"-")</f>
        <v>-</v>
      </c>
      <c r="H17" s="64"/>
      <c r="I17" s="64"/>
      <c r="J17" s="64"/>
      <c r="L17" s="34" t="s">
        <v>41</v>
      </c>
      <c r="M17" s="34" t="s">
        <v>39</v>
      </c>
    </row>
    <row r="18" spans="2:13" x14ac:dyDescent="0.25">
      <c r="B18" s="40" t="s">
        <v>67</v>
      </c>
      <c r="C18" s="43"/>
      <c r="D18" s="44">
        <f>COUNTA(D12:D17)</f>
        <v>0</v>
      </c>
      <c r="E18" s="45"/>
      <c r="F18" s="44">
        <f>COUNTIFS(E12:E17,"Maternelle",F12:F17,"&lt;"&amp;4)+COUNTIFS(E12:E17,"Maternelle",F12:F17,"")</f>
        <v>0</v>
      </c>
      <c r="G18" s="42">
        <f>SUM(G12:G17)</f>
        <v>0</v>
      </c>
      <c r="H18" s="44">
        <f>COUNTIF($H$12:$H$17,"Oui")</f>
        <v>0</v>
      </c>
      <c r="I18" s="44">
        <f>SUM(I12:I17)</f>
        <v>0</v>
      </c>
      <c r="J18" s="44">
        <f>SUM(J12:J17)</f>
        <v>0</v>
      </c>
      <c r="L18" s="34" t="s">
        <v>42</v>
      </c>
      <c r="M18" s="34" t="s">
        <v>40</v>
      </c>
    </row>
    <row r="19" spans="2:13" x14ac:dyDescent="0.25">
      <c r="F19" s="65" t="s">
        <v>106</v>
      </c>
      <c r="G19" s="66">
        <f>SUMIFS($G$12:$G$17,$E$12:$E$17,"&lt;&gt;"&amp;"Maternelle")+SUMIFS($G$12:$G$17,$E$12:$E$17,"Maternelle",$F$12:$F$17,4)+SUMIFS($G$12:$G$17,$E$12:$E$17,"Maternelle",$F$12:$F$17,"")</f>
        <v>0</v>
      </c>
      <c r="I19" s="46" t="s">
        <v>101</v>
      </c>
      <c r="L19" s="34" t="s">
        <v>43</v>
      </c>
      <c r="M19" s="34" t="s">
        <v>40</v>
      </c>
    </row>
    <row r="20" spans="2:13" x14ac:dyDescent="0.25">
      <c r="F20" s="65" t="s">
        <v>107</v>
      </c>
      <c r="G20" s="66">
        <f>SUMIFS($G$12:$G$17,$E$12:$E$17,"Maternelle",$F$12:$F$17,"&lt;"&amp;4)</f>
        <v>0</v>
      </c>
      <c r="I20" s="46"/>
      <c r="L20" s="34" t="s">
        <v>44</v>
      </c>
      <c r="M20" s="34" t="s">
        <v>40</v>
      </c>
    </row>
    <row r="21" spans="2:13" x14ac:dyDescent="0.25">
      <c r="I21" s="46"/>
      <c r="L21" s="34" t="s">
        <v>45</v>
      </c>
      <c r="M21" s="34" t="s">
        <v>40</v>
      </c>
    </row>
    <row r="22" spans="2:13" x14ac:dyDescent="0.25">
      <c r="F22" s="47" t="s">
        <v>13</v>
      </c>
      <c r="G22" s="48">
        <f>IFERROR(VLOOKUP(D18-F18,reduction[],2,FALSE),"-")</f>
        <v>0</v>
      </c>
      <c r="L22" s="34" t="s">
        <v>46</v>
      </c>
      <c r="M22" s="34" t="s">
        <v>3</v>
      </c>
    </row>
    <row r="23" spans="2:13" x14ac:dyDescent="0.25">
      <c r="F23" s="49" t="s">
        <v>61</v>
      </c>
      <c r="G23" s="50">
        <f>IFERROR(G19*(1+G22)+G20,"-")</f>
        <v>0</v>
      </c>
      <c r="H23" s="81" t="str">
        <f>IF($G$22&lt;0,"Soit une réduction de "&amp;TEXT(G$18-G23,"# ##0 €")&amp;"/mois","-")</f>
        <v>-</v>
      </c>
      <c r="I23" s="81"/>
      <c r="J23" s="81"/>
      <c r="L23" s="34" t="s">
        <v>47</v>
      </c>
      <c r="M23" s="34" t="s">
        <v>3</v>
      </c>
    </row>
    <row r="24" spans="2:13" x14ac:dyDescent="0.25">
      <c r="F24" s="47" t="s">
        <v>86</v>
      </c>
      <c r="G24" s="51">
        <f>IFERROR(G23*10,"-")</f>
        <v>0</v>
      </c>
      <c r="H24" s="81" t="str">
        <f>IF($G$22&lt;0,"Soit une réduction totale de "&amp;TEXT(G$18*10-G24,"# ##0 €"),"-")</f>
        <v>-</v>
      </c>
      <c r="I24" s="81"/>
      <c r="J24" s="81"/>
      <c r="L24" s="34" t="s">
        <v>48</v>
      </c>
      <c r="M24" s="34" t="s">
        <v>3</v>
      </c>
    </row>
    <row r="25" spans="2:13" x14ac:dyDescent="0.25">
      <c r="E25" s="52" t="s">
        <v>87</v>
      </c>
      <c r="F25" s="47" t="s">
        <v>88</v>
      </c>
      <c r="G25" s="51">
        <f>IFERROR(ROUNDUP(G24/3,0),"-")</f>
        <v>0</v>
      </c>
      <c r="H25" s="83" t="str">
        <f>IFERROR(IF(G25*3-G24&gt;0,"Montant du 3ème trimestre : "&amp;TEXT(G25-(G25*3-G24),"# ##0 €"),"-"),"-")</f>
        <v>-</v>
      </c>
      <c r="I25" s="83"/>
      <c r="J25" s="83"/>
    </row>
    <row r="26" spans="2:13" x14ac:dyDescent="0.25">
      <c r="E26" s="52" t="s">
        <v>87</v>
      </c>
      <c r="F26" s="47" t="s">
        <v>89</v>
      </c>
      <c r="G26" s="51">
        <f>G23</f>
        <v>0</v>
      </c>
    </row>
    <row r="27" spans="2:13" x14ac:dyDescent="0.25"/>
    <row r="28" spans="2:13" x14ac:dyDescent="0.25">
      <c r="B28" s="38" t="s">
        <v>72</v>
      </c>
      <c r="E28" s="53" t="s">
        <v>70</v>
      </c>
      <c r="F28" s="53" t="s">
        <v>71</v>
      </c>
      <c r="G28" s="53" t="s">
        <v>60</v>
      </c>
      <c r="L28" s="34" t="s">
        <v>59</v>
      </c>
      <c r="M28" s="34" t="s">
        <v>13</v>
      </c>
    </row>
    <row r="29" spans="2:13" ht="15" customHeight="1" x14ac:dyDescent="0.25">
      <c r="C29" s="78" t="str">
        <f>L38</f>
        <v>Inscription</v>
      </c>
      <c r="D29" s="78"/>
      <c r="E29" s="41">
        <f>COUNTIF($C$12:$C$17,$C29)</f>
        <v>0</v>
      </c>
      <c r="F29" s="42">
        <f>VLOOKUP(C29,inscription[],2,FALSE)</f>
        <v>100</v>
      </c>
      <c r="G29" s="42">
        <f>E29*F29</f>
        <v>0</v>
      </c>
      <c r="L29" s="54">
        <v>0</v>
      </c>
      <c r="M29" s="55">
        <v>0</v>
      </c>
    </row>
    <row r="30" spans="2:13" ht="15" customHeight="1" x14ac:dyDescent="0.25">
      <c r="C30" s="78" t="str">
        <f>L39</f>
        <v>Réinscription</v>
      </c>
      <c r="D30" s="78"/>
      <c r="E30" s="41">
        <f>COUNTIF($C$12:$C$17,$C30)</f>
        <v>0</v>
      </c>
      <c r="F30" s="42">
        <f>VLOOKUP(C30,inscription[],2,FALSE)</f>
        <v>80</v>
      </c>
      <c r="G30" s="42">
        <f>E30*F30</f>
        <v>0</v>
      </c>
      <c r="L30" s="34">
        <f t="shared" ref="L30:L35" si="0">L29+1</f>
        <v>1</v>
      </c>
      <c r="M30" s="56">
        <f>Tarifs!G8</f>
        <v>0</v>
      </c>
    </row>
    <row r="31" spans="2:13" ht="15" customHeight="1" x14ac:dyDescent="0.25">
      <c r="C31" s="77" t="s">
        <v>84</v>
      </c>
      <c r="D31" s="77"/>
      <c r="E31" s="41">
        <f>SUM(E29:E30)</f>
        <v>0</v>
      </c>
      <c r="F31" s="57" t="s">
        <v>37</v>
      </c>
      <c r="G31" s="50">
        <f>SUM(G29:G30)</f>
        <v>0</v>
      </c>
      <c r="L31" s="34">
        <f t="shared" si="0"/>
        <v>2</v>
      </c>
      <c r="M31" s="56">
        <f>Tarifs!H8</f>
        <v>-0.05</v>
      </c>
    </row>
    <row r="32" spans="2:13" x14ac:dyDescent="0.25">
      <c r="L32" s="34">
        <f t="shared" si="0"/>
        <v>3</v>
      </c>
      <c r="M32" s="56">
        <f>Tarifs!I8</f>
        <v>-0.1</v>
      </c>
    </row>
    <row r="33" spans="2:13" x14ac:dyDescent="0.25">
      <c r="B33" s="38" t="s">
        <v>75</v>
      </c>
      <c r="L33" s="34">
        <f t="shared" si="0"/>
        <v>4</v>
      </c>
      <c r="M33" s="56">
        <f>Tarifs!J8</f>
        <v>-0.15</v>
      </c>
    </row>
    <row r="34" spans="2:13" ht="15" customHeight="1" x14ac:dyDescent="0.25">
      <c r="C34" s="78" t="s">
        <v>74</v>
      </c>
      <c r="D34" s="78"/>
      <c r="E34" s="78"/>
      <c r="F34" s="41" t="str">
        <f>IF(H18&gt;0,"Oui","Non")</f>
        <v>Non</v>
      </c>
      <c r="G34" s="42">
        <f>IF(F34="Oui",Tarifs!F46,0)</f>
        <v>0</v>
      </c>
      <c r="L34" s="34">
        <f t="shared" si="0"/>
        <v>5</v>
      </c>
      <c r="M34" s="56">
        <f>M33</f>
        <v>-0.15</v>
      </c>
    </row>
    <row r="35" spans="2:13" ht="15" customHeight="1" x14ac:dyDescent="0.25">
      <c r="C35" s="78" t="s">
        <v>92</v>
      </c>
      <c r="D35" s="78"/>
      <c r="E35" s="78"/>
      <c r="F35" s="63"/>
      <c r="G35" s="42">
        <f>IF(OR(F35="Non",F35=""),Tarifs!F47,0)</f>
        <v>100</v>
      </c>
      <c r="L35" s="34">
        <f t="shared" si="0"/>
        <v>6</v>
      </c>
      <c r="M35" s="56">
        <f>M33</f>
        <v>-0.15</v>
      </c>
    </row>
    <row r="36" spans="2:13" ht="15" customHeight="1" x14ac:dyDescent="0.25">
      <c r="C36" s="77" t="s">
        <v>82</v>
      </c>
      <c r="D36" s="77"/>
      <c r="E36" s="77"/>
      <c r="F36" s="43" t="s">
        <v>37</v>
      </c>
      <c r="G36" s="58">
        <f>IF(G35="Répondre","Répondre",SUM(G34:G35))</f>
        <v>100</v>
      </c>
    </row>
    <row r="37" spans="2:13" x14ac:dyDescent="0.25">
      <c r="L37" s="34" t="s">
        <v>69</v>
      </c>
      <c r="M37" s="34" t="s">
        <v>68</v>
      </c>
    </row>
    <row r="38" spans="2:13" x14ac:dyDescent="0.25">
      <c r="B38" s="38" t="s">
        <v>77</v>
      </c>
      <c r="E38" s="53" t="s">
        <v>70</v>
      </c>
      <c r="F38" s="53" t="s">
        <v>81</v>
      </c>
      <c r="G38" s="53" t="s">
        <v>60</v>
      </c>
      <c r="L38" s="34" t="s">
        <v>69</v>
      </c>
      <c r="M38" s="35">
        <f>Tarifs!F42</f>
        <v>100</v>
      </c>
    </row>
    <row r="39" spans="2:13" x14ac:dyDescent="0.25">
      <c r="D39" s="40" t="s">
        <v>108</v>
      </c>
      <c r="E39" s="59">
        <f>I18</f>
        <v>0</v>
      </c>
      <c r="F39" s="68" t="str">
        <f>VLOOKUP(D39,uniforme[],2,FALSE)</f>
        <v>à définir</v>
      </c>
      <c r="G39" s="42" t="str">
        <f t="array" ref="G39:G40">IFERROR(E39*F39,M42)</f>
        <v>à définir</v>
      </c>
      <c r="L39" s="34" t="s">
        <v>65</v>
      </c>
      <c r="M39" s="35">
        <f>Tarifs!F43</f>
        <v>80</v>
      </c>
    </row>
    <row r="40" spans="2:13" x14ac:dyDescent="0.25">
      <c r="D40" s="40" t="s">
        <v>78</v>
      </c>
      <c r="E40" s="59">
        <f>J18</f>
        <v>0</v>
      </c>
      <c r="F40" s="68" t="str">
        <f>VLOOKUP(D40,uniforme[],2,FALSE)</f>
        <v>à définir</v>
      </c>
      <c r="G40" s="42" t="str">
        <v>à définir</v>
      </c>
    </row>
    <row r="41" spans="2:13" x14ac:dyDescent="0.25">
      <c r="D41" s="60" t="s">
        <v>83</v>
      </c>
      <c r="E41" s="61" t="s">
        <v>37</v>
      </c>
      <c r="F41" s="62" t="s">
        <v>37</v>
      </c>
      <c r="G41" s="50">
        <f>SUM(G39:G40)</f>
        <v>0</v>
      </c>
      <c r="L41" s="34" t="s">
        <v>79</v>
      </c>
      <c r="M41" s="34" t="s">
        <v>80</v>
      </c>
    </row>
    <row r="42" spans="2:13" x14ac:dyDescent="0.25">
      <c r="L42" s="34" t="s">
        <v>108</v>
      </c>
      <c r="M42" s="35" t="str">
        <f>Tarifs!F49</f>
        <v>à définir</v>
      </c>
    </row>
    <row r="43" spans="2:13" x14ac:dyDescent="0.25">
      <c r="B43" s="38" t="s">
        <v>85</v>
      </c>
      <c r="D43" s="34" t="s">
        <v>90</v>
      </c>
      <c r="L43" s="34" t="s">
        <v>78</v>
      </c>
      <c r="M43" s="35" t="str">
        <f>Tarifs!F50</f>
        <v>à définir</v>
      </c>
    </row>
    <row r="44" spans="2:13" x14ac:dyDescent="0.25">
      <c r="B44" s="38"/>
      <c r="M44" s="35"/>
    </row>
    <row r="45" spans="2:13" x14ac:dyDescent="0.25">
      <c r="B45" s="38" t="s">
        <v>102</v>
      </c>
      <c r="F45" s="53" t="s">
        <v>105</v>
      </c>
      <c r="G45" s="53" t="s">
        <v>60</v>
      </c>
    </row>
    <row r="46" spans="2:13" x14ac:dyDescent="0.25">
      <c r="F46" s="40" t="s">
        <v>103</v>
      </c>
      <c r="G46" s="51">
        <f>G24</f>
        <v>0</v>
      </c>
    </row>
    <row r="47" spans="2:13" x14ac:dyDescent="0.25">
      <c r="F47" s="40" t="s">
        <v>69</v>
      </c>
      <c r="G47" s="51">
        <f>G31</f>
        <v>0</v>
      </c>
    </row>
    <row r="48" spans="2:13" x14ac:dyDescent="0.25">
      <c r="F48" s="40" t="s">
        <v>104</v>
      </c>
      <c r="G48" s="51">
        <f>G36</f>
        <v>100</v>
      </c>
    </row>
    <row r="49" spans="6:7" x14ac:dyDescent="0.25">
      <c r="F49" s="40" t="s">
        <v>79</v>
      </c>
      <c r="G49" s="51">
        <f>G41</f>
        <v>0</v>
      </c>
    </row>
    <row r="50" spans="6:7" x14ac:dyDescent="0.25">
      <c r="F50" s="60" t="s">
        <v>102</v>
      </c>
      <c r="G50" s="58">
        <f>SUM(G46:G49)</f>
        <v>100</v>
      </c>
    </row>
    <row r="51" spans="6:7" x14ac:dyDescent="0.25"/>
    <row r="52" spans="6:7" hidden="1" x14ac:dyDescent="0.25"/>
    <row r="53" spans="6:7" hidden="1" x14ac:dyDescent="0.25"/>
    <row r="54" spans="6:7" hidden="1" x14ac:dyDescent="0.25"/>
    <row r="55" spans="6:7" hidden="1" x14ac:dyDescent="0.25"/>
    <row r="56" spans="6:7" hidden="1" x14ac:dyDescent="0.25"/>
    <row r="57" spans="6:7" hidden="1" x14ac:dyDescent="0.25"/>
    <row r="58" spans="6:7" hidden="1" x14ac:dyDescent="0.25"/>
    <row r="59" spans="6:7" hidden="1" x14ac:dyDescent="0.25"/>
    <row r="60" spans="6:7" hidden="1" x14ac:dyDescent="0.25"/>
    <row r="61" spans="6:7" hidden="1" x14ac:dyDescent="0.25"/>
    <row r="62" spans="6:7" hidden="1" x14ac:dyDescent="0.25"/>
    <row r="63" spans="6:7" hidden="1" x14ac:dyDescent="0.25"/>
    <row r="64" spans="6:7" hidden="1" x14ac:dyDescent="0.25"/>
    <row r="65" spans="2:2" hidden="1" x14ac:dyDescent="0.25"/>
    <row r="66" spans="2:2" hidden="1" x14ac:dyDescent="0.25"/>
    <row r="67" spans="2:2" hidden="1" x14ac:dyDescent="0.25"/>
    <row r="68" spans="2:2" hidden="1" x14ac:dyDescent="0.25"/>
    <row r="69" spans="2:2" hidden="1" x14ac:dyDescent="0.25">
      <c r="B69" s="38"/>
    </row>
    <row r="70" spans="2:2" hidden="1" x14ac:dyDescent="0.25"/>
    <row r="71" spans="2:2" hidden="1" x14ac:dyDescent="0.25"/>
    <row r="72" spans="2:2" hidden="1" x14ac:dyDescent="0.25"/>
  </sheetData>
  <sheetProtection algorithmName="SHA-512" hashValue="blO2gRFMWQpfxYL1DXciV+YHHFjRNT5+N/fp4hfJ+os0a6s4s5r/K59lxNollWjDK3P7uKtnS7pkPJt6o4JCJg==" saltValue="5nyb2xMmoKhvH9YN5rP/GQ==" spinCount="100000" sheet="1" objects="1" scenarios="1"/>
  <mergeCells count="13">
    <mergeCell ref="C31:D31"/>
    <mergeCell ref="C34:E34"/>
    <mergeCell ref="C35:E35"/>
    <mergeCell ref="C36:E36"/>
    <mergeCell ref="B3:J3"/>
    <mergeCell ref="B4:J4"/>
    <mergeCell ref="B5:J5"/>
    <mergeCell ref="C29:D29"/>
    <mergeCell ref="C30:D30"/>
    <mergeCell ref="H23:J23"/>
    <mergeCell ref="H24:J24"/>
    <mergeCell ref="B8:J8"/>
    <mergeCell ref="H25:J25"/>
  </mergeCells>
  <conditionalFormatting sqref="F12:F17">
    <cfRule type="expression" dxfId="24" priority="4">
      <formula>$E12&lt;&gt;"Maternelle"</formula>
    </cfRule>
  </conditionalFormatting>
  <dataValidations count="6">
    <dataValidation type="list" allowBlank="1" showInputMessage="1" showErrorMessage="1" sqref="M15:M24">
      <formula1>INDIRECT("ecole[Ecole]")</formula1>
    </dataValidation>
    <dataValidation type="list" allowBlank="1" showInputMessage="1" showErrorMessage="1" sqref="D12:D17">
      <formula1>INDIRECT("classe[Classe]")</formula1>
    </dataValidation>
    <dataValidation type="list" allowBlank="1" showInputMessage="1" showErrorMessage="1" sqref="C12:C17">
      <formula1>INDIRECT("inscription[Inscription]")</formula1>
    </dataValidation>
    <dataValidation type="list" allowBlank="1" showInputMessage="1" showErrorMessage="1" sqref="F35 H12:H17">
      <formula1>"Oui,Non"</formula1>
    </dataValidation>
    <dataValidation type="whole" allowBlank="1" showInputMessage="1" showErrorMessage="1" sqref="I12:J17">
      <formula1>0</formula1>
      <formula2>12</formula2>
    </dataValidation>
    <dataValidation type="list" allowBlank="1" showInputMessage="1" showErrorMessage="1" sqref="F12:F17">
      <formula1>"0,1,2,3,4"</formula1>
    </dataValidation>
  </dataValidations>
  <printOptions horizontalCentered="1" verticalCentered="1"/>
  <pageMargins left="0" right="0" top="0" bottom="0" header="0" footer="0"/>
  <pageSetup paperSize="9" scale="83" orientation="landscape" r:id="rId1"/>
  <ignoredErrors>
    <ignoredError sqref="H18" formula="1"/>
  </ignoredErrors>
  <drawing r:id="rId2"/>
  <legacyDrawing r:id="rId3"/>
  <tableParts count="6"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1DCB34-587E-4A6F-BABF-346C14B4ED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Tarifs</vt:lpstr>
      <vt:lpstr>Simulateur</vt:lpstr>
      <vt:lpstr>Simulateur!Zone_d_impression</vt:lpstr>
      <vt:lpstr>Tarifs!Zone_d_impression</vt:lpstr>
    </vt:vector>
  </TitlesOfParts>
  <Manager>Association Scolaire Sainte Charlotte</Manager>
  <Company>SAMSIC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VANDAME;Association Scolaire Sainte Charlotte</dc:creator>
  <cp:lastModifiedBy>Benoit VANDAME</cp:lastModifiedBy>
  <cp:lastPrinted>2025-05-14T16:18:32Z</cp:lastPrinted>
  <dcterms:created xsi:type="dcterms:W3CDTF">2025-05-13T07:20:38Z</dcterms:created>
  <dcterms:modified xsi:type="dcterms:W3CDTF">2025-05-14T16:18:42Z</dcterms:modified>
</cp:coreProperties>
</file>