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Elite Tecnologia\Blog\Planilhas\"/>
    </mc:Choice>
  </mc:AlternateContent>
  <xr:revisionPtr revIDLastSave="0" documentId="13_ncr:1_{0C4F422F-B7A4-4205-B296-E9A27C0D0E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struções" sheetId="5" r:id="rId1"/>
    <sheet name="Dashboard" sheetId="4" r:id="rId2"/>
    <sheet name="Contas_a_Pagar" sheetId="1" r:id="rId3"/>
    <sheet name="Contas_a_Receber" sheetId="2" r:id="rId4"/>
    <sheet name="Tabelas_Auxiliares" sheetId="3" r:id="rId5"/>
  </sheets>
  <calcPr calcId="181029"/>
</workbook>
</file>

<file path=xl/calcChain.xml><?xml version="1.0" encoding="utf-8"?>
<calcChain xmlns="http://schemas.openxmlformats.org/spreadsheetml/2006/main">
  <c r="B50" i="4" l="1"/>
  <c r="B49" i="4"/>
  <c r="B48" i="4"/>
  <c r="B47" i="4"/>
  <c r="B46" i="4"/>
  <c r="F28" i="4"/>
  <c r="B28" i="4"/>
  <c r="F27" i="4"/>
  <c r="B27" i="4"/>
  <c r="F26" i="4"/>
  <c r="B26" i="4"/>
  <c r="F25" i="4"/>
  <c r="B25" i="4"/>
  <c r="F24" i="4"/>
  <c r="B24" i="4"/>
  <c r="B10" i="4"/>
  <c r="B9" i="4"/>
  <c r="F8" i="4"/>
  <c r="B8" i="4"/>
  <c r="F7" i="4"/>
  <c r="B7" i="4"/>
  <c r="F6" i="4"/>
  <c r="B6" i="4"/>
  <c r="B4" i="4"/>
  <c r="B3" i="4"/>
</calcChain>
</file>

<file path=xl/sharedStrings.xml><?xml version="1.0" encoding="utf-8"?>
<sst xmlns="http://schemas.openxmlformats.org/spreadsheetml/2006/main" count="116" uniqueCount="61">
  <si>
    <t>ID</t>
  </si>
  <si>
    <t>Data_Vencimento</t>
  </si>
  <si>
    <t>Fornecedor</t>
  </si>
  <si>
    <t>Descrição</t>
  </si>
  <si>
    <t>Forma_Pagamento</t>
  </si>
  <si>
    <t>Banco/Conta</t>
  </si>
  <si>
    <t>Valor</t>
  </si>
  <si>
    <t>Status</t>
  </si>
  <si>
    <t>Cliente</t>
  </si>
  <si>
    <t>Forma_Recebimento</t>
  </si>
  <si>
    <t>Bancos_Caixas</t>
  </si>
  <si>
    <t>Dinheiro</t>
  </si>
  <si>
    <t>Caixa Empresa</t>
  </si>
  <si>
    <t>Pix</t>
  </si>
  <si>
    <t>Banco do Brasil</t>
  </si>
  <si>
    <t>Cartão Débito</t>
  </si>
  <si>
    <t>Caixa Econômica</t>
  </si>
  <si>
    <t>Cartão Crédito</t>
  </si>
  <si>
    <t>Nubank PJ</t>
  </si>
  <si>
    <t>Boleto</t>
  </si>
  <si>
    <t>Transferência</t>
  </si>
  <si>
    <t>Itaú PJ</t>
  </si>
  <si>
    <t>Relatórios e Indicadores - Controle MEI</t>
  </si>
  <si>
    <t>ControleMEI – Dashboard de Contas a Pagar e Receber</t>
  </si>
  <si>
    <t>Total Contas a Pagar</t>
  </si>
  <si>
    <t>Contas a Pagar — Resumo por Status</t>
  </si>
  <si>
    <t>Contas a Receber — Resumo por Status</t>
  </si>
  <si>
    <t>Pago</t>
  </si>
  <si>
    <t>Recebido</t>
  </si>
  <si>
    <t>Pendente</t>
  </si>
  <si>
    <t>Atrasado</t>
  </si>
  <si>
    <t>Total Pendentes Receber</t>
  </si>
  <si>
    <t>Total em Atraso Receber</t>
  </si>
  <si>
    <t>Por Forma de Pagamento (Pagar)</t>
  </si>
  <si>
    <t>Por Forma de Recebimento (Receber)</t>
  </si>
  <si>
    <t>Forma</t>
  </si>
  <si>
    <t>Saldos por Banco/Caixa</t>
  </si>
  <si>
    <t>Banco/Caixa</t>
  </si>
  <si>
    <t>Saldo (Recebimentos - Pagamentos)</t>
  </si>
  <si>
    <t>NETFACIL</t>
  </si>
  <si>
    <t>Internet</t>
  </si>
  <si>
    <t>Status Pgto</t>
  </si>
  <si>
    <t>Status Recebimento</t>
  </si>
  <si>
    <t>RFB</t>
  </si>
  <si>
    <t>DASMEI</t>
  </si>
  <si>
    <t>Padaria LTDA</t>
  </si>
  <si>
    <t>Consultoria</t>
  </si>
  <si>
    <t>Comercio LTDA</t>
  </si>
  <si>
    <t>Como usar esta planilha!</t>
  </si>
  <si>
    <t>🚀 Passo a passo rápido (5 min)</t>
  </si>
  <si>
    <t>✔️ O que PREENCHER</t>
  </si>
  <si>
    <t>⚠️ ATENÇÃO!!!</t>
  </si>
  <si>
    <t>Cuidado para não arrastar os gráficos da aba "Dashboard"</t>
  </si>
  <si>
    <t>✔️ Contato</t>
  </si>
  <si>
    <r>
      <t xml:space="preserve">Tem alguma sugestão ou deseja uma planilha mais completa? Entre em contato: </t>
    </r>
    <r>
      <rPr>
        <sz val="11"/>
        <color rgb="FF0070C0"/>
        <rFont val="Calibri"/>
        <family val="2"/>
      </rPr>
      <t>contato@controlemei.com.br</t>
    </r>
  </si>
  <si>
    <t>Contas a Pagar &amp; Receber - MEI</t>
  </si>
  <si>
    <t>1. Na aba "Tabelas_Auxiliares", preencher as formas de pagamento, recebimentos, contas bancárias, caixa, status de pagamento e recebimento.</t>
  </si>
  <si>
    <t>2. Na aba "Contas_a_Pagar", informar as contas a pagar e controlar o tatus de pagamento, se foi pago, se está em aberto ou atrasado.</t>
  </si>
  <si>
    <t>3. Na aba "Contas_a_Receber", informar as contas a receber e controlar o tatus do recebimento, se foi recebido, se está em aberto ou atrasado.</t>
  </si>
  <si>
    <t>6. A aba "Dashboard", trás gráficos com resumos das contas a pagar e a receber.</t>
  </si>
  <si>
    <t>Aba Tabelas, Contas a Pagar e Contas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</si>
</sst>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12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b/>
      <sz val="16"/>
      <color rgb="FF003366"/>
      <name val="Calibri"/>
    </font>
    <font>
      <b/>
      <sz val="14"/>
      <color rgb="FF003366"/>
      <name val="Calibri"/>
    </font>
    <font>
      <sz val="11"/>
      <name val="Calibri"/>
    </font>
    <font>
      <b/>
      <sz val="11"/>
      <color rgb="FFFFFFFF"/>
      <name val="Calibri"/>
    </font>
    <font>
      <sz val="11"/>
      <color rgb="FF111111"/>
      <name val="Calibri"/>
      <family val="2"/>
    </font>
    <font>
      <b/>
      <sz val="22"/>
      <color rgb="FF003366"/>
      <name val="Calibri"/>
      <family val="2"/>
    </font>
    <font>
      <sz val="12"/>
      <color rgb="FF555555"/>
      <name val="Calibri"/>
      <family val="2"/>
    </font>
    <font>
      <b/>
      <sz val="14"/>
      <color rgb="FF003366"/>
      <name val="Calibri"/>
      <family val="2"/>
    </font>
    <font>
      <sz val="11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003366"/>
      </patternFill>
    </fill>
    <fill>
      <patternFill patternType="solid">
        <fgColor rgb="FFF5F5F5"/>
        <bgColor rgb="FFF5F5F5"/>
      </patternFill>
    </fill>
    <fill>
      <patternFill patternType="solid">
        <fgColor rgb="FFEFFFF3"/>
        <bgColor rgb="FFEFFFF3"/>
      </patternFill>
    </fill>
    <fill>
      <patternFill patternType="solid">
        <fgColor rgb="FFFFF5F5"/>
        <bgColor rgb="FFFF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6" fillId="3" borderId="0" xfId="0" applyFont="1" applyFill="1" applyAlignment="1">
      <alignment horizontal="center"/>
    </xf>
    <xf numFmtId="0" fontId="4" fillId="2" borderId="0" xfId="0" applyFont="1" applyFill="1"/>
    <xf numFmtId="164" fontId="0" fillId="0" borderId="0" xfId="0" applyNumberFormat="1"/>
    <xf numFmtId="0" fontId="5" fillId="0" borderId="0" xfId="0" applyFont="1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/>
    <xf numFmtId="0" fontId="7" fillId="4" borderId="0" xfId="0" applyFont="1" applyFill="1"/>
    <xf numFmtId="0" fontId="10" fillId="5" borderId="0" xfId="0" applyFont="1" applyFill="1"/>
    <xf numFmtId="0" fontId="7" fillId="5" borderId="0" xfId="0" applyFont="1" applyFill="1"/>
    <xf numFmtId="0" fontId="10" fillId="6" borderId="0" xfId="0" applyFont="1" applyFill="1"/>
    <xf numFmtId="0" fontId="7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Pagar por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</c:f>
              <c:strCache>
                <c:ptCount val="1"/>
                <c:pt idx="0">
                  <c:v>Valor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Dashboard!$A$6:$A$8</c:f>
              <c:strCache>
                <c:ptCount val="3"/>
                <c:pt idx="0">
                  <c:v>Pago</c:v>
                </c:pt>
                <c:pt idx="1">
                  <c:v>Pendente</c:v>
                </c:pt>
                <c:pt idx="2">
                  <c:v>Atrasado</c:v>
                </c:pt>
              </c:strCache>
            </c:strRef>
          </c:cat>
          <c:val>
            <c:numRef>
              <c:f>Dashboard!$B$6:$B$8</c:f>
              <c:numCache>
                <c:formatCode>\R\$\ #,##0.00</c:formatCode>
                <c:ptCount val="3"/>
                <c:pt idx="0">
                  <c:v>99.9</c:v>
                </c:pt>
                <c:pt idx="1">
                  <c:v>91.8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F-4579-9B19-5E96B8B56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</a:t>
                </a:r>
              </a:p>
            </c:rich>
          </c:tx>
          <c:overlay val="0"/>
        </c:title>
        <c:numFmt formatCode="\R\$\ 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Receber por Status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Dashboard!$F$5</c:f>
              <c:strCache>
                <c:ptCount val="1"/>
                <c:pt idx="0">
                  <c:v>Valor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Dashboard!$E$6:$E$8</c:f>
              <c:strCache>
                <c:ptCount val="3"/>
                <c:pt idx="0">
                  <c:v>Recebido</c:v>
                </c:pt>
                <c:pt idx="1">
                  <c:v>Pendente</c:v>
                </c:pt>
                <c:pt idx="2">
                  <c:v>Atrasado</c:v>
                </c:pt>
              </c:strCache>
            </c:strRef>
          </c:cat>
          <c:val>
            <c:numRef>
              <c:f>Dashboard!$F$6:$F$8</c:f>
              <c:numCache>
                <c:formatCode>\R\$\ #,##0.00</c:formatCode>
                <c:ptCount val="3"/>
                <c:pt idx="0">
                  <c:v>1518</c:v>
                </c:pt>
                <c:pt idx="1">
                  <c:v>654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C-41E3-B886-D2365FAF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Pagar por Forma de Pagamento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Dashboard!$B$23</c:f>
              <c:strCache>
                <c:ptCount val="1"/>
                <c:pt idx="0">
                  <c:v>Valor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Dashboard!$A$24:$A$28</c:f>
              <c:strCache>
                <c:ptCount val="5"/>
                <c:pt idx="0">
                  <c:v>Dinheiro</c:v>
                </c:pt>
                <c:pt idx="1">
                  <c:v>Pix</c:v>
                </c:pt>
                <c:pt idx="2">
                  <c:v>Cartão Débito</c:v>
                </c:pt>
                <c:pt idx="3">
                  <c:v>Cartão Crédito</c:v>
                </c:pt>
                <c:pt idx="4">
                  <c:v>Boleto</c:v>
                </c:pt>
              </c:strCache>
            </c:strRef>
          </c:cat>
          <c:val>
            <c:numRef>
              <c:f>Dashboard!$B$24:$B$28</c:f>
              <c:numCache>
                <c:formatCode>\R\$\ #,##0.00</c:formatCode>
                <c:ptCount val="5"/>
                <c:pt idx="0">
                  <c:v>0</c:v>
                </c:pt>
                <c:pt idx="1">
                  <c:v>91.8</c:v>
                </c:pt>
                <c:pt idx="2">
                  <c:v>0</c:v>
                </c:pt>
                <c:pt idx="3">
                  <c:v>0</c:v>
                </c:pt>
                <c:pt idx="4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E-4297-8690-84901DBD1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\R\$\ 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Receber por Forma de Recebimento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Dashboard!$F$23</c:f>
              <c:strCache>
                <c:ptCount val="1"/>
                <c:pt idx="0">
                  <c:v>Valor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Dashboard!$E$24:$E$28</c:f>
              <c:strCache>
                <c:ptCount val="5"/>
                <c:pt idx="0">
                  <c:v>Dinheiro</c:v>
                </c:pt>
                <c:pt idx="1">
                  <c:v>Pix</c:v>
                </c:pt>
                <c:pt idx="2">
                  <c:v>Cartão Débito</c:v>
                </c:pt>
                <c:pt idx="3">
                  <c:v>Cartão Crédito</c:v>
                </c:pt>
                <c:pt idx="4">
                  <c:v>Transferência</c:v>
                </c:pt>
              </c:strCache>
            </c:strRef>
          </c:cat>
          <c:val>
            <c:numRef>
              <c:f>Dashboard!$F$24:$F$28</c:f>
              <c:numCache>
                <c:formatCode>\R\$\ #,##0.00</c:formatCode>
                <c:ptCount val="5"/>
                <c:pt idx="0">
                  <c:v>654</c:v>
                </c:pt>
                <c:pt idx="1">
                  <c:v>1518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F-476C-9F46-B1723083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Saldos por Banco/Caixa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Dashboard!$B$45</c:f>
              <c:strCache>
                <c:ptCount val="1"/>
                <c:pt idx="0">
                  <c:v>Saldo (Recebimentos - Pagamentos)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Dashboard!$A$46:$A$50</c:f>
              <c:strCache>
                <c:ptCount val="5"/>
                <c:pt idx="0">
                  <c:v>Caixa Empresa</c:v>
                </c:pt>
                <c:pt idx="1">
                  <c:v>Banco do Brasil</c:v>
                </c:pt>
                <c:pt idx="2">
                  <c:v>Caixa Econômica</c:v>
                </c:pt>
                <c:pt idx="3">
                  <c:v>Nubank PJ</c:v>
                </c:pt>
                <c:pt idx="4">
                  <c:v>Itaú PJ</c:v>
                </c:pt>
              </c:strCache>
            </c:strRef>
          </c:cat>
          <c:val>
            <c:numRef>
              <c:f>Dashboard!$B$46:$B$50</c:f>
              <c:numCache>
                <c:formatCode>\R\$\ 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1418.1</c:v>
                </c:pt>
                <c:pt idx="4">
                  <c:v>562.20000000000005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4-4848-9B73-11504E2EF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\R\$\ 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3</xdr:row>
      <xdr:rowOff>56659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41E5AD-F3BD-40F2-8D68-B13B2753E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33700" cy="809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6391275" cy="34385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1028699</xdr:colOff>
      <xdr:row>0</xdr:row>
      <xdr:rowOff>0</xdr:rowOff>
    </xdr:from>
    <xdr:ext cx="6162676" cy="3438524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17</xdr:row>
      <xdr:rowOff>104775</xdr:rowOff>
    </xdr:from>
    <xdr:ext cx="6391275" cy="360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1028700</xdr:colOff>
      <xdr:row>17</xdr:row>
      <xdr:rowOff>104775</xdr:rowOff>
    </xdr:from>
    <xdr:ext cx="6172200" cy="3600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0</xdr:colOff>
      <xdr:row>36</xdr:row>
      <xdr:rowOff>28575</xdr:rowOff>
    </xdr:from>
    <xdr:ext cx="12563475" cy="3600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A0A9-685E-4B52-8DD9-41B7358EF95E}">
  <dimension ref="A1:H18"/>
  <sheetViews>
    <sheetView tabSelected="1" workbookViewId="0">
      <selection activeCell="E1" sqref="E1:H1"/>
    </sheetView>
  </sheetViews>
  <sheetFormatPr defaultRowHeight="15"/>
  <cols>
    <col min="1" max="1" width="20" customWidth="1"/>
    <col min="2" max="2" width="22" customWidth="1"/>
    <col min="3" max="4" width="12" customWidth="1"/>
    <col min="5" max="7" width="22" customWidth="1"/>
    <col min="8" max="8" width="20" customWidth="1"/>
  </cols>
  <sheetData>
    <row r="1" spans="1:8" ht="28.5">
      <c r="A1" s="10"/>
      <c r="B1" s="9"/>
      <c r="C1" s="9"/>
      <c r="D1" s="9"/>
      <c r="E1" s="11" t="s">
        <v>55</v>
      </c>
      <c r="F1" s="9"/>
      <c r="G1" s="9"/>
      <c r="H1" s="9"/>
    </row>
    <row r="2" spans="1:8">
      <c r="A2" s="9"/>
      <c r="B2" s="9"/>
      <c r="C2" s="9"/>
      <c r="D2" s="9"/>
    </row>
    <row r="3" spans="1:8" ht="15.75">
      <c r="A3" s="9"/>
      <c r="B3" s="9"/>
      <c r="C3" s="9"/>
      <c r="D3" s="9"/>
      <c r="E3" s="12" t="s">
        <v>48</v>
      </c>
      <c r="F3" s="9"/>
      <c r="G3" s="9"/>
      <c r="H3" s="9"/>
    </row>
    <row r="5" spans="1:8" ht="18.75">
      <c r="A5" s="13" t="s">
        <v>49</v>
      </c>
      <c r="B5" s="9"/>
      <c r="C5" s="9"/>
      <c r="D5" s="9"/>
      <c r="E5" s="9"/>
      <c r="F5" s="9"/>
      <c r="G5" s="9"/>
      <c r="H5" s="9"/>
    </row>
    <row r="6" spans="1:8">
      <c r="A6" s="14" t="s">
        <v>56</v>
      </c>
      <c r="B6" s="9"/>
      <c r="C6" s="9"/>
      <c r="D6" s="9"/>
      <c r="E6" s="9"/>
      <c r="F6" s="9"/>
      <c r="G6" s="9"/>
      <c r="H6" s="9"/>
    </row>
    <row r="7" spans="1:8">
      <c r="A7" s="14" t="s">
        <v>57</v>
      </c>
      <c r="B7" s="9"/>
      <c r="C7" s="9"/>
      <c r="D7" s="9"/>
      <c r="E7" s="9"/>
      <c r="F7" s="9"/>
      <c r="G7" s="9"/>
      <c r="H7" s="9"/>
    </row>
    <row r="8" spans="1:8">
      <c r="A8" s="14" t="s">
        <v>58</v>
      </c>
      <c r="B8" s="9"/>
      <c r="C8" s="9"/>
      <c r="D8" s="9"/>
      <c r="E8" s="9"/>
      <c r="F8" s="9"/>
      <c r="G8" s="9"/>
      <c r="H8" s="9"/>
    </row>
    <row r="9" spans="1:8">
      <c r="A9" s="14" t="s">
        <v>59</v>
      </c>
      <c r="B9" s="9"/>
      <c r="C9" s="9"/>
      <c r="D9" s="9"/>
      <c r="E9" s="9"/>
      <c r="F9" s="9"/>
      <c r="G9" s="9"/>
      <c r="H9" s="9"/>
    </row>
    <row r="11" spans="1:8" ht="18.75">
      <c r="A11" s="15" t="s">
        <v>50</v>
      </c>
      <c r="B11" s="9"/>
      <c r="C11" s="9"/>
      <c r="D11" s="9"/>
      <c r="E11" s="9"/>
      <c r="F11" s="9"/>
      <c r="G11" s="9"/>
      <c r="H11" s="9"/>
    </row>
    <row r="12" spans="1:8">
      <c r="A12" s="16" t="s">
        <v>60</v>
      </c>
      <c r="B12" s="9"/>
      <c r="C12" s="9"/>
      <c r="D12" s="9"/>
      <c r="E12" s="9"/>
      <c r="F12" s="9"/>
      <c r="G12" s="9"/>
      <c r="H12" s="9"/>
    </row>
    <row r="14" spans="1:8" ht="18.75">
      <c r="A14" s="17" t="s">
        <v>51</v>
      </c>
      <c r="B14" s="9"/>
      <c r="C14" s="9"/>
      <c r="D14" s="9"/>
      <c r="E14" s="9"/>
      <c r="F14" s="9"/>
      <c r="G14" s="9"/>
      <c r="H14" s="9"/>
    </row>
    <row r="15" spans="1:8">
      <c r="A15" s="18" t="s">
        <v>52</v>
      </c>
      <c r="B15" s="9"/>
      <c r="C15" s="9"/>
      <c r="D15" s="9"/>
      <c r="E15" s="9"/>
      <c r="F15" s="9"/>
      <c r="G15" s="9"/>
      <c r="H15" s="9"/>
    </row>
    <row r="17" spans="1:8" ht="18.75">
      <c r="A17" s="15" t="s">
        <v>53</v>
      </c>
      <c r="B17" s="9"/>
      <c r="C17" s="9"/>
      <c r="D17" s="9"/>
      <c r="E17" s="9"/>
      <c r="F17" s="9"/>
      <c r="G17" s="9"/>
      <c r="H17" s="9"/>
    </row>
    <row r="18" spans="1:8">
      <c r="A18" s="16" t="s">
        <v>54</v>
      </c>
      <c r="B18" s="9"/>
      <c r="C18" s="9"/>
      <c r="D18" s="9"/>
      <c r="E18" s="9"/>
      <c r="F18" s="9"/>
      <c r="G18" s="9"/>
      <c r="H18" s="9"/>
    </row>
  </sheetData>
  <sheetProtection algorithmName="SHA-512" hashValue="889VVM0268Od2zGgru/S4rsQ053ELdA+yGFUcEBD/FEyJi4hwA1TFfz2WOCXGnEztai7R0EfoU6ZzBJ/xt/3Aw==" saltValue="pAQr0o4ryySzWvfOTTSt7A==" spinCount="100000" sheet="1" objects="1" scenarios="1"/>
  <mergeCells count="14">
    <mergeCell ref="A12:H12"/>
    <mergeCell ref="A14:H14"/>
    <mergeCell ref="A15:H15"/>
    <mergeCell ref="A17:H17"/>
    <mergeCell ref="A18:H18"/>
    <mergeCell ref="A8:H8"/>
    <mergeCell ref="A9:H9"/>
    <mergeCell ref="A11:H11"/>
    <mergeCell ref="A1:D3"/>
    <mergeCell ref="E1:H1"/>
    <mergeCell ref="E3:H3"/>
    <mergeCell ref="A5:H5"/>
    <mergeCell ref="A6:H6"/>
    <mergeCell ref="A7:H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topLeftCell="A19" workbookViewId="0">
      <selection activeCell="J46" sqref="J46"/>
    </sheetView>
  </sheetViews>
  <sheetFormatPr defaultRowHeight="15"/>
  <cols>
    <col min="1" max="1" width="46.85546875" bestFit="1" customWidth="1"/>
    <col min="2" max="2" width="33.5703125" bestFit="1" customWidth="1"/>
    <col min="3" max="3" width="18" customWidth="1"/>
    <col min="4" max="4" width="6" customWidth="1"/>
    <col min="5" max="5" width="47" bestFit="1" customWidth="1"/>
    <col min="6" max="6" width="7.140625" bestFit="1" customWidth="1"/>
    <col min="7" max="7" width="18" customWidth="1"/>
    <col min="8" max="8" width="6" customWidth="1"/>
    <col min="9" max="10" width="20" customWidth="1"/>
  </cols>
  <sheetData>
    <row r="1" spans="1:8" ht="18.75">
      <c r="A1" s="2" t="s">
        <v>22</v>
      </c>
      <c r="B1" s="8" t="s">
        <v>23</v>
      </c>
      <c r="C1" s="9"/>
      <c r="D1" s="9"/>
      <c r="E1" s="9"/>
      <c r="F1" s="9"/>
      <c r="G1" s="9"/>
      <c r="H1" s="9"/>
    </row>
    <row r="2" spans="1:8">
      <c r="B2" s="9"/>
      <c r="C2" s="9"/>
      <c r="D2" s="9"/>
      <c r="E2" s="9"/>
      <c r="F2" s="9"/>
      <c r="G2" s="9"/>
      <c r="H2" s="9"/>
    </row>
    <row r="3" spans="1:8">
      <c r="A3" t="s">
        <v>24</v>
      </c>
      <c r="B3">
        <f>SUM(Contas_a_Pagar!G2:G1000)</f>
        <v>191.7</v>
      </c>
    </row>
    <row r="4" spans="1:8" ht="18.75">
      <c r="A4" s="4" t="s">
        <v>25</v>
      </c>
      <c r="B4">
        <f>SUMIF(Contas_a_Pagar!H2:H1000,"Pago",Contas_a_Pagar!G2:G1000)</f>
        <v>99.9</v>
      </c>
      <c r="E4" s="4" t="s">
        <v>26</v>
      </c>
    </row>
    <row r="5" spans="1:8">
      <c r="A5" s="1" t="s">
        <v>7</v>
      </c>
      <c r="B5" s="5" t="s">
        <v>6</v>
      </c>
      <c r="E5" s="1" t="s">
        <v>7</v>
      </c>
      <c r="F5" s="5" t="s">
        <v>6</v>
      </c>
    </row>
    <row r="6" spans="1:8">
      <c r="A6" s="6" t="s">
        <v>27</v>
      </c>
      <c r="B6" s="5">
        <f>SUMIF(Contas_a_Pagar!H:H,"Pago",Contas_a_Pagar!G:G)</f>
        <v>99.9</v>
      </c>
      <c r="E6" s="6" t="s">
        <v>28</v>
      </c>
      <c r="F6" s="5">
        <f>SUMIF(Contas_a_Receber!H:H,"Recebido",Contas_a_Receber!G:G)</f>
        <v>1518</v>
      </c>
    </row>
    <row r="7" spans="1:8">
      <c r="A7" s="6" t="s">
        <v>29</v>
      </c>
      <c r="B7" s="5">
        <f>SUMIF(Contas_a_Pagar!H:H,"Pendente",Contas_a_Pagar!G:G)</f>
        <v>91.8</v>
      </c>
      <c r="E7" s="6" t="s">
        <v>29</v>
      </c>
      <c r="F7" s="5">
        <f>SUMIF(Contas_a_Receber!H:H,"Pendente",Contas_a_Receber!G:G)</f>
        <v>654</v>
      </c>
    </row>
    <row r="8" spans="1:8">
      <c r="A8" s="6" t="s">
        <v>30</v>
      </c>
      <c r="B8" s="5">
        <f>SUMIF(Contas_a_Pagar!H:H,"Atrasado",Contas_a_Pagar!G:G)</f>
        <v>0</v>
      </c>
      <c r="E8" s="6" t="s">
        <v>30</v>
      </c>
      <c r="F8" s="5">
        <f>SUMIF(Contas_a_Receber!H:H,"Atrasado",Contas_a_Receber!G:G)</f>
        <v>0</v>
      </c>
    </row>
    <row r="9" spans="1:8">
      <c r="A9" t="s">
        <v>31</v>
      </c>
      <c r="B9">
        <f>SUMIF(Contas_a_Receber!H2:H1000,"Pendente",Contas_a_Receber!G2:G1000)</f>
        <v>654</v>
      </c>
    </row>
    <row r="10" spans="1:8">
      <c r="A10" t="s">
        <v>32</v>
      </c>
      <c r="B10">
        <f>SUMIF(Contas_a_Receber!H2:H1000,"Atrasado",Contas_a_Receber!G2:G1000)</f>
        <v>0</v>
      </c>
    </row>
    <row r="22" spans="1:6" ht="18.75">
      <c r="A22" s="4" t="s">
        <v>33</v>
      </c>
      <c r="E22" s="4" t="s">
        <v>34</v>
      </c>
    </row>
    <row r="23" spans="1:6">
      <c r="A23" t="s">
        <v>35</v>
      </c>
      <c r="B23" t="s">
        <v>6</v>
      </c>
      <c r="E23" t="s">
        <v>35</v>
      </c>
      <c r="F23" t="s">
        <v>6</v>
      </c>
    </row>
    <row r="24" spans="1:6">
      <c r="A24" t="s">
        <v>11</v>
      </c>
      <c r="B24" s="5">
        <f>SUMIF(Contas_a_Pagar!E:E,"Dinheiro",Contas_a_Pagar!G:G)</f>
        <v>0</v>
      </c>
      <c r="E24" t="s">
        <v>11</v>
      </c>
      <c r="F24" s="5">
        <f>SUMIF(Contas_a_Receber!E:E,"Dinheiro",Contas_a_Receber!G:G)</f>
        <v>654</v>
      </c>
    </row>
    <row r="25" spans="1:6">
      <c r="A25" t="s">
        <v>13</v>
      </c>
      <c r="B25" s="5">
        <f>SUMIF(Contas_a_Pagar!E:E,"Pix",Contas_a_Pagar!G:G)</f>
        <v>91.8</v>
      </c>
      <c r="E25" t="s">
        <v>13</v>
      </c>
      <c r="F25" s="5">
        <f>SUMIF(Contas_a_Receber!E:E,"Pix",Contas_a_Receber!G:G)</f>
        <v>1518</v>
      </c>
    </row>
    <row r="26" spans="1:6">
      <c r="A26" t="s">
        <v>15</v>
      </c>
      <c r="B26" s="5">
        <f>SUMIF(Contas_a_Pagar!E:E,"Cartão Débito",Contas_a_Pagar!G:G)</f>
        <v>0</v>
      </c>
      <c r="E26" t="s">
        <v>15</v>
      </c>
      <c r="F26" s="5">
        <f>SUMIF(Contas_a_Receber!E:E,"Cartão Débito",Contas_a_Receber!G:G)</f>
        <v>0</v>
      </c>
    </row>
    <row r="27" spans="1:6">
      <c r="A27" t="s">
        <v>17</v>
      </c>
      <c r="B27" s="5">
        <f>SUMIF(Contas_a_Pagar!E:E,"Cartão Crédito",Contas_a_Pagar!G:G)</f>
        <v>0</v>
      </c>
      <c r="E27" t="s">
        <v>17</v>
      </c>
      <c r="F27" s="5">
        <f>SUMIF(Contas_a_Receber!E:E,"Cartão Crédito",Contas_a_Receber!G:G)</f>
        <v>0</v>
      </c>
    </row>
    <row r="28" spans="1:6">
      <c r="A28" t="s">
        <v>19</v>
      </c>
      <c r="B28" s="5">
        <f>SUMIF(Contas_a_Pagar!E:E,"Boleto",Contas_a_Pagar!G:G)</f>
        <v>99.9</v>
      </c>
      <c r="E28" t="s">
        <v>20</v>
      </c>
      <c r="F28" s="5">
        <f>SUMIF(Contas_a_Receber!E:E,"Transferência",Contas_a_Receber!G:G)</f>
        <v>0</v>
      </c>
    </row>
    <row r="44" spans="1:2" ht="18.75">
      <c r="A44" s="4" t="s">
        <v>36</v>
      </c>
    </row>
    <row r="45" spans="1:2">
      <c r="A45" t="s">
        <v>37</v>
      </c>
      <c r="B45" t="s">
        <v>38</v>
      </c>
    </row>
    <row r="46" spans="1:2">
      <c r="A46" t="s">
        <v>12</v>
      </c>
      <c r="B46" s="5">
        <f>IFERROR(SUMIF(Contas_a_Receber!F:F,"Caixa Empresa",Contas_a_Receber!G:G),0)-IFERROR(SUMIF(Contas_a_Pagar!F:F,"Caixa Empresa",Contas_a_Pagar!G:G),0)</f>
        <v>0</v>
      </c>
    </row>
    <row r="47" spans="1:2">
      <c r="A47" t="s">
        <v>14</v>
      </c>
      <c r="B47" s="5">
        <f>IFERROR(SUMIF(Contas_a_Receber!F:F,"Banco do Brasil",Contas_a_Receber!G:G),0)-IFERROR(SUMIF(Contas_a_Pagar!F:F,"Banco do Brasil",Contas_a_Pagar!G:G),0)</f>
        <v>0</v>
      </c>
    </row>
    <row r="48" spans="1:2">
      <c r="A48" t="s">
        <v>16</v>
      </c>
      <c r="B48" s="5">
        <f>IFERROR(SUMIF(Contas_a_Receber!F:F,"Caixa Econômica",Contas_a_Receber!G:G),0)-IFERROR(SUMIF(Contas_a_Pagar!F:F,"Caixa Econômica",Contas_a_Pagar!G:G),0)</f>
        <v>0</v>
      </c>
    </row>
    <row r="49" spans="1:2">
      <c r="A49" t="s">
        <v>18</v>
      </c>
      <c r="B49" s="5">
        <f>IFERROR(SUMIF(Contas_a_Receber!F:F,"Nubank PJ",Contas_a_Receber!G:G),0)-IFERROR(SUMIF(Contas_a_Pagar!F:F,"Nubank PJ",Contas_a_Pagar!G:G),0)</f>
        <v>1418.1</v>
      </c>
    </row>
    <row r="50" spans="1:2">
      <c r="A50" t="s">
        <v>21</v>
      </c>
      <c r="B50" s="5">
        <f>IFERROR(SUMIF(Contas_a_Receber!F:F,"Itaú PJ",Contas_a_Receber!G:G),0)-IFERROR(SUMIF(Contas_a_Pagar!F:F,"Itaú PJ",Contas_a_Pagar!G:G),0)</f>
        <v>562.20000000000005</v>
      </c>
    </row>
  </sheetData>
  <sheetProtection algorithmName="SHA-512" hashValue="FTsOMS0ZQtXg9bjZzHIJdo+U28ccj4fxbc7nC0qCbdc1w1ldL3O8dVuZblO4jzsNKEBE4Kqq87zsJI11bVy0LA==" saltValue="9y02rBOcOMg2DG5IoqrWTQ==" spinCount="100000" sheet="1" objects="1" scenarios="1"/>
  <mergeCells count="1">
    <mergeCell ref="B1:H2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workbookViewId="0">
      <pane ySplit="1" topLeftCell="A2" activePane="bottomLeft" state="frozen"/>
      <selection pane="bottomLeft" activeCell="H3" sqref="H3"/>
    </sheetView>
  </sheetViews>
  <sheetFormatPr defaultRowHeight="15"/>
  <cols>
    <col min="1" max="1" width="2.85546875" bestFit="1" customWidth="1"/>
    <col min="2" max="2" width="17" bestFit="1" customWidth="1"/>
    <col min="3" max="3" width="11.140625" bestFit="1" customWidth="1"/>
    <col min="4" max="4" width="9.42578125" bestFit="1" customWidth="1"/>
    <col min="5" max="5" width="17.85546875" bestFit="1" customWidth="1"/>
    <col min="6" max="6" width="12.28515625" bestFit="1" customWidth="1"/>
    <col min="7" max="7" width="5.7109375" bestFit="1" customWidth="1"/>
    <col min="8" max="8" width="9.7109375" bestFit="1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>
      <c r="B2" s="7">
        <v>45901</v>
      </c>
      <c r="C2" t="s">
        <v>39</v>
      </c>
      <c r="D2" t="s">
        <v>40</v>
      </c>
      <c r="E2" t="s">
        <v>19</v>
      </c>
      <c r="F2" t="s">
        <v>18</v>
      </c>
      <c r="G2">
        <v>99.9</v>
      </c>
      <c r="H2" t="s">
        <v>27</v>
      </c>
    </row>
    <row r="3" spans="1:8">
      <c r="B3" s="7">
        <v>45910</v>
      </c>
      <c r="C3" t="s">
        <v>43</v>
      </c>
      <c r="D3" t="s">
        <v>44</v>
      </c>
      <c r="E3" t="s">
        <v>13</v>
      </c>
      <c r="F3" t="s">
        <v>21</v>
      </c>
      <c r="G3">
        <v>91.8</v>
      </c>
      <c r="H3" t="s">
        <v>29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AEA99B9-F44F-4C17-BDB8-C23603B8046A}">
          <x14:formula1>
            <xm:f>Tabelas_Auxiliares!$A$2:$A$6</xm:f>
          </x14:formula1>
          <xm:sqref>E3:E1048576</xm:sqref>
        </x14:dataValidation>
        <x14:dataValidation type="list" allowBlank="1" showInputMessage="1" showErrorMessage="1" xr:uid="{5A4FCA5E-8F8E-4277-9979-30C27031CCAA}">
          <x14:formula1>
            <xm:f>Tabelas_Auxiliares!$C$2:$C$100</xm:f>
          </x14:formula1>
          <xm:sqref>F1:F1048576</xm:sqref>
        </x14:dataValidation>
        <x14:dataValidation type="list" allowBlank="1" showInputMessage="1" showErrorMessage="1" xr:uid="{129348A9-C8E1-48A9-B86F-533C2FAB888D}">
          <x14:formula1>
            <xm:f>Tabelas_Auxiliares!$A$2:$A$100</xm:f>
          </x14:formula1>
          <xm:sqref>E2</xm:sqref>
        </x14:dataValidation>
        <x14:dataValidation type="list" allowBlank="1" showInputMessage="1" showErrorMessage="1" xr:uid="{69F362B7-6C36-46E6-8132-5DA1DD95588A}">
          <x14:formula1>
            <xm:f>Tabelas_Auxiliares!$D$2:$D$4</xm:f>
          </x14:formula1>
          <xm:sqref>H2:H1048576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pane ySplit="1" topLeftCell="A2" activePane="bottomLeft" state="frozen"/>
      <selection pane="bottomLeft" activeCell="H6" sqref="H6"/>
    </sheetView>
  </sheetViews>
  <sheetFormatPr defaultRowHeight="15"/>
  <cols>
    <col min="1" max="1" width="2.85546875" bestFit="1" customWidth="1"/>
    <col min="2" max="2" width="17" bestFit="1" customWidth="1"/>
    <col min="3" max="3" width="14.42578125" bestFit="1" customWidth="1"/>
    <col min="4" max="4" width="11.140625" bestFit="1" customWidth="1"/>
    <col min="5" max="5" width="19.7109375" bestFit="1" customWidth="1"/>
    <col min="6" max="6" width="12.28515625" bestFit="1" customWidth="1"/>
    <col min="7" max="7" width="5.7109375" bestFit="1" customWidth="1"/>
    <col min="8" max="8" width="10" bestFit="1" customWidth="1"/>
  </cols>
  <sheetData>
    <row r="1" spans="1:8">
      <c r="A1" s="3" t="s">
        <v>0</v>
      </c>
      <c r="B1" s="3" t="s">
        <v>1</v>
      </c>
      <c r="C1" s="3" t="s">
        <v>8</v>
      </c>
      <c r="D1" s="3" t="s">
        <v>3</v>
      </c>
      <c r="E1" s="3" t="s">
        <v>9</v>
      </c>
      <c r="F1" s="3" t="s">
        <v>5</v>
      </c>
      <c r="G1" s="3" t="s">
        <v>6</v>
      </c>
      <c r="H1" s="3" t="s">
        <v>7</v>
      </c>
    </row>
    <row r="2" spans="1:8">
      <c r="B2" s="7">
        <v>45911</v>
      </c>
      <c r="C2" t="s">
        <v>45</v>
      </c>
      <c r="D2" t="s">
        <v>46</v>
      </c>
      <c r="E2" t="s">
        <v>13</v>
      </c>
      <c r="F2" t="s">
        <v>18</v>
      </c>
      <c r="G2">
        <v>1518</v>
      </c>
      <c r="H2" t="s">
        <v>28</v>
      </c>
    </row>
    <row r="3" spans="1:8">
      <c r="B3" s="7">
        <v>45915</v>
      </c>
      <c r="C3" t="s">
        <v>47</v>
      </c>
      <c r="D3" t="s">
        <v>46</v>
      </c>
      <c r="E3" t="s">
        <v>11</v>
      </c>
      <c r="F3" t="s">
        <v>21</v>
      </c>
      <c r="G3">
        <v>654</v>
      </c>
      <c r="H3" t="s">
        <v>29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C6FB226-645B-47AA-B52E-0775E95FB55B}">
          <x14:formula1>
            <xm:f>Tabelas_Auxiliares!$B$2:$B$100</xm:f>
          </x14:formula1>
          <xm:sqref>E2:E1048576</xm:sqref>
        </x14:dataValidation>
        <x14:dataValidation type="list" allowBlank="1" showInputMessage="1" showErrorMessage="1" xr:uid="{F19E7319-A20C-45CF-8362-475B7D3FECC5}">
          <x14:formula1>
            <xm:f>Tabelas_Auxiliares!$C$2:$C$100</xm:f>
          </x14:formula1>
          <xm:sqref>F2:F1048576</xm:sqref>
        </x14:dataValidation>
        <x14:dataValidation type="list" allowBlank="1" showInputMessage="1" showErrorMessage="1" xr:uid="{5316D589-7336-49CC-80B7-F0BF89932FDA}">
          <x14:formula1>
            <xm:f>Tabelas_Auxiliares!$E$2:$E$4</xm:f>
          </x14:formula1>
          <xm:sqref>H2:H1048576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>
      <selection activeCell="D5" sqref="D5"/>
    </sheetView>
  </sheetViews>
  <sheetFormatPr defaultRowHeight="15"/>
  <cols>
    <col min="1" max="1" width="17.85546875" bestFit="1" customWidth="1"/>
    <col min="2" max="2" width="19.7109375" bestFit="1" customWidth="1"/>
    <col min="3" max="3" width="15.7109375" bestFit="1" customWidth="1"/>
    <col min="4" max="4" width="10.85546875" bestFit="1" customWidth="1"/>
    <col min="5" max="5" width="19" bestFit="1" customWidth="1"/>
  </cols>
  <sheetData>
    <row r="1" spans="1:5">
      <c r="A1" s="1" t="s">
        <v>4</v>
      </c>
      <c r="B1" s="1" t="s">
        <v>9</v>
      </c>
      <c r="C1" s="1" t="s">
        <v>10</v>
      </c>
      <c r="D1" s="1" t="s">
        <v>41</v>
      </c>
      <c r="E1" s="1" t="s">
        <v>42</v>
      </c>
    </row>
    <row r="2" spans="1:5">
      <c r="A2" t="s">
        <v>11</v>
      </c>
      <c r="B2" t="s">
        <v>11</v>
      </c>
      <c r="C2" t="s">
        <v>12</v>
      </c>
      <c r="D2" t="s">
        <v>29</v>
      </c>
      <c r="E2" t="s">
        <v>29</v>
      </c>
    </row>
    <row r="3" spans="1:5">
      <c r="A3" t="s">
        <v>13</v>
      </c>
      <c r="B3" t="s">
        <v>13</v>
      </c>
      <c r="C3" t="s">
        <v>14</v>
      </c>
      <c r="D3" t="s">
        <v>27</v>
      </c>
      <c r="E3" t="s">
        <v>28</v>
      </c>
    </row>
    <row r="4" spans="1:5">
      <c r="A4" t="s">
        <v>15</v>
      </c>
      <c r="B4" t="s">
        <v>15</v>
      </c>
      <c r="C4" t="s">
        <v>16</v>
      </c>
      <c r="D4" t="s">
        <v>30</v>
      </c>
      <c r="E4" t="s">
        <v>30</v>
      </c>
    </row>
    <row r="5" spans="1:5">
      <c r="A5" t="s">
        <v>17</v>
      </c>
      <c r="B5" t="s">
        <v>17</v>
      </c>
      <c r="C5" t="s">
        <v>18</v>
      </c>
    </row>
    <row r="6" spans="1:5">
      <c r="A6" t="s">
        <v>19</v>
      </c>
      <c r="B6" t="s">
        <v>20</v>
      </c>
      <c r="C6" t="s">
        <v>21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Instruções</vt:lpstr>
      <vt:lpstr>Dashboard</vt:lpstr>
      <vt:lpstr>Contas_a_Pagar</vt:lpstr>
      <vt:lpstr>Contas_a_Receber</vt:lpstr>
      <vt:lpstr>Tabelas_Auxiliares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Leonardo Souza Mota</cp:lastModifiedBy>
  <dcterms:created xsi:type="dcterms:W3CDTF">2025-09-09T18:33:29Z</dcterms:created>
  <dcterms:modified xsi:type="dcterms:W3CDTF">2025-09-17T18:32:12Z</dcterms:modified>
</cp:coreProperties>
</file>