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c/Desktop/"/>
    </mc:Choice>
  </mc:AlternateContent>
  <xr:revisionPtr revIDLastSave="0" documentId="13_ncr:1_{DD68BCF7-736F-7549-9881-FFE0058C75F8}" xr6:coauthVersionLast="47" xr6:coauthVersionMax="47" xr10:uidLastSave="{00000000-0000-0000-0000-000000000000}"/>
  <bookViews>
    <workbookView xWindow="120" yWindow="500" windowWidth="27200" windowHeight="13480" activeTab="2" xr2:uid="{EE767926-2BA7-3746-8888-BE03B1B50A5A}"/>
  </bookViews>
  <sheets>
    <sheet name="Coporate Bond" sheetId="1" r:id="rId1"/>
    <sheet name="Coporate Bond Answer" sheetId="3" r:id="rId2"/>
    <sheet name="Municipal bon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3" l="1"/>
  <c r="J22" i="3"/>
  <c r="AD8" i="3"/>
  <c r="AD7" i="3"/>
  <c r="AD6" i="3"/>
  <c r="AD5" i="3"/>
  <c r="AD4" i="3"/>
  <c r="AD3" i="3"/>
  <c r="X5" i="3"/>
  <c r="X8" i="3"/>
  <c r="X7" i="3"/>
  <c r="X6" i="3"/>
  <c r="X4" i="3"/>
  <c r="X3" i="3"/>
  <c r="X2" i="3"/>
  <c r="T10" i="2"/>
  <c r="R10" i="2"/>
  <c r="Q10" i="2"/>
  <c r="S10" i="2" s="1"/>
  <c r="T5" i="2"/>
  <c r="R5" i="2"/>
  <c r="Q5" i="2"/>
  <c r="S5" i="2" s="1"/>
  <c r="T2" i="2"/>
  <c r="R2" i="2"/>
  <c r="Q2" i="2"/>
  <c r="S2" i="2" s="1"/>
  <c r="AE2" i="3" l="1"/>
  <c r="AA2" i="3"/>
  <c r="J17" i="3"/>
  <c r="AF3" i="3"/>
  <c r="AF4" i="3"/>
  <c r="AF5" i="3"/>
  <c r="AF6" i="3"/>
  <c r="AF7" i="3"/>
  <c r="AF8" i="3"/>
  <c r="AF2" i="3"/>
  <c r="AE3" i="3"/>
  <c r="AE4" i="3"/>
  <c r="AE5" i="3"/>
  <c r="AE6" i="3"/>
  <c r="AE7" i="3"/>
  <c r="AE8" i="3"/>
  <c r="E23" i="3"/>
  <c r="G22" i="3"/>
  <c r="F22" i="3"/>
  <c r="H22" i="3" s="1"/>
  <c r="H21" i="3"/>
  <c r="G21" i="3"/>
  <c r="F21" i="3"/>
  <c r="G20" i="3"/>
  <c r="F20" i="3"/>
  <c r="I19" i="3"/>
  <c r="G19" i="3"/>
  <c r="F19" i="3"/>
  <c r="H19" i="3" s="1"/>
  <c r="G18" i="3"/>
  <c r="F18" i="3"/>
  <c r="G17" i="3"/>
  <c r="F17" i="3"/>
  <c r="H16" i="3"/>
  <c r="G16" i="3"/>
  <c r="G23" i="3" s="1"/>
  <c r="B25" i="3" s="1"/>
  <c r="F16" i="3"/>
  <c r="Y8" i="3"/>
  <c r="T8" i="3"/>
  <c r="S8" i="3"/>
  <c r="I22" i="3" s="1"/>
  <c r="R8" i="3"/>
  <c r="Y7" i="3"/>
  <c r="T7" i="3"/>
  <c r="S7" i="3"/>
  <c r="AC7" i="3" s="1"/>
  <c r="R7" i="3"/>
  <c r="U7" i="3" s="1"/>
  <c r="Y6" i="3"/>
  <c r="S6" i="3"/>
  <c r="I20" i="3" s="1"/>
  <c r="R6" i="3"/>
  <c r="U6" i="3" s="1"/>
  <c r="AB5" i="3"/>
  <c r="Y5" i="3"/>
  <c r="S5" i="3"/>
  <c r="AC5" i="3" s="1"/>
  <c r="R5" i="3"/>
  <c r="U5" i="3" s="1"/>
  <c r="Y4" i="3"/>
  <c r="T4" i="3" s="1"/>
  <c r="S4" i="3"/>
  <c r="AC4" i="3" s="1"/>
  <c r="R4" i="3"/>
  <c r="AC3" i="3"/>
  <c r="AB3" i="3"/>
  <c r="Y3" i="3"/>
  <c r="U3" i="3"/>
  <c r="T3" i="3"/>
  <c r="S3" i="3"/>
  <c r="I17" i="3" s="1"/>
  <c r="R3" i="3"/>
  <c r="Y2" i="3"/>
  <c r="T2" i="3"/>
  <c r="S2" i="3"/>
  <c r="R2" i="3"/>
  <c r="E13" i="1"/>
  <c r="F13" i="1" s="1"/>
  <c r="J16" i="3" l="1"/>
  <c r="W4" i="3"/>
  <c r="I16" i="3"/>
  <c r="B27" i="3" s="1"/>
  <c r="F23" i="3"/>
  <c r="AB2" i="3"/>
  <c r="U2" i="3"/>
  <c r="AC2" i="3"/>
  <c r="AA8" i="3"/>
  <c r="W3" i="3"/>
  <c r="J18" i="3"/>
  <c r="AA7" i="3"/>
  <c r="AB8" i="3"/>
  <c r="W2" i="3"/>
  <c r="V2" i="3" s="1"/>
  <c r="AA6" i="3"/>
  <c r="AB7" i="3"/>
  <c r="U8" i="3"/>
  <c r="AC8" i="3"/>
  <c r="H18" i="3"/>
  <c r="I21" i="3"/>
  <c r="AA5" i="3"/>
  <c r="T6" i="3"/>
  <c r="AB6" i="3"/>
  <c r="I18" i="3"/>
  <c r="AA4" i="3"/>
  <c r="T5" i="3"/>
  <c r="AC6" i="3"/>
  <c r="W8" i="3"/>
  <c r="V8" i="3" s="1"/>
  <c r="H20" i="3"/>
  <c r="AA3" i="3"/>
  <c r="AB4" i="3"/>
  <c r="W7" i="3"/>
  <c r="J21" i="3"/>
  <c r="H17" i="3"/>
  <c r="B26" i="3" s="1"/>
  <c r="U4" i="3"/>
  <c r="Z4" i="3" s="1"/>
  <c r="V7" i="3" l="1"/>
  <c r="Z7" i="3"/>
  <c r="V3" i="3"/>
  <c r="Z2" i="3"/>
  <c r="Z8" i="3"/>
  <c r="Z3" i="3"/>
  <c r="V4" i="3"/>
  <c r="W6" i="3"/>
  <c r="V6" i="3" s="1"/>
  <c r="Z6" i="3"/>
  <c r="W5" i="3"/>
  <c r="V5" i="3" l="1"/>
  <c r="J19" i="3"/>
  <c r="Z5" i="3"/>
  <c r="J20" i="3"/>
  <c r="B28" i="3" l="1"/>
</calcChain>
</file>

<file path=xl/sharedStrings.xml><?xml version="1.0" encoding="utf-8"?>
<sst xmlns="http://schemas.openxmlformats.org/spreadsheetml/2006/main" count="261" uniqueCount="112">
  <si>
    <t>MTATRN 5.175 11/15/49</t>
  </si>
  <si>
    <t>Metropolitan Transport Authority Of New York</t>
  </si>
  <si>
    <t>RB</t>
  </si>
  <si>
    <t>Sinking fund</t>
  </si>
  <si>
    <t>SA</t>
  </si>
  <si>
    <t>CAS 4.5 04/01/33</t>
  </si>
  <si>
    <t>State of California</t>
  </si>
  <si>
    <t>GO</t>
  </si>
  <si>
    <t>AA-</t>
  </si>
  <si>
    <t>Call/Sink</t>
  </si>
  <si>
    <t>Full</t>
  </si>
  <si>
    <t>NYC 5 08/01/47</t>
  </si>
  <si>
    <t>City of New York NY</t>
  </si>
  <si>
    <t>AA</t>
  </si>
  <si>
    <t>Call/ Continuously Callable</t>
  </si>
  <si>
    <t>Bond Ticker</t>
  </si>
  <si>
    <t>CUSIP</t>
  </si>
  <si>
    <t>Company Name</t>
  </si>
  <si>
    <t>Type</t>
  </si>
  <si>
    <t>Rating</t>
  </si>
  <si>
    <t xml:space="preserve">Amount Issued </t>
  </si>
  <si>
    <t xml:space="preserve">Amount Outstanding </t>
  </si>
  <si>
    <t>Issue Date</t>
  </si>
  <si>
    <t>Date of Maturity</t>
  </si>
  <si>
    <t>Embeded Option</t>
  </si>
  <si>
    <t>Call Date</t>
  </si>
  <si>
    <t>Call Price</t>
  </si>
  <si>
    <t>Call Amount</t>
  </si>
  <si>
    <t>Coupon</t>
  </si>
  <si>
    <t>Coupon Freq</t>
  </si>
  <si>
    <t>Annual YTM</t>
  </si>
  <si>
    <t>DKS 4.1 01/15/52</t>
  </si>
  <si>
    <t>253393AG7</t>
  </si>
  <si>
    <t>Dick's Sporting Goods</t>
  </si>
  <si>
    <t>BBB -</t>
  </si>
  <si>
    <t>1/14/2022</t>
  </si>
  <si>
    <t>1/15/2052</t>
  </si>
  <si>
    <t>Call</t>
  </si>
  <si>
    <t>7/15/2051</t>
  </si>
  <si>
    <t>F 3 1/4 02/12/2032</t>
  </si>
  <si>
    <t>345370DA5</t>
  </si>
  <si>
    <t>Ford Motor Company</t>
  </si>
  <si>
    <t>BB+</t>
  </si>
  <si>
    <t>AAPL 1.8 09/11/24</t>
  </si>
  <si>
    <t>037833DM9</t>
  </si>
  <si>
    <t>Apple Inc</t>
  </si>
  <si>
    <t>AA+</t>
  </si>
  <si>
    <t>CAT 1.7 01/08/27</t>
  </si>
  <si>
    <t>14913R2U0</t>
  </si>
  <si>
    <t xml:space="preserve">Caterpillar Finl Service </t>
  </si>
  <si>
    <t>No</t>
  </si>
  <si>
    <t>BK 2 1/2 01/26/32</t>
  </si>
  <si>
    <t>06406RBB2</t>
  </si>
  <si>
    <t>Bank of NY Mellon Corp</t>
  </si>
  <si>
    <t>1/26/2022</t>
  </si>
  <si>
    <t>1/26/2032</t>
  </si>
  <si>
    <t>10/26/2031</t>
  </si>
  <si>
    <t>DELL 6.2 07/15/30</t>
  </si>
  <si>
    <t>24703TAH9</t>
  </si>
  <si>
    <t>Dell International LLC</t>
  </si>
  <si>
    <t>7/15/2021</t>
  </si>
  <si>
    <t>7/15/2030</t>
  </si>
  <si>
    <t>4/15/2030</t>
  </si>
  <si>
    <t>BIGBRS 6 5/8 01/31/29</t>
  </si>
  <si>
    <t>08949LAB6</t>
  </si>
  <si>
    <t>Big River Steel/ BRS Fin</t>
  </si>
  <si>
    <t>BB-</t>
  </si>
  <si>
    <t>1/31/2021</t>
  </si>
  <si>
    <t>1/31/2029</t>
  </si>
  <si>
    <t>9/15/2023</t>
  </si>
  <si>
    <t>9/15/2024</t>
  </si>
  <si>
    <t>9/15/2025</t>
  </si>
  <si>
    <t>59261AG76</t>
  </si>
  <si>
    <t>$196.41MM</t>
  </si>
  <si>
    <t>$196.405MM</t>
  </si>
  <si>
    <t>Amount Issued $M</t>
  </si>
  <si>
    <t>Amount Outstanding $M</t>
  </si>
  <si>
    <t>A</t>
  </si>
  <si>
    <t>A+</t>
  </si>
  <si>
    <t>BBB</t>
  </si>
  <si>
    <t>A-</t>
  </si>
  <si>
    <t>13063DGD4</t>
  </si>
  <si>
    <t>64966QXW5</t>
  </si>
  <si>
    <t>CR</t>
  </si>
  <si>
    <t>YTM</t>
  </si>
  <si>
    <t>Accrued Interest</t>
  </si>
  <si>
    <t xml:space="preserve">Flat Price </t>
  </si>
  <si>
    <t xml:space="preserve">Full Price </t>
  </si>
  <si>
    <t>CURRENT PRICE</t>
  </si>
  <si>
    <t>Yield To Call</t>
  </si>
  <si>
    <t>-</t>
  </si>
  <si>
    <t>First  Interest Date</t>
  </si>
  <si>
    <t>Settlement Date</t>
  </si>
  <si>
    <t>NPER</t>
  </si>
  <si>
    <t>Duration</t>
  </si>
  <si>
    <t>Positive</t>
  </si>
  <si>
    <t>Negative</t>
  </si>
  <si>
    <t>Convexity</t>
  </si>
  <si>
    <t>Increase</t>
  </si>
  <si>
    <t>Decrease</t>
  </si>
  <si>
    <t>Bond Porfolio</t>
  </si>
  <si>
    <t xml:space="preserve">Company </t>
  </si>
  <si>
    <t>Amount Allocated</t>
  </si>
  <si>
    <t>Weights</t>
  </si>
  <si>
    <t>Adjusted coupon</t>
  </si>
  <si>
    <t>YTM Adjusted</t>
  </si>
  <si>
    <t>Convexity Adjusted</t>
  </si>
  <si>
    <t>Average Coupon</t>
  </si>
  <si>
    <t>Portfolio YTM</t>
  </si>
  <si>
    <t xml:space="preserve">Portfolio Duration </t>
  </si>
  <si>
    <t xml:space="preserve">Portfolio Convexity </t>
  </si>
  <si>
    <t>Tax Equivalent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</si>
</sst>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/d/yyyy;@"/>
    <numFmt numFmtId="165" formatCode="&quot;$&quot;#,##0.00"/>
    <numFmt numFmtId="166" formatCode="0.000%"/>
    <numFmt numFmtId="167" formatCode="0.000000%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D0D0D"/>
      <name val="Calibri"/>
      <family val="2"/>
      <scheme val="minor"/>
    </font>
    <font>
      <sz val="16"/>
      <color rgb="FF0D0D0D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2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8" fontId="0" fillId="0" borderId="0" xfId="0" applyNumberFormat="1"/>
    <xf numFmtId="2" fontId="2" fillId="0" borderId="0" xfId="0" applyNumberFormat="1" applyFont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0" fontId="5" fillId="0" borderId="0" xfId="0" applyFont="1"/>
    <xf numFmtId="14" fontId="2" fillId="0" borderId="0" xfId="0" applyNumberFormat="1" applyFont="1" applyAlignment="1">
      <alignment horizontal="center" vertical="center"/>
    </xf>
    <xf numFmtId="2" fontId="0" fillId="0" borderId="0" xfId="0" quotePrefix="1" applyNumberFormat="1"/>
    <xf numFmtId="164" fontId="0" fillId="0" borderId="0" xfId="0" applyNumberFormat="1"/>
    <xf numFmtId="14" fontId="0" fillId="0" borderId="0" xfId="0" applyNumberFormat="1"/>
    <xf numFmtId="0" fontId="6" fillId="0" borderId="0" xfId="0" applyFont="1"/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0" fontId="0" fillId="0" borderId="0" xfId="0" applyNumberFormat="1"/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67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0" fontId="4" fillId="2" borderId="4" xfId="1" applyNumberFormat="1" applyBorder="1"/>
    <xf numFmtId="10" fontId="4" fillId="2" borderId="5" xfId="1" applyNumberFormat="1" applyBorder="1"/>
    <xf numFmtId="2" fontId="4" fillId="2" borderId="5" xfId="1" applyNumberFormat="1" applyBorder="1"/>
    <xf numFmtId="8" fontId="4" fillId="2" borderId="6" xfId="1" applyNumberFormat="1" applyBorder="1"/>
    <xf numFmtId="0" fontId="0" fillId="3" borderId="0" xfId="0" applyFill="1"/>
    <xf numFmtId="166" fontId="4" fillId="0" borderId="0" xfId="1" applyNumberFormat="1" applyFill="1" applyAlignment="1">
      <alignment horizontal="center" vertical="center"/>
    </xf>
    <xf numFmtId="0" fontId="7" fillId="0" borderId="0" xfId="0" applyFont="1"/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colors>
    <mruColors>
      <color rgb="FFC5E0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11</xdr:row>
      <xdr:rowOff>63500</xdr:rowOff>
    </xdr:from>
    <xdr:to>
      <xdr:col>17</xdr:col>
      <xdr:colOff>165100</xdr:colOff>
      <xdr:row>20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BD16B4-0619-3057-79B3-4377EA7FDBB2}"/>
            </a:ext>
          </a:extLst>
        </xdr:cNvPr>
        <xdr:cNvSpPr txBox="1"/>
      </xdr:nvSpPr>
      <xdr:spPr>
        <a:xfrm>
          <a:off x="12090400" y="2298700"/>
          <a:ext cx="3606800" cy="1968500"/>
        </a:xfrm>
        <a:prstGeom prst="rect">
          <a:avLst/>
        </a:prstGeom>
        <a:solidFill>
          <a:srgbClr val="C5E09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</a:t>
          </a:r>
        </a:p>
        <a:p>
          <a:endParaRPr lang="en-US" sz="1400" b="1"/>
        </a:p>
        <a:p>
          <a:r>
            <a:rPr lang="en-US" sz="1400" b="1"/>
            <a:t>We have consider:</a:t>
          </a:r>
        </a:p>
        <a:p>
          <a:endParaRPr lang="en-US" sz="1400" b="1"/>
        </a:p>
        <a:p>
          <a:r>
            <a:rPr lang="en-US" sz="1400"/>
            <a:t>1) Face value = $1000.</a:t>
          </a:r>
        </a:p>
        <a:p>
          <a:endParaRPr lang="en-US" sz="1400"/>
        </a:p>
        <a:p>
          <a:r>
            <a:rPr lang="en-US" sz="1400"/>
            <a:t>2) Calculate the settlement date with a T+2 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AB19-E88B-D544-A2EC-3205E454B426}">
  <dimension ref="A1:O13"/>
  <sheetViews>
    <sheetView zoomScale="113" zoomScaleNormal="120" workbookViewId="0">
      <selection activeCell="B18" sqref="B18"/>
    </sheetView>
  </sheetViews>
  <sheetFormatPr baseColWidth="10" defaultColWidth="11.1640625" defaultRowHeight="16" x14ac:dyDescent="0.2"/>
  <cols>
    <col min="1" max="1" width="20.6640625" bestFit="1" customWidth="1"/>
    <col min="2" max="2" width="11" customWidth="1"/>
    <col min="3" max="3" width="21" bestFit="1" customWidth="1"/>
    <col min="4" max="4" width="10.6640625" customWidth="1"/>
    <col min="5" max="5" width="22.1640625" customWidth="1"/>
    <col min="6" max="6" width="18.83203125" bestFit="1" customWidth="1"/>
    <col min="7" max="7" width="10.83203125" bestFit="1" customWidth="1"/>
    <col min="8" max="8" width="15" bestFit="1" customWidth="1"/>
    <col min="9" max="9" width="14.83203125" bestFit="1" customWidth="1"/>
  </cols>
  <sheetData>
    <row r="1" spans="1:15" s="5" customFormat="1" x14ac:dyDescent="0.2">
      <c r="A1" s="9" t="s">
        <v>15</v>
      </c>
      <c r="B1" s="9" t="s">
        <v>16</v>
      </c>
      <c r="C1" s="9" t="s">
        <v>17</v>
      </c>
      <c r="D1" s="9" t="s">
        <v>19</v>
      </c>
      <c r="E1" s="9" t="s">
        <v>75</v>
      </c>
      <c r="F1" s="9" t="s">
        <v>76</v>
      </c>
      <c r="G1" s="9" t="s">
        <v>22</v>
      </c>
      <c r="H1" s="9" t="s">
        <v>23</v>
      </c>
      <c r="I1" s="9" t="s">
        <v>24</v>
      </c>
      <c r="J1" s="9" t="s">
        <v>25</v>
      </c>
      <c r="K1" s="9" t="s">
        <v>26</v>
      </c>
      <c r="L1" s="9" t="s">
        <v>27</v>
      </c>
      <c r="M1" s="9" t="s">
        <v>28</v>
      </c>
      <c r="N1" s="9" t="s">
        <v>29</v>
      </c>
      <c r="O1" s="9" t="s">
        <v>30</v>
      </c>
    </row>
    <row r="2" spans="1:15" x14ac:dyDescent="0.2">
      <c r="A2" s="6" t="s">
        <v>31</v>
      </c>
      <c r="B2" s="6" t="s">
        <v>32</v>
      </c>
      <c r="C2" s="6" t="s">
        <v>33</v>
      </c>
      <c r="D2" s="6" t="s">
        <v>34</v>
      </c>
      <c r="E2" s="6">
        <v>750</v>
      </c>
      <c r="F2" s="6">
        <v>750</v>
      </c>
      <c r="G2" s="7" t="s">
        <v>35</v>
      </c>
      <c r="H2" s="7" t="s">
        <v>36</v>
      </c>
      <c r="I2" s="6" t="s">
        <v>37</v>
      </c>
      <c r="J2" s="7" t="s">
        <v>38</v>
      </c>
      <c r="K2" s="6">
        <v>100</v>
      </c>
      <c r="L2" s="6" t="s">
        <v>10</v>
      </c>
      <c r="M2" s="8">
        <v>4.1000000000000002E-2</v>
      </c>
      <c r="N2" s="6" t="s">
        <v>4</v>
      </c>
      <c r="O2" s="11">
        <v>5.7360000000000001E-2</v>
      </c>
    </row>
    <row r="3" spans="1:15" x14ac:dyDescent="0.2">
      <c r="A3" s="6" t="s">
        <v>39</v>
      </c>
      <c r="B3" s="6" t="s">
        <v>40</v>
      </c>
      <c r="C3" s="6" t="s">
        <v>41</v>
      </c>
      <c r="D3" s="6" t="s">
        <v>42</v>
      </c>
      <c r="E3" s="6">
        <v>2500</v>
      </c>
      <c r="F3" s="6">
        <v>2500</v>
      </c>
      <c r="G3" s="7">
        <v>44512</v>
      </c>
      <c r="H3" s="7">
        <v>48256</v>
      </c>
      <c r="I3" s="6" t="s">
        <v>37</v>
      </c>
      <c r="J3" s="7">
        <v>48164</v>
      </c>
      <c r="K3" s="6">
        <v>100</v>
      </c>
      <c r="L3" s="6" t="s">
        <v>10</v>
      </c>
      <c r="M3" s="8">
        <v>3.2500000000000001E-2</v>
      </c>
      <c r="N3" s="6" t="s">
        <v>4</v>
      </c>
      <c r="O3" s="11">
        <v>3.9320000000000001E-2</v>
      </c>
    </row>
    <row r="4" spans="1:15" x14ac:dyDescent="0.2">
      <c r="A4" s="6" t="s">
        <v>43</v>
      </c>
      <c r="B4" s="6" t="s">
        <v>44</v>
      </c>
      <c r="C4" s="6" t="s">
        <v>45</v>
      </c>
      <c r="D4" s="6" t="s">
        <v>46</v>
      </c>
      <c r="E4" s="6">
        <v>750</v>
      </c>
      <c r="F4" s="6">
        <v>750</v>
      </c>
      <c r="G4" s="7">
        <v>43719</v>
      </c>
      <c r="H4" s="7">
        <v>45546</v>
      </c>
      <c r="I4" s="6" t="s">
        <v>37</v>
      </c>
      <c r="J4" s="7">
        <v>45515</v>
      </c>
      <c r="K4" s="6">
        <v>100</v>
      </c>
      <c r="L4" s="6" t="s">
        <v>10</v>
      </c>
      <c r="M4" s="8">
        <v>1.7999999999999999E-2</v>
      </c>
      <c r="N4" s="6" t="s">
        <v>4</v>
      </c>
      <c r="O4" s="11">
        <v>1.8270000000000002E-2</v>
      </c>
    </row>
    <row r="5" spans="1:15" x14ac:dyDescent="0.2">
      <c r="A5" s="6" t="s">
        <v>47</v>
      </c>
      <c r="B5" s="6" t="s">
        <v>48</v>
      </c>
      <c r="C5" s="6" t="s">
        <v>49</v>
      </c>
      <c r="D5" s="6" t="s">
        <v>77</v>
      </c>
      <c r="E5" s="6">
        <v>500</v>
      </c>
      <c r="F5" s="6">
        <v>500</v>
      </c>
      <c r="G5" s="7">
        <v>44571</v>
      </c>
      <c r="H5" s="7">
        <v>46395</v>
      </c>
      <c r="I5" s="6" t="s">
        <v>50</v>
      </c>
      <c r="J5" s="7"/>
      <c r="K5" s="6"/>
      <c r="L5" s="6"/>
      <c r="M5" s="8">
        <v>1.7000000000000001E-2</v>
      </c>
      <c r="N5" s="6" t="s">
        <v>4</v>
      </c>
      <c r="O5" s="11">
        <v>1.847E-2</v>
      </c>
    </row>
    <row r="6" spans="1:15" x14ac:dyDescent="0.2">
      <c r="A6" s="6" t="s">
        <v>51</v>
      </c>
      <c r="B6" s="6" t="s">
        <v>52</v>
      </c>
      <c r="C6" s="6" t="s">
        <v>53</v>
      </c>
      <c r="D6" s="6" t="s">
        <v>78</v>
      </c>
      <c r="E6" s="6">
        <v>450</v>
      </c>
      <c r="F6" s="6">
        <v>450</v>
      </c>
      <c r="G6" s="7" t="s">
        <v>54</v>
      </c>
      <c r="H6" s="7" t="s">
        <v>55</v>
      </c>
      <c r="I6" s="6" t="s">
        <v>37</v>
      </c>
      <c r="J6" s="7" t="s">
        <v>56</v>
      </c>
      <c r="K6" s="6">
        <v>100</v>
      </c>
      <c r="L6" s="6" t="s">
        <v>10</v>
      </c>
      <c r="M6" s="8">
        <v>2.5000000000000001E-2</v>
      </c>
      <c r="N6" s="6" t="s">
        <v>4</v>
      </c>
      <c r="O6" s="11">
        <v>2.9819999999999999E-2</v>
      </c>
    </row>
    <row r="7" spans="1:15" x14ac:dyDescent="0.2">
      <c r="A7" s="6" t="s">
        <v>57</v>
      </c>
      <c r="B7" s="6" t="s">
        <v>58</v>
      </c>
      <c r="C7" s="6" t="s">
        <v>59</v>
      </c>
      <c r="D7" s="6" t="s">
        <v>79</v>
      </c>
      <c r="E7" s="6">
        <v>749</v>
      </c>
      <c r="F7" s="6">
        <v>749</v>
      </c>
      <c r="G7" s="7" t="s">
        <v>60</v>
      </c>
      <c r="H7" s="7" t="s">
        <v>61</v>
      </c>
      <c r="I7" s="6" t="s">
        <v>37</v>
      </c>
      <c r="J7" s="7" t="s">
        <v>62</v>
      </c>
      <c r="K7" s="6">
        <v>100</v>
      </c>
      <c r="L7" s="6" t="s">
        <v>10</v>
      </c>
      <c r="M7" s="8">
        <v>6.2E-2</v>
      </c>
      <c r="N7" s="6" t="s">
        <v>4</v>
      </c>
      <c r="O7" s="11">
        <v>5.9130000000000002E-2</v>
      </c>
    </row>
    <row r="8" spans="1:15" x14ac:dyDescent="0.2">
      <c r="A8" s="41" t="s">
        <v>63</v>
      </c>
      <c r="B8" s="41" t="s">
        <v>64</v>
      </c>
      <c r="C8" s="41" t="s">
        <v>65</v>
      </c>
      <c r="D8" s="41" t="s">
        <v>66</v>
      </c>
      <c r="E8" s="41">
        <v>900</v>
      </c>
      <c r="F8" s="41">
        <v>720</v>
      </c>
      <c r="G8" s="42" t="s">
        <v>67</v>
      </c>
      <c r="H8" s="42" t="s">
        <v>68</v>
      </c>
      <c r="I8" s="41" t="s">
        <v>37</v>
      </c>
      <c r="J8" s="7" t="s">
        <v>69</v>
      </c>
      <c r="K8" s="6">
        <v>103.313</v>
      </c>
      <c r="L8" s="6" t="s">
        <v>10</v>
      </c>
      <c r="M8" s="40">
        <v>6.6250000000000003E-2</v>
      </c>
      <c r="N8" s="41" t="s">
        <v>4</v>
      </c>
      <c r="O8" s="40">
        <v>6.5920000000000006E-2</v>
      </c>
    </row>
    <row r="9" spans="1:15" x14ac:dyDescent="0.2">
      <c r="A9" s="41"/>
      <c r="B9" s="41"/>
      <c r="C9" s="41"/>
      <c r="D9" s="41"/>
      <c r="E9" s="41"/>
      <c r="F9" s="41"/>
      <c r="G9" s="42"/>
      <c r="H9" s="42"/>
      <c r="I9" s="41"/>
      <c r="J9" s="7" t="s">
        <v>70</v>
      </c>
      <c r="K9" s="6">
        <v>101.65600000000001</v>
      </c>
      <c r="L9" s="6" t="s">
        <v>10</v>
      </c>
      <c r="M9" s="40"/>
      <c r="N9" s="41"/>
      <c r="O9" s="40"/>
    </row>
    <row r="10" spans="1:15" x14ac:dyDescent="0.2">
      <c r="A10" s="41"/>
      <c r="B10" s="41"/>
      <c r="C10" s="41"/>
      <c r="D10" s="41"/>
      <c r="E10" s="41"/>
      <c r="F10" s="41"/>
      <c r="G10" s="42"/>
      <c r="H10" s="42"/>
      <c r="I10" s="41"/>
      <c r="J10" s="7" t="s">
        <v>71</v>
      </c>
      <c r="K10" s="6">
        <v>100</v>
      </c>
      <c r="L10" s="6" t="s">
        <v>10</v>
      </c>
      <c r="M10" s="40"/>
      <c r="N10" s="41"/>
      <c r="O10" s="40"/>
    </row>
    <row r="13" spans="1:15" x14ac:dyDescent="0.2">
      <c r="E13">
        <f ca="1">YEARFRAC(TODAY(),H2,0)</f>
        <v>27.708333333333332</v>
      </c>
      <c r="F13" s="12">
        <f ca="1">FV(O2,E13,100*M2,100)</f>
        <v>-732.76024342633696</v>
      </c>
    </row>
  </sheetData>
  <mergeCells count="12">
    <mergeCell ref="A8:A10"/>
    <mergeCell ref="B8:B10"/>
    <mergeCell ref="C8:C10"/>
    <mergeCell ref="D8:D10"/>
    <mergeCell ref="E8:E10"/>
    <mergeCell ref="O8:O10"/>
    <mergeCell ref="F8:F10"/>
    <mergeCell ref="G8:G10"/>
    <mergeCell ref="H8:H10"/>
    <mergeCell ref="I8:I10"/>
    <mergeCell ref="M8:M10"/>
    <mergeCell ref="N8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BDDF-4BE4-7F41-9B4C-038C9386ECE4}">
  <dimension ref="A1:AF28"/>
  <sheetViews>
    <sheetView topLeftCell="G13" zoomScale="125" workbookViewId="0">
      <selection activeCell="AD3" sqref="AD3"/>
    </sheetView>
  </sheetViews>
  <sheetFormatPr baseColWidth="10" defaultRowHeight="16" x14ac:dyDescent="0.2"/>
  <cols>
    <col min="1" max="1" width="14.33203125" customWidth="1"/>
    <col min="3" max="3" width="16.33203125" customWidth="1"/>
    <col min="7" max="7" width="12.6640625" customWidth="1"/>
    <col min="8" max="8" width="13.33203125" customWidth="1"/>
    <col min="10" max="10" width="13" customWidth="1"/>
    <col min="12" max="12" width="10.1640625" customWidth="1"/>
    <col min="17" max="17" width="15.6640625" customWidth="1"/>
    <col min="18" max="18" width="15" customWidth="1"/>
    <col min="19" max="19" width="13.1640625" customWidth="1"/>
    <col min="20" max="20" width="13.5" customWidth="1"/>
    <col min="21" max="21" width="14.83203125" customWidth="1"/>
    <col min="22" max="22" width="15.6640625" customWidth="1"/>
    <col min="23" max="23" width="19.6640625" customWidth="1"/>
    <col min="24" max="24" width="15.83203125" customWidth="1"/>
    <col min="25" max="25" width="14" customWidth="1"/>
  </cols>
  <sheetData>
    <row r="1" spans="1:32" x14ac:dyDescent="0.2">
      <c r="A1" s="9" t="s">
        <v>15</v>
      </c>
      <c r="B1" s="9" t="s">
        <v>16</v>
      </c>
      <c r="C1" s="9" t="s">
        <v>17</v>
      </c>
      <c r="D1" s="9" t="s">
        <v>19</v>
      </c>
      <c r="E1" s="9" t="s">
        <v>75</v>
      </c>
      <c r="F1" s="9" t="s">
        <v>76</v>
      </c>
      <c r="G1" s="9" t="s">
        <v>22</v>
      </c>
      <c r="H1" s="9" t="s">
        <v>23</v>
      </c>
      <c r="I1" s="9" t="s">
        <v>24</v>
      </c>
      <c r="J1" s="9" t="s">
        <v>25</v>
      </c>
      <c r="K1" s="9" t="s">
        <v>26</v>
      </c>
      <c r="L1" s="9" t="s">
        <v>27</v>
      </c>
      <c r="M1" s="9" t="s">
        <v>28</v>
      </c>
      <c r="N1" s="9" t="s">
        <v>83</v>
      </c>
      <c r="O1" s="9" t="s">
        <v>29</v>
      </c>
      <c r="P1" s="5" t="s">
        <v>30</v>
      </c>
      <c r="Q1" s="9" t="s">
        <v>84</v>
      </c>
      <c r="R1" s="5" t="s">
        <v>91</v>
      </c>
      <c r="S1" s="9" t="s">
        <v>92</v>
      </c>
      <c r="T1" s="16" t="s">
        <v>93</v>
      </c>
      <c r="U1" s="9" t="s">
        <v>85</v>
      </c>
      <c r="V1" s="5" t="s">
        <v>86</v>
      </c>
      <c r="W1" s="5" t="s">
        <v>87</v>
      </c>
      <c r="X1" s="5" t="s">
        <v>88</v>
      </c>
      <c r="Y1" s="5" t="s">
        <v>94</v>
      </c>
      <c r="Z1" s="5" t="s">
        <v>89</v>
      </c>
      <c r="AA1" s="5" t="s">
        <v>94</v>
      </c>
      <c r="AB1" s="5" t="s">
        <v>95</v>
      </c>
      <c r="AC1" s="5" t="s">
        <v>96</v>
      </c>
      <c r="AD1" s="5" t="s">
        <v>97</v>
      </c>
      <c r="AE1" s="5" t="s">
        <v>98</v>
      </c>
      <c r="AF1" s="5" t="s">
        <v>99</v>
      </c>
    </row>
    <row r="2" spans="1:32" x14ac:dyDescent="0.2">
      <c r="A2" s="6" t="s">
        <v>31</v>
      </c>
      <c r="B2" s="6" t="s">
        <v>32</v>
      </c>
      <c r="C2" s="6" t="s">
        <v>33</v>
      </c>
      <c r="D2" s="6" t="s">
        <v>34</v>
      </c>
      <c r="E2" s="6">
        <v>750</v>
      </c>
      <c r="F2" s="6">
        <v>750</v>
      </c>
      <c r="G2" s="7" t="s">
        <v>35</v>
      </c>
      <c r="H2" s="7" t="s">
        <v>36</v>
      </c>
      <c r="I2" s="6" t="s">
        <v>37</v>
      </c>
      <c r="J2" s="7" t="s">
        <v>38</v>
      </c>
      <c r="K2" s="6">
        <v>100</v>
      </c>
      <c r="L2" s="6" t="s">
        <v>10</v>
      </c>
      <c r="M2" s="8">
        <v>4.1000000000000002E-2</v>
      </c>
      <c r="N2" s="6">
        <v>4.1000000000000002E-2</v>
      </c>
      <c r="O2" s="6" t="s">
        <v>4</v>
      </c>
      <c r="P2" s="38">
        <v>5.7360000000000001E-2</v>
      </c>
      <c r="Q2" s="13">
        <v>5.7360000000000001E-2</v>
      </c>
      <c r="R2" s="7">
        <f>EDATE(G2,6)</f>
        <v>44756</v>
      </c>
      <c r="S2" s="17">
        <f>WORKDAY(G2,3)</f>
        <v>44580</v>
      </c>
      <c r="T2">
        <f>Y2*2</f>
        <v>60</v>
      </c>
      <c r="U2" s="15">
        <f t="shared" ref="U2:U8" si="0">ACCRINT(G2,R2,S2,M2,1000,2,0,TRUE)</f>
        <v>0.56944444444444442</v>
      </c>
      <c r="V2" s="12">
        <f>W2-U2</f>
        <v>766.49688172469632</v>
      </c>
      <c r="W2" s="12">
        <f>-PV(P2/2,T2,(M2*1000)/2,1000,0)</f>
        <v>767.06632616914078</v>
      </c>
      <c r="X2" s="14">
        <f t="shared" ref="X2:X8" si="1">-PV(P2/2,T2*2,M2*1000)</f>
        <v>1381.5313851969217</v>
      </c>
      <c r="Y2">
        <f t="shared" ref="Y2:Y8" si="2">ROUNDDOWN(YEARFRAC(G2,H2,0),0)</f>
        <v>30</v>
      </c>
      <c r="Z2" s="15">
        <f>RATE(T2*2,N2*1000,-(W2-U2),K2*10,0)</f>
        <v>5.3521435139908494E-2</v>
      </c>
      <c r="AA2" s="18">
        <f>DURATION(S2,H2,M2*1000,P2,2,0)</f>
        <v>11.194972436668934</v>
      </c>
      <c r="AB2" s="15">
        <f>DURATION(S2,H2,M2*1000,P2+0.01,2,0)</f>
        <v>10.575671430194934</v>
      </c>
      <c r="AC2" s="15">
        <f>DURATION(S2,H2,M2*1000,P2-0.01,2,0)</f>
        <v>11.846300849584685</v>
      </c>
      <c r="AD2" s="15">
        <f t="shared" ref="AD2:AD8" si="3">(SUM(((Y2*(Y2+1)*(N2*1000))/(1+Q2)^Y2+2)+((T2*(T2+1)*1000)/(1+Q2)^T2+2))/(X2*(1+Q2)^2))</f>
        <v>88.060750535410705</v>
      </c>
      <c r="AE2" s="15">
        <f>-PV(P2+0.01,Y2,M2*1000,F2,0)</f>
        <v>628.66417822749031</v>
      </c>
      <c r="AF2" s="15">
        <f>-PV(P2-0.01,Y2,M2*1000,F2,0)</f>
        <v>836.83662931673632</v>
      </c>
    </row>
    <row r="3" spans="1:32" x14ac:dyDescent="0.2">
      <c r="A3" s="6" t="s">
        <v>39</v>
      </c>
      <c r="B3" s="6" t="s">
        <v>40</v>
      </c>
      <c r="C3" s="6" t="s">
        <v>41</v>
      </c>
      <c r="D3" s="6" t="s">
        <v>42</v>
      </c>
      <c r="E3" s="6">
        <v>2500</v>
      </c>
      <c r="F3" s="6">
        <v>2500</v>
      </c>
      <c r="G3" s="7">
        <v>44512</v>
      </c>
      <c r="H3" s="7">
        <v>48256</v>
      </c>
      <c r="I3" s="6" t="s">
        <v>37</v>
      </c>
      <c r="J3" s="7">
        <v>48164</v>
      </c>
      <c r="K3" s="6">
        <v>100</v>
      </c>
      <c r="L3" s="6" t="s">
        <v>10</v>
      </c>
      <c r="M3" s="8">
        <v>3.2500000000000001E-2</v>
      </c>
      <c r="N3" s="6">
        <v>3.2500000000000001E-2</v>
      </c>
      <c r="O3" s="6" t="s">
        <v>4</v>
      </c>
      <c r="P3" s="38">
        <v>3.9320000000000001E-2</v>
      </c>
      <c r="Q3" s="13">
        <v>3.9320000000000001E-2</v>
      </c>
      <c r="R3" s="7">
        <f t="shared" ref="R3:R8" si="4">EDATE(G3,6)</f>
        <v>44693</v>
      </c>
      <c r="S3" s="17">
        <f t="shared" ref="S3:S8" si="5">WORKDAY(G3,3)</f>
        <v>44517</v>
      </c>
      <c r="T3">
        <f t="shared" ref="T3:T8" si="6">Y3*2</f>
        <v>20</v>
      </c>
      <c r="U3" s="15">
        <f t="shared" si="0"/>
        <v>0.45138888888888884</v>
      </c>
      <c r="V3" s="12">
        <f t="shared" ref="V3:V8" si="7">W3-U3</f>
        <v>943.60684126193723</v>
      </c>
      <c r="W3" s="12">
        <f t="shared" ref="W3:W8" si="8">-PV(P3/2,T3,(M3*1000)/2,1000,0)</f>
        <v>944.05823015082615</v>
      </c>
      <c r="X3" s="14">
        <f t="shared" si="1"/>
        <v>894.37750018445342</v>
      </c>
      <c r="Y3">
        <f t="shared" si="2"/>
        <v>10</v>
      </c>
      <c r="Z3" s="15">
        <f t="shared" ref="Z3:Z8" si="9">RATE(T3*2,N3*1000,-(W3-U3),K3*10,0)</f>
        <v>3.5146752862817453E-2</v>
      </c>
      <c r="AA3" s="18">
        <f t="shared" ref="AA3:AA8" si="10">DURATION(S3,H3,M3*1000,P3,2,0)</f>
        <v>4.8929662398680707</v>
      </c>
      <c r="AB3" s="15">
        <f t="shared" ref="AB3:AB8" si="11">DURATION(S3,H3,M3*1000,P3+0.01,2,0)</f>
        <v>4.8037783712928581</v>
      </c>
      <c r="AC3" s="15">
        <f t="shared" ref="AC3:AC8" si="12">DURATION(S3,H3,M3*1000,P3-0.01,2,0)</f>
        <v>4.9829681801618841</v>
      </c>
      <c r="AD3" s="15">
        <f t="shared" si="3"/>
        <v>203.54271362474984</v>
      </c>
      <c r="AE3" s="15">
        <f t="shared" ref="AE3:AE8" si="13">-PV(P3+0.01,Y3,M3*1000,F3,0)</f>
        <v>1796.5453569139759</v>
      </c>
      <c r="AF3" s="15">
        <f t="shared" ref="AF3:AF8" si="14">-PV(P3-0.01,Y3,M3*1000,F3,0)</f>
        <v>2150.7568206853193</v>
      </c>
    </row>
    <row r="4" spans="1:32" x14ac:dyDescent="0.2">
      <c r="A4" s="6" t="s">
        <v>43</v>
      </c>
      <c r="B4" s="6" t="s">
        <v>44</v>
      </c>
      <c r="C4" s="6" t="s">
        <v>45</v>
      </c>
      <c r="D4" s="6" t="s">
        <v>46</v>
      </c>
      <c r="E4" s="6">
        <v>750</v>
      </c>
      <c r="F4" s="6">
        <v>750</v>
      </c>
      <c r="G4" s="7">
        <v>43719</v>
      </c>
      <c r="H4" s="7">
        <v>45546</v>
      </c>
      <c r="I4" s="6" t="s">
        <v>37</v>
      </c>
      <c r="J4" s="7">
        <v>45515</v>
      </c>
      <c r="K4" s="6">
        <v>100</v>
      </c>
      <c r="L4" s="6" t="s">
        <v>10</v>
      </c>
      <c r="M4" s="8">
        <v>1.7999999999999999E-2</v>
      </c>
      <c r="N4" s="6">
        <v>1.7999999999999999E-2</v>
      </c>
      <c r="O4" s="6" t="s">
        <v>4</v>
      </c>
      <c r="P4" s="38">
        <v>1.8270000000000002E-2</v>
      </c>
      <c r="Q4" s="13">
        <v>1.8270000000000002E-2</v>
      </c>
      <c r="R4" s="7">
        <f t="shared" si="4"/>
        <v>43901</v>
      </c>
      <c r="S4" s="17">
        <f t="shared" si="5"/>
        <v>43724</v>
      </c>
      <c r="T4">
        <f t="shared" si="6"/>
        <v>10</v>
      </c>
      <c r="U4" s="15">
        <f t="shared" si="0"/>
        <v>0.25</v>
      </c>
      <c r="V4" s="12">
        <f t="shared" si="7"/>
        <v>998.46542070372732</v>
      </c>
      <c r="W4" s="12">
        <f t="shared" si="8"/>
        <v>998.71542070372732</v>
      </c>
      <c r="X4" s="14">
        <f t="shared" si="1"/>
        <v>327.66651342436137</v>
      </c>
      <c r="Y4">
        <f t="shared" si="2"/>
        <v>5</v>
      </c>
      <c r="Z4" s="15">
        <f t="shared" si="9"/>
        <v>1.8092130812045814E-2</v>
      </c>
      <c r="AA4" s="18">
        <f t="shared" si="10"/>
        <v>2.722737559116057</v>
      </c>
      <c r="AB4" s="15">
        <f t="shared" si="11"/>
        <v>2.7020375217972288</v>
      </c>
      <c r="AC4" s="15">
        <f t="shared" si="12"/>
        <v>2.7435471271698946</v>
      </c>
      <c r="AD4" s="15">
        <f t="shared" si="3"/>
        <v>271.61378694819314</v>
      </c>
      <c r="AE4" s="15">
        <f t="shared" si="13"/>
        <v>735.26075931474384</v>
      </c>
      <c r="AF4" s="15">
        <f t="shared" si="14"/>
        <v>807.55180017259329</v>
      </c>
    </row>
    <row r="5" spans="1:32" x14ac:dyDescent="0.2">
      <c r="A5" s="6" t="s">
        <v>47</v>
      </c>
      <c r="B5" s="6" t="s">
        <v>48</v>
      </c>
      <c r="C5" s="6" t="s">
        <v>49</v>
      </c>
      <c r="D5" s="6" t="s">
        <v>77</v>
      </c>
      <c r="E5" s="6">
        <v>500</v>
      </c>
      <c r="F5" s="6">
        <v>500</v>
      </c>
      <c r="G5" s="7">
        <v>44571</v>
      </c>
      <c r="H5" s="7">
        <v>46395</v>
      </c>
      <c r="I5" s="6" t="s">
        <v>50</v>
      </c>
      <c r="J5" s="7" t="s">
        <v>90</v>
      </c>
      <c r="K5" s="6"/>
      <c r="L5" s="6"/>
      <c r="M5" s="8">
        <v>1.7000000000000001E-2</v>
      </c>
      <c r="N5" s="6">
        <v>1.7000000000000001E-2</v>
      </c>
      <c r="O5" s="6" t="s">
        <v>4</v>
      </c>
      <c r="P5" s="38">
        <v>1.847E-2</v>
      </c>
      <c r="Q5" s="13">
        <v>1.847E-2</v>
      </c>
      <c r="R5" s="7">
        <f t="shared" si="4"/>
        <v>44752</v>
      </c>
      <c r="S5" s="17">
        <f t="shared" si="5"/>
        <v>44574</v>
      </c>
      <c r="T5">
        <f t="shared" si="6"/>
        <v>8</v>
      </c>
      <c r="U5" s="15">
        <f t="shared" si="0"/>
        <v>0.14166666666666666</v>
      </c>
      <c r="V5" s="12">
        <f t="shared" si="7"/>
        <v>994.21535616015626</v>
      </c>
      <c r="W5" s="12">
        <f t="shared" si="8"/>
        <v>994.35702282682291</v>
      </c>
      <c r="X5" s="14">
        <f t="shared" si="1"/>
        <v>251.7817163727413</v>
      </c>
      <c r="Y5">
        <f t="shared" si="2"/>
        <v>4</v>
      </c>
      <c r="Z5" s="15">
        <f t="shared" si="9"/>
        <v>-0.12330235680055669</v>
      </c>
      <c r="AA5" s="18">
        <f t="shared" si="10"/>
        <v>2.7237257841712488</v>
      </c>
      <c r="AB5" s="15">
        <f t="shared" si="11"/>
        <v>2.7030093525715566</v>
      </c>
      <c r="AC5" s="15">
        <f t="shared" si="12"/>
        <v>2.7445517568797588</v>
      </c>
      <c r="AD5" s="15">
        <f t="shared" si="3"/>
        <v>239.36172180019588</v>
      </c>
      <c r="AE5" s="15">
        <f t="shared" si="13"/>
        <v>510.31549177430014</v>
      </c>
      <c r="AF5" s="15">
        <f t="shared" si="14"/>
        <v>549.99685210390942</v>
      </c>
    </row>
    <row r="6" spans="1:32" x14ac:dyDescent="0.2">
      <c r="A6" s="6" t="s">
        <v>51</v>
      </c>
      <c r="B6" s="6" t="s">
        <v>52</v>
      </c>
      <c r="C6" s="6" t="s">
        <v>53</v>
      </c>
      <c r="D6" s="6" t="s">
        <v>78</v>
      </c>
      <c r="E6" s="6">
        <v>450</v>
      </c>
      <c r="F6" s="6">
        <v>450</v>
      </c>
      <c r="G6" s="7" t="s">
        <v>54</v>
      </c>
      <c r="H6" s="7" t="s">
        <v>55</v>
      </c>
      <c r="I6" s="6" t="s">
        <v>37</v>
      </c>
      <c r="J6" s="7" t="s">
        <v>56</v>
      </c>
      <c r="K6" s="6">
        <v>100</v>
      </c>
      <c r="L6" s="6" t="s">
        <v>10</v>
      </c>
      <c r="M6" s="8">
        <v>2.5000000000000001E-2</v>
      </c>
      <c r="N6" s="6">
        <v>2.5000000000000001E-2</v>
      </c>
      <c r="O6" s="6" t="s">
        <v>4</v>
      </c>
      <c r="P6" s="38">
        <v>2.9819999999999999E-2</v>
      </c>
      <c r="Q6" s="13">
        <v>2.9819999999999999E-2</v>
      </c>
      <c r="R6" s="7">
        <f t="shared" si="4"/>
        <v>44768</v>
      </c>
      <c r="S6" s="17">
        <f t="shared" si="5"/>
        <v>44592</v>
      </c>
      <c r="T6">
        <f t="shared" si="6"/>
        <v>20</v>
      </c>
      <c r="U6" s="15">
        <f t="shared" si="0"/>
        <v>0.34722222222222221</v>
      </c>
      <c r="V6" s="12">
        <f t="shared" si="7"/>
        <v>958.23962568778222</v>
      </c>
      <c r="W6" s="12">
        <f t="shared" si="8"/>
        <v>958.58684791000439</v>
      </c>
      <c r="X6" s="14">
        <f t="shared" si="1"/>
        <v>749.12626335757375</v>
      </c>
      <c r="Y6">
        <f t="shared" si="2"/>
        <v>10</v>
      </c>
      <c r="Z6" s="15">
        <f t="shared" si="9"/>
        <v>2.6711891669054608E-2</v>
      </c>
      <c r="AA6" s="18">
        <f t="shared" si="10"/>
        <v>5.0076605836433634</v>
      </c>
      <c r="AB6" s="15">
        <f t="shared" si="11"/>
        <v>4.9258835382164783</v>
      </c>
      <c r="AC6" s="15">
        <f t="shared" si="12"/>
        <v>5.0900787877490048</v>
      </c>
      <c r="AD6" s="15">
        <f t="shared" si="3"/>
        <v>296.3130553254336</v>
      </c>
      <c r="AE6" s="15">
        <f t="shared" si="13"/>
        <v>507.48475150849845</v>
      </c>
      <c r="AF6" s="15">
        <f t="shared" si="14"/>
        <v>594.58508281239835</v>
      </c>
    </row>
    <row r="7" spans="1:32" x14ac:dyDescent="0.2">
      <c r="A7" s="6" t="s">
        <v>57</v>
      </c>
      <c r="B7" s="6" t="s">
        <v>58</v>
      </c>
      <c r="C7" s="6" t="s">
        <v>59</v>
      </c>
      <c r="D7" s="6" t="s">
        <v>79</v>
      </c>
      <c r="E7" s="6">
        <v>749</v>
      </c>
      <c r="F7" s="6">
        <v>749</v>
      </c>
      <c r="G7" s="7" t="s">
        <v>60</v>
      </c>
      <c r="H7" s="7" t="s">
        <v>61</v>
      </c>
      <c r="I7" s="6" t="s">
        <v>37</v>
      </c>
      <c r="J7" s="7" t="s">
        <v>62</v>
      </c>
      <c r="K7" s="6">
        <v>100</v>
      </c>
      <c r="L7" s="6" t="s">
        <v>10</v>
      </c>
      <c r="M7" s="8">
        <v>6.2E-2</v>
      </c>
      <c r="N7" s="6">
        <v>6.2E-2</v>
      </c>
      <c r="O7" s="6" t="s">
        <v>4</v>
      </c>
      <c r="P7" s="38">
        <v>5.9130000000000002E-2</v>
      </c>
      <c r="Q7" s="13">
        <v>5.9130000000000002E-2</v>
      </c>
      <c r="R7" s="7">
        <f t="shared" si="4"/>
        <v>44576</v>
      </c>
      <c r="S7" s="17">
        <f t="shared" si="5"/>
        <v>44397</v>
      </c>
      <c r="T7">
        <f t="shared" si="6"/>
        <v>18</v>
      </c>
      <c r="U7" s="15">
        <f t="shared" si="0"/>
        <v>0.86111111111111105</v>
      </c>
      <c r="V7" s="12">
        <f t="shared" si="7"/>
        <v>1018.9479602367968</v>
      </c>
      <c r="W7" s="12">
        <f t="shared" si="8"/>
        <v>1019.8090713479079</v>
      </c>
      <c r="X7" s="14">
        <f t="shared" si="1"/>
        <v>1362.4283177966417</v>
      </c>
      <c r="Y7">
        <f t="shared" si="2"/>
        <v>9</v>
      </c>
      <c r="Z7" s="15">
        <f t="shared" si="9"/>
        <v>6.0693335266394588E-2</v>
      </c>
      <c r="AA7" s="18">
        <f t="shared" si="10"/>
        <v>4.3521846251563971</v>
      </c>
      <c r="AB7" s="15">
        <f t="shared" si="11"/>
        <v>4.2878286638809913</v>
      </c>
      <c r="AC7" s="15">
        <f t="shared" si="12"/>
        <v>4.4171490805745197</v>
      </c>
      <c r="AD7" s="15">
        <f t="shared" si="3"/>
        <v>81.745631322872271</v>
      </c>
      <c r="AE7" s="15">
        <f t="shared" si="13"/>
        <v>815.84346476215512</v>
      </c>
      <c r="AF7" s="15">
        <f t="shared" si="14"/>
        <v>928.82471911872176</v>
      </c>
    </row>
    <row r="8" spans="1:32" x14ac:dyDescent="0.2">
      <c r="A8" s="41" t="s">
        <v>63</v>
      </c>
      <c r="B8" s="41" t="s">
        <v>64</v>
      </c>
      <c r="C8" s="41" t="s">
        <v>65</v>
      </c>
      <c r="D8" s="41" t="s">
        <v>66</v>
      </c>
      <c r="E8" s="44">
        <v>900</v>
      </c>
      <c r="F8" s="41">
        <v>720</v>
      </c>
      <c r="G8" s="7" t="s">
        <v>67</v>
      </c>
      <c r="H8" s="7" t="s">
        <v>68</v>
      </c>
      <c r="I8" s="6" t="s">
        <v>37</v>
      </c>
      <c r="J8" s="7" t="s">
        <v>69</v>
      </c>
      <c r="K8" s="6">
        <v>103.313</v>
      </c>
      <c r="L8" s="41" t="s">
        <v>10</v>
      </c>
      <c r="M8" s="40">
        <v>6.6250000000000003E-2</v>
      </c>
      <c r="N8" s="41">
        <v>6.6250000000000003E-2</v>
      </c>
      <c r="O8" s="6" t="s">
        <v>4</v>
      </c>
      <c r="P8" s="38">
        <v>6.5920000000000006E-2</v>
      </c>
      <c r="Q8" s="13">
        <v>6.5920000000000006E-2</v>
      </c>
      <c r="R8" s="7">
        <f t="shared" si="4"/>
        <v>44408</v>
      </c>
      <c r="S8" s="17">
        <f t="shared" si="5"/>
        <v>44230</v>
      </c>
      <c r="T8">
        <f t="shared" si="6"/>
        <v>16</v>
      </c>
      <c r="U8" s="15">
        <f t="shared" si="0"/>
        <v>0.55208333333333337</v>
      </c>
      <c r="V8" s="12">
        <f t="shared" si="7"/>
        <v>1001.4743660647766</v>
      </c>
      <c r="W8" s="12">
        <f t="shared" si="8"/>
        <v>1002.02644939811</v>
      </c>
      <c r="X8" s="14">
        <f t="shared" si="1"/>
        <v>1297.9358222528836</v>
      </c>
      <c r="Y8">
        <f t="shared" si="2"/>
        <v>8</v>
      </c>
      <c r="Z8" s="15">
        <f t="shared" si="9"/>
        <v>6.6459666993034461E-2</v>
      </c>
      <c r="AA8" s="18">
        <f t="shared" si="10"/>
        <v>3.904635804957461</v>
      </c>
      <c r="AB8" s="15">
        <f t="shared" si="11"/>
        <v>3.8539599082512237</v>
      </c>
      <c r="AC8" s="15">
        <f t="shared" si="12"/>
        <v>3.9557613461138792</v>
      </c>
      <c r="AD8" s="15">
        <f t="shared" si="3"/>
        <v>68.359678994065845</v>
      </c>
      <c r="AE8" s="15">
        <f t="shared" si="13"/>
        <v>787.63328615625801</v>
      </c>
      <c r="AF8" s="15">
        <f t="shared" si="14"/>
        <v>884.01609668011679</v>
      </c>
    </row>
    <row r="9" spans="1:32" x14ac:dyDescent="0.2">
      <c r="A9" s="41"/>
      <c r="B9" s="41"/>
      <c r="C9" s="41"/>
      <c r="D9" s="41"/>
      <c r="E9" s="44"/>
      <c r="F9" s="41"/>
      <c r="G9" s="7" t="s">
        <v>67</v>
      </c>
      <c r="H9" s="7" t="s">
        <v>68</v>
      </c>
      <c r="I9" s="6" t="s">
        <v>37</v>
      </c>
      <c r="J9" s="7" t="s">
        <v>70</v>
      </c>
      <c r="K9" s="6">
        <v>101.65600000000001</v>
      </c>
      <c r="L9" s="41"/>
      <c r="M9" s="40"/>
      <c r="N9" s="41"/>
      <c r="O9" s="6" t="s">
        <v>4</v>
      </c>
      <c r="P9" s="11"/>
      <c r="Q9" s="13"/>
      <c r="R9" s="7"/>
      <c r="S9" s="17"/>
      <c r="U9" s="15"/>
      <c r="V9" s="12"/>
      <c r="W9" s="12"/>
      <c r="X9" s="14"/>
      <c r="Z9" s="15"/>
      <c r="AA9" s="18"/>
      <c r="AB9" s="15"/>
      <c r="AC9" s="15"/>
      <c r="AD9" s="15"/>
      <c r="AE9" s="15"/>
      <c r="AF9" s="15"/>
    </row>
    <row r="10" spans="1:32" x14ac:dyDescent="0.2">
      <c r="A10" s="41"/>
      <c r="B10" s="41"/>
      <c r="C10" s="41"/>
      <c r="D10" s="41"/>
      <c r="E10" s="44"/>
      <c r="F10" s="41"/>
      <c r="G10" s="7" t="s">
        <v>67</v>
      </c>
      <c r="H10" s="7" t="s">
        <v>68</v>
      </c>
      <c r="I10" s="6" t="s">
        <v>37</v>
      </c>
      <c r="J10" s="7" t="s">
        <v>71</v>
      </c>
      <c r="K10" s="6">
        <v>100</v>
      </c>
      <c r="L10" s="41"/>
      <c r="M10" s="40"/>
      <c r="N10" s="41"/>
      <c r="O10" s="6" t="s">
        <v>4</v>
      </c>
      <c r="P10" s="11"/>
      <c r="Q10" s="13"/>
      <c r="R10" s="7"/>
      <c r="S10" s="17"/>
      <c r="U10" s="15"/>
      <c r="V10" s="12"/>
      <c r="W10" s="12"/>
      <c r="X10" s="14"/>
      <c r="Z10" s="15"/>
      <c r="AA10" s="18"/>
      <c r="AB10" s="15"/>
      <c r="AC10" s="15"/>
      <c r="AD10" s="15"/>
      <c r="AE10" s="15"/>
      <c r="AF10" s="15"/>
    </row>
    <row r="11" spans="1:32" x14ac:dyDescent="0.2">
      <c r="AD11" s="15"/>
      <c r="AE11" s="12"/>
    </row>
    <row r="12" spans="1:32" ht="20" x14ac:dyDescent="0.2">
      <c r="U12" s="12"/>
      <c r="V12" s="12"/>
      <c r="W12" s="21"/>
      <c r="AD12" s="15"/>
    </row>
    <row r="13" spans="1:32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L13" s="19"/>
      <c r="Q13" s="19"/>
      <c r="R13" s="19"/>
      <c r="S13" s="19"/>
      <c r="U13" s="12"/>
      <c r="V13" s="12"/>
      <c r="AD13" s="15"/>
    </row>
    <row r="14" spans="1:32" x14ac:dyDescent="0.2">
      <c r="A14" s="43" t="s">
        <v>100</v>
      </c>
      <c r="B14" s="43"/>
      <c r="C14" s="43"/>
      <c r="D14" s="43"/>
      <c r="E14" s="43"/>
      <c r="F14" s="43"/>
      <c r="G14" s="43"/>
      <c r="H14" s="43"/>
      <c r="I14" s="43"/>
      <c r="J14" s="43"/>
      <c r="Q14" s="19"/>
      <c r="R14" s="19"/>
      <c r="S14" s="19"/>
      <c r="U14" s="12"/>
      <c r="V14" s="12"/>
      <c r="AD14" s="15"/>
    </row>
    <row r="15" spans="1:32" x14ac:dyDescent="0.2">
      <c r="A15" s="5" t="s">
        <v>101</v>
      </c>
      <c r="B15" s="5" t="s">
        <v>15</v>
      </c>
      <c r="C15" s="5" t="s">
        <v>28</v>
      </c>
      <c r="D15" s="5" t="s">
        <v>30</v>
      </c>
      <c r="E15" s="5" t="s">
        <v>102</v>
      </c>
      <c r="F15" s="5" t="s">
        <v>103</v>
      </c>
      <c r="G15" s="5" t="s">
        <v>104</v>
      </c>
      <c r="H15" s="5" t="s">
        <v>105</v>
      </c>
      <c r="I15" s="5" t="s">
        <v>94</v>
      </c>
      <c r="J15" s="5" t="s">
        <v>106</v>
      </c>
      <c r="Q15" s="19"/>
      <c r="R15" s="19"/>
      <c r="S15" s="19"/>
      <c r="U15" s="12"/>
      <c r="V15" s="12"/>
      <c r="AD15" s="15"/>
    </row>
    <row r="16" spans="1:32" x14ac:dyDescent="0.2">
      <c r="A16" s="22" t="s">
        <v>33</v>
      </c>
      <c r="B16" s="22" t="s">
        <v>31</v>
      </c>
      <c r="C16" s="23">
        <v>4.1000000000000002E-2</v>
      </c>
      <c r="D16" s="24">
        <v>5.7360000000000001E-2</v>
      </c>
      <c r="E16">
        <v>150000</v>
      </c>
      <c r="F16" s="25">
        <f>E16/1000000</f>
        <v>0.15</v>
      </c>
      <c r="G16">
        <f>E16*C16</f>
        <v>6150</v>
      </c>
      <c r="H16" s="25">
        <f>F16*D16</f>
        <v>8.6040000000000005E-3</v>
      </c>
      <c r="I16" s="15">
        <f>DURATION(S2,H2,G16,P2,2,0)</f>
        <v>11.189110234569382</v>
      </c>
      <c r="J16" s="12">
        <f>F16*AD2</f>
        <v>13.209112580311606</v>
      </c>
      <c r="Q16" s="19"/>
      <c r="R16" s="19"/>
      <c r="S16" s="19"/>
      <c r="U16" s="12"/>
      <c r="V16" s="12"/>
      <c r="AD16" s="15"/>
    </row>
    <row r="17" spans="1:22" x14ac:dyDescent="0.2">
      <c r="A17" s="22" t="s">
        <v>41</v>
      </c>
      <c r="B17" s="22" t="s">
        <v>39</v>
      </c>
      <c r="C17" s="23">
        <v>3.2500000000000001E-2</v>
      </c>
      <c r="D17" s="24">
        <v>3.9320000000000001E-2</v>
      </c>
      <c r="E17">
        <v>250000</v>
      </c>
      <c r="F17" s="25">
        <f t="shared" ref="F17:F22" si="15">E17/1000000</f>
        <v>0.25</v>
      </c>
      <c r="G17">
        <f t="shared" ref="G17:H22" si="16">E17*C17</f>
        <v>8125</v>
      </c>
      <c r="H17" s="25">
        <f t="shared" si="16"/>
        <v>9.8300000000000002E-3</v>
      </c>
      <c r="I17" s="15">
        <f t="shared" ref="I17:I22" si="17">DURATION(S3,H3,G17,P3,2,0)</f>
        <v>4.8802191276057165</v>
      </c>
      <c r="J17" s="12">
        <f>F17*AD3</f>
        <v>50.885678406187459</v>
      </c>
      <c r="Q17" s="19"/>
      <c r="R17" s="19"/>
      <c r="S17" s="19"/>
      <c r="U17" s="12"/>
      <c r="V17" s="12"/>
    </row>
    <row r="18" spans="1:22" x14ac:dyDescent="0.2">
      <c r="A18" s="22" t="s">
        <v>45</v>
      </c>
      <c r="B18" s="22" t="s">
        <v>43</v>
      </c>
      <c r="C18" s="23">
        <v>1.7999999999999999E-2</v>
      </c>
      <c r="D18" s="24">
        <v>1.8270000000000002E-2</v>
      </c>
      <c r="E18">
        <v>50000</v>
      </c>
      <c r="F18" s="25">
        <f t="shared" si="15"/>
        <v>0.05</v>
      </c>
      <c r="G18">
        <f t="shared" si="16"/>
        <v>899.99999999999989</v>
      </c>
      <c r="H18" s="25">
        <f t="shared" si="16"/>
        <v>9.1350000000000014E-4</v>
      </c>
      <c r="I18" s="15">
        <f t="shared" si="17"/>
        <v>2.6990932100091496</v>
      </c>
      <c r="J18" s="12">
        <f t="shared" ref="J18:J21" si="18">F18*AD4</f>
        <v>13.580689347409658</v>
      </c>
      <c r="Q18" s="19"/>
      <c r="R18" s="19"/>
      <c r="S18" s="20"/>
      <c r="U18" s="12"/>
      <c r="V18" s="12"/>
    </row>
    <row r="19" spans="1:22" x14ac:dyDescent="0.2">
      <c r="A19" s="22" t="s">
        <v>49</v>
      </c>
      <c r="B19" s="22" t="s">
        <v>47</v>
      </c>
      <c r="C19" s="23">
        <v>1.7000000000000001E-2</v>
      </c>
      <c r="D19" s="24">
        <v>1.847E-2</v>
      </c>
      <c r="E19">
        <v>100000</v>
      </c>
      <c r="F19" s="25">
        <f t="shared" si="15"/>
        <v>0.1</v>
      </c>
      <c r="G19">
        <f t="shared" si="16"/>
        <v>1700.0000000000002</v>
      </c>
      <c r="H19" s="25">
        <f t="shared" si="16"/>
        <v>1.8470000000000001E-3</v>
      </c>
      <c r="I19" s="15">
        <f t="shared" si="17"/>
        <v>2.6984550941474357</v>
      </c>
      <c r="J19" s="12">
        <f t="shared" si="18"/>
        <v>23.936172180019589</v>
      </c>
      <c r="Q19" s="19"/>
      <c r="R19" s="19"/>
      <c r="S19" s="20"/>
      <c r="U19" s="12"/>
      <c r="V19" s="12"/>
    </row>
    <row r="20" spans="1:22" x14ac:dyDescent="0.2">
      <c r="A20" s="22" t="s">
        <v>53</v>
      </c>
      <c r="B20" s="22" t="s">
        <v>51</v>
      </c>
      <c r="C20" s="23">
        <v>2.5000000000000001E-2</v>
      </c>
      <c r="D20" s="24">
        <v>2.9819999999999999E-2</v>
      </c>
      <c r="E20">
        <v>100000</v>
      </c>
      <c r="F20" s="25">
        <f t="shared" si="15"/>
        <v>0.1</v>
      </c>
      <c r="G20">
        <f t="shared" si="16"/>
        <v>2500</v>
      </c>
      <c r="H20" s="25">
        <f t="shared" si="16"/>
        <v>2.9820000000000003E-3</v>
      </c>
      <c r="I20" s="15">
        <f t="shared" si="17"/>
        <v>4.9905945553621818</v>
      </c>
      <c r="J20" s="12">
        <f t="shared" si="18"/>
        <v>29.631305532543362</v>
      </c>
      <c r="Q20" s="19"/>
      <c r="R20" s="19"/>
      <c r="S20" s="20"/>
      <c r="U20" s="12"/>
      <c r="V20" s="12"/>
    </row>
    <row r="21" spans="1:22" x14ac:dyDescent="0.2">
      <c r="A21" s="22" t="s">
        <v>59</v>
      </c>
      <c r="B21" s="22" t="s">
        <v>57</v>
      </c>
      <c r="C21" s="23">
        <v>6.2E-2</v>
      </c>
      <c r="D21" s="24">
        <v>5.9130000000000002E-2</v>
      </c>
      <c r="E21">
        <v>200000</v>
      </c>
      <c r="F21" s="25">
        <f t="shared" si="15"/>
        <v>0.2</v>
      </c>
      <c r="G21">
        <f t="shared" si="16"/>
        <v>12400</v>
      </c>
      <c r="H21" s="25">
        <f t="shared" si="16"/>
        <v>1.1826000000000001E-2</v>
      </c>
      <c r="I21" s="15">
        <f t="shared" si="17"/>
        <v>4.3458074632660484</v>
      </c>
      <c r="J21" s="12">
        <f t="shared" si="18"/>
        <v>16.349126264574455</v>
      </c>
    </row>
    <row r="22" spans="1:22" x14ac:dyDescent="0.2">
      <c r="A22" s="22" t="s">
        <v>65</v>
      </c>
      <c r="B22" s="22" t="s">
        <v>63</v>
      </c>
      <c r="C22" s="26">
        <v>6.6250000000000003E-2</v>
      </c>
      <c r="D22" s="24">
        <v>6.5920000000000006E-2</v>
      </c>
      <c r="E22">
        <v>150000</v>
      </c>
      <c r="F22" s="25">
        <f t="shared" si="15"/>
        <v>0.15</v>
      </c>
      <c r="G22">
        <f t="shared" si="16"/>
        <v>9937.5</v>
      </c>
      <c r="H22" s="25">
        <f t="shared" si="16"/>
        <v>9.888000000000001E-3</v>
      </c>
      <c r="I22" s="15">
        <f t="shared" si="17"/>
        <v>3.8986962361972957</v>
      </c>
      <c r="J22" s="12">
        <f>F22*AD8</f>
        <v>10.253951849109876</v>
      </c>
    </row>
    <row r="23" spans="1:22" x14ac:dyDescent="0.2">
      <c r="A23" s="27"/>
      <c r="B23" s="27"/>
      <c r="E23" s="37">
        <f>SUM(E16:E22)</f>
        <v>1000000</v>
      </c>
      <c r="F23" s="37">
        <f>SUM(F16:F22)</f>
        <v>1</v>
      </c>
      <c r="G23" s="37">
        <f>SUM(G16:G22)</f>
        <v>41712.5</v>
      </c>
      <c r="H23" s="28"/>
      <c r="J23" s="12"/>
    </row>
    <row r="24" spans="1:22" ht="17" thickBot="1" x14ac:dyDescent="0.25"/>
    <row r="25" spans="1:22" x14ac:dyDescent="0.2">
      <c r="A25" s="30" t="s">
        <v>107</v>
      </c>
      <c r="B25" s="33">
        <f>G23/E23</f>
        <v>4.17125E-2</v>
      </c>
    </row>
    <row r="26" spans="1:22" x14ac:dyDescent="0.2">
      <c r="A26" s="31" t="s">
        <v>108</v>
      </c>
      <c r="B26" s="34">
        <f>SUM(H16:H22)</f>
        <v>4.5890500000000008E-2</v>
      </c>
    </row>
    <row r="27" spans="1:22" x14ac:dyDescent="0.2">
      <c r="A27" s="31" t="s">
        <v>109</v>
      </c>
      <c r="B27" s="35">
        <f>SUM(I16:I22)</f>
        <v>34.701975921157214</v>
      </c>
    </row>
    <row r="28" spans="1:22" ht="17" thickBot="1" x14ac:dyDescent="0.25">
      <c r="A28" s="32" t="s">
        <v>110</v>
      </c>
      <c r="B28" s="36">
        <f>SUM(J16:J22)</f>
        <v>157.84603616015602</v>
      </c>
    </row>
  </sheetData>
  <mergeCells count="10">
    <mergeCell ref="F8:F10"/>
    <mergeCell ref="L8:L10"/>
    <mergeCell ref="M8:M10"/>
    <mergeCell ref="N8:N10"/>
    <mergeCell ref="A14:J14"/>
    <mergeCell ref="A8:A10"/>
    <mergeCell ref="B8:B10"/>
    <mergeCell ref="C8:C10"/>
    <mergeCell ref="D8:D10"/>
    <mergeCell ref="E8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818D-5924-4A49-8EE3-00E2999D4649}">
  <dimension ref="A1:T25"/>
  <sheetViews>
    <sheetView tabSelected="1" topLeftCell="H1" zoomScaleNormal="110" workbookViewId="0">
      <selection activeCell="W11" sqref="W11"/>
    </sheetView>
  </sheetViews>
  <sheetFormatPr baseColWidth="10" defaultColWidth="11.1640625" defaultRowHeight="16" x14ac:dyDescent="0.2"/>
  <cols>
    <col min="1" max="1" width="17.33203125" customWidth="1"/>
    <col min="2" max="2" width="25.1640625" customWidth="1"/>
    <col min="3" max="3" width="28.1640625" customWidth="1"/>
    <col min="6" max="6" width="24.1640625" customWidth="1"/>
    <col min="7" max="7" width="26.1640625" customWidth="1"/>
    <col min="9" max="9" width="15" bestFit="1" customWidth="1"/>
    <col min="10" max="10" width="23.1640625" bestFit="1" customWidth="1"/>
    <col min="13" max="13" width="11.83203125" bestFit="1" customWidth="1"/>
    <col min="17" max="17" width="18.1640625" bestFit="1" customWidth="1"/>
    <col min="20" max="20" width="18" bestFit="1" customWidth="1"/>
  </cols>
  <sheetData>
    <row r="1" spans="1:20" s="5" customFormat="1" ht="17" x14ac:dyDescent="0.2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30</v>
      </c>
      <c r="Q1" s="39" t="s">
        <v>85</v>
      </c>
      <c r="R1" s="39" t="s">
        <v>86</v>
      </c>
      <c r="S1" s="39" t="s">
        <v>87</v>
      </c>
      <c r="T1" s="5" t="s">
        <v>111</v>
      </c>
    </row>
    <row r="2" spans="1:20" ht="17" x14ac:dyDescent="0.2">
      <c r="A2" s="45" t="s">
        <v>0</v>
      </c>
      <c r="B2" s="45" t="s">
        <v>72</v>
      </c>
      <c r="C2" s="45" t="s">
        <v>1</v>
      </c>
      <c r="D2" s="45" t="s">
        <v>2</v>
      </c>
      <c r="E2" s="45" t="s">
        <v>80</v>
      </c>
      <c r="F2" s="45">
        <v>1725</v>
      </c>
      <c r="G2" s="45">
        <v>589</v>
      </c>
      <c r="H2" s="50">
        <v>43965</v>
      </c>
      <c r="I2" s="50">
        <v>54742</v>
      </c>
      <c r="J2" s="45" t="s">
        <v>3</v>
      </c>
      <c r="K2" s="1">
        <v>54011</v>
      </c>
      <c r="L2" s="2">
        <v>100</v>
      </c>
      <c r="M2" s="10" t="s">
        <v>73</v>
      </c>
      <c r="N2" s="49">
        <v>5.1749999999999997E-2</v>
      </c>
      <c r="O2" s="45" t="s">
        <v>4</v>
      </c>
      <c r="P2" s="49">
        <v>5.475E-2</v>
      </c>
      <c r="Q2">
        <f ca="1">N2/2*YEARFRAC(TODAY(),I2,0)</f>
        <v>0.66089062499999995</v>
      </c>
      <c r="R2" s="12">
        <f>-PV(P2/2,(I2-H2)*2,N2*1000/2,1000,0)</f>
        <v>945.20547945205476</v>
      </c>
      <c r="S2" s="12">
        <f ca="1">Q2+R2</f>
        <v>945.86637007705474</v>
      </c>
      <c r="T2">
        <f>P2/(1-0.17)</f>
        <v>6.5963855421686757E-2</v>
      </c>
    </row>
    <row r="3" spans="1:20" ht="17" x14ac:dyDescent="0.2">
      <c r="A3" s="45"/>
      <c r="B3" s="45"/>
      <c r="C3" s="45"/>
      <c r="D3" s="45"/>
      <c r="E3" s="45"/>
      <c r="F3" s="45"/>
      <c r="G3" s="45"/>
      <c r="H3" s="50"/>
      <c r="I3" s="50"/>
      <c r="J3" s="45"/>
      <c r="K3" s="1">
        <v>54377</v>
      </c>
      <c r="L3" s="3">
        <v>100</v>
      </c>
      <c r="M3" s="10" t="s">
        <v>73</v>
      </c>
      <c r="N3" s="49"/>
      <c r="O3" s="45"/>
      <c r="P3" s="49"/>
      <c r="R3" s="12"/>
    </row>
    <row r="4" spans="1:20" ht="34" x14ac:dyDescent="0.2">
      <c r="A4" s="45"/>
      <c r="B4" s="45"/>
      <c r="C4" s="45"/>
      <c r="D4" s="45"/>
      <c r="E4" s="45"/>
      <c r="F4" s="45"/>
      <c r="G4" s="45"/>
      <c r="H4" s="50"/>
      <c r="I4" s="50"/>
      <c r="J4" s="45"/>
      <c r="K4" s="1">
        <v>54742</v>
      </c>
      <c r="L4" s="3">
        <v>100</v>
      </c>
      <c r="M4" s="10" t="s">
        <v>74</v>
      </c>
      <c r="N4" s="49"/>
      <c r="O4" s="45"/>
      <c r="P4" s="49"/>
      <c r="R4" s="12"/>
    </row>
    <row r="5" spans="1:20" x14ac:dyDescent="0.2">
      <c r="A5" s="45" t="s">
        <v>5</v>
      </c>
      <c r="B5" s="45" t="s">
        <v>81</v>
      </c>
      <c r="C5" s="45" t="s">
        <v>6</v>
      </c>
      <c r="D5" s="45" t="s">
        <v>7</v>
      </c>
      <c r="E5" s="45" t="s">
        <v>8</v>
      </c>
      <c r="F5" s="45">
        <v>2147</v>
      </c>
      <c r="G5" s="45">
        <v>600</v>
      </c>
      <c r="H5" s="50">
        <v>43215</v>
      </c>
      <c r="I5" s="50">
        <v>48670</v>
      </c>
      <c r="J5" s="45" t="s">
        <v>9</v>
      </c>
      <c r="K5" s="1">
        <v>46844</v>
      </c>
      <c r="L5" s="3">
        <v>100</v>
      </c>
      <c r="M5" s="3" t="s">
        <v>10</v>
      </c>
      <c r="N5" s="46">
        <v>4.4999999999999998E-2</v>
      </c>
      <c r="O5" s="47" t="s">
        <v>4</v>
      </c>
      <c r="P5" s="48">
        <v>4.6199999999999998E-2</v>
      </c>
      <c r="Q5">
        <f ca="1">N5/2*YEARFRAC(TODAY(),I5,0)</f>
        <v>0.20068749999999999</v>
      </c>
      <c r="R5" s="12">
        <f t="shared" ref="R5:R10" si="0">-PV(P5/2,(I5-H5)*2,N5*1000/2,1000,0)</f>
        <v>974.02597402597394</v>
      </c>
      <c r="S5" s="12">
        <f ca="1">Q5+R5</f>
        <v>974.2266615259739</v>
      </c>
      <c r="T5">
        <f>P5/(1-0.17)</f>
        <v>5.5662650602409637E-2</v>
      </c>
    </row>
    <row r="6" spans="1:20" x14ac:dyDescent="0.2">
      <c r="A6" s="45"/>
      <c r="B6" s="45"/>
      <c r="C6" s="45"/>
      <c r="D6" s="45"/>
      <c r="E6" s="45"/>
      <c r="F6" s="45"/>
      <c r="G6" s="45"/>
      <c r="H6" s="50"/>
      <c r="I6" s="50"/>
      <c r="J6" s="45"/>
      <c r="K6" s="1">
        <v>47209</v>
      </c>
      <c r="L6" s="3">
        <v>100</v>
      </c>
      <c r="M6" s="3" t="s">
        <v>10</v>
      </c>
      <c r="N6" s="47"/>
      <c r="O6" s="47"/>
      <c r="P6" s="48"/>
      <c r="R6" s="12"/>
    </row>
    <row r="7" spans="1:20" x14ac:dyDescent="0.2">
      <c r="A7" s="45"/>
      <c r="B7" s="45"/>
      <c r="C7" s="45"/>
      <c r="D7" s="45"/>
      <c r="E7" s="45"/>
      <c r="F7" s="45"/>
      <c r="G7" s="45"/>
      <c r="H7" s="50"/>
      <c r="I7" s="50"/>
      <c r="J7" s="45"/>
      <c r="K7" s="1">
        <v>47574</v>
      </c>
      <c r="L7" s="3">
        <v>100</v>
      </c>
      <c r="M7" s="3" t="s">
        <v>10</v>
      </c>
      <c r="N7" s="47"/>
      <c r="O7" s="47"/>
      <c r="P7" s="48"/>
      <c r="R7" s="12"/>
    </row>
    <row r="8" spans="1:20" x14ac:dyDescent="0.2">
      <c r="A8" s="45"/>
      <c r="B8" s="45"/>
      <c r="C8" s="45"/>
      <c r="D8" s="45"/>
      <c r="E8" s="45"/>
      <c r="F8" s="45"/>
      <c r="G8" s="45"/>
      <c r="H8" s="50"/>
      <c r="I8" s="50"/>
      <c r="J8" s="45"/>
      <c r="K8" s="1">
        <v>47939</v>
      </c>
      <c r="L8" s="3">
        <v>100</v>
      </c>
      <c r="M8" s="3" t="s">
        <v>10</v>
      </c>
      <c r="N8" s="47"/>
      <c r="O8" s="47"/>
      <c r="P8" s="48"/>
      <c r="R8" s="12"/>
    </row>
    <row r="9" spans="1:20" x14ac:dyDescent="0.2">
      <c r="A9" s="45"/>
      <c r="B9" s="45"/>
      <c r="C9" s="45"/>
      <c r="D9" s="45"/>
      <c r="E9" s="45"/>
      <c r="F9" s="45"/>
      <c r="G9" s="45"/>
      <c r="H9" s="50"/>
      <c r="I9" s="50"/>
      <c r="J9" s="45"/>
      <c r="K9" s="1">
        <v>48305</v>
      </c>
      <c r="L9" s="3">
        <v>100</v>
      </c>
      <c r="M9" s="3" t="s">
        <v>10</v>
      </c>
      <c r="N9" s="47"/>
      <c r="O9" s="47"/>
      <c r="P9" s="48"/>
      <c r="R9" s="12"/>
    </row>
    <row r="10" spans="1:20" x14ac:dyDescent="0.2">
      <c r="A10" s="47" t="s">
        <v>11</v>
      </c>
      <c r="B10" s="47" t="s">
        <v>82</v>
      </c>
      <c r="C10" s="47" t="s">
        <v>12</v>
      </c>
      <c r="D10" s="47" t="s">
        <v>7</v>
      </c>
      <c r="E10" s="47" t="s">
        <v>13</v>
      </c>
      <c r="F10" s="47">
        <v>300</v>
      </c>
      <c r="G10" s="47">
        <v>300</v>
      </c>
      <c r="H10" s="50">
        <v>44434</v>
      </c>
      <c r="I10" s="50">
        <v>53905</v>
      </c>
      <c r="J10" s="47" t="s">
        <v>14</v>
      </c>
      <c r="K10" s="1">
        <v>48061</v>
      </c>
      <c r="L10" s="3">
        <v>100</v>
      </c>
      <c r="M10" s="47" t="s">
        <v>10</v>
      </c>
      <c r="N10" s="51">
        <v>0.05</v>
      </c>
      <c r="O10" s="47" t="s">
        <v>4</v>
      </c>
      <c r="P10" s="48">
        <v>4.6429999999999999E-2</v>
      </c>
      <c r="Q10">
        <f ca="1">N10/2*YEARFRAC(TODAY(),I10,0)</f>
        <v>0.58131944444444439</v>
      </c>
      <c r="R10" s="12">
        <f t="shared" si="0"/>
        <v>1076.8899418479432</v>
      </c>
      <c r="S10" s="12">
        <f ca="1">Q10+R10</f>
        <v>1077.4712612923877</v>
      </c>
      <c r="T10">
        <f>P10/(1-0)</f>
        <v>4.6429999999999999E-2</v>
      </c>
    </row>
    <row r="11" spans="1:20" x14ac:dyDescent="0.2">
      <c r="A11" s="47"/>
      <c r="B11" s="47"/>
      <c r="C11" s="47"/>
      <c r="D11" s="47"/>
      <c r="E11" s="47"/>
      <c r="F11" s="47"/>
      <c r="G11" s="47"/>
      <c r="H11" s="50"/>
      <c r="I11" s="50"/>
      <c r="J11" s="47"/>
      <c r="K11" s="1">
        <v>48427</v>
      </c>
      <c r="L11" s="3">
        <v>100</v>
      </c>
      <c r="M11" s="47"/>
      <c r="N11" s="51"/>
      <c r="O11" s="47"/>
      <c r="P11" s="48"/>
      <c r="R11" s="12"/>
    </row>
    <row r="12" spans="1:20" x14ac:dyDescent="0.2">
      <c r="A12" s="47"/>
      <c r="B12" s="47"/>
      <c r="C12" s="47"/>
      <c r="D12" s="47"/>
      <c r="E12" s="47"/>
      <c r="F12" s="47"/>
      <c r="G12" s="47"/>
      <c r="H12" s="50"/>
      <c r="I12" s="50"/>
      <c r="J12" s="47"/>
      <c r="K12" s="1">
        <v>48792</v>
      </c>
      <c r="L12" s="3">
        <v>100</v>
      </c>
      <c r="M12" s="47"/>
      <c r="N12" s="51"/>
      <c r="O12" s="47"/>
      <c r="P12" s="48"/>
      <c r="R12" s="12"/>
    </row>
    <row r="13" spans="1:20" x14ac:dyDescent="0.2">
      <c r="A13" s="47"/>
      <c r="B13" s="47"/>
      <c r="C13" s="47"/>
      <c r="D13" s="47"/>
      <c r="E13" s="47"/>
      <c r="F13" s="47"/>
      <c r="G13" s="47"/>
      <c r="H13" s="50"/>
      <c r="I13" s="50"/>
      <c r="J13" s="47"/>
      <c r="K13" s="1">
        <v>49157</v>
      </c>
      <c r="L13" s="3">
        <v>100</v>
      </c>
      <c r="M13" s="47"/>
      <c r="N13" s="51"/>
      <c r="O13" s="47"/>
      <c r="P13" s="48"/>
    </row>
    <row r="14" spans="1:20" x14ac:dyDescent="0.2">
      <c r="A14" s="47"/>
      <c r="B14" s="47"/>
      <c r="C14" s="47"/>
      <c r="D14" s="47"/>
      <c r="E14" s="47"/>
      <c r="F14" s="47"/>
      <c r="G14" s="47"/>
      <c r="H14" s="50"/>
      <c r="I14" s="50"/>
      <c r="J14" s="47"/>
      <c r="K14" s="1">
        <v>49522</v>
      </c>
      <c r="L14" s="3">
        <v>100</v>
      </c>
      <c r="M14" s="47"/>
      <c r="N14" s="51"/>
      <c r="O14" s="47"/>
      <c r="P14" s="48"/>
    </row>
    <row r="15" spans="1:20" x14ac:dyDescent="0.2">
      <c r="A15" s="47"/>
      <c r="B15" s="47"/>
      <c r="C15" s="47"/>
      <c r="D15" s="47"/>
      <c r="E15" s="47"/>
      <c r="F15" s="47"/>
      <c r="G15" s="47"/>
      <c r="H15" s="50"/>
      <c r="I15" s="50"/>
      <c r="J15" s="47"/>
      <c r="K15" s="1">
        <v>49888</v>
      </c>
      <c r="L15" s="3">
        <v>100</v>
      </c>
      <c r="M15" s="47"/>
      <c r="N15" s="51"/>
      <c r="O15" s="47"/>
      <c r="P15" s="48"/>
    </row>
    <row r="16" spans="1:20" x14ac:dyDescent="0.2">
      <c r="A16" s="47"/>
      <c r="B16" s="47"/>
      <c r="C16" s="47"/>
      <c r="D16" s="47"/>
      <c r="E16" s="47"/>
      <c r="F16" s="47"/>
      <c r="G16" s="47"/>
      <c r="H16" s="50"/>
      <c r="I16" s="50"/>
      <c r="J16" s="47"/>
      <c r="K16" s="1">
        <v>50253</v>
      </c>
      <c r="L16" s="3">
        <v>100</v>
      </c>
      <c r="M16" s="47"/>
      <c r="N16" s="51"/>
      <c r="O16" s="47"/>
      <c r="P16" s="48"/>
    </row>
    <row r="17" spans="1:16" x14ac:dyDescent="0.2">
      <c r="A17" s="47"/>
      <c r="B17" s="47"/>
      <c r="C17" s="47"/>
      <c r="D17" s="47"/>
      <c r="E17" s="47"/>
      <c r="F17" s="47"/>
      <c r="G17" s="47"/>
      <c r="H17" s="50"/>
      <c r="I17" s="50"/>
      <c r="J17" s="47"/>
      <c r="K17" s="1">
        <v>50618</v>
      </c>
      <c r="L17" s="3">
        <v>100</v>
      </c>
      <c r="M17" s="47"/>
      <c r="N17" s="51"/>
      <c r="O17" s="47"/>
      <c r="P17" s="48"/>
    </row>
    <row r="18" spans="1:16" x14ac:dyDescent="0.2">
      <c r="A18" s="47"/>
      <c r="B18" s="47"/>
      <c r="C18" s="47"/>
      <c r="D18" s="47"/>
      <c r="E18" s="47"/>
      <c r="F18" s="47"/>
      <c r="G18" s="47"/>
      <c r="H18" s="50"/>
      <c r="I18" s="50"/>
      <c r="J18" s="47"/>
      <c r="K18" s="1">
        <v>50983</v>
      </c>
      <c r="L18" s="3">
        <v>100</v>
      </c>
      <c r="M18" s="47"/>
      <c r="N18" s="51"/>
      <c r="O18" s="47"/>
      <c r="P18" s="48"/>
    </row>
    <row r="19" spans="1:16" x14ac:dyDescent="0.2">
      <c r="A19" s="47"/>
      <c r="B19" s="47"/>
      <c r="C19" s="47"/>
      <c r="D19" s="47"/>
      <c r="E19" s="47"/>
      <c r="F19" s="47"/>
      <c r="G19" s="47"/>
      <c r="H19" s="50"/>
      <c r="I19" s="50"/>
      <c r="J19" s="47"/>
      <c r="K19" s="1">
        <v>51349</v>
      </c>
      <c r="L19" s="3">
        <v>100</v>
      </c>
      <c r="M19" s="47"/>
      <c r="N19" s="51"/>
      <c r="O19" s="47"/>
      <c r="P19" s="48"/>
    </row>
    <row r="20" spans="1:16" x14ac:dyDescent="0.2">
      <c r="A20" s="47"/>
      <c r="B20" s="47"/>
      <c r="C20" s="47"/>
      <c r="D20" s="47"/>
      <c r="E20" s="47"/>
      <c r="F20" s="47"/>
      <c r="G20" s="47"/>
      <c r="H20" s="50"/>
      <c r="I20" s="50"/>
      <c r="J20" s="47"/>
      <c r="K20" s="1">
        <v>51714</v>
      </c>
      <c r="L20" s="3">
        <v>100</v>
      </c>
      <c r="M20" s="47"/>
      <c r="N20" s="51"/>
      <c r="O20" s="47"/>
      <c r="P20" s="48"/>
    </row>
    <row r="21" spans="1:16" x14ac:dyDescent="0.2">
      <c r="A21" s="47"/>
      <c r="B21" s="47"/>
      <c r="C21" s="47"/>
      <c r="D21" s="47"/>
      <c r="E21" s="47"/>
      <c r="F21" s="47"/>
      <c r="G21" s="47"/>
      <c r="H21" s="50"/>
      <c r="I21" s="50"/>
      <c r="J21" s="47"/>
      <c r="K21" s="1">
        <v>52079</v>
      </c>
      <c r="L21" s="3">
        <v>100</v>
      </c>
      <c r="M21" s="47"/>
      <c r="N21" s="51"/>
      <c r="O21" s="47"/>
      <c r="P21" s="48"/>
    </row>
    <row r="22" spans="1:16" x14ac:dyDescent="0.2">
      <c r="A22" s="47"/>
      <c r="B22" s="47"/>
      <c r="C22" s="47"/>
      <c r="D22" s="47"/>
      <c r="E22" s="47"/>
      <c r="F22" s="47"/>
      <c r="G22" s="47"/>
      <c r="H22" s="50"/>
      <c r="I22" s="50"/>
      <c r="J22" s="47"/>
      <c r="K22" s="1">
        <v>52444</v>
      </c>
      <c r="L22" s="3">
        <v>100</v>
      </c>
      <c r="M22" s="47"/>
      <c r="N22" s="51"/>
      <c r="O22" s="47"/>
      <c r="P22" s="48"/>
    </row>
    <row r="23" spans="1:16" x14ac:dyDescent="0.2">
      <c r="A23" s="47"/>
      <c r="B23" s="47"/>
      <c r="C23" s="47"/>
      <c r="D23" s="47"/>
      <c r="E23" s="47"/>
      <c r="F23" s="47"/>
      <c r="G23" s="47"/>
      <c r="H23" s="50"/>
      <c r="I23" s="50"/>
      <c r="J23" s="47"/>
      <c r="K23" s="1">
        <v>52810</v>
      </c>
      <c r="L23" s="3">
        <v>100</v>
      </c>
      <c r="M23" s="47"/>
      <c r="N23" s="51"/>
      <c r="O23" s="47"/>
      <c r="P23" s="48"/>
    </row>
    <row r="24" spans="1:16" x14ac:dyDescent="0.2">
      <c r="A24" s="47"/>
      <c r="B24" s="47"/>
      <c r="C24" s="47"/>
      <c r="D24" s="47"/>
      <c r="E24" s="47"/>
      <c r="F24" s="47"/>
      <c r="G24" s="47"/>
      <c r="H24" s="50"/>
      <c r="I24" s="50"/>
      <c r="J24" s="47"/>
      <c r="K24" s="1">
        <v>53175</v>
      </c>
      <c r="L24" s="3">
        <v>100</v>
      </c>
      <c r="M24" s="47"/>
      <c r="N24" s="51"/>
      <c r="O24" s="47"/>
      <c r="P24" s="48"/>
    </row>
    <row r="25" spans="1:16" x14ac:dyDescent="0.2">
      <c r="A25" s="47"/>
      <c r="B25" s="47"/>
      <c r="C25" s="47"/>
      <c r="D25" s="47"/>
      <c r="E25" s="47"/>
      <c r="F25" s="47"/>
      <c r="G25" s="47"/>
      <c r="H25" s="50"/>
      <c r="I25" s="50"/>
      <c r="J25" s="47"/>
      <c r="K25" s="1">
        <v>53540</v>
      </c>
      <c r="L25" s="3">
        <v>100</v>
      </c>
      <c r="M25" s="47"/>
      <c r="N25" s="51"/>
      <c r="O25" s="47"/>
      <c r="P25" s="48"/>
    </row>
  </sheetData>
  <mergeCells count="40">
    <mergeCell ref="D10:D25"/>
    <mergeCell ref="C10:C25"/>
    <mergeCell ref="B10:B25"/>
    <mergeCell ref="A10:A25"/>
    <mergeCell ref="I10:I25"/>
    <mergeCell ref="H10:H25"/>
    <mergeCell ref="G10:G25"/>
    <mergeCell ref="F10:F25"/>
    <mergeCell ref="E10:E25"/>
    <mergeCell ref="M10:M25"/>
    <mergeCell ref="J10:J25"/>
    <mergeCell ref="N10:N25"/>
    <mergeCell ref="O10:O25"/>
    <mergeCell ref="P10:P25"/>
    <mergeCell ref="A2:A4"/>
    <mergeCell ref="B2:B4"/>
    <mergeCell ref="C2:C4"/>
    <mergeCell ref="D2:D4"/>
    <mergeCell ref="E2:E4"/>
    <mergeCell ref="F5:F9"/>
    <mergeCell ref="G5:G9"/>
    <mergeCell ref="H5:H9"/>
    <mergeCell ref="I5:I9"/>
    <mergeCell ref="G2:G4"/>
    <mergeCell ref="H2:H4"/>
    <mergeCell ref="I2:I4"/>
    <mergeCell ref="F2:F4"/>
    <mergeCell ref="A5:A9"/>
    <mergeCell ref="B5:B9"/>
    <mergeCell ref="C5:C9"/>
    <mergeCell ref="D5:D9"/>
    <mergeCell ref="E5:E9"/>
    <mergeCell ref="J5:J9"/>
    <mergeCell ref="N5:N9"/>
    <mergeCell ref="O5:O9"/>
    <mergeCell ref="P5:P9"/>
    <mergeCell ref="P2:P4"/>
    <mergeCell ref="J2:J4"/>
    <mergeCell ref="N2:N4"/>
    <mergeCell ref="O2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Coporate Bond</vt:lpstr>
      <vt:lpstr>Coporate Bond Answer</vt:lpstr>
      <vt:lpstr>Municipal bond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Mannit Trehan</dc:creator>
  <cp:lastModifiedBy>Ben Collins</cp:lastModifiedBy>
  <dcterms:created xsi:type="dcterms:W3CDTF">2022-03-31T15:39:21Z</dcterms:created>
  <dcterms:modified xsi:type="dcterms:W3CDTF">2024-04-30T14:40:59Z</dcterms:modified>
</cp:coreProperties>
</file>