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\Desktop\"/>
    </mc:Choice>
  </mc:AlternateContent>
  <xr:revisionPtr revIDLastSave="0" documentId="13_ncr:1_{2266F838-D78E-4C20-BB15-1D6644BA98DC}" xr6:coauthVersionLast="47" xr6:coauthVersionMax="47" xr10:uidLastSave="{00000000-0000-0000-0000-000000000000}"/>
  <bookViews>
    <workbookView xWindow="-120" yWindow="-120" windowWidth="29040" windowHeight="15720" tabRatio="677" xr2:uid="{00000000-000D-0000-FFFF-FFFF00000000}"/>
  </bookViews>
  <sheets>
    <sheet name="Data Entry" sheetId="17" r:id="rId1"/>
    <sheet name="Salary Statement(print)" sheetId="10" r:id="rId2"/>
    <sheet name="Tax Calculation(print)" sheetId="7" r:id="rId3"/>
    <sheet name="Income Tax Return" sheetId="28" state="hidden" r:id="rId4"/>
    <sheet name="Rent Receipt" sheetId="27" r:id="rId5"/>
    <sheet name="FPB" sheetId="25" state="hidden" r:id="rId6"/>
  </sheets>
  <definedNames>
    <definedName name="_xlnm.Print_Area" localSheetId="0">'Data Entry'!$B$1:$AI$60</definedName>
    <definedName name="_xlnm.Print_Area" localSheetId="1">'Salary Statement(print)'!$A$1:$AE$26</definedName>
    <definedName name="_xlnm.Print_Area" localSheetId="2">'Tax Calculation(print)'!$A$1:$M$65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7" l="1"/>
  <c r="K22" i="7"/>
  <c r="B34" i="7" l="1"/>
  <c r="B33" i="7"/>
  <c r="Y13" i="17"/>
  <c r="Y14" i="17" s="1"/>
  <c r="Y15" i="17" s="1"/>
  <c r="Y16" i="17" s="1"/>
  <c r="Y17" i="17" s="1"/>
  <c r="H4" i="10"/>
  <c r="H5" i="7"/>
  <c r="D23" i="10"/>
  <c r="D22" i="10"/>
  <c r="D21" i="10"/>
  <c r="H12" i="17"/>
  <c r="I5" i="7"/>
  <c r="D5" i="7"/>
  <c r="A5" i="7"/>
  <c r="N5" i="17"/>
  <c r="Y23" i="10" l="1"/>
  <c r="Q23" i="10"/>
  <c r="L23" i="10"/>
  <c r="O23" i="10" s="1"/>
  <c r="F23" i="10"/>
  <c r="U2" i="10"/>
  <c r="P2" i="10"/>
  <c r="T2" i="10"/>
  <c r="O2" i="10"/>
  <c r="E23" i="10"/>
  <c r="C23" i="10"/>
  <c r="E22" i="10"/>
  <c r="C22" i="10"/>
  <c r="C21" i="10"/>
  <c r="E21" i="10"/>
  <c r="F22" i="10"/>
  <c r="Y22" i="10"/>
  <c r="Q22" i="10"/>
  <c r="Q21" i="10"/>
  <c r="L22" i="10"/>
  <c r="O22" i="10" s="1"/>
  <c r="L21" i="10"/>
  <c r="O21" i="10" s="1"/>
  <c r="L20" i="10"/>
  <c r="L19" i="10"/>
  <c r="O19" i="10" s="1"/>
  <c r="F21" i="10"/>
  <c r="F20" i="10"/>
  <c r="F19" i="10"/>
  <c r="N17" i="10"/>
  <c r="Z17" i="10" s="1"/>
  <c r="C17" i="10"/>
  <c r="M17" i="10" s="1"/>
  <c r="I13" i="17"/>
  <c r="I14" i="17" s="1"/>
  <c r="I15" i="17" s="1"/>
  <c r="C5" i="10"/>
  <c r="D5" i="10"/>
  <c r="G5" i="10"/>
  <c r="C18" i="10"/>
  <c r="E18" i="10"/>
  <c r="T5" i="10"/>
  <c r="V13" i="17"/>
  <c r="T6" i="10" s="1"/>
  <c r="AL12" i="17"/>
  <c r="AL11" i="17" s="1"/>
  <c r="AN11" i="17" s="1"/>
  <c r="Z13" i="17"/>
  <c r="Z14" i="17" s="1"/>
  <c r="S5" i="10"/>
  <c r="M3" i="17"/>
  <c r="B1" i="17" s="1"/>
  <c r="AA12" i="17"/>
  <c r="AG22" i="17"/>
  <c r="AG23" i="17" s="1"/>
  <c r="W13" i="17"/>
  <c r="J3" i="7"/>
  <c r="AA2" i="10"/>
  <c r="B22" i="10"/>
  <c r="B23" i="10"/>
  <c r="Q13" i="17"/>
  <c r="Q14" i="17" s="1"/>
  <c r="Q15" i="17" s="1"/>
  <c r="Q16" i="17" s="1"/>
  <c r="Q17" i="17" s="1"/>
  <c r="Q18" i="17" s="1"/>
  <c r="Q19" i="17" s="1"/>
  <c r="Q20" i="17" s="1"/>
  <c r="Q21" i="17" s="1"/>
  <c r="Q22" i="17" s="1"/>
  <c r="Q23" i="17" s="1"/>
  <c r="R13" i="17"/>
  <c r="R14" i="17" s="1"/>
  <c r="Z18" i="10"/>
  <c r="B19" i="10"/>
  <c r="S13" i="17"/>
  <c r="Q6" i="10" s="1"/>
  <c r="I62" i="7"/>
  <c r="G62" i="7"/>
  <c r="E62" i="7"/>
  <c r="Y21" i="10"/>
  <c r="V14" i="10"/>
  <c r="B20" i="10"/>
  <c r="B21" i="10"/>
  <c r="M13" i="17"/>
  <c r="M14" i="17" s="1"/>
  <c r="L13" i="17"/>
  <c r="L14" i="17" s="1"/>
  <c r="J7" i="10" s="1"/>
  <c r="B32" i="7"/>
  <c r="M59" i="7"/>
  <c r="AO16" i="17"/>
  <c r="AO17" i="17" s="1"/>
  <c r="K38" i="7"/>
  <c r="H38" i="7"/>
  <c r="B16" i="17"/>
  <c r="AK16" i="17" s="1"/>
  <c r="K40" i="7"/>
  <c r="K39" i="7"/>
  <c r="K37" i="7"/>
  <c r="K36" i="7"/>
  <c r="K35" i="7"/>
  <c r="K34" i="7"/>
  <c r="K33" i="7"/>
  <c r="K32" i="7"/>
  <c r="K18" i="7"/>
  <c r="H5" i="10"/>
  <c r="G4" i="10"/>
  <c r="AX16" i="17"/>
  <c r="AX17" i="17" s="1"/>
  <c r="W3" i="7" s="1"/>
  <c r="AW16" i="17"/>
  <c r="AW17" i="17" s="1"/>
  <c r="V3" i="7" s="1"/>
  <c r="AV16" i="17"/>
  <c r="AV17" i="17" s="1"/>
  <c r="U3" i="7" s="1"/>
  <c r="AP16" i="17"/>
  <c r="AP17" i="17" s="1"/>
  <c r="O3" i="7" s="1"/>
  <c r="AQ16" i="17"/>
  <c r="AQ17" i="17" s="1"/>
  <c r="P3" i="7" s="1"/>
  <c r="AU16" i="17"/>
  <c r="AU17" i="17" s="1"/>
  <c r="T3" i="7" s="1"/>
  <c r="AT16" i="17"/>
  <c r="AT17" i="17" s="1"/>
  <c r="S3" i="7" s="1"/>
  <c r="AS16" i="17"/>
  <c r="AS17" i="17" s="1"/>
  <c r="R3" i="7" s="1"/>
  <c r="AR16" i="17"/>
  <c r="AR17" i="17" s="1"/>
  <c r="Q3" i="7" s="1"/>
  <c r="AP15" i="17"/>
  <c r="N4" i="10"/>
  <c r="V6" i="10"/>
  <c r="J13" i="17"/>
  <c r="J14" i="17" s="1"/>
  <c r="J15" i="17" s="1"/>
  <c r="K5" i="10"/>
  <c r="H8" i="7"/>
  <c r="K8" i="7" s="1"/>
  <c r="K4" i="10"/>
  <c r="N2" i="27"/>
  <c r="N4" i="27"/>
  <c r="N3" i="27"/>
  <c r="N1" i="27"/>
  <c r="J26" i="27"/>
  <c r="J30" i="27"/>
  <c r="J29" i="27"/>
  <c r="J28" i="27"/>
  <c r="J27" i="27"/>
  <c r="A20" i="25"/>
  <c r="V6" i="17"/>
  <c r="A12" i="25" s="1"/>
  <c r="B15" i="25" s="1"/>
  <c r="A16" i="25" s="1"/>
  <c r="Q5" i="10"/>
  <c r="M58" i="7"/>
  <c r="K9" i="7"/>
  <c r="K25" i="7"/>
  <c r="K27" i="7"/>
  <c r="K28" i="7"/>
  <c r="F26" i="7"/>
  <c r="F27" i="7"/>
  <c r="F28" i="7"/>
  <c r="F29" i="7"/>
  <c r="F25" i="7"/>
  <c r="J4" i="27"/>
  <c r="T3" i="17"/>
  <c r="U3" i="17" s="1"/>
  <c r="B35" i="7"/>
  <c r="B36" i="7"/>
  <c r="B37" i="7"/>
  <c r="B38" i="7"/>
  <c r="B39" i="7"/>
  <c r="B40" i="7"/>
  <c r="J5" i="10"/>
  <c r="J4" i="10"/>
  <c r="J6" i="10"/>
  <c r="X5" i="10"/>
  <c r="X4" i="10"/>
  <c r="I5" i="10"/>
  <c r="I4" i="10"/>
  <c r="K13" i="17"/>
  <c r="K14" i="17" s="1"/>
  <c r="U14" i="17"/>
  <c r="S7" i="10" s="1"/>
  <c r="T13" i="17"/>
  <c r="P13" i="17"/>
  <c r="P14" i="17" s="1"/>
  <c r="P15" i="17" s="1"/>
  <c r="P16" i="17" s="1"/>
  <c r="P17" i="17" s="1"/>
  <c r="P18" i="17" s="1"/>
  <c r="P19" i="17" s="1"/>
  <c r="P20" i="17" s="1"/>
  <c r="P21" i="17" s="1"/>
  <c r="P22" i="17" s="1"/>
  <c r="R5" i="10"/>
  <c r="P5" i="10"/>
  <c r="C62" i="7"/>
  <c r="W5" i="10"/>
  <c r="B18" i="10"/>
  <c r="B17" i="10"/>
  <c r="C2" i="10"/>
  <c r="D3" i="7" s="1"/>
  <c r="U5" i="10"/>
  <c r="D4" i="7"/>
  <c r="L2" i="10"/>
  <c r="Y5" i="10"/>
  <c r="B23" i="17"/>
  <c r="B22" i="17"/>
  <c r="B15" i="10" s="1"/>
  <c r="B21" i="17"/>
  <c r="AK21" i="17" s="1"/>
  <c r="B20" i="17"/>
  <c r="B13" i="10" s="1"/>
  <c r="B19" i="17"/>
  <c r="B12" i="10" s="1"/>
  <c r="B18" i="17"/>
  <c r="AF18" i="17" s="1"/>
  <c r="B17" i="17"/>
  <c r="AF17" i="17" s="1"/>
  <c r="B15" i="17"/>
  <c r="AK15" i="17" s="1"/>
  <c r="B14" i="17"/>
  <c r="AK14" i="17" s="1"/>
  <c r="B13" i="17"/>
  <c r="AF13" i="17" s="1"/>
  <c r="B12" i="17"/>
  <c r="AK12" i="17" s="1"/>
  <c r="X6" i="10"/>
  <c r="X8" i="10"/>
  <c r="Y18" i="17"/>
  <c r="Y19" i="17" s="1"/>
  <c r="X12" i="10" s="1"/>
  <c r="S6" i="10"/>
  <c r="N10" i="27"/>
  <c r="W7" i="10"/>
  <c r="W6" i="10"/>
  <c r="W8" i="10"/>
  <c r="X7" i="10"/>
  <c r="W9" i="10"/>
  <c r="W10" i="10"/>
  <c r="X9" i="10"/>
  <c r="X10" i="10"/>
  <c r="W11" i="10"/>
  <c r="W12" i="10"/>
  <c r="W13" i="10"/>
  <c r="W14" i="10"/>
  <c r="W15" i="10"/>
  <c r="W16" i="10"/>
  <c r="N8" i="27" l="1"/>
  <c r="A1" i="10"/>
  <c r="N16" i="27"/>
  <c r="N12" i="27"/>
  <c r="B6" i="7"/>
  <c r="P6" i="10"/>
  <c r="AF22" i="17"/>
  <c r="B10" i="10"/>
  <c r="A2" i="7"/>
  <c r="H6" i="10"/>
  <c r="B8" i="10"/>
  <c r="Y6" i="10"/>
  <c r="AA13" i="17"/>
  <c r="AA14" i="17" s="1"/>
  <c r="N22" i="10"/>
  <c r="Z22" i="10" s="1"/>
  <c r="B7" i="10"/>
  <c r="B9" i="10"/>
  <c r="AF14" i="17"/>
  <c r="O10" i="27"/>
  <c r="V14" i="17"/>
  <c r="V15" i="17" s="1"/>
  <c r="T8" i="10" s="1"/>
  <c r="N23" i="10"/>
  <c r="Z23" i="10" s="1"/>
  <c r="N21" i="10"/>
  <c r="Z21" i="10" s="1"/>
  <c r="K15" i="17"/>
  <c r="I7" i="10"/>
  <c r="AK20" i="17"/>
  <c r="AF20" i="17"/>
  <c r="AN12" i="17"/>
  <c r="I6" i="10"/>
  <c r="X11" i="10"/>
  <c r="G13" i="17"/>
  <c r="G14" i="17" s="1"/>
  <c r="M22" i="10"/>
  <c r="M21" i="10"/>
  <c r="M18" i="10"/>
  <c r="AB18" i="10" s="1"/>
  <c r="P23" i="17"/>
  <c r="J16" i="17"/>
  <c r="J17" i="17" s="1"/>
  <c r="H8" i="10"/>
  <c r="K6" i="10"/>
  <c r="G6" i="10"/>
  <c r="B6" i="10"/>
  <c r="Y20" i="17"/>
  <c r="AF21" i="17"/>
  <c r="AF15" i="17"/>
  <c r="AF12" i="17"/>
  <c r="B5" i="10"/>
  <c r="B14" i="10"/>
  <c r="AL10" i="17"/>
  <c r="AN10" i="17" s="1"/>
  <c r="K7" i="10"/>
  <c r="M15" i="17"/>
  <c r="R6" i="10"/>
  <c r="T14" i="17"/>
  <c r="R15" i="17"/>
  <c r="P7" i="10"/>
  <c r="W14" i="17"/>
  <c r="U6" i="10"/>
  <c r="AF23" i="17"/>
  <c r="B16" i="10"/>
  <c r="I16" i="17"/>
  <c r="G8" i="10"/>
  <c r="L15" i="17"/>
  <c r="S14" i="17"/>
  <c r="Z15" i="17"/>
  <c r="AK19" i="17"/>
  <c r="AK13" i="17"/>
  <c r="G7" i="10"/>
  <c r="AK18" i="17"/>
  <c r="B11" i="10"/>
  <c r="Y7" i="10"/>
  <c r="H7" i="10"/>
  <c r="AF16" i="17"/>
  <c r="AK17" i="17"/>
  <c r="U15" i="17"/>
  <c r="AF19" i="17"/>
  <c r="O20" i="10"/>
  <c r="M23" i="10"/>
  <c r="E5" i="10"/>
  <c r="L5" i="10" s="1"/>
  <c r="V24" i="10"/>
  <c r="F5" i="10"/>
  <c r="W24" i="10"/>
  <c r="F24" i="7"/>
  <c r="AA17" i="10"/>
  <c r="AB17" i="10"/>
  <c r="C15" i="25"/>
  <c r="D15" i="25" s="1"/>
  <c r="B16" i="25"/>
  <c r="T7" i="10" l="1"/>
  <c r="H9" i="10"/>
  <c r="O5" i="10"/>
  <c r="N5" i="10"/>
  <c r="Z5" i="10" s="1"/>
  <c r="V16" i="17"/>
  <c r="V17" i="17" s="1"/>
  <c r="G15" i="17"/>
  <c r="C7" i="10"/>
  <c r="F7" i="10" s="1"/>
  <c r="AL14" i="17"/>
  <c r="AN14" i="17" s="1"/>
  <c r="H14" i="17"/>
  <c r="D7" i="10" s="1"/>
  <c r="I8" i="10"/>
  <c r="K16" i="17"/>
  <c r="AA22" i="10"/>
  <c r="AB22" i="10"/>
  <c r="X13" i="10"/>
  <c r="Y21" i="17"/>
  <c r="AA23" i="10"/>
  <c r="AB23" i="10"/>
  <c r="M5" i="10"/>
  <c r="AB5" i="10" s="1"/>
  <c r="U16" i="17"/>
  <c r="S8" i="10"/>
  <c r="I17" i="17"/>
  <c r="G9" i="10"/>
  <c r="J18" i="17"/>
  <c r="H10" i="10"/>
  <c r="T15" i="17"/>
  <c r="R7" i="10"/>
  <c r="W15" i="17"/>
  <c r="U7" i="10"/>
  <c r="M16" i="17"/>
  <c r="K8" i="10"/>
  <c r="Y8" i="10"/>
  <c r="Z16" i="17"/>
  <c r="Q7" i="10"/>
  <c r="S15" i="17"/>
  <c r="R16" i="17"/>
  <c r="P8" i="10"/>
  <c r="C6" i="10"/>
  <c r="H13" i="17"/>
  <c r="D6" i="10" s="1"/>
  <c r="AL13" i="17"/>
  <c r="AN13" i="17" s="1"/>
  <c r="L16" i="17"/>
  <c r="J8" i="10"/>
  <c r="AA15" i="17"/>
  <c r="C16" i="25"/>
  <c r="AA18" i="10"/>
  <c r="AA21" i="10"/>
  <c r="AB21" i="10"/>
  <c r="E16" i="25"/>
  <c r="E15" i="25"/>
  <c r="G16" i="25" s="1"/>
  <c r="T9" i="10" l="1"/>
  <c r="E7" i="10"/>
  <c r="H15" i="17"/>
  <c r="D8" i="10" s="1"/>
  <c r="AL15" i="17"/>
  <c r="AN15" i="17" s="1"/>
  <c r="K30" i="17" s="1"/>
  <c r="G16" i="17"/>
  <c r="C8" i="10"/>
  <c r="K17" i="17"/>
  <c r="I9" i="10"/>
  <c r="Y22" i="17"/>
  <c r="X14" i="10"/>
  <c r="AA5" i="10"/>
  <c r="T10" i="10"/>
  <c r="V18" i="17"/>
  <c r="W16" i="17"/>
  <c r="U8" i="10"/>
  <c r="I18" i="17"/>
  <c r="G10" i="10"/>
  <c r="R17" i="17"/>
  <c r="P9" i="10"/>
  <c r="L17" i="17"/>
  <c r="J9" i="10"/>
  <c r="R8" i="10"/>
  <c r="T16" i="17"/>
  <c r="S16" i="17"/>
  <c r="Q8" i="10"/>
  <c r="K9" i="10"/>
  <c r="M17" i="17"/>
  <c r="J19" i="17"/>
  <c r="H11" i="10"/>
  <c r="Z17" i="17"/>
  <c r="Y9" i="10"/>
  <c r="AA16" i="17"/>
  <c r="E6" i="10"/>
  <c r="L6" i="10" s="1"/>
  <c r="F6" i="10"/>
  <c r="U17" i="17"/>
  <c r="S9" i="10"/>
  <c r="F16" i="25"/>
  <c r="D16" i="25"/>
  <c r="E19" i="10" l="1"/>
  <c r="M19" i="10" s="1"/>
  <c r="P30" i="17"/>
  <c r="N19" i="10" s="1"/>
  <c r="Z19" i="10" s="1"/>
  <c r="AA19" i="10" s="1"/>
  <c r="M7" i="10"/>
  <c r="L7" i="10"/>
  <c r="O6" i="10"/>
  <c r="N6" i="10"/>
  <c r="Z6" i="10" s="1"/>
  <c r="A10" i="27"/>
  <c r="AB19" i="10"/>
  <c r="AA17" i="17"/>
  <c r="I10" i="10"/>
  <c r="K18" i="17"/>
  <c r="F8" i="10"/>
  <c r="E8" i="10"/>
  <c r="L8" i="10" s="1"/>
  <c r="AL16" i="17"/>
  <c r="AN16" i="17" s="1"/>
  <c r="H16" i="17"/>
  <c r="D9" i="10" s="1"/>
  <c r="C9" i="10"/>
  <c r="G17" i="17"/>
  <c r="Y23" i="17"/>
  <c r="X16" i="10" s="1"/>
  <c r="X15" i="10"/>
  <c r="T11" i="10"/>
  <c r="V19" i="17"/>
  <c r="R18" i="17"/>
  <c r="P10" i="10"/>
  <c r="L18" i="17"/>
  <c r="J10" i="10"/>
  <c r="G11" i="10"/>
  <c r="I19" i="17"/>
  <c r="Z18" i="17"/>
  <c r="Y10" i="10"/>
  <c r="H12" i="10"/>
  <c r="J20" i="17"/>
  <c r="W17" i="17"/>
  <c r="U9" i="10"/>
  <c r="S17" i="17"/>
  <c r="Q9" i="10"/>
  <c r="S10" i="10"/>
  <c r="U18" i="17"/>
  <c r="K10" i="10"/>
  <c r="M18" i="17"/>
  <c r="T17" i="17"/>
  <c r="R9" i="10"/>
  <c r="M6" i="10"/>
  <c r="H16" i="25"/>
  <c r="O7" i="10" l="1"/>
  <c r="N7" i="10"/>
  <c r="Z7" i="10" s="1"/>
  <c r="AA7" i="10" s="1"/>
  <c r="O8" i="10"/>
  <c r="N8" i="10"/>
  <c r="Z8" i="10" s="1"/>
  <c r="AB7" i="10"/>
  <c r="M8" i="10"/>
  <c r="AB8" i="10" s="1"/>
  <c r="AA18" i="17"/>
  <c r="C10" i="10"/>
  <c r="G18" i="17"/>
  <c r="H17" i="17"/>
  <c r="D10" i="10" s="1"/>
  <c r="AL17" i="17"/>
  <c r="AN17" i="17" s="1"/>
  <c r="N3" i="7" s="1"/>
  <c r="K19" i="17"/>
  <c r="I11" i="10"/>
  <c r="F9" i="10"/>
  <c r="E9" i="10"/>
  <c r="L9" i="10" s="1"/>
  <c r="X24" i="10"/>
  <c r="S11" i="10"/>
  <c r="U19" i="17"/>
  <c r="U10" i="10"/>
  <c r="W18" i="17"/>
  <c r="I20" i="17"/>
  <c r="G12" i="10"/>
  <c r="M19" i="17"/>
  <c r="K11" i="10"/>
  <c r="R10" i="10"/>
  <c r="T18" i="17"/>
  <c r="P11" i="10"/>
  <c r="R19" i="17"/>
  <c r="AB6" i="10"/>
  <c r="AA6" i="10"/>
  <c r="S18" i="17"/>
  <c r="Q10" i="10"/>
  <c r="J11" i="10"/>
  <c r="L19" i="17"/>
  <c r="H13" i="10"/>
  <c r="J21" i="17"/>
  <c r="V20" i="17"/>
  <c r="T12" i="10"/>
  <c r="Z19" i="17"/>
  <c r="Y11" i="10"/>
  <c r="O9" i="10" l="1"/>
  <c r="N9" i="10"/>
  <c r="Z9" i="10" s="1"/>
  <c r="M9" i="10"/>
  <c r="AB9" i="10" s="1"/>
  <c r="AA8" i="10"/>
  <c r="AA19" i="17"/>
  <c r="G19" i="17"/>
  <c r="H18" i="17"/>
  <c r="D11" i="10" s="1"/>
  <c r="C11" i="10"/>
  <c r="AL18" i="17"/>
  <c r="AN18" i="17" s="1"/>
  <c r="F10" i="10"/>
  <c r="E10" i="10"/>
  <c r="L10" i="10" s="1"/>
  <c r="I12" i="10"/>
  <c r="K20" i="17"/>
  <c r="T13" i="10"/>
  <c r="V21" i="17"/>
  <c r="L20" i="17"/>
  <c r="J12" i="10"/>
  <c r="P12" i="10"/>
  <c r="R20" i="17"/>
  <c r="J22" i="17"/>
  <c r="H14" i="10"/>
  <c r="I21" i="17"/>
  <c r="G13" i="10"/>
  <c r="C63" i="7"/>
  <c r="R11" i="10"/>
  <c r="T19" i="17"/>
  <c r="M20" i="17"/>
  <c r="K12" i="10"/>
  <c r="U11" i="10"/>
  <c r="W19" i="17"/>
  <c r="Y12" i="10"/>
  <c r="Z20" i="17"/>
  <c r="Q11" i="10"/>
  <c r="S19" i="17"/>
  <c r="U20" i="17"/>
  <c r="S12" i="10"/>
  <c r="AA9" i="10" l="1"/>
  <c r="O10" i="10"/>
  <c r="N10" i="10"/>
  <c r="AA20" i="17"/>
  <c r="M10" i="10"/>
  <c r="AB10" i="10" s="1"/>
  <c r="I13" i="10"/>
  <c r="K21" i="17"/>
  <c r="F11" i="10"/>
  <c r="E11" i="10"/>
  <c r="L11" i="10" s="1"/>
  <c r="C12" i="10"/>
  <c r="H19" i="17"/>
  <c r="D12" i="10" s="1"/>
  <c r="G20" i="17"/>
  <c r="AL19" i="17"/>
  <c r="AN19" i="17" s="1"/>
  <c r="S20" i="17"/>
  <c r="Q12" i="10"/>
  <c r="S13" i="10"/>
  <c r="U21" i="17"/>
  <c r="Y13" i="10"/>
  <c r="Z21" i="17"/>
  <c r="M21" i="17"/>
  <c r="K13" i="10"/>
  <c r="R21" i="17"/>
  <c r="P13" i="10"/>
  <c r="R12" i="10"/>
  <c r="T20" i="17"/>
  <c r="J23" i="17"/>
  <c r="H16" i="10" s="1"/>
  <c r="H15" i="10"/>
  <c r="L21" i="17"/>
  <c r="J13" i="10"/>
  <c r="I22" i="17"/>
  <c r="G14" i="10"/>
  <c r="T14" i="10"/>
  <c r="V22" i="17"/>
  <c r="W20" i="17"/>
  <c r="U12" i="10"/>
  <c r="AA21" i="17" l="1"/>
  <c r="O11" i="10"/>
  <c r="N11" i="10"/>
  <c r="Z11" i="10" s="1"/>
  <c r="Z10" i="10"/>
  <c r="AA10" i="10" s="1"/>
  <c r="M11" i="10"/>
  <c r="AB11" i="10" s="1"/>
  <c r="F12" i="10"/>
  <c r="E12" i="10"/>
  <c r="L12" i="10" s="1"/>
  <c r="K22" i="17"/>
  <c r="I14" i="10"/>
  <c r="C13" i="10"/>
  <c r="H20" i="17"/>
  <c r="D13" i="10" s="1"/>
  <c r="AL20" i="17"/>
  <c r="AN20" i="17" s="1"/>
  <c r="G21" i="17"/>
  <c r="W21" i="17"/>
  <c r="U13" i="10"/>
  <c r="H24" i="10"/>
  <c r="I23" i="17"/>
  <c r="G16" i="10" s="1"/>
  <c r="G15" i="10"/>
  <c r="K14" i="10"/>
  <c r="M22" i="17"/>
  <c r="T21" i="17"/>
  <c r="R13" i="10"/>
  <c r="R22" i="17"/>
  <c r="P14" i="10"/>
  <c r="Y14" i="10"/>
  <c r="E63" i="7" s="1"/>
  <c r="Z22" i="17"/>
  <c r="V23" i="17"/>
  <c r="T16" i="10" s="1"/>
  <c r="T15" i="10"/>
  <c r="L22" i="17"/>
  <c r="J14" i="10"/>
  <c r="U22" i="17"/>
  <c r="S14" i="10"/>
  <c r="Q13" i="10"/>
  <c r="S21" i="17"/>
  <c r="Y15" i="10" l="1"/>
  <c r="G63" i="7" s="1"/>
  <c r="Z23" i="17"/>
  <c r="Y16" i="10" s="1"/>
  <c r="I63" i="7" s="1"/>
  <c r="O12" i="10"/>
  <c r="N12" i="10"/>
  <c r="AA11" i="10"/>
  <c r="M12" i="10"/>
  <c r="AB12" i="10" s="1"/>
  <c r="K23" i="17"/>
  <c r="I16" i="10" s="1"/>
  <c r="I15" i="10"/>
  <c r="E13" i="10"/>
  <c r="L13" i="10" s="1"/>
  <c r="F13" i="10"/>
  <c r="C14" i="10"/>
  <c r="F14" i="10" s="1"/>
  <c r="AL21" i="17"/>
  <c r="AN21" i="17" s="1"/>
  <c r="K31" i="17" s="1"/>
  <c r="H21" i="17"/>
  <c r="G22" i="17"/>
  <c r="T24" i="10"/>
  <c r="J15" i="10"/>
  <c r="L23" i="17"/>
  <c r="J16" i="10" s="1"/>
  <c r="S22" i="17"/>
  <c r="Q14" i="10"/>
  <c r="R23" i="17"/>
  <c r="P16" i="10" s="1"/>
  <c r="P15" i="10"/>
  <c r="M23" i="17"/>
  <c r="K16" i="10" s="1"/>
  <c r="K15" i="10"/>
  <c r="W22" i="17"/>
  <c r="U14" i="10"/>
  <c r="AA22" i="17"/>
  <c r="G24" i="10"/>
  <c r="S15" i="10"/>
  <c r="U23" i="17"/>
  <c r="S16" i="10" s="1"/>
  <c r="R14" i="10"/>
  <c r="T22" i="17"/>
  <c r="AA23" i="17" l="1"/>
  <c r="X25" i="17" s="1"/>
  <c r="E20" i="10"/>
  <c r="M20" i="10" s="1"/>
  <c r="P31" i="17"/>
  <c r="N20" i="10" s="1"/>
  <c r="Z20" i="10" s="1"/>
  <c r="Y24" i="10"/>
  <c r="J63" i="7" s="1"/>
  <c r="M63" i="7" s="1"/>
  <c r="O13" i="10"/>
  <c r="N13" i="10"/>
  <c r="Z13" i="10" s="1"/>
  <c r="Z12" i="10"/>
  <c r="AA12" i="10" s="1"/>
  <c r="I24" i="10"/>
  <c r="C15" i="10"/>
  <c r="G23" i="17"/>
  <c r="M13" i="10"/>
  <c r="AB13" i="10" s="1"/>
  <c r="D14" i="10"/>
  <c r="H22" i="17"/>
  <c r="D15" i="10" s="1"/>
  <c r="AB20" i="10"/>
  <c r="J24" i="10"/>
  <c r="S24" i="10"/>
  <c r="K26" i="7" s="1"/>
  <c r="W23" i="17"/>
  <c r="U16" i="10" s="1"/>
  <c r="U15" i="10"/>
  <c r="S23" i="17"/>
  <c r="Q16" i="10" s="1"/>
  <c r="Q15" i="10"/>
  <c r="P24" i="10"/>
  <c r="R15" i="10"/>
  <c r="T23" i="17"/>
  <c r="R16" i="10" s="1"/>
  <c r="K24" i="10"/>
  <c r="AA20" i="10" l="1"/>
  <c r="AA13" i="10"/>
  <c r="E14" i="10"/>
  <c r="H23" i="17"/>
  <c r="D16" i="10" s="1"/>
  <c r="D24" i="10" s="1"/>
  <c r="C16" i="10"/>
  <c r="F16" i="10" s="1"/>
  <c r="F15" i="10"/>
  <c r="E15" i="10"/>
  <c r="L15" i="10" s="1"/>
  <c r="R24" i="10"/>
  <c r="Q24" i="10"/>
  <c r="F23" i="7" s="1"/>
  <c r="U24" i="10"/>
  <c r="K23" i="7" s="1"/>
  <c r="O15" i="10" l="1"/>
  <c r="N15" i="10"/>
  <c r="Z15" i="10" s="1"/>
  <c r="M14" i="10"/>
  <c r="L14" i="10"/>
  <c r="F24" i="10"/>
  <c r="C24" i="10"/>
  <c r="E16" i="10"/>
  <c r="L16" i="10" s="1"/>
  <c r="M15" i="10"/>
  <c r="AB15" i="10" s="1"/>
  <c r="AB14" i="10" l="1"/>
  <c r="N14" i="10"/>
  <c r="O14" i="10"/>
  <c r="O16" i="10"/>
  <c r="N16" i="10"/>
  <c r="Z16" i="10" s="1"/>
  <c r="L24" i="10"/>
  <c r="E24" i="10"/>
  <c r="O12" i="27"/>
  <c r="O14" i="27" s="1"/>
  <c r="AA15" i="10"/>
  <c r="M16" i="10"/>
  <c r="O8" i="27"/>
  <c r="O24" i="10" l="1"/>
  <c r="K31" i="7" s="1"/>
  <c r="Z14" i="10"/>
  <c r="N24" i="10"/>
  <c r="F22" i="7" s="1"/>
  <c r="O16" i="27"/>
  <c r="AB16" i="10"/>
  <c r="AB24" i="10" s="1"/>
  <c r="AA16" i="10"/>
  <c r="M24" i="10"/>
  <c r="M6" i="7" s="1"/>
  <c r="K24" i="7" l="1"/>
  <c r="K29" i="7" s="1"/>
  <c r="K30" i="7" s="1"/>
  <c r="Z24" i="10"/>
  <c r="AA14" i="10"/>
  <c r="AA24" i="10" s="1"/>
  <c r="M10" i="7"/>
  <c r="M30" i="7"/>
  <c r="M36" i="7"/>
  <c r="K16" i="7"/>
  <c r="M32" i="7"/>
  <c r="M33" i="7"/>
  <c r="M38" i="7"/>
  <c r="K14" i="7"/>
  <c r="M40" i="7"/>
  <c r="M37" i="7"/>
  <c r="K13" i="7"/>
  <c r="M35" i="7"/>
  <c r="M31" i="7"/>
  <c r="M34" i="7"/>
  <c r="K17" i="7"/>
  <c r="C17" i="7" s="1"/>
  <c r="M46" i="7"/>
  <c r="M39" i="7"/>
  <c r="K12" i="7"/>
  <c r="M41" i="7" l="1"/>
  <c r="M42" i="7" s="1"/>
  <c r="K19" i="7"/>
  <c r="M19" i="7" s="1"/>
  <c r="M20" i="7" s="1"/>
  <c r="M43" i="7" l="1"/>
  <c r="M44" i="7" s="1"/>
  <c r="E47" i="7" s="1"/>
  <c r="J50" i="7" l="1"/>
  <c r="J47" i="7"/>
  <c r="M47" i="7" s="1"/>
  <c r="AG47" i="7"/>
  <c r="E50" i="7"/>
  <c r="E51" i="7"/>
  <c r="J49" i="7"/>
  <c r="M49" i="7" s="1"/>
  <c r="J48" i="7"/>
  <c r="M48" i="7" s="1"/>
  <c r="AG44" i="7"/>
  <c r="AE48" i="7" s="1"/>
  <c r="AG48" i="7"/>
  <c r="AG49" i="7" s="1"/>
  <c r="E53" i="7"/>
  <c r="J51" i="7"/>
  <c r="M51" i="7" s="1"/>
  <c r="M50" i="7" l="1"/>
  <c r="AG50" i="7"/>
  <c r="J53" i="7" s="1"/>
  <c r="M52" i="7" s="1"/>
  <c r="M54" i="7" l="1"/>
  <c r="M56" i="7" s="1"/>
  <c r="M57" i="7" s="1"/>
  <c r="M60" i="7" s="1"/>
  <c r="AC12" i="17" l="1"/>
  <c r="AD12" i="17" s="1"/>
  <c r="V25" i="17"/>
  <c r="AC15" i="17"/>
  <c r="AC14" i="17"/>
  <c r="AC16" i="17"/>
  <c r="AC18" i="17"/>
  <c r="AC20" i="17"/>
  <c r="AC22" i="17"/>
  <c r="AC19" i="17"/>
  <c r="M64" i="7"/>
  <c r="B64" i="7" s="1"/>
  <c r="AC21" i="17"/>
  <c r="AC17" i="17"/>
  <c r="AC23" i="17"/>
  <c r="AC13" i="17"/>
  <c r="AD13" i="17" l="1"/>
  <c r="AD14" i="17" s="1"/>
  <c r="AD15" i="17" s="1"/>
  <c r="AD16" i="17" s="1"/>
  <c r="AD17" i="17" s="1"/>
  <c r="AD18" i="17" s="1"/>
  <c r="AD19" i="17" s="1"/>
  <c r="AD20" i="17" s="1"/>
  <c r="AD21" i="17" s="1"/>
  <c r="AD22" i="17" s="1"/>
  <c r="AD23" i="17" s="1"/>
  <c r="AA25" i="17"/>
  <c r="Z25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Anurag</author>
  </authors>
  <commentList>
    <comment ref="F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2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F2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Select</t>
        </r>
        <r>
          <rPr>
            <u val="double"/>
            <sz val="9"/>
            <color indexed="81"/>
            <rFont val="Tahoma"/>
            <family val="2"/>
          </rPr>
          <t xml:space="preserve"> </t>
        </r>
        <r>
          <rPr>
            <u val="double"/>
            <sz val="9"/>
            <color indexed="10"/>
            <rFont val="Tahoma"/>
            <family val="2"/>
          </rPr>
          <t>FIX</t>
        </r>
        <r>
          <rPr>
            <sz val="9"/>
            <color indexed="81"/>
            <rFont val="Tahoma"/>
            <family val="2"/>
          </rPr>
          <t xml:space="preserve"> from Dropdown menu</t>
        </r>
      </text>
    </comment>
    <comment ref="AE5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Anurag: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Select 50% (</t>
        </r>
        <r>
          <rPr>
            <sz val="8"/>
            <color indexed="12"/>
            <rFont val="Tahoma"/>
            <family val="2"/>
          </rPr>
          <t>max 10% of salary</t>
        </r>
        <r>
          <rPr>
            <sz val="8"/>
            <color indexed="10"/>
            <rFont val="Tahoma"/>
            <family val="2"/>
          </rPr>
          <t>)
or 100%</t>
        </r>
        <r>
          <rPr>
            <sz val="8"/>
            <color indexed="12"/>
            <rFont val="Tahoma"/>
            <family val="2"/>
          </rPr>
          <t>(Qualifing Limit=Not Applicable</t>
        </r>
        <r>
          <rPr>
            <sz val="9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<sst xmlns="http://schemas.openxmlformats.org/spreadsheetml/2006/main" count="543" uniqueCount="389">
  <si>
    <t>(a)</t>
  </si>
  <si>
    <t>LIC</t>
  </si>
  <si>
    <t>(b)</t>
  </si>
  <si>
    <t>NAME</t>
  </si>
  <si>
    <t>Total</t>
  </si>
  <si>
    <t>(Rupees</t>
  </si>
  <si>
    <t>LAC</t>
  </si>
  <si>
    <t>THOUSAND</t>
  </si>
  <si>
    <t>HUNDRED</t>
  </si>
  <si>
    <t>TENS</t>
  </si>
  <si>
    <t xml:space="preserve"> </t>
  </si>
  <si>
    <t>(A)</t>
  </si>
  <si>
    <t>Tax Calculation:</t>
  </si>
  <si>
    <t>POST</t>
  </si>
  <si>
    <t>OFFICE</t>
  </si>
  <si>
    <t>Payments</t>
  </si>
  <si>
    <t>S.No.</t>
  </si>
  <si>
    <t>MONTH</t>
  </si>
  <si>
    <t>BASIC</t>
  </si>
  <si>
    <t>HRA</t>
  </si>
  <si>
    <t>Gross Pay</t>
  </si>
  <si>
    <t>Income tax</t>
  </si>
  <si>
    <t>Total Deductions</t>
  </si>
  <si>
    <t>Net Payment</t>
  </si>
  <si>
    <t>(i)</t>
  </si>
  <si>
    <t>(ii)</t>
  </si>
  <si>
    <t>(iii)</t>
  </si>
  <si>
    <t>(iv)</t>
  </si>
  <si>
    <t>(v)</t>
  </si>
  <si>
    <t>(vi)</t>
  </si>
  <si>
    <t>(vii)</t>
  </si>
  <si>
    <t>(viii)</t>
  </si>
  <si>
    <t>(x)</t>
  </si>
  <si>
    <t>(xi)</t>
  </si>
  <si>
    <t>(xii)</t>
  </si>
  <si>
    <t>(xiii)</t>
  </si>
  <si>
    <t>Deductions</t>
  </si>
  <si>
    <t>Bonus</t>
  </si>
  <si>
    <t xml:space="preserve">one </t>
  </si>
  <si>
    <t>two</t>
  </si>
  <si>
    <t>three</t>
  </si>
  <si>
    <t>four</t>
  </si>
  <si>
    <t>five</t>
  </si>
  <si>
    <t xml:space="preserve">six 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</si>
  <si>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</si>
  <si>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</si>
  <si>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</si>
  <si>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</si>
  <si>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</si>
  <si>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</si>
  <si>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</si>
  <si>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</si>
  <si>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</t>
  </si>
  <si>
    <t>sixteen</t>
  </si>
  <si>
    <t>seventeen</t>
  </si>
  <si>
    <t>eighteen</t>
  </si>
  <si>
    <t>nineteen</t>
  </si>
  <si>
    <t>twenty</t>
  </si>
  <si>
    <t>twenty one</t>
  </si>
  <si>
    <t>twenty two</t>
  </si>
  <si>
    <t>twenty three</t>
  </si>
  <si>
    <t>twenty four</t>
  </si>
  <si>
    <t>twenty five</t>
  </si>
  <si>
    <t>twenty six</t>
  </si>
  <si>
    <t>twenty seven</t>
  </si>
  <si>
    <t>twenty eight</t>
  </si>
  <si>
    <t>twenty nine</t>
  </si>
  <si>
    <t>thirty</t>
  </si>
  <si>
    <t>thirty one</t>
  </si>
  <si>
    <t>thirty two</t>
  </si>
  <si>
    <t>thirty three</t>
  </si>
  <si>
    <t>thirty four</t>
  </si>
  <si>
    <t>thirty five</t>
  </si>
  <si>
    <t>thirty six</t>
  </si>
  <si>
    <t>thirty seven</t>
  </si>
  <si>
    <t>thirty eight</t>
  </si>
  <si>
    <t>thirty nine</t>
  </si>
  <si>
    <t>fourty</t>
  </si>
  <si>
    <t>fourty one</t>
  </si>
  <si>
    <t xml:space="preserve">fourty two </t>
  </si>
  <si>
    <t>fourty three</t>
  </si>
  <si>
    <t>fourty four</t>
  </si>
  <si>
    <t>fourty five</t>
  </si>
  <si>
    <t>fourty six</t>
  </si>
  <si>
    <t>fourty seven</t>
  </si>
  <si>
    <t>fourty eight</t>
  </si>
  <si>
    <t>fourty nine</t>
  </si>
  <si>
    <t>fifty</t>
  </si>
  <si>
    <t>fifty one</t>
  </si>
  <si>
    <t>fifty two</t>
  </si>
  <si>
    <t>fifty three</t>
  </si>
  <si>
    <t>fifty four</t>
  </si>
  <si>
    <t>fifty five</t>
  </si>
  <si>
    <t>fifty six</t>
  </si>
  <si>
    <t>fifty seven</t>
  </si>
  <si>
    <t>fifty eight</t>
  </si>
  <si>
    <t>fifty nine</t>
  </si>
  <si>
    <t>sixty</t>
  </si>
  <si>
    <t>sixty one</t>
  </si>
  <si>
    <t>sixty two</t>
  </si>
  <si>
    <t>sixty three</t>
  </si>
  <si>
    <t>sixty four</t>
  </si>
  <si>
    <t>sixty five</t>
  </si>
  <si>
    <t>sixty six</t>
  </si>
  <si>
    <t>sixty seven</t>
  </si>
  <si>
    <t>sixty eight</t>
  </si>
  <si>
    <t>sixty nine</t>
  </si>
  <si>
    <t>seventy</t>
  </si>
  <si>
    <t>seventy one</t>
  </si>
  <si>
    <t>seventy two</t>
  </si>
  <si>
    <t>seventy three</t>
  </si>
  <si>
    <t xml:space="preserve">seventy four </t>
  </si>
  <si>
    <t>seventy five</t>
  </si>
  <si>
    <t>seventy six</t>
  </si>
  <si>
    <t>seventy seven</t>
  </si>
  <si>
    <t>seventy eight</t>
  </si>
  <si>
    <t>seventy nine</t>
  </si>
  <si>
    <t>eighty</t>
  </si>
  <si>
    <t>eighty one</t>
  </si>
  <si>
    <t>eighty two</t>
  </si>
  <si>
    <t>eighty three</t>
  </si>
  <si>
    <t>eighty four</t>
  </si>
  <si>
    <t>eighty five</t>
  </si>
  <si>
    <t>eighty six</t>
  </si>
  <si>
    <t>eighty seven</t>
  </si>
  <si>
    <t>eighty eight</t>
  </si>
  <si>
    <t>eighty nine</t>
  </si>
  <si>
    <t>ninety</t>
  </si>
  <si>
    <t>ninety one</t>
  </si>
  <si>
    <t>ninety two</t>
  </si>
  <si>
    <t>ninety three</t>
  </si>
  <si>
    <t>ninety four</t>
  </si>
  <si>
    <t>ninety five</t>
  </si>
  <si>
    <t>ninety six</t>
  </si>
  <si>
    <t>ninety seven</t>
  </si>
  <si>
    <t>ninety eight</t>
  </si>
  <si>
    <t>ninety nine</t>
  </si>
  <si>
    <t>hundred</t>
  </si>
  <si>
    <t>Gross Income</t>
  </si>
  <si>
    <t>Month</t>
  </si>
  <si>
    <t>Basic</t>
  </si>
  <si>
    <t>Net Taxable Income rounded to multiple of 10 (U/S 288A)</t>
  </si>
  <si>
    <t>Net Taxable Income [10-12]</t>
  </si>
  <si>
    <t>Name</t>
  </si>
  <si>
    <t>Financial Year</t>
  </si>
  <si>
    <t>.</t>
  </si>
  <si>
    <t xml:space="preserve">DA </t>
  </si>
  <si>
    <t>RPMF</t>
  </si>
  <si>
    <t>Surrender</t>
  </si>
  <si>
    <t xml:space="preserve">(b) </t>
  </si>
  <si>
    <t>(xv)</t>
  </si>
  <si>
    <t>Total Deductions [(12) to (19) ]</t>
  </si>
  <si>
    <t>Aggragate of deductible Amount  [11+20]</t>
  </si>
  <si>
    <t>(xiv)</t>
  </si>
  <si>
    <t>Rebate US 80C,80CCC,80CCC</t>
  </si>
  <si>
    <t>Total TDS</t>
  </si>
  <si>
    <t>Tax Deducted at Source[ u/s 192(i) ] as under Up To-</t>
  </si>
  <si>
    <t>Name  :</t>
  </si>
  <si>
    <t>Designation</t>
  </si>
  <si>
    <t xml:space="preserve">PAN </t>
  </si>
  <si>
    <t>C.Pen.F Govt</t>
  </si>
  <si>
    <t>(xvi)</t>
  </si>
  <si>
    <t>`</t>
  </si>
  <si>
    <t>Surcharge of 10% if Net Income above ` 1000000</t>
  </si>
  <si>
    <t>Tuition Fees (For Two Childrens)</t>
  </si>
  <si>
    <t>DA</t>
  </si>
  <si>
    <t>monthly ded.</t>
  </si>
  <si>
    <t>Signature Of Employee</t>
  </si>
  <si>
    <t>DDO</t>
  </si>
  <si>
    <t>NA -HRA Claimant</t>
  </si>
  <si>
    <t>Assessment Year</t>
  </si>
  <si>
    <t xml:space="preserve">Date : </t>
  </si>
  <si>
    <t>RECEIPT OF HOUSE RENT</t>
  </si>
  <si>
    <t>(Under Section 10 (13-A) of Income Tax Act )</t>
  </si>
  <si>
    <t>(Affix Revenue Stamp of Rs.1/-)</t>
  </si>
  <si>
    <t>Signature of the House Owner</t>
  </si>
  <si>
    <t>Owner's Name:</t>
  </si>
  <si>
    <t>Address:</t>
  </si>
  <si>
    <t>Owner's PAN:</t>
  </si>
  <si>
    <t>Not mandatory</t>
  </si>
  <si>
    <t>House No.</t>
  </si>
  <si>
    <t>Please do submit the original receipt with self attestation</t>
  </si>
  <si>
    <t>Conveyance allowances(Max Rs.800/-p.m) U/S 10(14)</t>
  </si>
  <si>
    <t xml:space="preserve"> DA @ %</t>
  </si>
  <si>
    <t>HRA @ %</t>
  </si>
  <si>
    <t>Less: Exemption on Home Loan Interest (Sec 24 &amp; Sec 80EE)</t>
  </si>
  <si>
    <t>Additional 1 Lakh exemption on Home Loan Interest (Sec 80EE)</t>
  </si>
  <si>
    <t>Interest paid on Home Improvement Loan (max 30,000)</t>
  </si>
  <si>
    <t>Oth. Ded. (i.e. RD)</t>
  </si>
  <si>
    <t>Acc. Ins.</t>
  </si>
  <si>
    <t>Arrears and oth. Income</t>
  </si>
  <si>
    <t>cumulative Itax</t>
  </si>
  <si>
    <t>Month &amp; Year</t>
  </si>
  <si>
    <t>CPenF</t>
  </si>
  <si>
    <t xml:space="preserve">GPF </t>
  </si>
  <si>
    <t>Other Income</t>
  </si>
  <si>
    <t>Bank ( Saving /FD /Rec )</t>
  </si>
  <si>
    <t>Life Insurance Premiums</t>
  </si>
  <si>
    <t>General Insurance</t>
  </si>
  <si>
    <t>Stamp Duty &amp; Registration Charges</t>
  </si>
  <si>
    <t>N.S.C (Investment + accrued Int.)</t>
  </si>
  <si>
    <t>New Pension Scheme (NPS) (u/s 80CCC)</t>
  </si>
  <si>
    <t>Housing. Loan (Principal Repayment)</t>
  </si>
  <si>
    <t>Postal Life Insurance  (PLI)</t>
  </si>
  <si>
    <t>Personal Provident Fund ( PPF)</t>
  </si>
  <si>
    <t>B. Public Provident Fund (PPF)</t>
  </si>
  <si>
    <t>D. N.S.C (Investment + accrued Interest before Maturity Year)</t>
  </si>
  <si>
    <t>E. Tax Saving Fixed Deposit (5 Years and above)</t>
  </si>
  <si>
    <t>G. E.L.S.S (Tax Saving Mutual Fund)</t>
  </si>
  <si>
    <t>H. Life Insurance Premiums</t>
  </si>
  <si>
    <t>I. New Pension Scheme (NPS) (u/s 80CCC)</t>
  </si>
  <si>
    <t>J. Pension Plan from Insurance Companies/Mutual Funds (u/s 80CCC)</t>
  </si>
  <si>
    <t>M. Stamp Duty &amp; Registration Charges</t>
  </si>
  <si>
    <t>N. Tuition fees for 2 children</t>
  </si>
  <si>
    <t>Housing Loan Interest [ u/s 24(2)(i) (vi) ]</t>
  </si>
  <si>
    <t>Income Tax paid outside (other than salary )</t>
  </si>
  <si>
    <t>Uniform Maintenance Allowance (washing Allowance)U/S 10(14)</t>
  </si>
  <si>
    <t>House Rent Allowance U/S. 10(13A)</t>
  </si>
  <si>
    <t>Tax Saving Fixed Deposit (5 Years and above)</t>
  </si>
  <si>
    <t>E.L.S.S (Tax Saving Mutual Fund)</t>
  </si>
  <si>
    <t>Govt. ProvidentFund (GPF)</t>
  </si>
  <si>
    <t>State Insurance (SI)</t>
  </si>
  <si>
    <t>Pension Plan from Ins. Comp./Mutual Funds</t>
  </si>
  <si>
    <t>A. Postal Life Insurance</t>
  </si>
  <si>
    <t>Tax Savings Bonds</t>
  </si>
  <si>
    <t>N.S.C.(accrued/ Recd )+Post Ofice M.I.S (6 yrs.)&amp;RD(5 yrs.)</t>
  </si>
  <si>
    <t>Less House Loan and House Improvement Loan</t>
  </si>
  <si>
    <t>Deduction under 80C,80CCC,80CCE</t>
  </si>
  <si>
    <t>Deduction Under Chapter VIA</t>
  </si>
  <si>
    <t>Income from House Property</t>
  </si>
  <si>
    <t>Rent received</t>
  </si>
  <si>
    <t>Less: 30% ofrent+Htax</t>
  </si>
  <si>
    <t>Income From other sources</t>
  </si>
  <si>
    <t>a)</t>
  </si>
  <si>
    <t>b)</t>
  </si>
  <si>
    <t>Total Income (1+2)</t>
  </si>
  <si>
    <t>Less Exemption U/S 10</t>
  </si>
  <si>
    <t>c)</t>
  </si>
  <si>
    <t>(I)</t>
  </si>
  <si>
    <t>(II)</t>
  </si>
  <si>
    <t>Total Exemption 4(I)+4(II)</t>
  </si>
  <si>
    <t>Total Income (3)-(5)</t>
  </si>
  <si>
    <t xml:space="preserve"> Deduction under Section Chapter VIA</t>
  </si>
  <si>
    <t>Total Income Tax Payable 20(a)+20(b)</t>
  </si>
  <si>
    <t>Tax Payable (22+23-24)</t>
  </si>
  <si>
    <t xml:space="preserve">Relief under section 89 </t>
  </si>
  <si>
    <t>Relief under section 89 (attach details in 10E)</t>
  </si>
  <si>
    <t>Relief under section 89 (attach details 10E)</t>
  </si>
  <si>
    <t xml:space="preserve">P A N </t>
  </si>
  <si>
    <t>PAN</t>
  </si>
  <si>
    <t>Home Loan Premium</t>
  </si>
  <si>
    <t>Home Loan Intrest</t>
  </si>
  <si>
    <t>SI Loan</t>
  </si>
  <si>
    <t>GPF Loan</t>
  </si>
  <si>
    <t xml:space="preserve">(C)Less  80CCE Employer's Contribution to pension scheme referred u/s 80CCD (Subject to maximum of 10% of salary)] </t>
  </si>
  <si>
    <t xml:space="preserve">( v ) </t>
  </si>
  <si>
    <t>Net Income Tax Payble : [(i)+(ii)+(iii)+(iv)-(v)]</t>
  </si>
  <si>
    <t>Employee Type</t>
  </si>
  <si>
    <t>↓</t>
  </si>
  <si>
    <t xml:space="preserve">Washing Allow </t>
  </si>
  <si>
    <t xml:space="preserve">GPF LOAN  </t>
  </si>
  <si>
    <t xml:space="preserve">SI LOAN  </t>
  </si>
  <si>
    <t xml:space="preserve">House Loan Prem.  </t>
  </si>
  <si>
    <t xml:space="preserve">House Loan int.  </t>
  </si>
  <si>
    <t xml:space="preserve">LIC  </t>
  </si>
  <si>
    <t xml:space="preserve">RPMF  </t>
  </si>
  <si>
    <t xml:space="preserve">Income tax </t>
  </si>
  <si>
    <t>U/S 10(A) House Rent Allowence Deduction</t>
  </si>
  <si>
    <t>Colony/Tehsil</t>
  </si>
  <si>
    <t>District</t>
  </si>
  <si>
    <t>State</t>
  </si>
  <si>
    <t/>
  </si>
  <si>
    <t>thousand</t>
  </si>
  <si>
    <t>only)</t>
  </si>
  <si>
    <t>Owner's Name</t>
  </si>
  <si>
    <t>Yearly</t>
  </si>
  <si>
    <t xml:space="preserve">NAME </t>
  </si>
  <si>
    <t>CALCULATION OF HOUSE RENT OF HOUSE RENT ALLOUNCE   [U/S-10-13-A]</t>
  </si>
  <si>
    <t xml:space="preserve">                      </t>
  </si>
  <si>
    <t xml:space="preserve">                               </t>
  </si>
  <si>
    <t>HOUSE RENT ACTUALLY PAID - 10% of (SALARY+DP+DA)</t>
  </si>
  <si>
    <t xml:space="preserve">                                        </t>
  </si>
  <si>
    <t xml:space="preserve"> SIGNATURE OF GOVERNMENT SERVANT</t>
  </si>
  <si>
    <t>Mess Allow.</t>
  </si>
  <si>
    <t>Cashier Allow.</t>
  </si>
  <si>
    <t>Hard Duty Allow.</t>
  </si>
  <si>
    <t>C.Pen.Fund</t>
  </si>
  <si>
    <t xml:space="preserve">Convey.  Allow. </t>
  </si>
  <si>
    <t>Senior Citizen</t>
  </si>
  <si>
    <t>FIX</t>
  </si>
  <si>
    <t>Select "FIX" from Drop down list</t>
  </si>
  <si>
    <t>ROP</t>
  </si>
  <si>
    <t>CCA</t>
  </si>
  <si>
    <t>C.Pen.F Govt   ↓</t>
  </si>
  <si>
    <t>Spl Pay</t>
  </si>
  <si>
    <t>SI Premium</t>
  </si>
  <si>
    <t>Income
Tax</t>
  </si>
  <si>
    <t>80G 100%</t>
  </si>
  <si>
    <t>Interest  from Saving Account</t>
  </si>
  <si>
    <t>Up To 25000/-</t>
  </si>
  <si>
    <t>Up To 125000/-</t>
  </si>
  <si>
    <t>Up To 60000/-</t>
  </si>
  <si>
    <t>i) Section 80U  ( Permanent Physical Disability ) max 75000 and in some cases 125000 disability act 1995</t>
  </si>
  <si>
    <t>(III)</t>
  </si>
  <si>
    <t>Education cess @2%+2%=4%of Income tax</t>
  </si>
  <si>
    <t>F. Sukanya Smardhhi Yojna</t>
  </si>
  <si>
    <t>SI Prem.</t>
  </si>
  <si>
    <t>a)Less: Deduction under RGESS Sec 80CCG (Max Rs. 50,000/-)</t>
  </si>
  <si>
    <t>Hitkari.</t>
  </si>
  <si>
    <t>Gen. Ins. / hitkari</t>
  </si>
  <si>
    <t>Salary</t>
  </si>
  <si>
    <t>ARREARS RECEIVED</t>
  </si>
  <si>
    <t>Up to 50000/-</t>
  </si>
  <si>
    <t>DA Arr 2</t>
  </si>
  <si>
    <t>Salary Arrear i</t>
  </si>
  <si>
    <t>Salary Arrear ii</t>
  </si>
  <si>
    <r>
      <t xml:space="preserve"> </t>
    </r>
    <r>
      <rPr>
        <b/>
        <sz val="11"/>
        <color indexed="10"/>
        <rFont val="Bahnschrift"/>
        <family val="2"/>
      </rPr>
      <t>Add</t>
    </r>
    <r>
      <rPr>
        <b/>
        <sz val="11"/>
        <rFont val="Bahnschrift"/>
        <family val="2"/>
      </rPr>
      <t xml:space="preserve"> Interest received from following Investments</t>
    </r>
  </si>
  <si>
    <r>
      <rPr>
        <b/>
        <sz val="8"/>
        <color indexed="10"/>
        <rFont val="Bahnschrift"/>
        <family val="2"/>
      </rPr>
      <t xml:space="preserve">Add </t>
    </r>
    <r>
      <rPr>
        <b/>
        <sz val="8"/>
        <rFont val="Bahnschrift"/>
        <family val="2"/>
      </rPr>
      <t>Income From House Property</t>
    </r>
  </si>
  <si>
    <r>
      <rPr>
        <b/>
        <sz val="8"/>
        <color indexed="10"/>
        <rFont val="Bahnschrift"/>
        <family val="2"/>
      </rPr>
      <t>Less</t>
    </r>
    <r>
      <rPr>
        <b/>
        <sz val="8"/>
        <rFont val="Bahnschrift"/>
        <family val="2"/>
      </rPr>
      <t xml:space="preserve"> House Tax</t>
    </r>
  </si>
  <si>
    <r>
      <t xml:space="preserve"> Housing. Loan (Principal Repayment)</t>
    </r>
    <r>
      <rPr>
        <b/>
        <sz val="8"/>
        <color rgb="FFFF0000"/>
        <rFont val="Bahnschrift"/>
        <family val="2"/>
      </rPr>
      <t xml:space="preserve"> Deduction U/S 80C</t>
    </r>
  </si>
  <si>
    <t>Monthly Rent Paid `</t>
  </si>
  <si>
    <r>
      <t xml:space="preserve">b) </t>
    </r>
    <r>
      <rPr>
        <b/>
        <sz val="8"/>
        <color rgb="FFFF0000"/>
        <rFont val="Calibri"/>
        <family val="2"/>
        <scheme val="minor"/>
      </rPr>
      <t>Section 80D 2A</t>
    </r>
    <r>
      <rPr>
        <b/>
        <sz val="8"/>
        <rFont val="Calibri"/>
        <family val="2"/>
        <scheme val="minor"/>
      </rPr>
      <t xml:space="preserve"> ( Mediclaim Premium Up To 25,000/- )</t>
    </r>
  </si>
  <si>
    <r>
      <t>c) Section</t>
    </r>
    <r>
      <rPr>
        <b/>
        <sz val="8"/>
        <color rgb="FFFF0000"/>
        <rFont val="Calibri"/>
        <family val="2"/>
        <scheme val="minor"/>
      </rPr>
      <t xml:space="preserve"> 80D 2B</t>
    </r>
    <r>
      <rPr>
        <b/>
        <sz val="8"/>
        <rFont val="Calibri"/>
        <family val="2"/>
        <scheme val="minor"/>
      </rPr>
      <t xml:space="preserve"> ( Parent's Mediclaim Premium Up To 30,000/- )</t>
    </r>
  </si>
  <si>
    <r>
      <t xml:space="preserve">d) Section </t>
    </r>
    <r>
      <rPr>
        <b/>
        <sz val="8"/>
        <color rgb="FFFF0000"/>
        <rFont val="Calibri"/>
        <family val="2"/>
        <scheme val="minor"/>
      </rPr>
      <t>80DD</t>
    </r>
    <r>
      <rPr>
        <b/>
        <sz val="8"/>
        <rFont val="Calibri"/>
        <family val="2"/>
        <scheme val="minor"/>
      </rPr>
      <t xml:space="preserve"> ( Medical Exp On PHC ) max 75000 and in some cases 125000 disability act 1995</t>
    </r>
  </si>
  <si>
    <r>
      <t>e) Section</t>
    </r>
    <r>
      <rPr>
        <b/>
        <sz val="8"/>
        <color rgb="FFFF0000"/>
        <rFont val="Calibri"/>
        <family val="2"/>
        <scheme val="minor"/>
      </rPr>
      <t xml:space="preserve"> 80DDB</t>
    </r>
    <r>
      <rPr>
        <b/>
        <sz val="8"/>
        <rFont val="Calibri"/>
        <family val="2"/>
        <scheme val="minor"/>
      </rPr>
      <t xml:space="preserve"> ( Medical Exp On Terminal Diseases )</t>
    </r>
  </si>
  <si>
    <r>
      <t>f) Section</t>
    </r>
    <r>
      <rPr>
        <b/>
        <sz val="8"/>
        <color rgb="FFFF0000"/>
        <rFont val="Calibri"/>
        <family val="2"/>
        <scheme val="minor"/>
      </rPr>
      <t xml:space="preserve"> 80E</t>
    </r>
    <r>
      <rPr>
        <b/>
        <sz val="8"/>
        <rFont val="Calibri"/>
        <family val="2"/>
        <scheme val="minor"/>
      </rPr>
      <t xml:space="preserve">  ( Interest On Education Loan )</t>
    </r>
  </si>
  <si>
    <r>
      <t xml:space="preserve">g) Section </t>
    </r>
    <r>
      <rPr>
        <b/>
        <sz val="8"/>
        <color rgb="FFFF0000"/>
        <rFont val="Calibri"/>
        <family val="2"/>
        <scheme val="minor"/>
      </rPr>
      <t>80G, 80GGA, 80GGC</t>
    </r>
    <r>
      <rPr>
        <b/>
        <sz val="8"/>
        <rFont val="Calibri"/>
        <family val="2"/>
        <scheme val="minor"/>
      </rPr>
      <t xml:space="preserve"> (Donation to approved funds</t>
    </r>
  </si>
  <si>
    <r>
      <t xml:space="preserve">h) Section </t>
    </r>
    <r>
      <rPr>
        <b/>
        <sz val="8"/>
        <color rgb="FFFF0000"/>
        <rFont val="Calibri"/>
        <family val="2"/>
        <scheme val="minor"/>
      </rPr>
      <t>80GG</t>
    </r>
    <r>
      <rPr>
        <b/>
        <sz val="8"/>
        <rFont val="Calibri"/>
        <family val="2"/>
        <scheme val="minor"/>
      </rPr>
      <t xml:space="preserve"> ( Rent Provided No House At Work Place )</t>
    </r>
  </si>
  <si>
    <t xml:space="preserve">SHIVANI COMPUTERS &amp; ANURAG VISION BHILWARA 9610017777,9001223355 </t>
  </si>
  <si>
    <t>Amount</t>
  </si>
  <si>
    <t>DA Arr 1</t>
  </si>
  <si>
    <t>Up to Rs. 2,50,000</t>
  </si>
  <si>
    <t>Up to Rs. 3,00,000</t>
  </si>
  <si>
    <t>2,50,001  to  5,00,000</t>
  </si>
  <si>
    <t>3,00,001  to  7,00,000</t>
  </si>
  <si>
    <t>5,00,001 to 10,00,000</t>
  </si>
  <si>
    <t>7,00,001  to  10,00,000</t>
  </si>
  <si>
    <t>Above  10,00,000</t>
  </si>
  <si>
    <t>10,00,001  to  12,00,000</t>
  </si>
  <si>
    <t>12,00,001  to  15,00,000</t>
  </si>
  <si>
    <t>Above  15,00,000</t>
  </si>
  <si>
    <r>
      <t>I</t>
    </r>
    <r>
      <rPr>
        <b/>
        <sz val="9"/>
        <color indexed="45"/>
        <rFont val="Georgia"/>
        <family val="1"/>
      </rPr>
      <t>n</t>
    </r>
    <r>
      <rPr>
        <b/>
        <sz val="9"/>
        <color indexed="42"/>
        <rFont val="Georgia"/>
        <family val="1"/>
      </rPr>
      <t>c</t>
    </r>
    <r>
      <rPr>
        <b/>
        <sz val="9"/>
        <color indexed="47"/>
        <rFont val="Georgia"/>
        <family val="1"/>
      </rPr>
      <t>o</t>
    </r>
    <r>
      <rPr>
        <b/>
        <sz val="9"/>
        <color indexed="13"/>
        <rFont val="Georgia"/>
        <family val="1"/>
      </rPr>
      <t>m</t>
    </r>
    <r>
      <rPr>
        <b/>
        <sz val="9"/>
        <color indexed="53"/>
        <rFont val="Georgia"/>
        <family val="1"/>
      </rPr>
      <t>e</t>
    </r>
    <r>
      <rPr>
        <b/>
        <sz val="9"/>
        <color indexed="20"/>
        <rFont val="Georgia"/>
        <family val="1"/>
      </rPr>
      <t xml:space="preserve"> </t>
    </r>
    <r>
      <rPr>
        <b/>
        <sz val="9"/>
        <color indexed="10"/>
        <rFont val="Georgia"/>
        <family val="1"/>
      </rPr>
      <t>T</t>
    </r>
    <r>
      <rPr>
        <b/>
        <sz val="9"/>
        <color indexed="49"/>
        <rFont val="Georgia"/>
        <family val="1"/>
      </rPr>
      <t>a</t>
    </r>
    <r>
      <rPr>
        <b/>
        <sz val="9"/>
        <color indexed="41"/>
        <rFont val="Georgia"/>
        <family val="1"/>
      </rPr>
      <t>x</t>
    </r>
    <r>
      <rPr>
        <b/>
        <sz val="9"/>
        <color indexed="11"/>
        <rFont val="Georgia"/>
        <family val="1"/>
      </rPr>
      <t>.  Calculation Since 2005</t>
    </r>
  </si>
  <si>
    <t>New Tax Regime</t>
  </si>
  <si>
    <t>Old Tax Regime</t>
  </si>
  <si>
    <t xml:space="preserve">signature of employee
</t>
  </si>
  <si>
    <t>https://eportal.incometax.gov.in/iec/foservices/#/TaxCalc/calculator</t>
  </si>
  <si>
    <t>https://anuragvision.co.in</t>
  </si>
  <si>
    <t>GOPAL LAL SUTHAR</t>
  </si>
  <si>
    <t>D.E.O.</t>
  </si>
  <si>
    <t>AHZPS9525J</t>
  </si>
  <si>
    <t>ACP/MACP Arrear i</t>
  </si>
  <si>
    <t>D.A. +</t>
  </si>
  <si>
    <t>ACP/MACP Arrear ii</t>
  </si>
  <si>
    <t>D.A. arrears</t>
  </si>
  <si>
    <t>Salary/ACP/MACP
 Arrears</t>
  </si>
  <si>
    <t>D.A. Arrears calculation</t>
  </si>
  <si>
    <t>Edit D.A. &amp; H.R.A. rates</t>
  </si>
  <si>
    <t>Rent Earned in FY 2024-25</t>
  </si>
  <si>
    <t>Posting Place</t>
  </si>
  <si>
    <t>Salary Arrear iii</t>
  </si>
  <si>
    <t>ACP/MACP Arrear iii</t>
  </si>
  <si>
    <t xml:space="preserve">surrender Arrear </t>
  </si>
  <si>
    <t>OPS</t>
  </si>
  <si>
    <t>NPS</t>
  </si>
  <si>
    <t>Tax Regime</t>
  </si>
  <si>
    <t>Spl Pay @%</t>
  </si>
  <si>
    <t>others</t>
  </si>
  <si>
    <t>Office Name</t>
  </si>
  <si>
    <t>Tax on First Rs 3,00,000 - Nil</t>
  </si>
  <si>
    <t>Step III : Since B&gt;A, rebate u/s 87A would be (B-A) </t>
  </si>
  <si>
    <t>b</t>
  </si>
  <si>
    <t>a</t>
  </si>
  <si>
    <t>Step I: Calculate excess above Rs. 7 lakhs</t>
  </si>
  <si>
    <t xml:space="preserve">Step II : Tax on total income of </t>
  </si>
  <si>
    <t xml:space="preserve">Tax on next Rs 4,00,000 @ 5% </t>
  </si>
  <si>
    <t>Less Deduction U/S 87A Tax Rebate in Old Tax Regime max. Rs 12500 and in New Tax regime max. Rs 20000</t>
  </si>
  <si>
    <t>https://himadri.co</t>
  </si>
  <si>
    <t>RGHS</t>
  </si>
  <si>
    <t>GPF  2004</t>
  </si>
  <si>
    <t xml:space="preserve">SI Prem.  </t>
  </si>
  <si>
    <t>cumulative Itax ded.</t>
  </si>
  <si>
    <t>to be deducted</t>
  </si>
  <si>
    <r>
      <rPr>
        <b/>
        <sz val="14"/>
        <color theme="0"/>
        <rFont val="Calibri"/>
        <family val="2"/>
        <scheme val="minor"/>
      </rPr>
      <t xml:space="preserve">Disclaimer </t>
    </r>
    <r>
      <rPr>
        <b/>
        <sz val="14"/>
        <color rgb="FF0000FF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>All care has been taken to keep the information upto date and correct and is for educational purpose only</t>
    </r>
    <r>
      <rPr>
        <b/>
        <sz val="14"/>
        <color rgb="FF0000FF"/>
        <rFont val="Calibri"/>
        <family val="2"/>
        <scheme val="minor"/>
      </rPr>
      <t>.</t>
    </r>
  </si>
  <si>
    <r>
      <rPr>
        <b/>
        <sz val="11"/>
        <color rgb="FFFF0000"/>
        <rFont val="Calibri"/>
        <family val="2"/>
        <scheme val="minor"/>
      </rPr>
      <t xml:space="preserve">छात्र आईडी कार्ड,बेज,बेल्ट,टाई बनवाने हेतु संपर्क करे </t>
    </r>
    <r>
      <rPr>
        <b/>
        <sz val="12"/>
        <color rgb="FFFF0000"/>
        <rFont val="Calibri"/>
        <family val="2"/>
        <scheme val="minor"/>
      </rPr>
      <t>(9610017777)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websites : https://anuragvision.co.in , https://anuragvision.com</t>
    </r>
  </si>
  <si>
    <t xml:space="preserve"> Total Tax Liability»»</t>
  </si>
  <si>
    <t>Tax Calculation at a glance »»»»»»»»»»»»</t>
  </si>
  <si>
    <t>Tax Regime »»»»</t>
  </si>
  <si>
    <t>Deducted »»»»</t>
  </si>
  <si>
    <t>in feb »»»»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</si>
</sst>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409]mmm\-yy;@"/>
    <numFmt numFmtId="166" formatCode="[$-809]dd\ mmmm\ yyyy;@"/>
    <numFmt numFmtId="167" formatCode="[$रु-44F]\ #,##0.00"/>
    <numFmt numFmtId="168" formatCode="[$₹-4009]\ #,##0"/>
  </numFmts>
  <fonts count="14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16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62"/>
      <name val="Calibri"/>
      <family val="2"/>
      <scheme val="minor"/>
    </font>
    <font>
      <sz val="13"/>
      <name val="Calibri"/>
      <family val="2"/>
      <scheme val="minor"/>
    </font>
    <font>
      <sz val="8"/>
      <color indexed="55"/>
      <name val="Calibri"/>
      <family val="2"/>
      <scheme val="minor"/>
    </font>
    <font>
      <sz val="8"/>
      <color indexed="22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mbria"/>
      <family val="1"/>
      <scheme val="major"/>
    </font>
    <font>
      <b/>
      <sz val="10"/>
      <color rgb="FFFF0000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double"/>
      <sz val="9"/>
      <color indexed="81"/>
      <name val="Tahoma"/>
      <family val="2"/>
    </font>
    <font>
      <u val="double"/>
      <sz val="9"/>
      <color indexed="10"/>
      <name val="Tahoma"/>
      <family val="2"/>
    </font>
    <font>
      <sz val="9"/>
      <color indexed="10"/>
      <name val="Tahoma"/>
      <family val="2"/>
    </font>
    <font>
      <sz val="8"/>
      <color indexed="10"/>
      <name val="Tahoma"/>
      <family val="2"/>
    </font>
    <font>
      <sz val="8"/>
      <color indexed="12"/>
      <name val="Tahoma"/>
      <family val="2"/>
    </font>
    <font>
      <b/>
      <sz val="8"/>
      <name val="Calibri"/>
      <family val="2"/>
    </font>
    <font>
      <b/>
      <sz val="8"/>
      <color indexed="8"/>
      <name val="Calibri"/>
      <family val="2"/>
      <scheme val="minor"/>
    </font>
    <font>
      <b/>
      <sz val="7"/>
      <name val="Calibri"/>
      <family val="2"/>
      <scheme val="minor"/>
    </font>
    <font>
      <b/>
      <sz val="9"/>
      <color indexed="11"/>
      <name val="Georgia"/>
      <family val="1"/>
    </font>
    <font>
      <b/>
      <sz val="9"/>
      <color indexed="45"/>
      <name val="Georgia"/>
      <family val="1"/>
    </font>
    <font>
      <b/>
      <sz val="9"/>
      <color indexed="42"/>
      <name val="Georgia"/>
      <family val="1"/>
    </font>
    <font>
      <b/>
      <sz val="9"/>
      <color indexed="47"/>
      <name val="Georgia"/>
      <family val="1"/>
    </font>
    <font>
      <b/>
      <sz val="9"/>
      <color indexed="13"/>
      <name val="Georgia"/>
      <family val="1"/>
    </font>
    <font>
      <b/>
      <sz val="9"/>
      <color indexed="53"/>
      <name val="Georgia"/>
      <family val="1"/>
    </font>
    <font>
      <b/>
      <sz val="9"/>
      <color indexed="20"/>
      <name val="Georgia"/>
      <family val="1"/>
    </font>
    <font>
      <b/>
      <sz val="9"/>
      <color indexed="10"/>
      <name val="Georgia"/>
      <family val="1"/>
    </font>
    <font>
      <b/>
      <sz val="9"/>
      <color indexed="49"/>
      <name val="Georgia"/>
      <family val="1"/>
    </font>
    <font>
      <b/>
      <sz val="9"/>
      <color indexed="41"/>
      <name val="Georgia"/>
      <family val="1"/>
    </font>
    <font>
      <b/>
      <sz val="11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u/>
      <sz val="9"/>
      <color theme="10"/>
      <name val="Cambria"/>
      <family val="1"/>
      <scheme val="major"/>
    </font>
    <font>
      <b/>
      <sz val="9"/>
      <name val="Cambria"/>
      <family val="1"/>
      <scheme val="major"/>
    </font>
    <font>
      <b/>
      <sz val="9"/>
      <name val="Calibri"/>
      <family val="2"/>
    </font>
    <font>
      <b/>
      <sz val="9"/>
      <name val="Rupee Foradian"/>
      <family val="2"/>
    </font>
    <font>
      <b/>
      <sz val="9"/>
      <name val="Arial"/>
      <family val="2"/>
    </font>
    <font>
      <b/>
      <sz val="9"/>
      <color indexed="18"/>
      <name val="Comic Sans MS"/>
      <family val="4"/>
    </font>
    <font>
      <b/>
      <sz val="9"/>
      <name val="Shuriken Boy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sz val="8"/>
      <color rgb="FFFFFF00"/>
      <name val="Calibri"/>
      <family val="2"/>
    </font>
    <font>
      <sz val="10"/>
      <color rgb="FFFFFF00"/>
      <name val="Calibri"/>
      <family val="2"/>
    </font>
    <font>
      <b/>
      <sz val="8"/>
      <color rgb="FFC00000"/>
      <name val="Calibri"/>
      <family val="2"/>
      <scheme val="minor"/>
    </font>
    <font>
      <b/>
      <sz val="9"/>
      <color rgb="FFCC0000"/>
      <name val="Bahnschrift SemiLight SemiConde"/>
      <family val="2"/>
    </font>
    <font>
      <b/>
      <sz val="12"/>
      <color rgb="FFCC0000"/>
      <name val="Bahnschrift SemiLight SemiConde"/>
      <family val="2"/>
    </font>
    <font>
      <sz val="9"/>
      <color rgb="FFCC0000"/>
      <name val="Bahnschrift SemiLight SemiConde"/>
      <family val="2"/>
    </font>
    <font>
      <sz val="11"/>
      <name val="Franklin Gothic Medium Cond"/>
      <family val="2"/>
    </font>
    <font>
      <b/>
      <sz val="8"/>
      <name val="Bahnschrift"/>
      <family val="2"/>
    </font>
    <font>
      <b/>
      <sz val="10"/>
      <name val="Bahnschrift"/>
      <family val="2"/>
    </font>
    <font>
      <sz val="10"/>
      <name val="Bahnschrift"/>
      <family val="2"/>
    </font>
    <font>
      <b/>
      <sz val="8"/>
      <color rgb="FFFF0000"/>
      <name val="Bahnschrift"/>
      <family val="2"/>
    </font>
    <font>
      <b/>
      <sz val="9"/>
      <name val="Bahnschrift SemiLight"/>
      <family val="2"/>
    </font>
    <font>
      <b/>
      <sz val="8"/>
      <color indexed="8"/>
      <name val="Bahnschrift"/>
      <family val="2"/>
    </font>
    <font>
      <b/>
      <sz val="8"/>
      <color indexed="12"/>
      <name val="Bahnschrift"/>
      <family val="2"/>
    </font>
    <font>
      <b/>
      <sz val="8"/>
      <color indexed="10"/>
      <name val="Bahnschrift"/>
      <family val="2"/>
    </font>
    <font>
      <sz val="10"/>
      <color indexed="8"/>
      <name val="Bahnschrift"/>
      <family val="2"/>
    </font>
    <font>
      <b/>
      <sz val="14"/>
      <color rgb="FFFF0000"/>
      <name val="Bahnschrift"/>
      <family val="2"/>
    </font>
    <font>
      <sz val="8"/>
      <name val="Bahnschrift"/>
      <family val="2"/>
    </font>
    <font>
      <b/>
      <sz val="11"/>
      <name val="Bahnschrift"/>
      <family val="2"/>
    </font>
    <font>
      <b/>
      <sz val="11"/>
      <color indexed="10"/>
      <name val="Bahnschrift"/>
      <family val="2"/>
    </font>
    <font>
      <sz val="11"/>
      <name val="Bahnschrift"/>
      <family val="2"/>
    </font>
    <font>
      <b/>
      <sz val="12"/>
      <color rgb="FFFFFF0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9900FF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60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9"/>
      <color rgb="FF009900"/>
      <name val="Calibri"/>
      <family val="2"/>
      <scheme val="minor"/>
    </font>
    <font>
      <b/>
      <sz val="10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8"/>
      <color rgb="FF0099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8"/>
      <color rgb="FF00B0F0"/>
      <name val="Bahnschrift"/>
      <family val="2"/>
    </font>
    <font>
      <sz val="10"/>
      <color rgb="FF00B0F0"/>
      <name val="Bahnschrift"/>
      <family val="2"/>
    </font>
    <font>
      <sz val="8"/>
      <color rgb="FF00B0F0"/>
      <name val="Bahnschrift"/>
      <family val="2"/>
    </font>
    <font>
      <b/>
      <sz val="8"/>
      <color rgb="FF00CC99"/>
      <name val="Bahnschrift"/>
      <family val="2"/>
    </font>
    <font>
      <b/>
      <sz val="8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rgb="FFFF0000"/>
      <name val="Cascadia Mono SemiBold"/>
      <family val="3"/>
    </font>
    <font>
      <sz val="9"/>
      <color rgb="FFFFFF00"/>
      <name val="Calibri"/>
      <family val="2"/>
      <scheme val="minor"/>
    </font>
    <font>
      <b/>
      <sz val="7"/>
      <color rgb="FFFFFF00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12"/>
      <name val="Bahnschrift SemiBold"/>
      <family val="2"/>
    </font>
    <font>
      <b/>
      <sz val="12"/>
      <color rgb="FF9900FF"/>
      <name val="Calibri"/>
      <family val="2"/>
      <scheme val="minor"/>
    </font>
    <font>
      <b/>
      <sz val="10"/>
      <name val="Arial Narrow"/>
      <family val="2"/>
    </font>
    <font>
      <b/>
      <sz val="9"/>
      <color rgb="FFFF0000"/>
      <name val="Calibri"/>
      <family val="2"/>
    </font>
    <font>
      <sz val="8"/>
      <name val="Arial Narrow"/>
      <family val="2"/>
    </font>
    <font>
      <b/>
      <sz val="14"/>
      <color rgb="FFFFFF00"/>
      <name val="Roboto Black"/>
    </font>
    <font>
      <b/>
      <sz val="14"/>
      <color rgb="FF0000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9900FF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9A7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9966FF"/>
      </left>
      <right/>
      <top style="medium">
        <color rgb="FF9966FF"/>
      </top>
      <bottom style="medium">
        <color rgb="FF9966FF"/>
      </bottom>
      <diagonal/>
    </border>
    <border>
      <left/>
      <right/>
      <top style="medium">
        <color rgb="FF9966FF"/>
      </top>
      <bottom style="medium">
        <color rgb="FF9966FF"/>
      </bottom>
      <diagonal/>
    </border>
    <border>
      <left/>
      <right style="medium">
        <color rgb="FF9966FF"/>
      </right>
      <top style="medium">
        <color rgb="FF9966FF"/>
      </top>
      <bottom style="medium">
        <color rgb="FF9966FF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164" fontId="35" fillId="0" borderId="0" applyFont="0" applyFill="0" applyBorder="0" applyAlignment="0" applyProtection="0"/>
    <xf numFmtId="0" fontId="2" fillId="0" borderId="0"/>
    <xf numFmtId="0" fontId="128" fillId="0" borderId="0" applyNumberFormat="0" applyFill="0" applyBorder="0" applyAlignment="0" applyProtection="0"/>
  </cellStyleXfs>
  <cellXfs count="528">
    <xf numFmtId="0" fontId="0" fillId="0" borderId="0" xfId="0"/>
    <xf numFmtId="0" fontId="5" fillId="0" borderId="0" xfId="2"/>
    <xf numFmtId="0" fontId="5" fillId="0" borderId="0" xfId="2" applyAlignment="1">
      <alignment shrinkToFit="1"/>
    </xf>
    <xf numFmtId="1" fontId="5" fillId="0" borderId="1" xfId="2" applyNumberFormat="1" applyBorder="1"/>
    <xf numFmtId="0" fontId="5" fillId="0" borderId="2" xfId="2" applyBorder="1"/>
    <xf numFmtId="0" fontId="5" fillId="0" borderId="3" xfId="2" applyBorder="1"/>
    <xf numFmtId="0" fontId="2" fillId="0" borderId="4" xfId="2" applyFont="1" applyBorder="1"/>
    <xf numFmtId="0" fontId="5" fillId="0" borderId="0" xfId="2" applyAlignment="1">
      <alignment horizontal="center"/>
    </xf>
    <xf numFmtId="0" fontId="2" fillId="0" borderId="0" xfId="2" applyFont="1"/>
    <xf numFmtId="0" fontId="5" fillId="0" borderId="5" xfId="2" applyBorder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5" fillId="0" borderId="4" xfId="2" applyBorder="1" applyAlignment="1">
      <alignment horizontal="center"/>
    </xf>
    <xf numFmtId="0" fontId="5" fillId="0" borderId="6" xfId="2" applyBorder="1"/>
    <xf numFmtId="0" fontId="5" fillId="0" borderId="7" xfId="2" applyBorder="1"/>
    <xf numFmtId="0" fontId="5" fillId="0" borderId="8" xfId="2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0" fillId="0" borderId="0" xfId="0" applyFont="1"/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14" fontId="18" fillId="0" borderId="0" xfId="0" applyNumberFormat="1" applyFont="1"/>
    <xf numFmtId="0" fontId="20" fillId="0" borderId="0" xfId="0" applyFont="1"/>
    <xf numFmtId="14" fontId="15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horizontal="left"/>
    </xf>
    <xf numFmtId="0" fontId="23" fillId="5" borderId="0" xfId="0" applyFont="1" applyFill="1" applyAlignment="1">
      <alignment vertical="center" wrapText="1"/>
    </xf>
    <xf numFmtId="0" fontId="22" fillId="7" borderId="0" xfId="0" applyFont="1" applyFill="1" applyAlignment="1">
      <alignment vertical="center"/>
    </xf>
    <xf numFmtId="9" fontId="26" fillId="0" borderId="0" xfId="0" applyNumberFormat="1" applyFont="1" applyProtection="1">
      <protection locked="0"/>
    </xf>
    <xf numFmtId="0" fontId="12" fillId="9" borderId="0" xfId="0" applyFont="1" applyFill="1" applyAlignment="1">
      <alignment horizontal="center" wrapText="1"/>
    </xf>
    <xf numFmtId="0" fontId="12" fillId="9" borderId="0" xfId="0" applyFont="1" applyFill="1" applyAlignment="1">
      <alignment wrapText="1"/>
    </xf>
    <xf numFmtId="9" fontId="26" fillId="9" borderId="0" xfId="0" applyNumberFormat="1" applyFont="1" applyFill="1" applyProtection="1">
      <protection locked="0"/>
    </xf>
    <xf numFmtId="0" fontId="12" fillId="0" borderId="0" xfId="0" applyFont="1"/>
    <xf numFmtId="0" fontId="16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3" fillId="0" borderId="0" xfId="0" applyFont="1"/>
    <xf numFmtId="166" fontId="13" fillId="0" borderId="0" xfId="0" applyNumberFormat="1" applyFont="1"/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justify" vertical="center"/>
    </xf>
    <xf numFmtId="0" fontId="16" fillId="0" borderId="0" xfId="0" applyFont="1" applyAlignment="1">
      <alignment horizontal="right"/>
    </xf>
    <xf numFmtId="0" fontId="2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27" fillId="0" borderId="0" xfId="0" applyFont="1" applyAlignment="1">
      <alignment horizontal="left" vertical="top"/>
    </xf>
    <xf numFmtId="0" fontId="14" fillId="0" borderId="0" xfId="0" applyFont="1"/>
    <xf numFmtId="0" fontId="26" fillId="13" borderId="0" xfId="0" applyFont="1" applyFill="1" applyAlignment="1">
      <alignment vertical="center"/>
    </xf>
    <xf numFmtId="0" fontId="44" fillId="15" borderId="0" xfId="0" applyFont="1" applyFill="1" applyAlignment="1">
      <alignment vertical="center"/>
    </xf>
    <xf numFmtId="0" fontId="26" fillId="0" borderId="0" xfId="0" applyFont="1"/>
    <xf numFmtId="0" fontId="45" fillId="0" borderId="0" xfId="0" applyFont="1"/>
    <xf numFmtId="0" fontId="56" fillId="0" borderId="0" xfId="0" applyFont="1" applyAlignment="1">
      <alignment vertical="center" wrapText="1"/>
    </xf>
    <xf numFmtId="0" fontId="16" fillId="0" borderId="25" xfId="0" applyFont="1" applyBorder="1" applyAlignment="1">
      <alignment horizontal="left" vertical="center"/>
    </xf>
    <xf numFmtId="0" fontId="57" fillId="8" borderId="0" xfId="0" applyFont="1" applyFill="1" applyAlignment="1">
      <alignment horizontal="center" vertical="center"/>
    </xf>
    <xf numFmtId="0" fontId="25" fillId="0" borderId="0" xfId="0" applyFont="1"/>
    <xf numFmtId="1" fontId="26" fillId="0" borderId="0" xfId="0" applyNumberFormat="1" applyFont="1" applyAlignment="1">
      <alignment horizontal="center" vertical="center"/>
    </xf>
    <xf numFmtId="0" fontId="26" fillId="0" borderId="2" xfId="0" applyFont="1" applyBorder="1"/>
    <xf numFmtId="0" fontId="26" fillId="0" borderId="3" xfId="0" applyFont="1" applyBorder="1"/>
    <xf numFmtId="0" fontId="26" fillId="0" borderId="5" xfId="0" applyFont="1" applyBorder="1"/>
    <xf numFmtId="0" fontId="26" fillId="0" borderId="7" xfId="0" applyFont="1" applyBorder="1"/>
    <xf numFmtId="0" fontId="26" fillId="0" borderId="8" xfId="0" applyFont="1" applyBorder="1"/>
    <xf numFmtId="0" fontId="8" fillId="0" borderId="0" xfId="0" applyFont="1" applyAlignment="1">
      <alignment horizontal="right" vertical="center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/>
    </xf>
    <xf numFmtId="0" fontId="60" fillId="0" borderId="0" xfId="0" applyFont="1"/>
    <xf numFmtId="0" fontId="11" fillId="2" borderId="0" xfId="0" applyFont="1" applyFill="1" applyAlignment="1">
      <alignment horizontal="right" vertical="center"/>
    </xf>
    <xf numFmtId="0" fontId="58" fillId="0" borderId="0" xfId="1" applyFont="1" applyBorder="1" applyAlignment="1" applyProtection="1">
      <alignment horizontal="right" vertical="center"/>
    </xf>
    <xf numFmtId="0" fontId="62" fillId="0" borderId="0" xfId="0" applyFont="1"/>
    <xf numFmtId="164" fontId="11" fillId="0" borderId="12" xfId="4" applyFont="1" applyBorder="1" applyAlignment="1" applyProtection="1">
      <alignment horizontal="center" vertical="center"/>
    </xf>
    <xf numFmtId="0" fontId="63" fillId="0" borderId="0" xfId="3" applyFont="1" applyAlignment="1" applyProtection="1">
      <alignment horizontal="left"/>
      <protection hidden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left" vertical="center"/>
    </xf>
    <xf numFmtId="0" fontId="61" fillId="0" borderId="0" xfId="0" applyFont="1"/>
    <xf numFmtId="0" fontId="60" fillId="0" borderId="0" xfId="0" applyFont="1" applyAlignment="1">
      <alignment horizontal="left"/>
    </xf>
    <xf numFmtId="3" fontId="60" fillId="0" borderId="0" xfId="0" applyNumberFormat="1" applyFont="1"/>
    <xf numFmtId="0" fontId="62" fillId="0" borderId="0" xfId="0" applyFont="1" applyAlignment="1">
      <alignment horizontal="right" vertical="top"/>
    </xf>
    <xf numFmtId="0" fontId="62" fillId="0" borderId="0" xfId="0" applyFont="1" applyAlignment="1">
      <alignment horizontal="center" vertical="center"/>
    </xf>
    <xf numFmtId="0" fontId="64" fillId="0" borderId="0" xfId="0" applyFont="1"/>
    <xf numFmtId="0" fontId="43" fillId="0" borderId="0" xfId="0" applyFont="1"/>
    <xf numFmtId="0" fontId="65" fillId="0" borderId="0" xfId="0" applyFont="1" applyAlignment="1">
      <alignment horizontal="right"/>
    </xf>
    <xf numFmtId="0" fontId="66" fillId="0" borderId="0" xfId="0" applyFont="1" applyAlignment="1">
      <alignment horizontal="left"/>
    </xf>
    <xf numFmtId="0" fontId="65" fillId="0" borderId="0" xfId="0" applyFont="1"/>
    <xf numFmtId="1" fontId="65" fillId="0" borderId="0" xfId="0" applyNumberFormat="1" applyFont="1"/>
    <xf numFmtId="3" fontId="65" fillId="0" borderId="0" xfId="0" applyNumberFormat="1" applyFont="1"/>
    <xf numFmtId="3" fontId="68" fillId="4" borderId="0" xfId="0" applyNumberFormat="1" applyFont="1" applyFill="1"/>
    <xf numFmtId="3" fontId="68" fillId="0" borderId="0" xfId="0" applyNumberFormat="1" applyFont="1"/>
    <xf numFmtId="0" fontId="68" fillId="0" borderId="0" xfId="0" applyFont="1"/>
    <xf numFmtId="0" fontId="43" fillId="0" borderId="0" xfId="0" applyFont="1" applyAlignment="1">
      <alignment vertical="center"/>
    </xf>
    <xf numFmtId="1" fontId="69" fillId="0" borderId="0" xfId="0" applyNumberFormat="1" applyFont="1" applyAlignment="1">
      <alignment horizontal="center" vertical="center"/>
    </xf>
    <xf numFmtId="0" fontId="69" fillId="13" borderId="0" xfId="0" applyFont="1" applyFill="1" applyAlignment="1">
      <alignment vertical="center"/>
    </xf>
    <xf numFmtId="0" fontId="69" fillId="15" borderId="0" xfId="0" applyFont="1" applyFill="1" applyAlignment="1">
      <alignment vertical="center"/>
    </xf>
    <xf numFmtId="0" fontId="70" fillId="4" borderId="0" xfId="0" applyFont="1" applyFill="1" applyAlignment="1">
      <alignment horizontal="left" vertical="center"/>
    </xf>
    <xf numFmtId="0" fontId="70" fillId="4" borderId="0" xfId="0" applyFont="1" applyFill="1" applyAlignment="1">
      <alignment vertical="center"/>
    </xf>
    <xf numFmtId="14" fontId="71" fillId="4" borderId="0" xfId="0" applyNumberFormat="1" applyFont="1" applyFill="1" applyAlignment="1">
      <alignment vertical="center"/>
    </xf>
    <xf numFmtId="0" fontId="72" fillId="4" borderId="0" xfId="0" applyFont="1" applyFill="1"/>
    <xf numFmtId="0" fontId="73" fillId="0" borderId="0" xfId="0" applyFont="1"/>
    <xf numFmtId="0" fontId="74" fillId="0" borderId="0" xfId="0" applyFont="1" applyAlignment="1">
      <alignment horizontal="left" vertical="center"/>
    </xf>
    <xf numFmtId="0" fontId="74" fillId="0" borderId="0" xfId="0" applyFont="1"/>
    <xf numFmtId="0" fontId="74" fillId="0" borderId="0" xfId="0" applyFont="1" applyAlignment="1">
      <alignment vertical="center"/>
    </xf>
    <xf numFmtId="3" fontId="78" fillId="22" borderId="0" xfId="0" applyNumberFormat="1" applyFont="1" applyFill="1" applyAlignment="1">
      <alignment horizontal="right" vertical="center"/>
    </xf>
    <xf numFmtId="0" fontId="79" fillId="7" borderId="0" xfId="0" applyFont="1" applyFill="1" applyAlignment="1">
      <alignment vertical="center"/>
    </xf>
    <xf numFmtId="0" fontId="74" fillId="10" borderId="0" xfId="0" applyFont="1" applyFill="1" applyAlignment="1">
      <alignment vertical="center"/>
    </xf>
    <xf numFmtId="0" fontId="82" fillId="7" borderId="0" xfId="0" applyFont="1" applyFill="1" applyAlignment="1">
      <alignment vertical="center"/>
    </xf>
    <xf numFmtId="0" fontId="76" fillId="0" borderId="0" xfId="0" applyFont="1" applyAlignment="1">
      <alignment horizontal="left" vertical="center"/>
    </xf>
    <xf numFmtId="0" fontId="76" fillId="0" borderId="0" xfId="0" applyFont="1"/>
    <xf numFmtId="0" fontId="74" fillId="0" borderId="0" xfId="0" applyFont="1" applyAlignment="1" applyProtection="1">
      <alignment vertical="center"/>
      <protection locked="0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83" fillId="0" borderId="0" xfId="0" applyFont="1" applyAlignment="1">
      <alignment vertical="center"/>
    </xf>
    <xf numFmtId="0" fontId="84" fillId="0" borderId="0" xfId="0" applyFont="1" applyAlignment="1" applyProtection="1">
      <alignment vertical="center"/>
      <protection locked="0"/>
    </xf>
    <xf numFmtId="0" fontId="85" fillId="4" borderId="0" xfId="0" applyFont="1" applyFill="1" applyAlignment="1" applyProtection="1">
      <alignment horizontal="center" vertical="center"/>
      <protection hidden="1"/>
    </xf>
    <xf numFmtId="0" fontId="75" fillId="4" borderId="0" xfId="0" applyFont="1" applyFill="1" applyAlignment="1" applyProtection="1">
      <alignment horizontal="center" vertical="center"/>
      <protection hidden="1"/>
    </xf>
    <xf numFmtId="0" fontId="74" fillId="4" borderId="0" xfId="0" applyFont="1" applyFill="1" applyAlignment="1" applyProtection="1">
      <alignment horizontal="center" vertical="center"/>
      <protection hidden="1"/>
    </xf>
    <xf numFmtId="0" fontId="74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vertical="center"/>
      <protection hidden="1"/>
    </xf>
    <xf numFmtId="0" fontId="85" fillId="0" borderId="0" xfId="0" applyFont="1" applyAlignment="1" applyProtection="1">
      <alignment vertical="center"/>
      <protection hidden="1"/>
    </xf>
    <xf numFmtId="0" fontId="87" fillId="0" borderId="0" xfId="0" applyFont="1" applyAlignment="1" applyProtection="1">
      <alignment vertical="center"/>
      <protection hidden="1"/>
    </xf>
    <xf numFmtId="0" fontId="89" fillId="4" borderId="0" xfId="0" applyFont="1" applyFill="1" applyAlignment="1">
      <alignment horizontal="left" vertical="center"/>
    </xf>
    <xf numFmtId="0" fontId="26" fillId="16" borderId="0" xfId="0" applyFont="1" applyFill="1" applyAlignment="1">
      <alignment vertical="center"/>
    </xf>
    <xf numFmtId="0" fontId="26" fillId="11" borderId="0" xfId="0" applyFont="1" applyFill="1" applyAlignment="1">
      <alignment vertical="center"/>
    </xf>
    <xf numFmtId="0" fontId="26" fillId="11" borderId="0" xfId="0" applyFont="1" applyFill="1" applyAlignment="1" applyProtection="1">
      <alignment vertical="center"/>
      <protection locked="0"/>
    </xf>
    <xf numFmtId="0" fontId="91" fillId="11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93" fillId="21" borderId="12" xfId="0" applyFont="1" applyFill="1" applyBorder="1" applyAlignment="1">
      <alignment horizontal="center" vertical="center"/>
    </xf>
    <xf numFmtId="0" fontId="93" fillId="17" borderId="12" xfId="0" applyFont="1" applyFill="1" applyBorder="1" applyAlignment="1" applyProtection="1">
      <alignment vertical="center"/>
      <protection locked="0"/>
    </xf>
    <xf numFmtId="0" fontId="93" fillId="17" borderId="12" xfId="0" applyFont="1" applyFill="1" applyBorder="1" applyAlignment="1">
      <alignment vertical="center"/>
    </xf>
    <xf numFmtId="0" fontId="93" fillId="21" borderId="16" xfId="0" applyFont="1" applyFill="1" applyBorder="1" applyAlignment="1" applyProtection="1">
      <alignment vertical="center"/>
      <protection locked="0"/>
    </xf>
    <xf numFmtId="0" fontId="12" fillId="7" borderId="0" xfId="0" applyFont="1" applyFill="1" applyAlignment="1">
      <alignment horizontal="center"/>
    </xf>
    <xf numFmtId="0" fontId="23" fillId="15" borderId="0" xfId="0" applyFont="1" applyFill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center" vertical="center" wrapText="1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0" xfId="0" applyFont="1" applyFill="1" applyAlignment="1">
      <alignment vertical="center"/>
    </xf>
    <xf numFmtId="0" fontId="44" fillId="4" borderId="0" xfId="0" applyFont="1" applyFill="1" applyAlignment="1">
      <alignment vertical="center" wrapText="1"/>
    </xf>
    <xf numFmtId="0" fontId="91" fillId="4" borderId="0" xfId="0" applyFont="1" applyFill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vertical="center"/>
      <protection locked="0"/>
    </xf>
    <xf numFmtId="0" fontId="94" fillId="11" borderId="0" xfId="0" applyFont="1" applyFill="1" applyAlignment="1" applyProtection="1">
      <alignment vertical="center"/>
      <protection locked="0"/>
    </xf>
    <xf numFmtId="0" fontId="94" fillId="11" borderId="0" xfId="0" applyFont="1" applyFill="1" applyAlignment="1">
      <alignment vertical="center"/>
    </xf>
    <xf numFmtId="0" fontId="94" fillId="11" borderId="0" xfId="0" applyFont="1" applyFill="1" applyProtection="1">
      <protection locked="0"/>
    </xf>
    <xf numFmtId="14" fontId="90" fillId="0" borderId="0" xfId="0" applyNumberFormat="1" applyFont="1" applyAlignment="1" applyProtection="1">
      <alignment horizontal="right" vertical="center" wrapText="1"/>
      <protection locked="0"/>
    </xf>
    <xf numFmtId="165" fontId="95" fillId="14" borderId="0" xfId="0" applyNumberFormat="1" applyFont="1" applyFill="1"/>
    <xf numFmtId="9" fontId="96" fillId="0" borderId="0" xfId="0" applyNumberFormat="1" applyFont="1" applyProtection="1">
      <protection locked="0"/>
    </xf>
    <xf numFmtId="0" fontId="94" fillId="0" borderId="0" xfId="0" applyFont="1" applyAlignment="1" applyProtection="1">
      <alignment vertical="center"/>
      <protection locked="0"/>
    </xf>
    <xf numFmtId="0" fontId="94" fillId="0" borderId="0" xfId="0" applyFont="1" applyProtection="1">
      <protection locked="0"/>
    </xf>
    <xf numFmtId="0" fontId="94" fillId="15" borderId="0" xfId="0" applyFont="1" applyFill="1" applyAlignment="1">
      <alignment vertical="center"/>
    </xf>
    <xf numFmtId="0" fontId="94" fillId="5" borderId="0" xfId="0" applyFont="1" applyFill="1" applyProtection="1">
      <protection locked="0"/>
    </xf>
    <xf numFmtId="0" fontId="94" fillId="0" borderId="0" xfId="0" applyFont="1" applyAlignment="1">
      <alignment vertical="center"/>
    </xf>
    <xf numFmtId="0" fontId="69" fillId="0" borderId="0" xfId="0" applyFont="1" applyAlignment="1" applyProtection="1">
      <alignment vertical="center"/>
      <protection locked="0"/>
    </xf>
    <xf numFmtId="0" fontId="69" fillId="0" borderId="0" xfId="0" applyFont="1" applyProtection="1">
      <protection locked="0"/>
    </xf>
    <xf numFmtId="0" fontId="69" fillId="5" borderId="0" xfId="0" applyFont="1" applyFill="1" applyProtection="1">
      <protection locked="0"/>
    </xf>
    <xf numFmtId="0" fontId="69" fillId="0" borderId="0" xfId="0" applyFont="1" applyAlignment="1">
      <alignment vertical="center"/>
    </xf>
    <xf numFmtId="9" fontId="91" fillId="0" borderId="0" xfId="0" applyNumberFormat="1" applyFont="1" applyProtection="1">
      <protection locked="0"/>
    </xf>
    <xf numFmtId="9" fontId="97" fillId="0" borderId="0" xfId="0" applyNumberFormat="1" applyFont="1" applyProtection="1">
      <protection locked="0"/>
    </xf>
    <xf numFmtId="0" fontId="12" fillId="14" borderId="0" xfId="0" applyFont="1" applyFill="1"/>
    <xf numFmtId="0" fontId="44" fillId="0" borderId="0" xfId="0" applyFont="1" applyAlignment="1">
      <alignment horizontal="left" vertical="center" wrapText="1"/>
    </xf>
    <xf numFmtId="0" fontId="100" fillId="0" borderId="0" xfId="0" applyFont="1" applyAlignment="1">
      <alignment horizontal="left" vertical="center" wrapText="1"/>
    </xf>
    <xf numFmtId="0" fontId="26" fillId="7" borderId="0" xfId="0" applyFont="1" applyFill="1" applyProtection="1">
      <protection locked="0"/>
    </xf>
    <xf numFmtId="0" fontId="100" fillId="7" borderId="0" xfId="0" applyFont="1" applyFill="1" applyProtection="1"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91" fillId="0" borderId="0" xfId="0" applyFont="1" applyAlignment="1">
      <alignment horizontal="left" vertical="center" wrapText="1"/>
    </xf>
    <xf numFmtId="0" fontId="23" fillId="7" borderId="0" xfId="0" applyFont="1" applyFill="1" applyAlignment="1">
      <alignment vertical="center"/>
    </xf>
    <xf numFmtId="0" fontId="95" fillId="14" borderId="0" xfId="0" applyFont="1" applyFill="1" applyAlignment="1">
      <alignment vertical="center"/>
    </xf>
    <xf numFmtId="0" fontId="12" fillId="16" borderId="0" xfId="0" applyFont="1" applyFill="1" applyAlignment="1">
      <alignment vertical="center"/>
    </xf>
    <xf numFmtId="0" fontId="91" fillId="16" borderId="0" xfId="0" applyFont="1" applyFill="1"/>
    <xf numFmtId="0" fontId="12" fillId="13" borderId="0" xfId="0" applyFont="1" applyFill="1" applyAlignment="1">
      <alignment vertical="center"/>
    </xf>
    <xf numFmtId="0" fontId="91" fillId="0" borderId="0" xfId="0" applyFont="1" applyAlignment="1">
      <alignment vertical="center" wrapText="1"/>
    </xf>
    <xf numFmtId="0" fontId="26" fillId="14" borderId="0" xfId="0" applyFont="1" applyFill="1"/>
    <xf numFmtId="0" fontId="26" fillId="9" borderId="0" xfId="0" applyFont="1" applyFill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23" fillId="17" borderId="0" xfId="0" applyFont="1" applyFill="1" applyAlignment="1">
      <alignment horizontal="center" vertical="center"/>
    </xf>
    <xf numFmtId="0" fontId="23" fillId="5" borderId="0" xfId="0" applyFont="1" applyFill="1" applyAlignment="1">
      <alignment vertical="center" textRotation="90" wrapText="1"/>
    </xf>
    <xf numFmtId="165" fontId="69" fillId="11" borderId="0" xfId="0" applyNumberFormat="1" applyFont="1" applyFill="1" applyAlignment="1">
      <alignment horizontal="center" vertical="center"/>
    </xf>
    <xf numFmtId="0" fontId="98" fillId="7" borderId="0" xfId="0" applyFont="1" applyFill="1" applyProtection="1">
      <protection locked="0"/>
    </xf>
    <xf numFmtId="0" fontId="12" fillId="7" borderId="0" xfId="0" applyFont="1" applyFill="1"/>
    <xf numFmtId="14" fontId="19" fillId="7" borderId="0" xfId="0" applyNumberFormat="1" applyFont="1" applyFill="1" applyAlignment="1" applyProtection="1">
      <alignment vertical="center" wrapText="1"/>
      <protection locked="0"/>
    </xf>
    <xf numFmtId="0" fontId="12" fillId="10" borderId="0" xfId="0" applyFont="1" applyFill="1" applyAlignment="1">
      <alignment vertical="center"/>
    </xf>
    <xf numFmtId="0" fontId="90" fillId="0" borderId="0" xfId="0" applyFont="1" applyAlignment="1" applyProtection="1">
      <alignment horizontal="right" vertical="center"/>
      <protection locked="0"/>
    </xf>
    <xf numFmtId="0" fontId="12" fillId="7" borderId="0" xfId="0" applyFont="1" applyFill="1" applyProtection="1">
      <protection locked="0"/>
    </xf>
    <xf numFmtId="0" fontId="100" fillId="0" borderId="0" xfId="0" applyFont="1" applyAlignment="1" applyProtection="1">
      <alignment horizontal="right" vertical="center"/>
      <protection locked="0"/>
    </xf>
    <xf numFmtId="0" fontId="90" fillId="7" borderId="0" xfId="0" applyFont="1" applyFill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88" fillId="12" borderId="0" xfId="0" applyFont="1" applyFill="1" applyAlignment="1">
      <alignment horizontal="center" vertical="center"/>
    </xf>
    <xf numFmtId="0" fontId="26" fillId="0" borderId="9" xfId="0" applyFont="1" applyBorder="1" applyAlignment="1">
      <alignment horizontal="right" vertical="center" textRotation="90" wrapText="1"/>
    </xf>
    <xf numFmtId="0" fontId="26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0" fontId="25" fillId="0" borderId="9" xfId="0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1" fontId="25" fillId="0" borderId="0" xfId="0" applyNumberFormat="1" applyFont="1" applyAlignment="1">
      <alignment horizontal="right" vertical="center"/>
    </xf>
    <xf numFmtId="1" fontId="3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1" fontId="10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4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3" fontId="104" fillId="22" borderId="10" xfId="0" applyNumberFormat="1" applyFont="1" applyFill="1" applyBorder="1" applyAlignment="1">
      <alignment horizontal="right" vertical="center"/>
    </xf>
    <xf numFmtId="1" fontId="104" fillId="22" borderId="10" xfId="0" applyNumberFormat="1" applyFont="1" applyFill="1" applyBorder="1" applyAlignment="1">
      <alignment horizontal="right" vertical="center"/>
    </xf>
    <xf numFmtId="0" fontId="25" fillId="10" borderId="0" xfId="0" applyFont="1" applyFill="1" applyAlignment="1">
      <alignment vertical="center"/>
    </xf>
    <xf numFmtId="0" fontId="108" fillId="0" borderId="11" xfId="1" applyFont="1" applyBorder="1" applyAlignment="1" applyProtection="1">
      <alignment vertical="center"/>
    </xf>
    <xf numFmtId="0" fontId="108" fillId="0" borderId="11" xfId="1" applyFont="1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left" vertical="center"/>
    </xf>
    <xf numFmtId="1" fontId="90" fillId="0" borderId="0" xfId="0" applyNumberFormat="1" applyFont="1" applyAlignment="1" applyProtection="1">
      <alignment horizontal="right" vertical="center"/>
      <protection locked="0"/>
    </xf>
    <xf numFmtId="1" fontId="91" fillId="17" borderId="12" xfId="0" applyNumberFormat="1" applyFont="1" applyFill="1" applyBorder="1" applyAlignment="1">
      <alignment horizontal="center" vertical="center"/>
    </xf>
    <xf numFmtId="165" fontId="91" fillId="17" borderId="12" xfId="0" applyNumberFormat="1" applyFont="1" applyFill="1" applyBorder="1"/>
    <xf numFmtId="1" fontId="91" fillId="17" borderId="12" xfId="0" applyNumberFormat="1" applyFont="1" applyFill="1" applyBorder="1"/>
    <xf numFmtId="9" fontId="91" fillId="0" borderId="12" xfId="0" applyNumberFormat="1" applyFont="1" applyBorder="1" applyProtection="1">
      <protection locked="0"/>
    </xf>
    <xf numFmtId="164" fontId="11" fillId="0" borderId="17" xfId="4" applyFont="1" applyBorder="1" applyAlignment="1" applyProtection="1">
      <alignment horizontal="center" vertical="center"/>
    </xf>
    <xf numFmtId="0" fontId="104" fillId="19" borderId="9" xfId="0" applyFont="1" applyFill="1" applyBorder="1" applyAlignment="1">
      <alignment horizontal="right" vertical="center"/>
    </xf>
    <xf numFmtId="0" fontId="104" fillId="19" borderId="0" xfId="0" applyFont="1" applyFill="1" applyAlignment="1">
      <alignment horizontal="left" vertical="center"/>
    </xf>
    <xf numFmtId="0" fontId="11" fillId="19" borderId="0" xfId="0" applyFont="1" applyFill="1" applyAlignment="1">
      <alignment horizontal="center" vertical="center"/>
    </xf>
    <xf numFmtId="168" fontId="33" fillId="0" borderId="19" xfId="0" applyNumberFormat="1" applyFont="1" applyBorder="1" applyAlignment="1">
      <alignment horizontal="right" vertical="center"/>
    </xf>
    <xf numFmtId="0" fontId="104" fillId="0" borderId="9" xfId="0" applyFont="1" applyBorder="1" applyAlignment="1">
      <alignment horizontal="right" vertical="center"/>
    </xf>
    <xf numFmtId="0" fontId="10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3" fillId="0" borderId="1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04" fillId="0" borderId="0" xfId="0" applyFont="1"/>
    <xf numFmtId="168" fontId="25" fillId="0" borderId="0" xfId="0" applyNumberFormat="1" applyFont="1" applyAlignment="1">
      <alignment horizontal="right" vertical="center"/>
    </xf>
    <xf numFmtId="0" fontId="10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4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right" vertical="center"/>
    </xf>
    <xf numFmtId="0" fontId="109" fillId="0" borderId="9" xfId="3" applyFont="1" applyBorder="1" applyAlignment="1" applyProtection="1">
      <alignment horizontal="right" vertical="center"/>
      <protection hidden="1"/>
    </xf>
    <xf numFmtId="0" fontId="104" fillId="0" borderId="0" xfId="0" applyFont="1" applyAlignment="1">
      <alignment horizontal="center"/>
    </xf>
    <xf numFmtId="0" fontId="104" fillId="19" borderId="0" xfId="0" applyFont="1" applyFill="1"/>
    <xf numFmtId="0" fontId="104" fillId="19" borderId="19" xfId="0" applyFont="1" applyFill="1" applyBorder="1"/>
    <xf numFmtId="0" fontId="26" fillId="0" borderId="0" xfId="0" applyFont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0" xfId="0" applyFont="1"/>
    <xf numFmtId="3" fontId="11" fillId="0" borderId="0" xfId="0" applyNumberFormat="1" applyFont="1"/>
    <xf numFmtId="168" fontId="25" fillId="0" borderId="19" xfId="0" applyNumberFormat="1" applyFont="1" applyBorder="1" applyAlignment="1">
      <alignment horizontal="right" vertical="center"/>
    </xf>
    <xf numFmtId="9" fontId="11" fillId="0" borderId="0" xfId="0" applyNumberFormat="1" applyFont="1" applyAlignment="1">
      <alignment vertical="center"/>
    </xf>
    <xf numFmtId="0" fontId="11" fillId="19" borderId="9" xfId="0" applyFont="1" applyFill="1" applyBorder="1" applyAlignment="1">
      <alignment horizontal="right" vertical="center"/>
    </xf>
    <xf numFmtId="0" fontId="11" fillId="19" borderId="0" xfId="0" applyFont="1" applyFill="1" applyAlignment="1">
      <alignment horizontal="center"/>
    </xf>
    <xf numFmtId="0" fontId="104" fillId="19" borderId="0" xfId="0" applyFont="1" applyFill="1" applyAlignment="1">
      <alignment horizontal="center"/>
    </xf>
    <xf numFmtId="3" fontId="25" fillId="0" borderId="19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3" fontId="26" fillId="0" borderId="19" xfId="0" applyNumberFormat="1" applyFont="1" applyBorder="1" applyAlignment="1">
      <alignment vertical="center"/>
    </xf>
    <xf numFmtId="168" fontId="110" fillId="20" borderId="0" xfId="0" applyNumberFormat="1" applyFont="1" applyFill="1" applyAlignment="1">
      <alignment horizontal="center" vertical="center"/>
    </xf>
    <xf numFmtId="168" fontId="33" fillId="0" borderId="0" xfId="0" applyNumberFormat="1" applyFont="1" applyAlignment="1">
      <alignment horizontal="right" vertical="center"/>
    </xf>
    <xf numFmtId="9" fontId="33" fillId="0" borderId="0" xfId="0" applyNumberFormat="1" applyFont="1" applyAlignment="1">
      <alignment horizontal="center" vertical="center"/>
    </xf>
    <xf numFmtId="0" fontId="111" fillId="0" borderId="0" xfId="0" applyFont="1" applyAlignment="1">
      <alignment horizontal="center"/>
    </xf>
    <xf numFmtId="9" fontId="111" fillId="0" borderId="0" xfId="0" applyNumberFormat="1" applyFont="1" applyAlignment="1">
      <alignment horizontal="center"/>
    </xf>
    <xf numFmtId="0" fontId="91" fillId="0" borderId="0" xfId="0" applyFont="1" applyAlignment="1">
      <alignment horizontal="left" vertical="center"/>
    </xf>
    <xf numFmtId="0" fontId="62" fillId="0" borderId="0" xfId="0" applyFont="1" applyAlignment="1">
      <alignment horizontal="left"/>
    </xf>
    <xf numFmtId="0" fontId="9" fillId="0" borderId="0" xfId="1" applyAlignment="1" applyProtection="1"/>
    <xf numFmtId="0" fontId="8" fillId="0" borderId="0" xfId="0" applyFont="1"/>
    <xf numFmtId="165" fontId="113" fillId="17" borderId="12" xfId="0" applyNumberFormat="1" applyFont="1" applyFill="1" applyBorder="1" applyAlignment="1">
      <alignment horizontal="left"/>
    </xf>
    <xf numFmtId="1" fontId="113" fillId="0" borderId="12" xfId="0" applyNumberFormat="1" applyFont="1" applyBorder="1"/>
    <xf numFmtId="165" fontId="94" fillId="17" borderId="12" xfId="0" applyNumberFormat="1" applyFont="1" applyFill="1" applyBorder="1"/>
    <xf numFmtId="1" fontId="94" fillId="17" borderId="12" xfId="0" applyNumberFormat="1" applyFont="1" applyFill="1" applyBorder="1"/>
    <xf numFmtId="9" fontId="94" fillId="0" borderId="12" xfId="0" applyNumberFormat="1" applyFont="1" applyBorder="1" applyProtection="1">
      <protection locked="0"/>
    </xf>
    <xf numFmtId="1" fontId="94" fillId="17" borderId="12" xfId="0" applyNumberFormat="1" applyFont="1" applyFill="1" applyBorder="1" applyAlignment="1">
      <alignment horizontal="center" vertical="center"/>
    </xf>
    <xf numFmtId="0" fontId="102" fillId="0" borderId="0" xfId="0" applyFont="1" applyAlignment="1" applyProtection="1">
      <alignment horizontal="right" vertical="center"/>
      <protection locked="0"/>
    </xf>
    <xf numFmtId="9" fontId="97" fillId="7" borderId="0" xfId="0" applyNumberFormat="1" applyFont="1" applyFill="1" applyProtection="1">
      <protection locked="0"/>
    </xf>
    <xf numFmtId="0" fontId="116" fillId="7" borderId="0" xfId="0" applyFont="1" applyFill="1"/>
    <xf numFmtId="9" fontId="117" fillId="7" borderId="0" xfId="0" applyNumberFormat="1" applyFont="1" applyFill="1" applyAlignment="1" applyProtection="1">
      <alignment horizontal="left" vertical="center"/>
      <protection locked="0"/>
    </xf>
    <xf numFmtId="0" fontId="118" fillId="7" borderId="0" xfId="0" applyFont="1" applyFill="1"/>
    <xf numFmtId="0" fontId="97" fillId="7" borderId="0" xfId="0" applyFont="1" applyFill="1" applyAlignment="1" applyProtection="1">
      <alignment vertical="center"/>
      <protection locked="0"/>
    </xf>
    <xf numFmtId="0" fontId="119" fillId="7" borderId="0" xfId="0" applyFont="1" applyFill="1" applyAlignment="1" applyProtection="1">
      <alignment vertical="center"/>
      <protection locked="0"/>
    </xf>
    <xf numFmtId="0" fontId="74" fillId="4" borderId="0" xfId="0" applyFont="1" applyFill="1" applyAlignment="1" applyProtection="1">
      <alignment vertical="center"/>
      <protection hidden="1"/>
    </xf>
    <xf numFmtId="0" fontId="120" fillId="23" borderId="0" xfId="0" applyFont="1" applyFill="1" applyAlignment="1" applyProtection="1">
      <alignment vertical="center"/>
      <protection hidden="1"/>
    </xf>
    <xf numFmtId="0" fontId="120" fillId="23" borderId="0" xfId="0" applyFont="1" applyFill="1"/>
    <xf numFmtId="0" fontId="120" fillId="23" borderId="0" xfId="0" applyFont="1" applyFill="1" applyAlignment="1" applyProtection="1">
      <alignment vertical="center"/>
      <protection locked="0"/>
    </xf>
    <xf numFmtId="14" fontId="120" fillId="23" borderId="0" xfId="0" applyNumberFormat="1" applyFont="1" applyFill="1" applyAlignment="1" applyProtection="1">
      <alignment vertical="center"/>
      <protection locked="0"/>
    </xf>
    <xf numFmtId="0" fontId="120" fillId="23" borderId="0" xfId="0" applyFont="1" applyFill="1" applyAlignment="1">
      <alignment vertical="center"/>
    </xf>
    <xf numFmtId="0" fontId="114" fillId="0" borderId="0" xfId="0" applyFont="1" applyAlignment="1">
      <alignment horizontal="left" vertical="center"/>
    </xf>
    <xf numFmtId="0" fontId="112" fillId="0" borderId="0" xfId="0" applyFont="1"/>
    <xf numFmtId="0" fontId="112" fillId="0" borderId="0" xfId="0" applyFont="1" applyAlignment="1">
      <alignment horizontal="left" vertical="center"/>
    </xf>
    <xf numFmtId="168" fontId="90" fillId="0" borderId="12" xfId="0" applyNumberFormat="1" applyFont="1" applyBorder="1" applyAlignment="1" applyProtection="1">
      <alignment horizontal="center" vertical="center"/>
      <protection locked="0"/>
    </xf>
    <xf numFmtId="0" fontId="121" fillId="24" borderId="0" xfId="0" applyFont="1" applyFill="1" applyAlignment="1">
      <alignment vertical="center"/>
    </xf>
    <xf numFmtId="0" fontId="122" fillId="12" borderId="0" xfId="0" applyFont="1" applyFill="1" applyAlignment="1">
      <alignment horizontal="center" wrapText="1"/>
    </xf>
    <xf numFmtId="0" fontId="119" fillId="23" borderId="0" xfId="0" applyFont="1" applyFill="1" applyAlignment="1" applyProtection="1">
      <alignment vertical="center"/>
      <protection locked="0"/>
    </xf>
    <xf numFmtId="0" fontId="115" fillId="12" borderId="0" xfId="0" applyFont="1" applyFill="1"/>
    <xf numFmtId="17" fontId="101" fillId="4" borderId="0" xfId="0" applyNumberFormat="1" applyFont="1" applyFill="1" applyAlignment="1">
      <alignment horizontal="center" vertical="center"/>
    </xf>
    <xf numFmtId="0" fontId="67" fillId="4" borderId="0" xfId="0" applyFont="1" applyFill="1"/>
    <xf numFmtId="0" fontId="68" fillId="4" borderId="0" xfId="0" applyFont="1" applyFill="1"/>
    <xf numFmtId="1" fontId="68" fillId="4" borderId="0" xfId="0" applyNumberFormat="1" applyFont="1" applyFill="1"/>
    <xf numFmtId="1" fontId="100" fillId="0" borderId="0" xfId="0" applyNumberFormat="1" applyFont="1" applyAlignment="1" applyProtection="1">
      <alignment vertical="center"/>
      <protection locked="0"/>
    </xf>
    <xf numFmtId="165" fontId="95" fillId="23" borderId="0" xfId="0" applyNumberFormat="1" applyFont="1" applyFill="1" applyAlignment="1">
      <alignment horizontal="center" vertical="center"/>
    </xf>
    <xf numFmtId="0" fontId="9" fillId="0" borderId="11" xfId="1" applyBorder="1" applyAlignment="1" applyProtection="1">
      <alignment vertical="center"/>
      <protection locked="0"/>
    </xf>
    <xf numFmtId="0" fontId="115" fillId="12" borderId="0" xfId="0" applyFont="1" applyFill="1" applyAlignment="1">
      <alignment horizontal="center" vertical="center" wrapText="1"/>
    </xf>
    <xf numFmtId="0" fontId="94" fillId="11" borderId="0" xfId="0" applyFont="1" applyFill="1" applyAlignment="1" applyProtection="1">
      <alignment horizontal="right" vertical="center"/>
      <protection locked="0"/>
    </xf>
    <xf numFmtId="0" fontId="100" fillId="0" borderId="0" xfId="0" applyFont="1" applyAlignment="1">
      <alignment vertical="center" wrapText="1"/>
    </xf>
    <xf numFmtId="0" fontId="115" fillId="12" borderId="0" xfId="0" applyFont="1" applyFill="1" applyAlignment="1">
      <alignment vertical="center" wrapText="1"/>
    </xf>
    <xf numFmtId="0" fontId="129" fillId="0" borderId="0" xfId="0" applyFont="1" applyAlignment="1">
      <alignment horizontal="left" vertical="center"/>
    </xf>
    <xf numFmtId="0" fontId="129" fillId="0" borderId="25" xfId="0" applyFont="1" applyBorder="1" applyAlignment="1">
      <alignment horizontal="left" vertical="center"/>
    </xf>
    <xf numFmtId="0" fontId="130" fillId="12" borderId="0" xfId="0" applyFont="1" applyFill="1" applyAlignment="1">
      <alignment horizontal="center" vertical="center"/>
    </xf>
    <xf numFmtId="0" fontId="88" fillId="12" borderId="0" xfId="0" applyFont="1" applyFill="1" applyAlignment="1">
      <alignment vertical="center"/>
    </xf>
    <xf numFmtId="0" fontId="24" fillId="16" borderId="0" xfId="0" applyFont="1" applyFill="1" applyAlignment="1" applyProtection="1">
      <alignment vertical="center"/>
      <protection locked="0"/>
    </xf>
    <xf numFmtId="0" fontId="95" fillId="23" borderId="0" xfId="0" applyFont="1" applyFill="1" applyAlignment="1">
      <alignment vertical="center"/>
    </xf>
    <xf numFmtId="0" fontId="76" fillId="14" borderId="0" xfId="0" applyFont="1" applyFill="1"/>
    <xf numFmtId="9" fontId="128" fillId="25" borderId="0" xfId="6" applyNumberFormat="1" applyFill="1" applyAlignment="1" applyProtection="1">
      <alignment horizontal="center" vertical="center"/>
      <protection locked="0"/>
    </xf>
    <xf numFmtId="0" fontId="33" fillId="0" borderId="14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44" fillId="4" borderId="0" xfId="0" applyFont="1" applyFill="1" applyAlignment="1">
      <alignment horizontal="right" vertical="center" wrapText="1"/>
    </xf>
    <xf numFmtId="0" fontId="124" fillId="7" borderId="0" xfId="0" applyFont="1" applyFill="1" applyAlignment="1">
      <alignment vertical="center" wrapText="1"/>
    </xf>
    <xf numFmtId="0" fontId="132" fillId="10" borderId="0" xfId="0" applyFont="1" applyFill="1" applyAlignment="1">
      <alignment vertical="center"/>
    </xf>
    <xf numFmtId="0" fontId="133" fillId="0" borderId="0" xfId="0" applyFont="1" applyAlignment="1">
      <alignment horizontal="center" vertical="center"/>
    </xf>
    <xf numFmtId="168" fontId="60" fillId="0" borderId="0" xfId="0" applyNumberFormat="1" applyFont="1"/>
    <xf numFmtId="0" fontId="134" fillId="0" borderId="0" xfId="0" applyFont="1"/>
    <xf numFmtId="168" fontId="134" fillId="0" borderId="0" xfId="0" applyNumberFormat="1" applyFont="1"/>
    <xf numFmtId="168" fontId="104" fillId="0" borderId="0" xfId="0" applyNumberFormat="1" applyFont="1" applyAlignment="1">
      <alignment horizontal="right" vertical="center"/>
    </xf>
    <xf numFmtId="0" fontId="104" fillId="22" borderId="2" xfId="0" applyFont="1" applyFill="1" applyBorder="1" applyAlignment="1">
      <alignment vertical="center"/>
    </xf>
    <xf numFmtId="0" fontId="104" fillId="22" borderId="12" xfId="0" applyFont="1" applyFill="1" applyBorder="1" applyAlignment="1">
      <alignment vertical="center"/>
    </xf>
    <xf numFmtId="0" fontId="104" fillId="22" borderId="0" xfId="0" applyFont="1" applyFill="1" applyAlignment="1">
      <alignment vertical="center"/>
    </xf>
    <xf numFmtId="0" fontId="104" fillId="22" borderId="4" xfId="0" applyFont="1" applyFill="1" applyBorder="1" applyAlignment="1">
      <alignment vertical="center"/>
    </xf>
    <xf numFmtId="0" fontId="91" fillId="4" borderId="0" xfId="0" applyFont="1" applyFill="1" applyAlignment="1">
      <alignment horizontal="center" vertical="center"/>
    </xf>
    <xf numFmtId="0" fontId="91" fillId="4" borderId="0" xfId="0" applyFont="1" applyFill="1" applyAlignment="1" applyProtection="1">
      <alignment horizontal="center" vertical="center" wrapText="1"/>
      <protection locked="0"/>
    </xf>
    <xf numFmtId="0" fontId="135" fillId="16" borderId="0" xfId="0" applyFont="1" applyFill="1" applyAlignment="1" applyProtection="1">
      <alignment horizontal="center" vertical="center"/>
      <protection locked="0"/>
    </xf>
    <xf numFmtId="0" fontId="101" fillId="0" borderId="0" xfId="0" applyFont="1"/>
    <xf numFmtId="0" fontId="113" fillId="4" borderId="0" xfId="0" applyFont="1" applyFill="1" applyAlignment="1" applyProtection="1">
      <alignment vertical="center"/>
      <protection locked="0"/>
    </xf>
    <xf numFmtId="0" fontId="69" fillId="4" borderId="0" xfId="0" applyFont="1" applyFill="1" applyAlignment="1">
      <alignment vertical="center"/>
    </xf>
    <xf numFmtId="14" fontId="137" fillId="7" borderId="0" xfId="0" applyNumberFormat="1" applyFont="1" applyFill="1" applyAlignment="1" applyProtection="1">
      <alignment vertical="center" wrapText="1"/>
      <protection locked="0"/>
    </xf>
    <xf numFmtId="0" fontId="138" fillId="9" borderId="12" xfId="0" applyFont="1" applyFill="1" applyBorder="1" applyAlignment="1">
      <alignment horizontal="center" vertical="center" wrapText="1"/>
    </xf>
    <xf numFmtId="0" fontId="9" fillId="0" borderId="0" xfId="1" applyFill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left" vertical="center"/>
      <protection locked="0"/>
    </xf>
    <xf numFmtId="0" fontId="91" fillId="14" borderId="0" xfId="0" applyFont="1" applyFill="1" applyAlignment="1">
      <alignment horizontal="center" vertical="center" wrapText="1"/>
    </xf>
    <xf numFmtId="0" fontId="23" fillId="14" borderId="0" xfId="0" applyFont="1" applyFill="1" applyAlignment="1">
      <alignment horizontal="center" vertical="center"/>
    </xf>
    <xf numFmtId="0" fontId="94" fillId="14" borderId="0" xfId="0" applyFont="1" applyFill="1" applyAlignment="1">
      <alignment vertical="center"/>
    </xf>
    <xf numFmtId="0" fontId="69" fillId="14" borderId="0" xfId="0" applyFont="1" applyFill="1" applyAlignment="1">
      <alignment vertical="center"/>
    </xf>
    <xf numFmtId="0" fontId="115" fillId="12" borderId="0" xfId="0" applyFont="1" applyFill="1" applyAlignment="1">
      <alignment horizontal="right" vertical="center"/>
    </xf>
    <xf numFmtId="0" fontId="115" fillId="12" borderId="19" xfId="0" applyFont="1" applyFill="1" applyBorder="1" applyAlignment="1">
      <alignment horizontal="right" vertical="center"/>
    </xf>
    <xf numFmtId="0" fontId="124" fillId="7" borderId="0" xfId="0" applyFont="1" applyFill="1" applyAlignment="1">
      <alignment horizontal="center" vertical="center" textRotation="90" wrapText="1"/>
    </xf>
    <xf numFmtId="0" fontId="46" fillId="3" borderId="9" xfId="0" applyFont="1" applyFill="1" applyBorder="1" applyAlignment="1" applyProtection="1">
      <alignment horizontal="center" vertical="center" wrapText="1"/>
      <protection hidden="1"/>
    </xf>
    <xf numFmtId="0" fontId="46" fillId="3" borderId="0" xfId="0" applyFont="1" applyFill="1" applyAlignment="1" applyProtection="1">
      <alignment horizontal="center" vertical="center" wrapText="1"/>
      <protection hidden="1"/>
    </xf>
    <xf numFmtId="0" fontId="24" fillId="17" borderId="12" xfId="0" applyFont="1" applyFill="1" applyBorder="1" applyAlignment="1" applyProtection="1">
      <alignment horizontal="left" vertical="center"/>
      <protection locked="0"/>
    </xf>
    <xf numFmtId="0" fontId="9" fillId="4" borderId="0" xfId="1" applyFill="1" applyAlignment="1" applyProtection="1">
      <alignment horizontal="center" vertical="center"/>
    </xf>
    <xf numFmtId="0" fontId="9" fillId="4" borderId="19" xfId="1" applyFill="1" applyBorder="1" applyAlignment="1" applyProtection="1">
      <alignment horizontal="center" vertical="center"/>
    </xf>
    <xf numFmtId="0" fontId="92" fillId="4" borderId="0" xfId="0" applyFont="1" applyFill="1" applyAlignment="1" applyProtection="1">
      <alignment horizontal="center" vertical="center"/>
      <protection hidden="1"/>
    </xf>
    <xf numFmtId="0" fontId="26" fillId="10" borderId="9" xfId="0" applyFont="1" applyFill="1" applyBorder="1" applyAlignment="1">
      <alignment horizontal="right" vertical="center"/>
    </xf>
    <xf numFmtId="0" fontId="26" fillId="10" borderId="0" xfId="0" applyFont="1" applyFill="1" applyAlignment="1">
      <alignment horizontal="right" vertical="center"/>
    </xf>
    <xf numFmtId="0" fontId="26" fillId="10" borderId="19" xfId="0" applyFont="1" applyFill="1" applyBorder="1" applyAlignment="1">
      <alignment horizontal="right" vertical="center"/>
    </xf>
    <xf numFmtId="0" fontId="93" fillId="21" borderId="16" xfId="0" applyFont="1" applyFill="1" applyBorder="1" applyAlignment="1" applyProtection="1">
      <alignment horizontal="center" vertical="center"/>
      <protection locked="0"/>
    </xf>
    <xf numFmtId="0" fontId="93" fillId="21" borderId="22" xfId="0" applyFont="1" applyFill="1" applyBorder="1" applyAlignment="1" applyProtection="1">
      <alignment horizontal="center" vertical="center"/>
      <protection locked="0"/>
    </xf>
    <xf numFmtId="0" fontId="93" fillId="21" borderId="17" xfId="0" applyFont="1" applyFill="1" applyBorder="1" applyAlignment="1" applyProtection="1">
      <alignment horizontal="center" vertical="center"/>
      <protection locked="0"/>
    </xf>
    <xf numFmtId="0" fontId="26" fillId="11" borderId="0" xfId="0" applyFont="1" applyFill="1" applyAlignment="1">
      <alignment horizontal="left" vertical="center"/>
    </xf>
    <xf numFmtId="168" fontId="90" fillId="0" borderId="12" xfId="0" applyNumberFormat="1" applyFont="1" applyBorder="1" applyAlignment="1" applyProtection="1">
      <alignment horizontal="center" vertical="center"/>
      <protection locked="0"/>
    </xf>
    <xf numFmtId="0" fontId="104" fillId="4" borderId="0" xfId="0" applyFont="1" applyFill="1" applyAlignment="1" applyProtection="1">
      <alignment horizontal="center" vertical="center"/>
      <protection hidden="1"/>
    </xf>
    <xf numFmtId="0" fontId="88" fillId="12" borderId="13" xfId="0" applyFont="1" applyFill="1" applyBorder="1" applyAlignment="1">
      <alignment horizontal="center" vertical="center" wrapText="1"/>
    </xf>
    <xf numFmtId="0" fontId="88" fillId="12" borderId="14" xfId="0" applyFont="1" applyFill="1" applyBorder="1" applyAlignment="1">
      <alignment horizontal="center" vertical="center" wrapText="1"/>
    </xf>
    <xf numFmtId="0" fontId="88" fillId="12" borderId="18" xfId="0" applyFont="1" applyFill="1" applyBorder="1" applyAlignment="1">
      <alignment horizontal="center" vertical="center" wrapText="1"/>
    </xf>
    <xf numFmtId="0" fontId="88" fillId="12" borderId="9" xfId="0" applyFont="1" applyFill="1" applyBorder="1" applyAlignment="1">
      <alignment horizontal="center" vertical="center" wrapText="1"/>
    </xf>
    <xf numFmtId="0" fontId="88" fillId="12" borderId="0" xfId="0" applyFont="1" applyFill="1" applyAlignment="1">
      <alignment horizontal="center" vertical="center" wrapText="1"/>
    </xf>
    <xf numFmtId="0" fontId="88" fillId="12" borderId="19" xfId="0" applyFont="1" applyFill="1" applyBorder="1" applyAlignment="1">
      <alignment horizontal="center" vertical="center" wrapText="1"/>
    </xf>
    <xf numFmtId="0" fontId="127" fillId="12" borderId="0" xfId="0" applyFont="1" applyFill="1" applyAlignment="1">
      <alignment horizontal="center" vertical="center" wrapText="1"/>
    </xf>
    <xf numFmtId="168" fontId="80" fillId="0" borderId="16" xfId="0" applyNumberFormat="1" applyFont="1" applyBorder="1" applyAlignment="1" applyProtection="1">
      <alignment horizontal="center" vertical="center"/>
      <protection locked="0"/>
    </xf>
    <xf numFmtId="168" fontId="80" fillId="0" borderId="17" xfId="0" applyNumberFormat="1" applyFont="1" applyBorder="1" applyAlignment="1" applyProtection="1">
      <alignment horizontal="center" vertical="center"/>
      <protection locked="0"/>
    </xf>
    <xf numFmtId="168" fontId="80" fillId="0" borderId="12" xfId="0" applyNumberFormat="1" applyFont="1" applyBorder="1" applyAlignment="1" applyProtection="1">
      <alignment horizontal="center" vertical="center"/>
      <protection locked="0"/>
    </xf>
    <xf numFmtId="0" fontId="115" fillId="12" borderId="12" xfId="0" applyFont="1" applyFill="1" applyBorder="1" applyAlignment="1">
      <alignment horizontal="center" vertical="center"/>
    </xf>
    <xf numFmtId="0" fontId="14" fillId="17" borderId="12" xfId="0" applyFont="1" applyFill="1" applyBorder="1" applyAlignment="1" applyProtection="1">
      <alignment horizontal="left" vertical="center"/>
      <protection locked="0"/>
    </xf>
    <xf numFmtId="0" fontId="25" fillId="17" borderId="12" xfId="0" applyFont="1" applyFill="1" applyBorder="1" applyAlignment="1" applyProtection="1">
      <alignment horizontal="left" vertical="center"/>
      <protection locked="0"/>
    </xf>
    <xf numFmtId="0" fontId="104" fillId="22" borderId="16" xfId="0" applyFont="1" applyFill="1" applyBorder="1" applyAlignment="1">
      <alignment horizontal="center" vertical="center"/>
    </xf>
    <xf numFmtId="0" fontId="104" fillId="22" borderId="22" xfId="0" applyFont="1" applyFill="1" applyBorder="1" applyAlignment="1">
      <alignment horizontal="center" vertical="center"/>
    </xf>
    <xf numFmtId="0" fontId="126" fillId="12" borderId="12" xfId="0" applyFont="1" applyFill="1" applyBorder="1" applyAlignment="1">
      <alignment horizontal="center" vertical="center"/>
    </xf>
    <xf numFmtId="0" fontId="115" fillId="12" borderId="12" xfId="0" applyFont="1" applyFill="1" applyBorder="1" applyAlignment="1">
      <alignment horizontal="left"/>
    </xf>
    <xf numFmtId="0" fontId="93" fillId="21" borderId="12" xfId="0" applyFont="1" applyFill="1" applyBorder="1" applyAlignment="1">
      <alignment horizontal="center" vertical="center"/>
    </xf>
    <xf numFmtId="0" fontId="92" fillId="17" borderId="12" xfId="0" applyFont="1" applyFill="1" applyBorder="1" applyAlignment="1" applyProtection="1">
      <alignment horizontal="left"/>
      <protection locked="0"/>
    </xf>
    <xf numFmtId="0" fontId="88" fillId="12" borderId="12" xfId="0" applyFont="1" applyFill="1" applyBorder="1" applyAlignment="1">
      <alignment horizontal="center" vertical="center"/>
    </xf>
    <xf numFmtId="0" fontId="91" fillId="4" borderId="0" xfId="0" applyFont="1" applyFill="1" applyAlignment="1" applyProtection="1">
      <alignment horizontal="center" vertical="center"/>
      <protection locked="0"/>
    </xf>
    <xf numFmtId="165" fontId="99" fillId="0" borderId="0" xfId="0" applyNumberFormat="1" applyFont="1" applyAlignment="1">
      <alignment horizontal="center" vertical="center" wrapText="1"/>
    </xf>
    <xf numFmtId="0" fontId="74" fillId="4" borderId="0" xfId="0" applyFont="1" applyFill="1" applyAlignment="1" applyProtection="1">
      <alignment horizontal="center" vertical="center"/>
      <protection hidden="1"/>
    </xf>
    <xf numFmtId="0" fontId="75" fillId="4" borderId="0" xfId="0" applyFont="1" applyFill="1" applyAlignment="1" applyProtection="1">
      <alignment horizontal="center" vertical="center"/>
      <protection hidden="1"/>
    </xf>
    <xf numFmtId="0" fontId="88" fillId="12" borderId="0" xfId="0" applyFont="1" applyFill="1" applyAlignment="1">
      <alignment horizontal="center" vertical="center"/>
    </xf>
    <xf numFmtId="0" fontId="88" fillId="14" borderId="0" xfId="0" applyFont="1" applyFill="1" applyAlignment="1">
      <alignment horizontal="center" vertical="center"/>
    </xf>
    <xf numFmtId="0" fontId="115" fillId="12" borderId="0" xfId="0" applyFont="1" applyFill="1" applyAlignment="1">
      <alignment horizontal="center" vertical="center" wrapText="1"/>
    </xf>
    <xf numFmtId="0" fontId="136" fillId="1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25" fillId="17" borderId="12" xfId="0" applyFont="1" applyFill="1" applyBorder="1" applyAlignment="1" applyProtection="1">
      <alignment horizontal="center" vertical="center"/>
      <protection locked="0"/>
    </xf>
    <xf numFmtId="14" fontId="124" fillId="7" borderId="0" xfId="0" applyNumberFormat="1" applyFont="1" applyFill="1" applyAlignment="1" applyProtection="1">
      <alignment horizontal="center" vertical="center" wrapText="1"/>
      <protection locked="0"/>
    </xf>
    <xf numFmtId="0" fontId="104" fillId="22" borderId="12" xfId="0" applyFont="1" applyFill="1" applyBorder="1" applyAlignment="1">
      <alignment horizontal="center" vertical="center"/>
    </xf>
    <xf numFmtId="0" fontId="93" fillId="21" borderId="12" xfId="0" applyFont="1" applyFill="1" applyBorder="1" applyAlignment="1" applyProtection="1">
      <alignment horizontal="center" vertical="center"/>
      <protection locked="0"/>
    </xf>
    <xf numFmtId="0" fontId="71" fillId="4" borderId="0" xfId="0" applyFont="1" applyFill="1" applyAlignment="1">
      <alignment horizontal="center" vertical="center"/>
    </xf>
    <xf numFmtId="0" fontId="125" fillId="4" borderId="14" xfId="0" applyFont="1" applyFill="1" applyBorder="1" applyAlignment="1">
      <alignment horizontal="center" vertical="center" wrapText="1"/>
    </xf>
    <xf numFmtId="0" fontId="125" fillId="4" borderId="0" xfId="0" applyFont="1" applyFill="1" applyAlignment="1">
      <alignment horizontal="center" vertical="center" wrapText="1"/>
    </xf>
    <xf numFmtId="0" fontId="103" fillId="4" borderId="0" xfId="0" applyFont="1" applyFill="1" applyAlignment="1">
      <alignment horizontal="center" vertical="center"/>
    </xf>
    <xf numFmtId="0" fontId="104" fillId="22" borderId="2" xfId="0" applyFont="1" applyFill="1" applyBorder="1" applyAlignment="1">
      <alignment horizontal="center" vertical="center"/>
    </xf>
    <xf numFmtId="0" fontId="104" fillId="22" borderId="3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24" fillId="4" borderId="0" xfId="0" applyFont="1" applyFill="1" applyAlignment="1" applyProtection="1">
      <alignment horizontal="center" vertical="center"/>
      <protection hidden="1"/>
    </xf>
    <xf numFmtId="0" fontId="91" fillId="4" borderId="0" xfId="0" applyFont="1" applyFill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/>
      <protection locked="0"/>
    </xf>
    <xf numFmtId="0" fontId="26" fillId="4" borderId="0" xfId="0" applyFont="1" applyFill="1" applyAlignment="1" applyProtection="1">
      <alignment horizontal="center" vertical="center"/>
      <protection hidden="1"/>
    </xf>
    <xf numFmtId="14" fontId="137" fillId="7" borderId="0" xfId="0" applyNumberFormat="1" applyFont="1" applyFill="1" applyAlignment="1" applyProtection="1">
      <alignment horizontal="center" vertical="center" wrapText="1"/>
      <protection locked="0"/>
    </xf>
    <xf numFmtId="0" fontId="95" fillId="23" borderId="0" xfId="0" applyFont="1" applyFill="1" applyAlignment="1">
      <alignment horizontal="center" vertical="center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85" fillId="4" borderId="0" xfId="0" applyFont="1" applyFill="1" applyAlignment="1" applyProtection="1">
      <alignment horizontal="center" vertical="center"/>
      <protection hidden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105" fillId="10" borderId="0" xfId="0" applyFont="1" applyFill="1" applyAlignment="1">
      <alignment horizontal="center" vertical="center"/>
    </xf>
    <xf numFmtId="0" fontId="88" fillId="12" borderId="9" xfId="0" applyFont="1" applyFill="1" applyBorder="1" applyAlignment="1">
      <alignment horizontal="center" vertical="center"/>
    </xf>
    <xf numFmtId="0" fontId="105" fillId="7" borderId="0" xfId="0" applyFont="1" applyFill="1" applyAlignment="1">
      <alignment horizontal="center" vertical="center"/>
    </xf>
    <xf numFmtId="164" fontId="131" fillId="0" borderId="0" xfId="4" applyFont="1" applyBorder="1" applyAlignment="1" applyProtection="1">
      <alignment vertical="center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23" fillId="0" borderId="0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1" fontId="104" fillId="22" borderId="26" xfId="0" applyNumberFormat="1" applyFont="1" applyFill="1" applyBorder="1" applyAlignment="1">
      <alignment horizontal="center" vertical="center"/>
    </xf>
    <xf numFmtId="1" fontId="104" fillId="22" borderId="24" xfId="0" applyNumberFormat="1" applyFont="1" applyFill="1" applyBorder="1" applyAlignment="1">
      <alignment horizontal="center" vertical="center"/>
    </xf>
    <xf numFmtId="1" fontId="104" fillId="22" borderId="1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3" fontId="106" fillId="0" borderId="0" xfId="0" applyNumberFormat="1" applyFont="1" applyAlignment="1">
      <alignment horizontal="center" vertical="center"/>
    </xf>
    <xf numFmtId="3" fontId="107" fillId="22" borderId="23" xfId="0" applyNumberFormat="1" applyFont="1" applyFill="1" applyBorder="1" applyAlignment="1">
      <alignment horizontal="center" vertical="center"/>
    </xf>
    <xf numFmtId="3" fontId="107" fillId="22" borderId="15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textRotation="90"/>
    </xf>
    <xf numFmtId="0" fontId="104" fillId="0" borderId="0" xfId="0" applyFont="1" applyAlignment="1">
      <alignment horizontal="right" vertical="center"/>
    </xf>
    <xf numFmtId="0" fontId="104" fillId="19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04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5" fillId="19" borderId="12" xfId="0" applyFont="1" applyFill="1" applyBorder="1" applyAlignment="1">
      <alignment horizontal="center" vertical="center"/>
    </xf>
    <xf numFmtId="0" fontId="104" fillId="0" borderId="0" xfId="0" applyFont="1" applyAlignment="1" applyProtection="1">
      <alignment horizontal="left" vertical="center"/>
      <protection hidden="1"/>
    </xf>
    <xf numFmtId="0" fontId="104" fillId="0" borderId="19" xfId="0" applyFont="1" applyBorder="1" applyAlignment="1" applyProtection="1">
      <alignment horizontal="left" vertical="center"/>
      <protection hidden="1"/>
    </xf>
    <xf numFmtId="0" fontId="104" fillId="0" borderId="0" xfId="0" applyFont="1" applyAlignment="1">
      <alignment vertical="center"/>
    </xf>
    <xf numFmtId="0" fontId="104" fillId="0" borderId="19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164" fontId="107" fillId="0" borderId="14" xfId="0" applyNumberFormat="1" applyFont="1" applyBorder="1" applyAlignment="1">
      <alignment horizontal="center" vertical="center"/>
    </xf>
    <xf numFmtId="0" fontId="107" fillId="0" borderId="14" xfId="0" applyFont="1" applyBorder="1" applyAlignment="1">
      <alignment horizontal="center" vertical="center"/>
    </xf>
    <xf numFmtId="0" fontId="107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20" xfId="0" applyNumberFormat="1" applyFont="1" applyBorder="1" applyAlignment="1">
      <alignment horizontal="right" readingOrder="2"/>
    </xf>
    <xf numFmtId="49" fontId="11" fillId="0" borderId="11" xfId="0" applyNumberFormat="1" applyFont="1" applyBorder="1" applyAlignment="1">
      <alignment horizontal="right" readingOrder="2"/>
    </xf>
    <xf numFmtId="49" fontId="11" fillId="0" borderId="21" xfId="0" applyNumberFormat="1" applyFont="1" applyBorder="1" applyAlignment="1">
      <alignment horizontal="right" readingOrder="2"/>
    </xf>
    <xf numFmtId="0" fontId="11" fillId="0" borderId="9" xfId="0" applyFont="1" applyBorder="1" applyAlignment="1">
      <alignment horizontal="right" vertical="center"/>
    </xf>
    <xf numFmtId="168" fontId="11" fillId="0" borderId="0" xfId="0" applyNumberFormat="1" applyFont="1" applyAlignment="1">
      <alignment horizontal="center" vertical="center"/>
    </xf>
    <xf numFmtId="0" fontId="92" fillId="4" borderId="0" xfId="0" applyFont="1" applyFill="1" applyAlignment="1">
      <alignment horizontal="center" vertical="center"/>
    </xf>
    <xf numFmtId="0" fontId="92" fillId="4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168" fontId="10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justify" vertical="center" wrapText="1" shrinkToFi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/>
    </xf>
    <xf numFmtId="0" fontId="10" fillId="0" borderId="16" xfId="0" applyFont="1" applyBorder="1" applyAlignment="1">
      <alignment horizontal="left" indent="1"/>
    </xf>
    <xf numFmtId="0" fontId="10" fillId="0" borderId="22" xfId="0" applyFont="1" applyBorder="1" applyAlignment="1">
      <alignment horizontal="left" indent="1"/>
    </xf>
    <xf numFmtId="0" fontId="10" fillId="0" borderId="17" xfId="0" applyFont="1" applyBorder="1" applyAlignment="1">
      <alignment horizontal="left" indent="1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18" borderId="0" xfId="0" applyFont="1" applyFill="1" applyAlignment="1" applyProtection="1">
      <alignment horizontal="center"/>
      <protection locked="0"/>
    </xf>
    <xf numFmtId="1" fontId="100" fillId="0" borderId="0" xfId="0" applyNumberFormat="1" applyFont="1" applyAlignment="1" applyProtection="1">
      <alignment horizontal="right" vertical="center"/>
      <protection locked="0"/>
    </xf>
    <xf numFmtId="0" fontId="33" fillId="4" borderId="0" xfId="0" applyFont="1" applyFill="1" applyAlignment="1" applyProtection="1">
      <alignment horizontal="center" vertical="center"/>
    </xf>
    <xf numFmtId="0" fontId="33" fillId="4" borderId="19" xfId="0" applyFont="1" applyFill="1" applyBorder="1" applyAlignment="1" applyProtection="1">
      <alignment horizontal="center" vertical="center"/>
    </xf>
    <xf numFmtId="0" fontId="22" fillId="26" borderId="0" xfId="0" applyFont="1" applyFill="1" applyAlignment="1">
      <alignment vertical="center"/>
    </xf>
    <xf numFmtId="165" fontId="69" fillId="26" borderId="0" xfId="0" applyNumberFormat="1" applyFont="1" applyFill="1" applyAlignment="1">
      <alignment horizontal="center" vertical="center"/>
    </xf>
    <xf numFmtId="1" fontId="69" fillId="26" borderId="0" xfId="0" applyNumberFormat="1" applyFont="1" applyFill="1" applyAlignment="1">
      <alignment horizontal="center" vertical="center"/>
    </xf>
    <xf numFmtId="0" fontId="69" fillId="26" borderId="0" xfId="0" applyFont="1" applyFill="1" applyAlignment="1">
      <alignment vertical="center"/>
    </xf>
    <xf numFmtId="0" fontId="121" fillId="26" borderId="0" xfId="0" applyFont="1" applyFill="1" applyAlignment="1">
      <alignment vertical="center"/>
    </xf>
    <xf numFmtId="0" fontId="44" fillId="26" borderId="0" xfId="0" applyFont="1" applyFill="1" applyAlignment="1" applyProtection="1">
      <alignment vertical="center"/>
      <protection locked="0"/>
    </xf>
    <xf numFmtId="0" fontId="69" fillId="26" borderId="0" xfId="0" applyFont="1" applyFill="1" applyAlignment="1" applyProtection="1">
      <alignment vertical="center"/>
      <protection locked="0"/>
    </xf>
    <xf numFmtId="0" fontId="69" fillId="26" borderId="0" xfId="0" applyFont="1" applyFill="1" applyProtection="1">
      <protection locked="0"/>
    </xf>
    <xf numFmtId="0" fontId="113" fillId="26" borderId="0" xfId="0" applyFont="1" applyFill="1" applyAlignment="1" applyProtection="1">
      <alignment vertical="center"/>
      <protection locked="0"/>
    </xf>
    <xf numFmtId="14" fontId="90" fillId="26" borderId="0" xfId="0" applyNumberFormat="1" applyFont="1" applyFill="1" applyAlignment="1" applyProtection="1">
      <alignment horizontal="right" vertical="center" wrapText="1"/>
      <protection locked="0"/>
    </xf>
    <xf numFmtId="165" fontId="95" fillId="26" borderId="0" xfId="0" applyNumberFormat="1" applyFont="1" applyFill="1"/>
    <xf numFmtId="9" fontId="97" fillId="26" borderId="0" xfId="0" applyNumberFormat="1" applyFont="1" applyFill="1" applyProtection="1">
      <protection locked="0"/>
    </xf>
    <xf numFmtId="9" fontId="91" fillId="26" borderId="0" xfId="0" applyNumberFormat="1" applyFont="1" applyFill="1" applyProtection="1">
      <protection locked="0"/>
    </xf>
    <xf numFmtId="0" fontId="26" fillId="26" borderId="0" xfId="0" applyFont="1" applyFill="1" applyAlignment="1">
      <alignment vertical="center"/>
    </xf>
    <xf numFmtId="9" fontId="26" fillId="26" borderId="0" xfId="0" applyNumberFormat="1" applyFont="1" applyFill="1" applyProtection="1">
      <protection locked="0"/>
    </xf>
    <xf numFmtId="0" fontId="26" fillId="26" borderId="0" xfId="0" applyFont="1" applyFill="1"/>
    <xf numFmtId="0" fontId="26" fillId="26" borderId="0" xfId="0" applyFont="1" applyFill="1" applyAlignment="1">
      <alignment horizontal="center" wrapText="1"/>
    </xf>
    <xf numFmtId="0" fontId="22" fillId="7" borderId="27" xfId="0" applyFont="1" applyFill="1" applyBorder="1" applyAlignment="1">
      <alignment vertical="center"/>
    </xf>
    <xf numFmtId="0" fontId="139" fillId="0" borderId="28" xfId="0" applyFont="1" applyFill="1" applyBorder="1" applyAlignment="1">
      <alignment horizontal="center" vertical="center"/>
    </xf>
    <xf numFmtId="0" fontId="23" fillId="15" borderId="28" xfId="0" applyFont="1" applyFill="1" applyBorder="1" applyAlignment="1">
      <alignment vertical="center"/>
    </xf>
    <xf numFmtId="0" fontId="98" fillId="5" borderId="28" xfId="0" applyFont="1" applyFill="1" applyBorder="1" applyProtection="1">
      <protection locked="0"/>
    </xf>
    <xf numFmtId="0" fontId="25" fillId="0" borderId="28" xfId="0" applyFont="1" applyBorder="1" applyAlignment="1">
      <alignment horizontal="center" vertical="center" wrapText="1"/>
    </xf>
    <xf numFmtId="0" fontId="140" fillId="4" borderId="28" xfId="0" applyFont="1" applyFill="1" applyBorder="1" applyAlignment="1" applyProtection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91" fillId="4" borderId="28" xfId="0" applyFont="1" applyFill="1" applyBorder="1" applyAlignment="1" applyProtection="1">
      <alignment horizontal="center" vertical="center"/>
    </xf>
    <xf numFmtId="0" fontId="101" fillId="4" borderId="28" xfId="0" applyFont="1" applyFill="1" applyBorder="1" applyAlignment="1" applyProtection="1">
      <alignment horizontal="center" vertical="center"/>
    </xf>
    <xf numFmtId="0" fontId="12" fillId="14" borderId="28" xfId="0" applyFont="1" applyFill="1" applyBorder="1"/>
    <xf numFmtId="0" fontId="128" fillId="0" borderId="28" xfId="0" applyFont="1" applyFill="1" applyBorder="1" applyAlignment="1">
      <alignment horizontal="center" vertical="center"/>
    </xf>
    <xf numFmtId="0" fontId="128" fillId="0" borderId="29" xfId="0" applyFont="1" applyFill="1" applyBorder="1" applyAlignment="1">
      <alignment horizontal="center" vertical="center"/>
    </xf>
    <xf numFmtId="0" fontId="128" fillId="0" borderId="28" xfId="0" applyFont="1" applyFill="1" applyBorder="1" applyAlignment="1">
      <alignment horizontal="center" vertical="center" wrapText="1"/>
    </xf>
    <xf numFmtId="0" fontId="33" fillId="19" borderId="0" xfId="0" applyFont="1" applyFill="1" applyAlignment="1">
      <alignment horizontal="right" vertical="center"/>
    </xf>
    <xf numFmtId="0" fontId="33" fillId="4" borderId="28" xfId="0" applyFont="1" applyFill="1" applyBorder="1" applyAlignment="1" applyProtection="1">
      <alignment horizontal="center" vertical="center"/>
      <protection locked="0"/>
    </xf>
    <xf numFmtId="0" fontId="33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vertical="center" wrapText="1"/>
    </xf>
    <xf numFmtId="0" fontId="25" fillId="0" borderId="28" xfId="0" applyFont="1" applyFill="1" applyBorder="1" applyAlignment="1" applyProtection="1">
      <alignment horizontal="center" vertical="center" wrapText="1"/>
      <protection locked="0"/>
    </xf>
  </cellXfs>
  <cellStyles count="7">
    <cellStyle name="Comma" xfId="4" builtinId="3"/>
    <cellStyle name="Hyperlink" xfId="1" builtinId="8"/>
    <cellStyle name="Normal" xfId="0" builtinId="0"/>
    <cellStyle name="Normal 2" xfId="2" xr:uid="{00000000-0005-0000-0000-000003000000}"/>
    <cellStyle name="Normal 3" xfId="5" xr:uid="{00000000-0005-0000-0000-000004000000}"/>
    <cellStyle name="Normal_IT CALC FY 2013-14x" xfId="3" xr:uid="{00000000-0005-0000-0000-000005000000}"/>
    <cellStyle name="Warning Text" xfId="6" builtinId="11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00FF"/>
      <color rgb="FF9966FF"/>
      <color rgb="FF009900"/>
      <color rgb="FFFF0000"/>
      <color rgb="FF00CC99"/>
      <color rgb="FFF9A7E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svg"/><Relationship Id="rId2" Type="http://schemas.openxmlformats.org/officeDocument/2006/relationships/image" Target="../media/image1.jpeg"/><Relationship Id="rId1" Type="http://schemas.openxmlformats.org/officeDocument/2006/relationships/hyperlink" Target="https://anuragvision.co.in" TargetMode="External"/><Relationship Id="rId6" Type="http://schemas.openxmlformats.org/officeDocument/2006/relationships/image" Target="../media/image5.svg"/><Relationship Id="rId5" Type="http://schemas.openxmlformats.org/officeDocument/2006/relationships/image" Target="../media/image4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9526</xdr:colOff>
      <xdr:row>0</xdr:row>
      <xdr:rowOff>0</xdr:rowOff>
    </xdr:from>
    <xdr:to>
      <xdr:col>34</xdr:col>
      <xdr:colOff>342900</xdr:colOff>
      <xdr:row>2</xdr:row>
      <xdr:rowOff>0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9439276" y="0"/>
          <a:ext cx="2400299" cy="457200"/>
        </a:xfrm>
        <a:prstGeom prst="wedgeRectCallout">
          <a:avLst>
            <a:gd name="adj1" fmla="val -59868"/>
            <a:gd name="adj2" fmla="val -17753"/>
          </a:avLst>
        </a:prstGeom>
        <a:solidFill>
          <a:schemeClr val="bg1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+mn-lt"/>
            </a:rPr>
            <a:t>By</a:t>
          </a:r>
          <a:r>
            <a:rPr lang="en-US" sz="1400" b="1" baseline="0">
              <a:solidFill>
                <a:srgbClr val="FF0000"/>
              </a:solidFill>
              <a:latin typeface="+mn-lt"/>
            </a:rPr>
            <a:t> </a:t>
          </a:r>
          <a:r>
            <a:rPr lang="en-US" sz="1400" b="1">
              <a:solidFill>
                <a:srgbClr val="FF0000"/>
              </a:solidFill>
              <a:latin typeface="+mn-lt"/>
            </a:rPr>
            <a:t>Gopal</a:t>
          </a:r>
          <a:r>
            <a:rPr lang="en-US" sz="1400" b="1" baseline="0">
              <a:solidFill>
                <a:srgbClr val="FF0000"/>
              </a:solidFill>
              <a:latin typeface="+mn-lt"/>
            </a:rPr>
            <a:t> Lal Suthar </a:t>
          </a:r>
          <a:r>
            <a:rPr lang="en-US" sz="1400" b="0" baseline="0">
              <a:solidFill>
                <a:srgbClr val="0033CC"/>
              </a:solidFill>
              <a:latin typeface="+mn-lt"/>
            </a:rPr>
            <a:t>Retd.D.E.O.</a:t>
          </a:r>
          <a:endParaRPr lang="en-US" sz="1400">
            <a:latin typeface="+mn-lt"/>
          </a:endParaRPr>
        </a:p>
      </xdr:txBody>
    </xdr:sp>
    <xdr:clientData/>
  </xdr:twoCellAnchor>
  <xdr:twoCellAnchor editAs="oneCell">
    <xdr:from>
      <xdr:col>36</xdr:col>
      <xdr:colOff>9524</xdr:colOff>
      <xdr:row>26</xdr:row>
      <xdr:rowOff>0</xdr:rowOff>
    </xdr:from>
    <xdr:to>
      <xdr:col>38</xdr:col>
      <xdr:colOff>293370</xdr:colOff>
      <xdr:row>38</xdr:row>
      <xdr:rowOff>200025</xdr:rowOff>
    </xdr:to>
    <xdr:pic>
      <xdr:nvPicPr>
        <xdr:cNvPr id="26120" name="Picture 11" descr="AnuragVision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6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1999" y="4200525"/>
          <a:ext cx="1245871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57149</xdr:colOff>
      <xdr:row>6</xdr:row>
      <xdr:rowOff>38101</xdr:rowOff>
    </xdr:from>
    <xdr:to>
      <xdr:col>26</xdr:col>
      <xdr:colOff>9525</xdr:colOff>
      <xdr:row>7</xdr:row>
      <xdr:rowOff>57150</xdr:rowOff>
    </xdr:to>
    <xdr:sp macro="" textlink="">
      <xdr:nvSpPr>
        <xdr:cNvPr id="16" name="Rectangular Callou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495799" y="1352551"/>
          <a:ext cx="4505326" cy="142874"/>
        </a:xfrm>
        <a:prstGeom prst="wedgeRectCallout">
          <a:avLst>
            <a:gd name="adj1" fmla="val 10263"/>
            <a:gd name="adj2" fmla="val 8059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100" b="0"/>
            <a:t>Insert </a:t>
          </a:r>
          <a:r>
            <a:rPr lang="en-US" sz="1100" b="0">
              <a:solidFill>
                <a:srgbClr val="FF0000"/>
              </a:solidFill>
            </a:rPr>
            <a:t>Deductions</a:t>
          </a:r>
          <a:r>
            <a:rPr lang="en-US" sz="1100" b="0"/>
            <a:t> from GA -55</a:t>
          </a:r>
          <a:endParaRPr lang="en-US" sz="1100" b="1"/>
        </a:p>
      </xdr:txBody>
    </xdr:sp>
    <xdr:clientData/>
  </xdr:twoCellAnchor>
  <xdr:twoCellAnchor>
    <xdr:from>
      <xdr:col>6</xdr:col>
      <xdr:colOff>9525</xdr:colOff>
      <xdr:row>6</xdr:row>
      <xdr:rowOff>19050</xdr:rowOff>
    </xdr:from>
    <xdr:to>
      <xdr:col>12</xdr:col>
      <xdr:colOff>276225</xdr:colOff>
      <xdr:row>7</xdr:row>
      <xdr:rowOff>76200</xdr:rowOff>
    </xdr:to>
    <xdr:sp macro="" textlink="">
      <xdr:nvSpPr>
        <xdr:cNvPr id="17" name="Rectangular Callou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847725" y="1514475"/>
          <a:ext cx="2276475" cy="142875"/>
        </a:xfrm>
        <a:prstGeom prst="wedgeRectCallout">
          <a:avLst>
            <a:gd name="adj1" fmla="val 8047"/>
            <a:gd name="adj2" fmla="val 8059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1002">
          <a:schemeClr val="lt1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100" b="0"/>
            <a:t>Insert </a:t>
          </a:r>
          <a:r>
            <a:rPr lang="en-US" sz="1100" b="0">
              <a:solidFill>
                <a:srgbClr val="FF0000"/>
              </a:solidFill>
            </a:rPr>
            <a:t>Income</a:t>
          </a:r>
          <a:r>
            <a:rPr lang="en-US" sz="1100" b="0"/>
            <a:t> from GA -55</a:t>
          </a:r>
          <a:endParaRPr lang="en-US" sz="1100" b="1"/>
        </a:p>
      </xdr:txBody>
    </xdr:sp>
    <xdr:clientData/>
  </xdr:twoCellAnchor>
  <xdr:twoCellAnchor>
    <xdr:from>
      <xdr:col>18</xdr:col>
      <xdr:colOff>219075</xdr:colOff>
      <xdr:row>38</xdr:row>
      <xdr:rowOff>19050</xdr:rowOff>
    </xdr:from>
    <xdr:to>
      <xdr:col>22</xdr:col>
      <xdr:colOff>276225</xdr:colOff>
      <xdr:row>45</xdr:row>
      <xdr:rowOff>0</xdr:rowOff>
    </xdr:to>
    <xdr:sp macro="" textlink="">
      <xdr:nvSpPr>
        <xdr:cNvPr id="18" name="Rectangular Callou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210050" y="5953125"/>
          <a:ext cx="1581150" cy="1514475"/>
        </a:xfrm>
        <a:prstGeom prst="wedgeRectCallout">
          <a:avLst>
            <a:gd name="adj1" fmla="val -62447"/>
            <a:gd name="adj2" fmla="val -15234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900" b="1">
              <a:solidFill>
                <a:srgbClr val="FF0000"/>
              </a:solidFill>
              <a:latin typeface="+mn-lt"/>
              <a:ea typeface="+mn-ea"/>
              <a:cs typeface="+mn-cs"/>
            </a:rPr>
            <a:t>Interest up to Rs 10,000 in Saving Bank Account</a:t>
          </a:r>
          <a:r>
            <a:rPr lang="en-US" sz="9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is not taxable under Sec 80TTA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So deduct Rs 10,000 while entering interest income from Saving account. </a:t>
          </a:r>
          <a:endParaRPr lang="en-US" sz="900" b="1">
            <a:latin typeface="+mn-lt"/>
          </a:endParaRPr>
        </a:p>
        <a:p>
          <a:pPr algn="ctr"/>
          <a:r>
            <a:rPr lang="en-US" sz="900" b="1" i="1" baseline="0">
              <a:solidFill>
                <a:srgbClr val="FF0000"/>
              </a:solidFill>
              <a:latin typeface="+mn-lt"/>
              <a:ea typeface="+mn-ea"/>
              <a:cs typeface="+mn-cs"/>
            </a:rPr>
            <a:t>All interest received via FD is taxable</a:t>
          </a:r>
          <a:r>
            <a:rPr lang="en-US" sz="9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.</a:t>
          </a:r>
          <a:endParaRPr lang="en-US" sz="9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19050</xdr:colOff>
      <xdr:row>38</xdr:row>
      <xdr:rowOff>19049</xdr:rowOff>
    </xdr:from>
    <xdr:to>
      <xdr:col>18</xdr:col>
      <xdr:colOff>200025</xdr:colOff>
      <xdr:row>38</xdr:row>
      <xdr:rowOff>219074</xdr:rowOff>
    </xdr:to>
    <xdr:sp macro="" textlink="">
      <xdr:nvSpPr>
        <xdr:cNvPr id="19" name="Rectangular Callou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9050" y="5524499"/>
          <a:ext cx="5848350" cy="200025"/>
        </a:xfrm>
        <a:prstGeom prst="wedgeRectCallout">
          <a:avLst>
            <a:gd name="adj1" fmla="val 19585"/>
            <a:gd name="adj2" fmla="val 9031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400" b="0">
              <a:solidFill>
                <a:srgbClr val="0070C0"/>
              </a:solidFill>
              <a:latin typeface="Bahnschrift Light Condensed" panose="020B0502040204020203" pitchFamily="34" charset="0"/>
            </a:rPr>
            <a:t>Income From other sources</a:t>
          </a:r>
          <a:endParaRPr lang="en-US" sz="1400" b="1">
            <a:solidFill>
              <a:srgbClr val="0070C0"/>
            </a:solidFill>
            <a:latin typeface="Bahnschrift Light Condensed" panose="020B0502040204020203" pitchFamily="34" charset="0"/>
          </a:endParaRPr>
        </a:p>
      </xdr:txBody>
    </xdr:sp>
    <xdr:clientData/>
  </xdr:twoCellAnchor>
  <xdr:twoCellAnchor>
    <xdr:from>
      <xdr:col>22</xdr:col>
      <xdr:colOff>304800</xdr:colOff>
      <xdr:row>38</xdr:row>
      <xdr:rowOff>9526</xdr:rowOff>
    </xdr:from>
    <xdr:to>
      <xdr:col>35</xdr:col>
      <xdr:colOff>0</xdr:colOff>
      <xdr:row>38</xdr:row>
      <xdr:rowOff>200025</xdr:rowOff>
    </xdr:to>
    <xdr:sp macro="" textlink="">
      <xdr:nvSpPr>
        <xdr:cNvPr id="20" name="Rectangular Callou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686675" y="5514976"/>
          <a:ext cx="4010025" cy="190499"/>
        </a:xfrm>
        <a:prstGeom prst="wedgeRectCallout">
          <a:avLst>
            <a:gd name="adj1" fmla="val 11813"/>
            <a:gd name="adj2" fmla="val 9392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100" b="0">
              <a:solidFill>
                <a:srgbClr val="FFFF00"/>
              </a:solidFill>
            </a:rPr>
            <a:t>Less: Exemption on Home Loan Interest (Sec 24 &amp; Sec 80EE</a:t>
          </a:r>
          <a:endParaRPr lang="en-US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9524</xdr:colOff>
      <xdr:row>45</xdr:row>
      <xdr:rowOff>0</xdr:rowOff>
    </xdr:from>
    <xdr:to>
      <xdr:col>20</xdr:col>
      <xdr:colOff>19049</xdr:colOff>
      <xdr:row>45</xdr:row>
      <xdr:rowOff>180975</xdr:rowOff>
    </xdr:to>
    <xdr:sp macro="" textlink="">
      <xdr:nvSpPr>
        <xdr:cNvPr id="24" name="Rectangular Callou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85724" y="8153400"/>
          <a:ext cx="5838825" cy="180975"/>
        </a:xfrm>
        <a:prstGeom prst="wedgeRectCallout">
          <a:avLst>
            <a:gd name="adj1" fmla="val -107"/>
            <a:gd name="adj2" fmla="val 8925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>
              <a:solidFill>
                <a:srgbClr val="FF0000"/>
              </a:solidFill>
            </a:rPr>
            <a:t>Less: Deduction under Sec 80C (Max Rs.1,00,000/-)</a:t>
          </a:r>
        </a:p>
      </xdr:txBody>
    </xdr:sp>
    <xdr:clientData/>
  </xdr:twoCellAnchor>
  <xdr:twoCellAnchor>
    <xdr:from>
      <xdr:col>20</xdr:col>
      <xdr:colOff>19049</xdr:colOff>
      <xdr:row>45</xdr:row>
      <xdr:rowOff>19049</xdr:rowOff>
    </xdr:from>
    <xdr:to>
      <xdr:col>35</xdr:col>
      <xdr:colOff>19050</xdr:colOff>
      <xdr:row>46</xdr:row>
      <xdr:rowOff>9524</xdr:rowOff>
    </xdr:to>
    <xdr:sp macro="" textlink="">
      <xdr:nvSpPr>
        <xdr:cNvPr id="25" name="Rectangular Callou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6515099" y="6734174"/>
          <a:ext cx="5200651" cy="180975"/>
        </a:xfrm>
        <a:prstGeom prst="wedgeRectCallout">
          <a:avLst>
            <a:gd name="adj1" fmla="val -1815"/>
            <a:gd name="adj2" fmla="val 7844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>
              <a:solidFill>
                <a:srgbClr val="FFFF00"/>
              </a:solidFill>
            </a:rPr>
            <a:t>Less: Deduction under chapter VI A</a:t>
          </a:r>
        </a:p>
      </xdr:txBody>
    </xdr:sp>
    <xdr:clientData/>
  </xdr:twoCellAnchor>
  <xdr:oneCellAnchor>
    <xdr:from>
      <xdr:col>9</xdr:col>
      <xdr:colOff>485775</xdr:colOff>
      <xdr:row>2</xdr:row>
      <xdr:rowOff>247651</xdr:rowOff>
    </xdr:from>
    <xdr:ext cx="1266825" cy="295274"/>
    <xdr:sp macro="" textlink="">
      <xdr:nvSpPr>
        <xdr:cNvPr id="29" name="Rectangular Callou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181350" y="704851"/>
          <a:ext cx="1266825" cy="295274"/>
        </a:xfrm>
        <a:prstGeom prst="wedgeRectCallout">
          <a:avLst>
            <a:gd name="adj1" fmla="val 39111"/>
            <a:gd name="adj2" fmla="val 73661"/>
          </a:avLst>
        </a:prstGeom>
        <a:solidFill>
          <a:sysClr val="window" lastClr="FFFFFF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>
          <a:noAutofit/>
        </a:bodyPr>
        <a:lstStyle/>
        <a:p>
          <a:pPr algn="ctr"/>
          <a:r>
            <a:rPr lang="en-US" sz="800" b="1">
              <a:solidFill>
                <a:srgbClr val="FF0000"/>
              </a:solidFill>
            </a:rPr>
            <a:t>Select from Drop Down List</a:t>
          </a:r>
        </a:p>
      </xdr:txBody>
    </xdr:sp>
    <xdr:clientData/>
  </xdr:oneCellAnchor>
  <xdr:twoCellAnchor>
    <xdr:from>
      <xdr:col>5</xdr:col>
      <xdr:colOff>0</xdr:colOff>
      <xdr:row>8</xdr:row>
      <xdr:rowOff>0</xdr:rowOff>
    </xdr:from>
    <xdr:to>
      <xdr:col>6</xdr:col>
      <xdr:colOff>28575</xdr:colOff>
      <xdr:row>9</xdr:row>
      <xdr:rowOff>28575</xdr:rowOff>
    </xdr:to>
    <xdr:sp macro="" textlink="">
      <xdr:nvSpPr>
        <xdr:cNvPr id="30" name="Rectangular Callou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 rot="16200000">
          <a:off x="814387" y="1985963"/>
          <a:ext cx="885825" cy="381000"/>
        </a:xfrm>
        <a:prstGeom prst="wedgeRectCallout">
          <a:avLst>
            <a:gd name="adj1" fmla="val -68721"/>
            <a:gd name="adj2" fmla="val -595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en-US" sz="800" b="1" baseline="0"/>
            <a:t>Select "FIX" from Drop Down List</a:t>
          </a:r>
        </a:p>
      </xdr:txBody>
    </xdr:sp>
    <xdr:clientData/>
  </xdr:twoCellAnchor>
  <xdr:twoCellAnchor>
    <xdr:from>
      <xdr:col>7</xdr:col>
      <xdr:colOff>47626</xdr:colOff>
      <xdr:row>8</xdr:row>
      <xdr:rowOff>200025</xdr:rowOff>
    </xdr:from>
    <xdr:to>
      <xdr:col>7</xdr:col>
      <xdr:colOff>161926</xdr:colOff>
      <xdr:row>8</xdr:row>
      <xdr:rowOff>381000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F71E8AB0-E823-9360-FC9D-860F781645B2}"/>
            </a:ext>
          </a:extLst>
        </xdr:cNvPr>
        <xdr:cNvSpPr/>
      </xdr:nvSpPr>
      <xdr:spPr>
        <a:xfrm>
          <a:off x="1990726" y="1628775"/>
          <a:ext cx="114300" cy="1809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 kern="1200"/>
        </a:p>
      </xdr:txBody>
    </xdr:sp>
    <xdr:clientData/>
  </xdr:twoCellAnchor>
  <xdr:twoCellAnchor editAs="oneCell">
    <xdr:from>
      <xdr:col>34</xdr:col>
      <xdr:colOff>352425</xdr:colOff>
      <xdr:row>0</xdr:row>
      <xdr:rowOff>142875</xdr:rowOff>
    </xdr:from>
    <xdr:to>
      <xdr:col>37</xdr:col>
      <xdr:colOff>361950</xdr:colOff>
      <xdr:row>5</xdr:row>
      <xdr:rowOff>57150</xdr:rowOff>
    </xdr:to>
    <xdr:pic>
      <xdr:nvPicPr>
        <xdr:cNvPr id="6" name="Graphic 5" descr="Receiver with solid fill">
          <a:extLst>
            <a:ext uri="{FF2B5EF4-FFF2-40B4-BE49-F238E27FC236}">
              <a16:creationId xmlns:a16="http://schemas.microsoft.com/office/drawing/2014/main" id="{F79CF891-2B0A-2E94-6611-96308FDE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849100" y="142875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26</xdr:col>
      <xdr:colOff>381000</xdr:colOff>
      <xdr:row>27</xdr:row>
      <xdr:rowOff>104775</xdr:rowOff>
    </xdr:from>
    <xdr:to>
      <xdr:col>28</xdr:col>
      <xdr:colOff>276225</xdr:colOff>
      <xdr:row>30</xdr:row>
      <xdr:rowOff>95250</xdr:rowOff>
    </xdr:to>
    <xdr:pic>
      <xdr:nvPicPr>
        <xdr:cNvPr id="9" name="Graphic 8" descr="Angel face outline with solid fill">
          <a:extLst>
            <a:ext uri="{FF2B5EF4-FFF2-40B4-BE49-F238E27FC236}">
              <a16:creationId xmlns:a16="http://schemas.microsoft.com/office/drawing/2014/main" id="{36DAF20B-000B-5E1E-6F22-C2B1E868A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372600" y="41148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32</xdr:col>
      <xdr:colOff>114300</xdr:colOff>
      <xdr:row>27</xdr:row>
      <xdr:rowOff>104775</xdr:rowOff>
    </xdr:from>
    <xdr:to>
      <xdr:col>33</xdr:col>
      <xdr:colOff>152400</xdr:colOff>
      <xdr:row>30</xdr:row>
      <xdr:rowOff>95250</xdr:rowOff>
    </xdr:to>
    <xdr:pic>
      <xdr:nvPicPr>
        <xdr:cNvPr id="10" name="Graphic 9" descr="Angel face outline with solid fill">
          <a:extLst>
            <a:ext uri="{FF2B5EF4-FFF2-40B4-BE49-F238E27FC236}">
              <a16:creationId xmlns:a16="http://schemas.microsoft.com/office/drawing/2014/main" id="{9B57731C-0C67-42E1-BBA6-5C07349F2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0820400" y="4114800"/>
          <a:ext cx="361950" cy="361950"/>
        </a:xfrm>
        <a:prstGeom prst="rect">
          <a:avLst/>
        </a:prstGeom>
      </xdr:spPr>
    </xdr:pic>
    <xdr:clientData/>
  </xdr:twoCellAnchor>
  <xdr:oneCellAnchor>
    <xdr:from>
      <xdr:col>18</xdr:col>
      <xdr:colOff>371474</xdr:colOff>
      <xdr:row>26</xdr:row>
      <xdr:rowOff>66130</xdr:rowOff>
    </xdr:from>
    <xdr:ext cx="3000376" cy="156518"/>
    <xdr:sp macro="" textlink="">
      <xdr:nvSpPr>
        <xdr:cNvPr id="5" name="Rectangular Callout 7">
          <a:extLst>
            <a:ext uri="{FF2B5EF4-FFF2-40B4-BE49-F238E27FC236}">
              <a16:creationId xmlns:a16="http://schemas.microsoft.com/office/drawing/2014/main" id="{C97C3374-4A83-4F24-8030-86DD147D3A96}"/>
            </a:ext>
          </a:extLst>
        </xdr:cNvPr>
        <xdr:cNvSpPr/>
      </xdr:nvSpPr>
      <xdr:spPr bwMode="auto">
        <a:xfrm>
          <a:off x="6038849" y="4199980"/>
          <a:ext cx="3000376" cy="156518"/>
        </a:xfrm>
        <a:prstGeom prst="wedgeRectCallout">
          <a:avLst>
            <a:gd name="adj1" fmla="val -64106"/>
            <a:gd name="adj2" fmla="val -109332"/>
          </a:avLst>
        </a:prstGeom>
        <a:solidFill>
          <a:srgbClr val="FFFF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>
          <a:spAutoFit/>
        </a:bodyPr>
        <a:lstStyle/>
        <a:p>
          <a:pPr algn="ct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Select from here</a:t>
          </a:r>
          <a:r>
            <a:rPr lang="en-US" sz="10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:- </a:t>
          </a:r>
          <a:r>
            <a:rPr lang="en-US" sz="1000" b="0" i="0">
              <a:solidFill>
                <a:srgbClr val="FF0000"/>
              </a:solidFill>
              <a:latin typeface="+mn-lt"/>
              <a:ea typeface="+mn-ea"/>
              <a:cs typeface="+mn-cs"/>
            </a:rPr>
            <a:t>Old Tax Regime</a:t>
          </a:r>
          <a:r>
            <a:rPr lang="en-US" sz="10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or New Tax Regime</a:t>
          </a:r>
          <a:endParaRPr lang="en-US" sz="10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352430</xdr:colOff>
      <xdr:row>56</xdr:row>
      <xdr:rowOff>142874</xdr:rowOff>
    </xdr:from>
    <xdr:to>
      <xdr:col>24</xdr:col>
      <xdr:colOff>123830</xdr:colOff>
      <xdr:row>63</xdr:row>
      <xdr:rowOff>142874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 rot="16200000">
          <a:off x="6657980" y="9248774"/>
          <a:ext cx="1143000" cy="381000"/>
        </a:xfrm>
        <a:prstGeom prst="wedgeRectCallout">
          <a:avLst>
            <a:gd name="adj1" fmla="val 56918"/>
            <a:gd name="adj2" fmla="val -13095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en-US" sz="900" b="1" baseline="0"/>
            <a:t>Tally With Incometax depatt. Tax calculator</a:t>
          </a:r>
        </a:p>
      </xdr:txBody>
    </xdr:sp>
    <xdr:clientData/>
  </xdr:twoCellAnchor>
  <xdr:oneCellAnchor>
    <xdr:from>
      <xdr:col>23</xdr:col>
      <xdr:colOff>190501</xdr:colOff>
      <xdr:row>35</xdr:row>
      <xdr:rowOff>47625</xdr:rowOff>
    </xdr:from>
    <xdr:ext cx="4591050" cy="328744"/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7305676" y="5610225"/>
          <a:ext cx="4591050" cy="328744"/>
        </a:xfrm>
        <a:prstGeom prst="wedgeRectCallout">
          <a:avLst>
            <a:gd name="adj1" fmla="val -53535"/>
            <a:gd name="adj2" fmla="val 64106"/>
          </a:avLst>
        </a:prstGeom>
        <a:gradFill>
          <a:gsLst>
            <a:gs pos="0">
              <a:srgbClr val="F9A7E9"/>
            </a:gs>
            <a:gs pos="35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>
          <a:spAutoFit/>
        </a:bodyPr>
        <a:lstStyle/>
        <a:p>
          <a:pPr algn="ct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Amount of deduction u/s 80G  50%     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Qualifying Limit = Applicable</a:t>
          </a:r>
          <a:endParaRPr lang="en-US" sz="10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 (Gross Qualifying Amount subject to a maximum limit 10% of the Gross Total Income)</a:t>
          </a:r>
          <a:endParaRPr lang="en-US" sz="1000" b="1">
            <a:solidFill>
              <a:srgbClr val="FF0000"/>
            </a:solidFill>
          </a:endParaRPr>
        </a:p>
      </xdr:txBody>
    </xdr:sp>
    <xdr:clientData/>
  </xdr:oneCellAnchor>
  <xdr:oneCellAnchor>
    <xdr:from>
      <xdr:col>23</xdr:col>
      <xdr:colOff>171452</xdr:colOff>
      <xdr:row>38</xdr:row>
      <xdr:rowOff>0</xdr:rowOff>
    </xdr:from>
    <xdr:ext cx="2162174" cy="313034"/>
    <xdr:sp macro="" textlink="">
      <xdr:nvSpPr>
        <xdr:cNvPr id="8" name="Rectangular Callou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7286627" y="6076950"/>
          <a:ext cx="2162174" cy="313034"/>
        </a:xfrm>
        <a:prstGeom prst="wedgeRectCallout">
          <a:avLst>
            <a:gd name="adj1" fmla="val -56385"/>
            <a:gd name="adj2" fmla="val -66734"/>
          </a:avLst>
        </a:prstGeom>
        <a:gradFill>
          <a:gsLst>
            <a:gs pos="0">
              <a:srgbClr val="F9A7E9"/>
            </a:gs>
            <a:gs pos="35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>
          <a:spAutoFit/>
        </a:bodyPr>
        <a:lstStyle/>
        <a:p>
          <a:pPr algn="ct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Amount of deduction u/s 80G  100%</a:t>
          </a:r>
        </a:p>
        <a:p>
          <a:pPr algn="ct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 ( Qualifying Limit = Not Applicable)</a:t>
          </a:r>
          <a:endParaRPr lang="en-US" sz="1000" b="1">
            <a:solidFill>
              <a:srgbClr val="FF0000"/>
            </a:solidFill>
          </a:endParaRPr>
        </a:p>
      </xdr:txBody>
    </xdr:sp>
    <xdr:clientData/>
  </xdr:oneCellAnchor>
  <xdr:oneCellAnchor>
    <xdr:from>
      <xdr:col>23</xdr:col>
      <xdr:colOff>57150</xdr:colOff>
      <xdr:row>0</xdr:row>
      <xdr:rowOff>33867</xdr:rowOff>
    </xdr:from>
    <xdr:ext cx="2003426" cy="313034"/>
    <xdr:sp macro="" textlink="">
      <xdr:nvSpPr>
        <xdr:cNvPr id="2" name="Rectangular Callout 7">
          <a:extLst>
            <a:ext uri="{FF2B5EF4-FFF2-40B4-BE49-F238E27FC236}">
              <a16:creationId xmlns:a16="http://schemas.microsoft.com/office/drawing/2014/main" id="{9232586F-A284-453F-AEB5-422CC4CB1E44}"/>
            </a:ext>
          </a:extLst>
        </xdr:cNvPr>
        <xdr:cNvSpPr/>
      </xdr:nvSpPr>
      <xdr:spPr bwMode="auto">
        <a:xfrm>
          <a:off x="6743700" y="33867"/>
          <a:ext cx="2003426" cy="313034"/>
        </a:xfrm>
        <a:prstGeom prst="wedgeRectCallout">
          <a:avLst>
            <a:gd name="adj1" fmla="val -51855"/>
            <a:gd name="adj2" fmla="val 103663"/>
          </a:avLst>
        </a:prstGeom>
        <a:solidFill>
          <a:srgbClr val="FFFF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>
          <a:spAutoFit/>
        </a:bodyPr>
        <a:lstStyle/>
        <a:p>
          <a:pPr algn="ct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Select from here</a:t>
          </a:r>
        </a:p>
        <a:p>
          <a:pPr algn="r"/>
          <a:r>
            <a:rPr lang="en-US" sz="1000" b="0" i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000" b="0" i="0">
              <a:solidFill>
                <a:srgbClr val="FF0000"/>
              </a:solidFill>
              <a:latin typeface="+mn-lt"/>
              <a:ea typeface="+mn-ea"/>
              <a:cs typeface="+mn-cs"/>
            </a:rPr>
            <a:t>Old Tax Regime</a:t>
          </a:r>
          <a:r>
            <a:rPr lang="en-US" sz="10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or New Tax Regime</a:t>
          </a:r>
          <a:endParaRPr lang="en-US" sz="1000" b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19</xdr:row>
      <xdr:rowOff>28575</xdr:rowOff>
    </xdr:from>
    <xdr:to>
      <xdr:col>9</xdr:col>
      <xdr:colOff>828675</xdr:colOff>
      <xdr:row>23</xdr:row>
      <xdr:rowOff>133350</xdr:rowOff>
    </xdr:to>
    <xdr:sp macro="" textlink="">
      <xdr:nvSpPr>
        <xdr:cNvPr id="19894" name="Rectangle 1">
          <a:extLst>
            <a:ext uri="{FF2B5EF4-FFF2-40B4-BE49-F238E27FC236}">
              <a16:creationId xmlns:a16="http://schemas.microsoft.com/office/drawing/2014/main" id="{00000000-0008-0000-0400-0000B64D0000}"/>
            </a:ext>
          </a:extLst>
        </xdr:cNvPr>
        <xdr:cNvSpPr>
          <a:spLocks noChangeArrowheads="1"/>
        </xdr:cNvSpPr>
      </xdr:nvSpPr>
      <xdr:spPr bwMode="auto">
        <a:xfrm>
          <a:off x="4886325" y="4543425"/>
          <a:ext cx="542925" cy="752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nuragvision.co.in/" TargetMode="External"/><Relationship Id="rId1" Type="http://schemas.openxmlformats.org/officeDocument/2006/relationships/hyperlink" Target="https://anuragvision.co.in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uragvision.co.i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portal.incometax.gov.in/iec/foservices/" TargetMode="External"/><Relationship Id="rId1" Type="http://schemas.openxmlformats.org/officeDocument/2006/relationships/hyperlink" Target="https://anuragvision.co.in/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00B0F0"/>
  </sheetPr>
  <dimension ref="A1:JD69"/>
  <sheetViews>
    <sheetView tabSelected="1" zoomScaleNormal="100" zoomScaleSheetLayoutView="100" workbookViewId="0">
      <selection activeCell="F26" sqref="F26"/>
    </sheetView>
  </sheetViews>
  <sheetFormatPr defaultColWidth="9.140625" defaultRowHeight="9.9499999999999993" customHeight="1"/>
  <cols>
    <col min="1" max="1" width="1.85546875" style="22" customWidth="1"/>
    <col min="2" max="2" width="6.85546875" style="22" customWidth="1"/>
    <col min="3" max="3" width="3.42578125" style="22" customWidth="1"/>
    <col min="4" max="4" width="1.140625" style="22" customWidth="1"/>
    <col min="5" max="5" width="2.5703125" style="22" customWidth="1"/>
    <col min="6" max="6" width="5.42578125" style="22" customWidth="1"/>
    <col min="7" max="7" width="7.85546875" style="22" customWidth="1"/>
    <col min="8" max="8" width="6.140625" style="22" customWidth="1"/>
    <col min="9" max="9" width="5.140625" style="22" customWidth="1"/>
    <col min="10" max="10" width="7.42578125" style="22" customWidth="1"/>
    <col min="11" max="11" width="6.140625" style="22" bestFit="1" customWidth="1"/>
    <col min="12" max="12" width="6" style="22" customWidth="1"/>
    <col min="13" max="13" width="6.5703125" style="22" customWidth="1"/>
    <col min="14" max="14" width="6.140625" style="22" hidden="1" customWidth="1"/>
    <col min="15" max="15" width="1.140625" style="22" customWidth="1"/>
    <col min="16" max="17" width="5.85546875" style="22" customWidth="1"/>
    <col min="18" max="19" width="5.5703125" style="22" customWidth="1"/>
    <col min="20" max="20" width="6.85546875" style="22" bestFit="1" customWidth="1"/>
    <col min="21" max="21" width="9.28515625" style="22" customWidth="1"/>
    <col min="22" max="22" width="6.85546875" style="22" customWidth="1"/>
    <col min="23" max="23" width="7.7109375" style="22" customWidth="1"/>
    <col min="24" max="25" width="6" style="22" customWidth="1"/>
    <col min="26" max="26" width="7.42578125" style="22" customWidth="1"/>
    <col min="27" max="27" width="6" style="22" customWidth="1"/>
    <col min="28" max="28" width="1" style="22" customWidth="1"/>
    <col min="29" max="29" width="6" style="22" bestFit="1" customWidth="1"/>
    <col min="30" max="30" width="5.85546875" style="22" customWidth="1"/>
    <col min="31" max="31" width="2.85546875" style="22" hidden="1" customWidth="1"/>
    <col min="32" max="32" width="6.85546875" style="22" bestFit="1" customWidth="1"/>
    <col min="33" max="33" width="4.85546875" style="22" customWidth="1"/>
    <col min="34" max="34" width="4.5703125" style="22" customWidth="1"/>
    <col min="35" max="35" width="5.42578125" style="22" customWidth="1"/>
    <col min="36" max="36" width="1.42578125" style="22" customWidth="1"/>
    <col min="37" max="37" width="8.5703125" style="22" bestFit="1" customWidth="1"/>
    <col min="38" max="38" width="5.85546875" style="22" customWidth="1"/>
    <col min="39" max="39" width="4.7109375" style="22" customWidth="1"/>
    <col min="40" max="40" width="6.42578125" style="22" customWidth="1"/>
    <col min="41" max="41" width="5.85546875" style="22" hidden="1" customWidth="1"/>
    <col min="42" max="42" width="8.5703125" style="22" hidden="1" customWidth="1"/>
    <col min="43" max="44" width="14" style="22" hidden="1" customWidth="1"/>
    <col min="45" max="45" width="14.85546875" style="22" hidden="1" customWidth="1"/>
    <col min="46" max="49" width="9.140625" style="22" hidden="1" customWidth="1"/>
    <col min="50" max="50" width="12" style="22" hidden="1" customWidth="1"/>
    <col min="51" max="51" width="2.7109375" style="22" customWidth="1"/>
    <col min="52" max="53" width="9.140625" style="22" hidden="1" customWidth="1"/>
    <col min="54" max="54" width="9.140625" style="22"/>
    <col min="55" max="56" width="0" style="22" hidden="1" customWidth="1"/>
    <col min="57" max="57" width="9.140625" style="22"/>
    <col min="58" max="58" width="0" style="22" hidden="1" customWidth="1"/>
    <col min="59" max="16384" width="9.140625" style="22"/>
  </cols>
  <sheetData>
    <row r="1" spans="1:58" s="71" customFormat="1" ht="21" customHeight="1" thickBot="1">
      <c r="A1" s="34"/>
      <c r="B1" s="394" t="str">
        <f>"INCOME TAX COMPUTATION / CALCULATOR(Since 2005) FY"&amp;" "&amp;L3&amp;M3</f>
        <v>INCOME TAX COMPUTATION / CALCULATOR(Since 2005) FY 2024- 2025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314" t="s">
        <v>362</v>
      </c>
      <c r="AW1" s="69"/>
      <c r="AX1" s="70"/>
      <c r="AY1" s="70"/>
      <c r="AZ1" s="294" t="s">
        <v>283</v>
      </c>
      <c r="BA1" s="294" t="s">
        <v>289</v>
      </c>
      <c r="BC1" s="71" t="s">
        <v>147</v>
      </c>
      <c r="BD1" s="71" t="s">
        <v>194</v>
      </c>
      <c r="BF1" s="71" t="s">
        <v>343</v>
      </c>
    </row>
    <row r="2" spans="1:58" s="40" customFormat="1" ht="18" customHeight="1" thickBot="1">
      <c r="A2" s="34"/>
      <c r="B2" s="398" t="s">
        <v>328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24"/>
      <c r="AK2" s="324"/>
      <c r="AL2" s="324"/>
      <c r="AM2" s="351">
        <v>9610017777</v>
      </c>
      <c r="AN2" s="324"/>
      <c r="AO2" s="68"/>
      <c r="AP2" s="68"/>
      <c r="AQ2" s="311" t="s">
        <v>314</v>
      </c>
      <c r="AR2" s="311" t="s">
        <v>315</v>
      </c>
      <c r="AS2" s="311" t="s">
        <v>359</v>
      </c>
      <c r="AV2" s="314" t="s">
        <v>363</v>
      </c>
      <c r="AW2" s="69"/>
      <c r="AX2" s="69" t="s">
        <v>284</v>
      </c>
      <c r="AY2" s="70"/>
      <c r="AZ2" s="296" t="s">
        <v>291</v>
      </c>
      <c r="BA2" s="295"/>
      <c r="BC2" s="40" t="s">
        <v>377</v>
      </c>
      <c r="BD2" s="71" t="s">
        <v>378</v>
      </c>
      <c r="BF2" s="71" t="s">
        <v>342</v>
      </c>
    </row>
    <row r="3" spans="1:58" s="63" customFormat="1" ht="20.45" customHeight="1">
      <c r="A3" s="34"/>
      <c r="B3" s="108"/>
      <c r="C3" s="108"/>
      <c r="D3" s="108"/>
      <c r="E3" s="108"/>
      <c r="F3" s="108"/>
      <c r="G3" s="108"/>
      <c r="H3" s="109"/>
      <c r="I3" s="404" t="s">
        <v>144</v>
      </c>
      <c r="J3" s="404"/>
      <c r="K3" s="404"/>
      <c r="L3" s="325">
        <v>2024</v>
      </c>
      <c r="M3" s="325" t="str">
        <f>"- "&amp;(L3+1)</f>
        <v>- 2025</v>
      </c>
      <c r="N3" s="401"/>
      <c r="O3" s="401"/>
      <c r="P3" s="110"/>
      <c r="Q3" s="134" t="s">
        <v>170</v>
      </c>
      <c r="R3" s="110"/>
      <c r="S3" s="111"/>
      <c r="T3" s="325">
        <f>L3+1</f>
        <v>2025</v>
      </c>
      <c r="U3" s="325" t="str">
        <f>"- "&amp;(T3+1)</f>
        <v>- 2026</v>
      </c>
      <c r="V3" s="355" t="s">
        <v>376</v>
      </c>
      <c r="W3" s="355"/>
      <c r="X3" s="355"/>
      <c r="Y3" s="355"/>
      <c r="Z3" s="355"/>
      <c r="AA3" s="356"/>
      <c r="AB3" s="343"/>
      <c r="AC3" s="352" t="s">
        <v>341</v>
      </c>
      <c r="AD3" s="353"/>
      <c r="AE3" s="353"/>
      <c r="AF3" s="353"/>
      <c r="AG3" s="353"/>
      <c r="AH3" s="353"/>
      <c r="AI3" s="353"/>
      <c r="AJ3" s="324"/>
      <c r="AK3" s="324"/>
      <c r="AL3" s="324"/>
      <c r="AM3" s="351"/>
      <c r="AN3" s="324"/>
      <c r="AQ3" s="311" t="s">
        <v>350</v>
      </c>
      <c r="AR3" s="311" t="s">
        <v>352</v>
      </c>
      <c r="AS3" s="311" t="s">
        <v>360</v>
      </c>
      <c r="AV3" s="313" t="s">
        <v>288</v>
      </c>
      <c r="AY3" s="70"/>
    </row>
    <row r="4" spans="1:58" s="112" customFormat="1" ht="15" customHeight="1" thickBot="1">
      <c r="A4" s="34"/>
      <c r="B4" s="386" t="s">
        <v>143</v>
      </c>
      <c r="C4" s="386"/>
      <c r="D4" s="354" t="s">
        <v>347</v>
      </c>
      <c r="E4" s="354"/>
      <c r="F4" s="354"/>
      <c r="G4" s="354"/>
      <c r="H4" s="354"/>
      <c r="I4" s="354"/>
      <c r="J4" s="354"/>
      <c r="K4" s="317"/>
      <c r="L4" s="317"/>
      <c r="M4" s="317"/>
      <c r="N4" s="317"/>
      <c r="O4" s="317"/>
      <c r="P4" s="383" t="s">
        <v>158</v>
      </c>
      <c r="Q4" s="383"/>
      <c r="R4" s="397" t="s">
        <v>348</v>
      </c>
      <c r="S4" s="397"/>
      <c r="T4" s="397"/>
      <c r="U4" s="397"/>
      <c r="V4" s="301" t="s">
        <v>248</v>
      </c>
      <c r="W4" s="354" t="s">
        <v>349</v>
      </c>
      <c r="X4" s="354"/>
      <c r="Y4" s="354"/>
      <c r="Z4" s="354"/>
      <c r="AA4" s="354"/>
      <c r="AB4" s="344"/>
      <c r="AC4" s="352"/>
      <c r="AD4" s="353"/>
      <c r="AE4" s="353"/>
      <c r="AF4" s="353"/>
      <c r="AG4" s="353"/>
      <c r="AH4" s="353"/>
      <c r="AI4" s="353"/>
      <c r="AJ4" s="324"/>
      <c r="AK4" s="324"/>
      <c r="AL4" s="324"/>
      <c r="AM4" s="351"/>
      <c r="AN4" s="324"/>
      <c r="AO4" s="188"/>
      <c r="AP4" s="188"/>
      <c r="AQ4" s="311"/>
      <c r="AR4" s="311"/>
      <c r="AS4" s="311" t="s">
        <v>361</v>
      </c>
      <c r="AT4" s="188"/>
      <c r="AU4" s="188"/>
      <c r="AV4" s="188"/>
      <c r="AW4" s="188"/>
      <c r="AX4" s="188"/>
      <c r="AY4" s="188"/>
    </row>
    <row r="5" spans="1:58" ht="14.25" customHeight="1">
      <c r="A5" s="34"/>
      <c r="B5" s="377" t="s">
        <v>367</v>
      </c>
      <c r="C5" s="377"/>
      <c r="D5" s="385"/>
      <c r="E5" s="385"/>
      <c r="F5" s="385"/>
      <c r="G5" s="385"/>
      <c r="H5" s="385"/>
      <c r="I5" s="385"/>
      <c r="J5" s="385"/>
      <c r="K5" s="183"/>
      <c r="L5" s="183"/>
      <c r="M5" s="183"/>
      <c r="N5" s="315" t="str">
        <f>IF(M6="OPS","O",IF(M6="NPS","N",IF(M6="Senior Citizen","S","???")))</f>
        <v>O</v>
      </c>
      <c r="O5" s="183"/>
      <c r="P5" s="334" t="s">
        <v>267</v>
      </c>
      <c r="Q5" s="333"/>
      <c r="R5" s="333"/>
      <c r="S5" s="333"/>
      <c r="T5" s="333"/>
      <c r="U5" s="333"/>
      <c r="V5" s="331"/>
      <c r="W5" s="332" t="s">
        <v>180</v>
      </c>
      <c r="X5" s="332"/>
      <c r="Y5" s="380" t="s">
        <v>268</v>
      </c>
      <c r="Z5" s="381"/>
      <c r="AA5" s="399" t="s">
        <v>269</v>
      </c>
      <c r="AB5" s="399"/>
      <c r="AC5" s="399"/>
      <c r="AD5" s="332" t="s">
        <v>270</v>
      </c>
      <c r="AE5" s="405" t="s">
        <v>274</v>
      </c>
      <c r="AF5" s="405"/>
      <c r="AG5" s="405"/>
      <c r="AH5" s="405"/>
      <c r="AI5" s="406"/>
      <c r="AJ5" s="324"/>
      <c r="AK5" s="324"/>
      <c r="AL5" s="324"/>
      <c r="AM5" s="351"/>
      <c r="AN5" s="324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</row>
    <row r="6" spans="1:58" ht="15" customHeight="1">
      <c r="A6" s="34"/>
      <c r="B6" s="377" t="s">
        <v>358</v>
      </c>
      <c r="C6" s="377"/>
      <c r="D6" s="379"/>
      <c r="E6" s="379"/>
      <c r="F6" s="379"/>
      <c r="G6" s="379"/>
      <c r="H6" s="379"/>
      <c r="I6" s="379"/>
      <c r="J6" s="379"/>
      <c r="K6" s="382" t="s">
        <v>257</v>
      </c>
      <c r="L6" s="382"/>
      <c r="M6" s="378" t="s">
        <v>362</v>
      </c>
      <c r="N6" s="378"/>
      <c r="O6" s="184"/>
      <c r="P6" s="384" t="s">
        <v>320</v>
      </c>
      <c r="Q6" s="384"/>
      <c r="R6" s="384"/>
      <c r="S6" s="384"/>
      <c r="T6" s="141"/>
      <c r="U6" s="140" t="s">
        <v>275</v>
      </c>
      <c r="V6" s="142">
        <f>T6*12</f>
        <v>0</v>
      </c>
      <c r="W6" s="400"/>
      <c r="X6" s="400"/>
      <c r="Y6" s="400"/>
      <c r="Z6" s="400"/>
      <c r="AA6" s="400"/>
      <c r="AB6" s="400"/>
      <c r="AC6" s="400"/>
      <c r="AD6" s="143"/>
      <c r="AE6" s="361"/>
      <c r="AF6" s="362"/>
      <c r="AG6" s="362"/>
      <c r="AH6" s="362"/>
      <c r="AI6" s="363"/>
      <c r="AJ6" s="324"/>
      <c r="AK6" s="324"/>
      <c r="AL6" s="324"/>
      <c r="AM6" s="351"/>
      <c r="AN6" s="324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</row>
    <row r="7" spans="1:58" ht="9.9499999999999993" customHeight="1">
      <c r="A7" s="34"/>
      <c r="B7" s="185"/>
      <c r="C7" s="185"/>
      <c r="D7" s="18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173"/>
      <c r="AC7" s="173"/>
      <c r="AD7" s="173"/>
      <c r="AE7" s="173"/>
      <c r="AF7" s="173"/>
      <c r="AG7" s="402" t="s">
        <v>356</v>
      </c>
      <c r="AH7" s="402"/>
      <c r="AI7" s="402"/>
      <c r="AJ7" s="299"/>
      <c r="AK7" s="367" t="s">
        <v>355</v>
      </c>
      <c r="AL7" s="368"/>
      <c r="AM7" s="368"/>
      <c r="AN7" s="369"/>
      <c r="AY7" s="188"/>
    </row>
    <row r="8" spans="1:58" ht="9.9499999999999993" customHeight="1">
      <c r="A8" s="34"/>
      <c r="B8" s="194"/>
      <c r="C8" s="194"/>
      <c r="D8" s="185"/>
      <c r="E8" s="145"/>
      <c r="F8" s="145"/>
      <c r="G8" s="396"/>
      <c r="H8" s="396"/>
      <c r="I8" s="396"/>
      <c r="J8" s="396"/>
      <c r="K8" s="396"/>
      <c r="L8" s="396"/>
      <c r="M8" s="144"/>
      <c r="N8" s="145"/>
      <c r="O8" s="33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38"/>
      <c r="AB8" s="345"/>
      <c r="AC8" s="407" t="s">
        <v>381</v>
      </c>
      <c r="AD8" s="407"/>
      <c r="AE8" s="338"/>
      <c r="AF8" s="173"/>
      <c r="AG8" s="403"/>
      <c r="AH8" s="403"/>
      <c r="AI8" s="403"/>
      <c r="AJ8" s="299"/>
      <c r="AK8" s="370"/>
      <c r="AL8" s="371"/>
      <c r="AM8" s="371"/>
      <c r="AN8" s="372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188"/>
    </row>
    <row r="9" spans="1:58" s="67" customFormat="1" ht="30.75" customHeight="1">
      <c r="A9" s="34"/>
      <c r="B9" s="148" t="s">
        <v>192</v>
      </c>
      <c r="C9" s="148"/>
      <c r="D9" s="64"/>
      <c r="E9" s="65"/>
      <c r="F9" s="186" t="s">
        <v>290</v>
      </c>
      <c r="G9" s="147" t="s">
        <v>140</v>
      </c>
      <c r="H9" s="323" t="s">
        <v>365</v>
      </c>
      <c r="I9" s="149" t="s">
        <v>285</v>
      </c>
      <c r="J9" s="149" t="s">
        <v>292</v>
      </c>
      <c r="K9" s="149" t="s">
        <v>287</v>
      </c>
      <c r="L9" s="149" t="s">
        <v>259</v>
      </c>
      <c r="M9" s="149" t="s">
        <v>283</v>
      </c>
      <c r="N9" s="150"/>
      <c r="O9" s="151"/>
      <c r="P9" s="336" t="s">
        <v>194</v>
      </c>
      <c r="Q9" s="148" t="s">
        <v>286</v>
      </c>
      <c r="R9" s="148" t="s">
        <v>260</v>
      </c>
      <c r="S9" s="152" t="s">
        <v>379</v>
      </c>
      <c r="T9" s="148" t="s">
        <v>261</v>
      </c>
      <c r="U9" s="148" t="s">
        <v>262</v>
      </c>
      <c r="V9" s="148" t="s">
        <v>263</v>
      </c>
      <c r="W9" s="148" t="s">
        <v>264</v>
      </c>
      <c r="X9" s="149" t="s">
        <v>265</v>
      </c>
      <c r="Y9" s="148" t="s">
        <v>188</v>
      </c>
      <c r="Z9" s="152" t="s">
        <v>266</v>
      </c>
      <c r="AA9" s="152" t="s">
        <v>380</v>
      </c>
      <c r="AB9" s="345"/>
      <c r="AC9" s="154" t="s">
        <v>166</v>
      </c>
      <c r="AD9" s="146" t="s">
        <v>191</v>
      </c>
      <c r="AE9" s="146"/>
      <c r="AF9" s="187"/>
      <c r="AG9" s="403"/>
      <c r="AH9" s="403"/>
      <c r="AI9" s="403"/>
      <c r="AJ9" s="36"/>
      <c r="AK9" s="342" t="s">
        <v>17</v>
      </c>
      <c r="AL9" s="342" t="s">
        <v>18</v>
      </c>
      <c r="AM9" s="342" t="s">
        <v>351</v>
      </c>
      <c r="AN9" s="342" t="s">
        <v>329</v>
      </c>
      <c r="AO9" s="36"/>
      <c r="AP9" s="22"/>
      <c r="AQ9" s="22"/>
      <c r="AR9" s="22"/>
      <c r="AS9" s="22"/>
      <c r="AT9" s="22"/>
      <c r="AU9" s="22"/>
      <c r="AV9" s="22"/>
      <c r="AW9" s="22"/>
      <c r="AX9" s="22"/>
      <c r="AY9" s="188"/>
    </row>
    <row r="10" spans="1:58" ht="9.9499999999999993" customHeight="1">
      <c r="A10" s="34"/>
      <c r="B10" s="189" t="s">
        <v>258</v>
      </c>
      <c r="C10" s="189" t="s">
        <v>258</v>
      </c>
      <c r="D10" s="185"/>
      <c r="E10" s="145"/>
      <c r="F10" s="189" t="s">
        <v>258</v>
      </c>
      <c r="G10" s="189" t="s">
        <v>258</v>
      </c>
      <c r="H10" s="320"/>
      <c r="I10" s="189" t="s">
        <v>258</v>
      </c>
      <c r="J10" s="189" t="s">
        <v>258</v>
      </c>
      <c r="K10" s="189" t="s">
        <v>258</v>
      </c>
      <c r="L10" s="189" t="s">
        <v>258</v>
      </c>
      <c r="M10" s="189" t="s">
        <v>258</v>
      </c>
      <c r="N10" s="145"/>
      <c r="O10" s="33"/>
      <c r="P10" s="189" t="s">
        <v>258</v>
      </c>
      <c r="Q10" s="189" t="s">
        <v>258</v>
      </c>
      <c r="R10" s="189" t="s">
        <v>258</v>
      </c>
      <c r="S10" s="189" t="s">
        <v>258</v>
      </c>
      <c r="T10" s="189" t="s">
        <v>258</v>
      </c>
      <c r="U10" s="189" t="s">
        <v>258</v>
      </c>
      <c r="V10" s="189" t="s">
        <v>258</v>
      </c>
      <c r="W10" s="190" t="s">
        <v>258</v>
      </c>
      <c r="X10" s="189" t="s">
        <v>258</v>
      </c>
      <c r="Y10" s="189" t="s">
        <v>258</v>
      </c>
      <c r="Z10" s="189" t="s">
        <v>258</v>
      </c>
      <c r="AA10" s="189" t="s">
        <v>258</v>
      </c>
      <c r="AB10" s="346"/>
      <c r="AC10" s="189" t="s">
        <v>258</v>
      </c>
      <c r="AD10" s="189" t="s">
        <v>258</v>
      </c>
      <c r="AE10" s="189" t="s">
        <v>258</v>
      </c>
      <c r="AF10" s="173"/>
      <c r="AG10" s="373" t="s">
        <v>183</v>
      </c>
      <c r="AH10" s="373" t="s">
        <v>184</v>
      </c>
      <c r="AI10" s="139"/>
      <c r="AJ10" s="37"/>
      <c r="AK10" s="275">
        <v>45292</v>
      </c>
      <c r="AL10" s="276">
        <f>AL11</f>
        <v>82000</v>
      </c>
      <c r="AM10" s="229">
        <v>0.04</v>
      </c>
      <c r="AN10" s="226">
        <f t="shared" ref="AN10:AN11" si="0">AL10*AM10</f>
        <v>3280</v>
      </c>
      <c r="AY10" s="188"/>
    </row>
    <row r="11" spans="1:58" ht="9.9499999999999993" customHeight="1">
      <c r="A11" s="34"/>
      <c r="B11" s="185"/>
      <c r="C11" s="185"/>
      <c r="D11" s="18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33"/>
      <c r="P11" s="33"/>
      <c r="Q11" s="33"/>
      <c r="R11" s="33"/>
      <c r="S11" s="33"/>
      <c r="T11" s="33"/>
      <c r="U11" s="33"/>
      <c r="V11" s="33"/>
      <c r="W11" s="33"/>
      <c r="X11" s="191"/>
      <c r="Y11" s="33"/>
      <c r="Z11" s="33"/>
      <c r="AA11" s="33"/>
      <c r="AB11" s="173"/>
      <c r="AC11" s="173"/>
      <c r="AD11" s="173"/>
      <c r="AE11" s="173"/>
      <c r="AF11" s="173"/>
      <c r="AG11" s="373"/>
      <c r="AH11" s="373"/>
      <c r="AI11" s="139"/>
      <c r="AJ11" s="37"/>
      <c r="AK11" s="275">
        <v>45324</v>
      </c>
      <c r="AL11" s="276">
        <f>AL12</f>
        <v>82000</v>
      </c>
      <c r="AM11" s="229">
        <v>0.04</v>
      </c>
      <c r="AN11" s="226">
        <f t="shared" si="0"/>
        <v>3280</v>
      </c>
      <c r="AY11" s="188"/>
    </row>
    <row r="12" spans="1:58" s="66" customFormat="1" ht="13.5" customHeight="1">
      <c r="A12" s="34"/>
      <c r="B12" s="307" t="str">
        <f>"Mar-"&amp;$L$3</f>
        <v>Mar-2024</v>
      </c>
      <c r="C12" s="72">
        <v>1</v>
      </c>
      <c r="D12" s="64"/>
      <c r="E12" s="298">
        <v>1</v>
      </c>
      <c r="F12" s="155"/>
      <c r="G12" s="156">
        <v>82000</v>
      </c>
      <c r="H12" s="156">
        <f>ROUND(G12*$H$10,0)</f>
        <v>0</v>
      </c>
      <c r="I12" s="156"/>
      <c r="J12" s="156"/>
      <c r="K12" s="156"/>
      <c r="L12" s="156"/>
      <c r="M12" s="156"/>
      <c r="N12" s="157"/>
      <c r="O12" s="158"/>
      <c r="P12" s="156">
        <v>10000</v>
      </c>
      <c r="Q12" s="156"/>
      <c r="R12" s="156"/>
      <c r="S12" s="156">
        <v>7000</v>
      </c>
      <c r="T12" s="156"/>
      <c r="U12" s="156">
        <v>0</v>
      </c>
      <c r="V12" s="156">
        <v>0</v>
      </c>
      <c r="W12" s="156"/>
      <c r="X12" s="310">
        <v>875</v>
      </c>
      <c r="Y12" s="156"/>
      <c r="Z12" s="156">
        <v>14000</v>
      </c>
      <c r="AA12" s="157">
        <f>Z12</f>
        <v>14000</v>
      </c>
      <c r="AB12" s="347"/>
      <c r="AC12" s="157">
        <f>ROUND('Tax Calculation(print)'!$M$60/12,0)</f>
        <v>13650</v>
      </c>
      <c r="AD12" s="157">
        <f>AC12</f>
        <v>13650</v>
      </c>
      <c r="AE12" s="159"/>
      <c r="AF12" s="160" t="str">
        <f t="shared" ref="AF12:AF23" si="1">B12</f>
        <v>Mar-2024</v>
      </c>
      <c r="AG12" s="161">
        <v>0.5</v>
      </c>
      <c r="AH12" s="35">
        <v>0.09</v>
      </c>
      <c r="AI12" s="139"/>
      <c r="AJ12" s="38"/>
      <c r="AK12" s="227" t="str">
        <f t="shared" ref="AK12:AK21" si="2">B12</f>
        <v>Mar-2024</v>
      </c>
      <c r="AL12" s="228">
        <f t="shared" ref="AL12:AL21" si="3">G12</f>
        <v>82000</v>
      </c>
      <c r="AM12" s="229"/>
      <c r="AN12" s="226">
        <f t="shared" ref="AN12:AN21" si="4">AL12*AM12</f>
        <v>0</v>
      </c>
      <c r="AY12" s="188"/>
    </row>
    <row r="13" spans="1:58" s="66" customFormat="1" ht="9.9499999999999993" customHeight="1">
      <c r="A13" s="34"/>
      <c r="B13" s="307" t="str">
        <f>"Apr-"&amp;$L$3</f>
        <v>Apr-2024</v>
      </c>
      <c r="C13" s="72">
        <v>2</v>
      </c>
      <c r="D13" s="64"/>
      <c r="E13" s="298">
        <v>2</v>
      </c>
      <c r="F13" s="155"/>
      <c r="G13" s="167">
        <f t="shared" ref="G13:H23" si="5">IF(MONTH(B13)=7,G12+ROUNDUP(ROUND(G12*3%,-2),-2),G12)</f>
        <v>82000</v>
      </c>
      <c r="H13" s="162">
        <f t="shared" ref="H13:H23" si="6">ROUND(G13*$H$10,0)</f>
        <v>0</v>
      </c>
      <c r="I13" s="163">
        <f t="shared" ref="I13:I23" si="7">I12</f>
        <v>0</v>
      </c>
      <c r="J13" s="162">
        <f t="shared" ref="J13:J19" si="8">J12</f>
        <v>0</v>
      </c>
      <c r="K13" s="162">
        <f t="shared" ref="K13:M23" si="9">K12</f>
        <v>0</v>
      </c>
      <c r="L13" s="162">
        <f t="shared" si="9"/>
        <v>0</v>
      </c>
      <c r="M13" s="162">
        <f t="shared" si="9"/>
        <v>0</v>
      </c>
      <c r="N13" s="164"/>
      <c r="O13" s="165"/>
      <c r="P13" s="162">
        <f t="shared" ref="P13:P23" si="10">P12</f>
        <v>10000</v>
      </c>
      <c r="Q13" s="162">
        <f t="shared" ref="Q13" si="11">Q12</f>
        <v>0</v>
      </c>
      <c r="R13" s="162">
        <f t="shared" ref="R13" si="12">R12</f>
        <v>0</v>
      </c>
      <c r="S13" s="162">
        <f t="shared" ref="S13:S23" si="13">S12</f>
        <v>7000</v>
      </c>
      <c r="T13" s="162">
        <f t="shared" ref="T13" si="14">T12</f>
        <v>0</v>
      </c>
      <c r="U13" s="162">
        <v>0</v>
      </c>
      <c r="V13" s="162">
        <f t="shared" ref="T13:Z14" si="15">V12</f>
        <v>0</v>
      </c>
      <c r="W13" s="162">
        <f t="shared" si="15"/>
        <v>0</v>
      </c>
      <c r="X13" s="162">
        <v>875</v>
      </c>
      <c r="Y13" s="167">
        <f t="shared" ref="Y13" si="16">Y12</f>
        <v>0</v>
      </c>
      <c r="Z13" s="162">
        <f t="shared" si="15"/>
        <v>14000</v>
      </c>
      <c r="AA13" s="166">
        <f t="shared" ref="AA13:AA23" si="17">AA12+Z13</f>
        <v>28000</v>
      </c>
      <c r="AB13" s="347"/>
      <c r="AC13" s="166">
        <f>ROUND('Tax Calculation(print)'!$M$60/12,0)</f>
        <v>13650</v>
      </c>
      <c r="AD13" s="166">
        <f>AD12+AC13</f>
        <v>27300</v>
      </c>
      <c r="AE13" s="159"/>
      <c r="AF13" s="160" t="str">
        <f t="shared" si="1"/>
        <v>Apr-2024</v>
      </c>
      <c r="AG13" s="161">
        <v>0.5</v>
      </c>
      <c r="AH13" s="35">
        <v>0.09</v>
      </c>
      <c r="AI13" s="139"/>
      <c r="AJ13" s="38"/>
      <c r="AK13" s="227" t="str">
        <f t="shared" si="2"/>
        <v>Apr-2024</v>
      </c>
      <c r="AL13" s="228">
        <f t="shared" si="3"/>
        <v>82000</v>
      </c>
      <c r="AM13" s="229"/>
      <c r="AN13" s="226">
        <f t="shared" si="4"/>
        <v>0</v>
      </c>
      <c r="AY13" s="188"/>
    </row>
    <row r="14" spans="1:58" s="66" customFormat="1" ht="9.9499999999999993" customHeight="1" thickBot="1">
      <c r="A14" s="34"/>
      <c r="B14" s="307" t="str">
        <f>"May-"&amp;$L$3</f>
        <v>May-2024</v>
      </c>
      <c r="C14" s="72">
        <v>3</v>
      </c>
      <c r="D14" s="64"/>
      <c r="E14" s="298">
        <v>3</v>
      </c>
      <c r="F14" s="155"/>
      <c r="G14" s="167">
        <f t="shared" si="5"/>
        <v>82000</v>
      </c>
      <c r="H14" s="162">
        <f t="shared" si="6"/>
        <v>0</v>
      </c>
      <c r="I14" s="163">
        <f t="shared" si="7"/>
        <v>0</v>
      </c>
      <c r="J14" s="162">
        <f t="shared" si="8"/>
        <v>0</v>
      </c>
      <c r="K14" s="162">
        <f t="shared" si="9"/>
        <v>0</v>
      </c>
      <c r="L14" s="162">
        <f t="shared" si="9"/>
        <v>0</v>
      </c>
      <c r="M14" s="162">
        <f t="shared" si="9"/>
        <v>0</v>
      </c>
      <c r="N14" s="164"/>
      <c r="O14" s="165"/>
      <c r="P14" s="162">
        <f t="shared" si="10"/>
        <v>10000</v>
      </c>
      <c r="Q14" s="162">
        <f t="shared" ref="Q14" si="18">Q13</f>
        <v>0</v>
      </c>
      <c r="R14" s="162">
        <f t="shared" ref="R14" si="19">R13</f>
        <v>0</v>
      </c>
      <c r="S14" s="162">
        <f t="shared" si="13"/>
        <v>7000</v>
      </c>
      <c r="T14" s="162">
        <f t="shared" si="15"/>
        <v>0</v>
      </c>
      <c r="U14" s="162">
        <f t="shared" si="15"/>
        <v>0</v>
      </c>
      <c r="V14" s="162">
        <f t="shared" si="15"/>
        <v>0</v>
      </c>
      <c r="W14" s="162">
        <f t="shared" si="15"/>
        <v>0</v>
      </c>
      <c r="X14" s="162">
        <v>875</v>
      </c>
      <c r="Y14" s="167">
        <f t="shared" ref="Y14" si="20">Y13</f>
        <v>0</v>
      </c>
      <c r="Z14" s="162">
        <f t="shared" si="15"/>
        <v>14000</v>
      </c>
      <c r="AA14" s="166">
        <f t="shared" si="17"/>
        <v>42000</v>
      </c>
      <c r="AB14" s="347"/>
      <c r="AC14" s="166">
        <f>ROUND('Tax Calculation(print)'!$M$60/12,0)</f>
        <v>13650</v>
      </c>
      <c r="AD14" s="166">
        <f t="shared" ref="AD14:AD23" si="21">AD13+AC14</f>
        <v>40950</v>
      </c>
      <c r="AE14" s="159"/>
      <c r="AF14" s="160" t="str">
        <f t="shared" si="1"/>
        <v>May-2024</v>
      </c>
      <c r="AG14" s="161">
        <v>0.5</v>
      </c>
      <c r="AH14" s="35">
        <v>0.09</v>
      </c>
      <c r="AI14" s="139"/>
      <c r="AJ14" s="38"/>
      <c r="AK14" s="227" t="str">
        <f t="shared" si="2"/>
        <v>May-2024</v>
      </c>
      <c r="AL14" s="228">
        <f t="shared" si="3"/>
        <v>82000</v>
      </c>
      <c r="AM14" s="229"/>
      <c r="AN14" s="226">
        <f t="shared" si="4"/>
        <v>0</v>
      </c>
      <c r="AY14" s="188"/>
    </row>
    <row r="15" spans="1:58" s="66" customFormat="1" ht="9.9499999999999993" customHeight="1">
      <c r="A15" s="34"/>
      <c r="B15" s="307" t="str">
        <f>"Jun-"&amp;$L$3</f>
        <v>Jun-2024</v>
      </c>
      <c r="C15" s="72">
        <v>4</v>
      </c>
      <c r="D15" s="64"/>
      <c r="E15" s="298">
        <v>4</v>
      </c>
      <c r="F15" s="155"/>
      <c r="G15" s="167">
        <f t="shared" si="5"/>
        <v>82000</v>
      </c>
      <c r="H15" s="162">
        <f t="shared" si="6"/>
        <v>0</v>
      </c>
      <c r="I15" s="163">
        <f t="shared" si="7"/>
        <v>0</v>
      </c>
      <c r="J15" s="162">
        <f t="shared" si="8"/>
        <v>0</v>
      </c>
      <c r="K15" s="162">
        <f t="shared" si="9"/>
        <v>0</v>
      </c>
      <c r="L15" s="162">
        <f t="shared" si="9"/>
        <v>0</v>
      </c>
      <c r="M15" s="162">
        <f t="shared" si="9"/>
        <v>0</v>
      </c>
      <c r="N15" s="164"/>
      <c r="O15" s="165"/>
      <c r="P15" s="167">
        <f t="shared" si="10"/>
        <v>10000</v>
      </c>
      <c r="Q15" s="162">
        <f t="shared" ref="Q15" si="22">Q14</f>
        <v>0</v>
      </c>
      <c r="R15" s="162">
        <f t="shared" ref="R15" si="23">R14</f>
        <v>0</v>
      </c>
      <c r="S15" s="162">
        <f t="shared" si="13"/>
        <v>7000</v>
      </c>
      <c r="T15" s="162">
        <f t="shared" ref="T15:Z16" si="24">T14</f>
        <v>0</v>
      </c>
      <c r="U15" s="162">
        <f t="shared" si="24"/>
        <v>0</v>
      </c>
      <c r="V15" s="162">
        <f t="shared" si="24"/>
        <v>0</v>
      </c>
      <c r="W15" s="162">
        <f t="shared" si="24"/>
        <v>0</v>
      </c>
      <c r="X15" s="162">
        <v>875</v>
      </c>
      <c r="Y15" s="167">
        <f t="shared" ref="Y15" si="25">Y14</f>
        <v>0</v>
      </c>
      <c r="Z15" s="162">
        <f t="shared" si="24"/>
        <v>14000</v>
      </c>
      <c r="AA15" s="166">
        <f t="shared" si="17"/>
        <v>56000</v>
      </c>
      <c r="AB15" s="347"/>
      <c r="AC15" s="166">
        <f>ROUND('Tax Calculation(print)'!$M$60/12,0)</f>
        <v>13650</v>
      </c>
      <c r="AD15" s="166">
        <f t="shared" si="21"/>
        <v>54600</v>
      </c>
      <c r="AE15" s="159"/>
      <c r="AF15" s="160" t="str">
        <f t="shared" si="1"/>
        <v>Jun-2024</v>
      </c>
      <c r="AG15" s="161">
        <v>0.5</v>
      </c>
      <c r="AH15" s="35">
        <v>0.09</v>
      </c>
      <c r="AI15" s="139"/>
      <c r="AJ15" s="38"/>
      <c r="AK15" s="227" t="str">
        <f t="shared" si="2"/>
        <v>Jun-2024</v>
      </c>
      <c r="AL15" s="228">
        <f t="shared" si="3"/>
        <v>82000</v>
      </c>
      <c r="AM15" s="229"/>
      <c r="AN15" s="226">
        <f t="shared" si="4"/>
        <v>0</v>
      </c>
      <c r="AO15" s="73"/>
      <c r="AP15" s="73">
        <f>LEN(W4)</f>
        <v>10</v>
      </c>
      <c r="AQ15" s="73"/>
      <c r="AR15" s="73"/>
      <c r="AS15" s="73"/>
      <c r="AT15" s="73"/>
      <c r="AU15" s="73"/>
      <c r="AV15" s="73"/>
      <c r="AW15" s="73"/>
      <c r="AX15" s="74"/>
      <c r="AY15" s="188"/>
    </row>
    <row r="16" spans="1:58" s="66" customFormat="1" ht="9.9499999999999993" customHeight="1">
      <c r="A16" s="34"/>
      <c r="B16" s="192" t="str">
        <f>"July-"&amp;$L$3</f>
        <v>July-2024</v>
      </c>
      <c r="C16" s="105">
        <v>5</v>
      </c>
      <c r="D16" s="106"/>
      <c r="E16" s="298">
        <v>5</v>
      </c>
      <c r="F16" s="155"/>
      <c r="G16" s="167">
        <f t="shared" si="5"/>
        <v>84500</v>
      </c>
      <c r="H16" s="167">
        <f t="shared" si="6"/>
        <v>0</v>
      </c>
      <c r="I16" s="168">
        <f t="shared" si="7"/>
        <v>0</v>
      </c>
      <c r="J16" s="167">
        <f t="shared" si="8"/>
        <v>0</v>
      </c>
      <c r="K16" s="167">
        <f t="shared" si="9"/>
        <v>0</v>
      </c>
      <c r="L16" s="167">
        <f t="shared" si="9"/>
        <v>0</v>
      </c>
      <c r="M16" s="167">
        <f t="shared" ref="L16:M23" si="26">M15</f>
        <v>0</v>
      </c>
      <c r="N16" s="107"/>
      <c r="O16" s="169"/>
      <c r="P16" s="167">
        <f t="shared" si="10"/>
        <v>10000</v>
      </c>
      <c r="Q16" s="167">
        <f t="shared" ref="Q16" si="27">Q15</f>
        <v>0</v>
      </c>
      <c r="R16" s="167">
        <f t="shared" ref="R16" si="28">R15</f>
        <v>0</v>
      </c>
      <c r="S16" s="167">
        <f t="shared" si="13"/>
        <v>7000</v>
      </c>
      <c r="T16" s="167">
        <f t="shared" si="24"/>
        <v>0</v>
      </c>
      <c r="U16" s="167">
        <f t="shared" ref="U16:Z16" si="29">U15</f>
        <v>0</v>
      </c>
      <c r="V16" s="167">
        <f t="shared" si="29"/>
        <v>0</v>
      </c>
      <c r="W16" s="167">
        <f t="shared" si="29"/>
        <v>0</v>
      </c>
      <c r="X16" s="167">
        <v>875</v>
      </c>
      <c r="Y16" s="167">
        <f t="shared" ref="Y16" si="30">Y15</f>
        <v>0</v>
      </c>
      <c r="Z16" s="167">
        <f t="shared" si="29"/>
        <v>14000</v>
      </c>
      <c r="AA16" s="170">
        <f t="shared" si="17"/>
        <v>70000</v>
      </c>
      <c r="AB16" s="348"/>
      <c r="AC16" s="170">
        <f>ROUND('Tax Calculation(print)'!$M$60/12,0)</f>
        <v>13650</v>
      </c>
      <c r="AD16" s="170">
        <f t="shared" si="21"/>
        <v>68250</v>
      </c>
      <c r="AE16" s="159"/>
      <c r="AF16" s="160" t="str">
        <f t="shared" si="1"/>
        <v>July-2024</v>
      </c>
      <c r="AG16" s="171">
        <v>0.5</v>
      </c>
      <c r="AH16" s="35">
        <v>0.09</v>
      </c>
      <c r="AI16" s="139"/>
      <c r="AJ16" s="38"/>
      <c r="AK16" s="277" t="str">
        <f t="shared" si="2"/>
        <v>July-2024</v>
      </c>
      <c r="AL16" s="278">
        <f t="shared" si="3"/>
        <v>84500</v>
      </c>
      <c r="AM16" s="279">
        <v>0.03</v>
      </c>
      <c r="AN16" s="280">
        <f t="shared" si="4"/>
        <v>2535</v>
      </c>
      <c r="AO16" s="66" t="str">
        <f>LEFT($W$4,LEN($W$4)-9)</f>
        <v>A</v>
      </c>
      <c r="AP16" s="66" t="str">
        <f>LEFT($W$4,LEN($W$4)-8)</f>
        <v>AH</v>
      </c>
      <c r="AQ16" s="66" t="str">
        <f>LEFT($W$4,LEN($W$4)-7)</f>
        <v>AHZ</v>
      </c>
      <c r="AR16" s="66" t="str">
        <f>LEFT($W$4,LEN($W$4)-6)</f>
        <v>AHZP</v>
      </c>
      <c r="AS16" s="66" t="str">
        <f>LEFT($W$4,LEN($W$4)-5)</f>
        <v>AHZPS</v>
      </c>
      <c r="AT16" s="66" t="str">
        <f>LEFT($W$4,LEN($W$4)-4)</f>
        <v>AHZPS9</v>
      </c>
      <c r="AU16" s="66" t="str">
        <f>LEFT($W$4,LEN($W$4)-3)</f>
        <v>AHZPS95</v>
      </c>
      <c r="AV16" s="66" t="str">
        <f>LEFT($W$4,LEN($W$4)-2)</f>
        <v>AHZPS952</v>
      </c>
      <c r="AW16" s="66" t="str">
        <f>LEFT($W$4,LEN($W$4)-1)</f>
        <v>AHZPS9525</v>
      </c>
      <c r="AX16" s="75" t="str">
        <f>LEFT($W$4,LEN($W$4))</f>
        <v>AHZPS9525J</v>
      </c>
      <c r="AY16" s="188"/>
    </row>
    <row r="17" spans="1:51" s="66" customFormat="1" ht="9.9499999999999993" customHeight="1" thickBot="1">
      <c r="A17" s="34"/>
      <c r="B17" s="192" t="str">
        <f>"Aug-"&amp;$L$3</f>
        <v>Aug-2024</v>
      </c>
      <c r="C17" s="105">
        <v>6</v>
      </c>
      <c r="D17" s="106"/>
      <c r="E17" s="298">
        <v>6</v>
      </c>
      <c r="F17" s="155"/>
      <c r="G17" s="167">
        <f t="shared" si="5"/>
        <v>84500</v>
      </c>
      <c r="H17" s="167">
        <f t="shared" si="6"/>
        <v>0</v>
      </c>
      <c r="I17" s="168">
        <f t="shared" si="7"/>
        <v>0</v>
      </c>
      <c r="J17" s="167">
        <f t="shared" si="8"/>
        <v>0</v>
      </c>
      <c r="K17" s="167">
        <f t="shared" si="9"/>
        <v>0</v>
      </c>
      <c r="L17" s="167">
        <f t="shared" si="9"/>
        <v>0</v>
      </c>
      <c r="M17" s="167">
        <f t="shared" si="26"/>
        <v>0</v>
      </c>
      <c r="N17" s="107"/>
      <c r="O17" s="169"/>
      <c r="P17" s="167">
        <f t="shared" si="10"/>
        <v>10000</v>
      </c>
      <c r="Q17" s="167">
        <f t="shared" ref="Q17" si="31">Q16</f>
        <v>0</v>
      </c>
      <c r="R17" s="167">
        <f t="shared" ref="R17" si="32">R16</f>
        <v>0</v>
      </c>
      <c r="S17" s="167">
        <f t="shared" si="13"/>
        <v>7000</v>
      </c>
      <c r="T17" s="167">
        <f t="shared" ref="T17:Z17" si="33">T16</f>
        <v>0</v>
      </c>
      <c r="U17" s="167">
        <f t="shared" si="33"/>
        <v>0</v>
      </c>
      <c r="V17" s="167">
        <f t="shared" si="33"/>
        <v>0</v>
      </c>
      <c r="W17" s="167">
        <f t="shared" si="33"/>
        <v>0</v>
      </c>
      <c r="X17" s="167">
        <v>875</v>
      </c>
      <c r="Y17" s="167">
        <f t="shared" ref="Y17" si="34">Y16</f>
        <v>0</v>
      </c>
      <c r="Z17" s="167">
        <f t="shared" si="33"/>
        <v>14000</v>
      </c>
      <c r="AA17" s="170">
        <f t="shared" si="17"/>
        <v>84000</v>
      </c>
      <c r="AB17" s="348"/>
      <c r="AC17" s="170">
        <f>ROUND('Tax Calculation(print)'!$M$60/12,0)</f>
        <v>13650</v>
      </c>
      <c r="AD17" s="170">
        <f t="shared" si="21"/>
        <v>81900</v>
      </c>
      <c r="AE17" s="159"/>
      <c r="AF17" s="160" t="str">
        <f t="shared" si="1"/>
        <v>Aug-2024</v>
      </c>
      <c r="AG17" s="171">
        <v>0.5</v>
      </c>
      <c r="AH17" s="35">
        <v>0.09</v>
      </c>
      <c r="AI17" s="139"/>
      <c r="AJ17" s="38"/>
      <c r="AK17" s="277" t="str">
        <f t="shared" si="2"/>
        <v>Aug-2024</v>
      </c>
      <c r="AL17" s="278">
        <f t="shared" si="3"/>
        <v>84500</v>
      </c>
      <c r="AM17" s="279">
        <v>0.03</v>
      </c>
      <c r="AN17" s="280">
        <f t="shared" si="4"/>
        <v>2535</v>
      </c>
      <c r="AO17" s="76" t="str">
        <f>AO16</f>
        <v>A</v>
      </c>
      <c r="AP17" s="76" t="str">
        <f t="shared" ref="AP17:AX17" si="35">RIGHT(AP16)</f>
        <v>H</v>
      </c>
      <c r="AQ17" s="76" t="str">
        <f t="shared" si="35"/>
        <v>Z</v>
      </c>
      <c r="AR17" s="76" t="str">
        <f t="shared" si="35"/>
        <v>P</v>
      </c>
      <c r="AS17" s="76" t="str">
        <f t="shared" si="35"/>
        <v>S</v>
      </c>
      <c r="AT17" s="76" t="str">
        <f t="shared" si="35"/>
        <v>9</v>
      </c>
      <c r="AU17" s="76" t="str">
        <f t="shared" si="35"/>
        <v>5</v>
      </c>
      <c r="AV17" s="76" t="str">
        <f t="shared" si="35"/>
        <v>2</v>
      </c>
      <c r="AW17" s="76" t="str">
        <f t="shared" si="35"/>
        <v>5</v>
      </c>
      <c r="AX17" s="77" t="str">
        <f t="shared" si="35"/>
        <v>J</v>
      </c>
      <c r="AY17" s="188"/>
    </row>
    <row r="18" spans="1:51" s="66" customFormat="1" ht="9.9499999999999993" customHeight="1">
      <c r="A18" s="34"/>
      <c r="B18" s="192" t="str">
        <f>"Sep-"&amp;$L$3</f>
        <v>Sep-2024</v>
      </c>
      <c r="C18" s="105">
        <v>7</v>
      </c>
      <c r="D18" s="106"/>
      <c r="E18" s="298">
        <v>7</v>
      </c>
      <c r="F18" s="155"/>
      <c r="G18" s="167">
        <f t="shared" si="5"/>
        <v>84500</v>
      </c>
      <c r="H18" s="167">
        <f t="shared" si="6"/>
        <v>0</v>
      </c>
      <c r="I18" s="168">
        <f t="shared" si="7"/>
        <v>0</v>
      </c>
      <c r="J18" s="167">
        <f t="shared" si="8"/>
        <v>0</v>
      </c>
      <c r="K18" s="167">
        <f t="shared" si="9"/>
        <v>0</v>
      </c>
      <c r="L18" s="167">
        <f t="shared" si="26"/>
        <v>0</v>
      </c>
      <c r="M18" s="167">
        <f t="shared" si="26"/>
        <v>0</v>
      </c>
      <c r="N18" s="107"/>
      <c r="O18" s="169"/>
      <c r="P18" s="167">
        <f t="shared" si="10"/>
        <v>10000</v>
      </c>
      <c r="Q18" s="167">
        <f t="shared" ref="Q18" si="36">Q17</f>
        <v>0</v>
      </c>
      <c r="R18" s="167">
        <f t="shared" ref="R18" si="37">R17</f>
        <v>0</v>
      </c>
      <c r="S18" s="167">
        <f t="shared" si="13"/>
        <v>7000</v>
      </c>
      <c r="T18" s="167">
        <f t="shared" ref="T18:W18" si="38">T17</f>
        <v>0</v>
      </c>
      <c r="U18" s="167">
        <f t="shared" si="38"/>
        <v>0</v>
      </c>
      <c r="V18" s="167">
        <f t="shared" si="38"/>
        <v>0</v>
      </c>
      <c r="W18" s="167">
        <f t="shared" si="38"/>
        <v>0</v>
      </c>
      <c r="X18" s="167">
        <v>875</v>
      </c>
      <c r="Y18" s="167">
        <f t="shared" ref="Y18:Z18" si="39">Y17</f>
        <v>0</v>
      </c>
      <c r="Z18" s="167">
        <f t="shared" si="39"/>
        <v>14000</v>
      </c>
      <c r="AA18" s="170">
        <f t="shared" si="17"/>
        <v>98000</v>
      </c>
      <c r="AB18" s="348"/>
      <c r="AC18" s="170">
        <f>ROUND('Tax Calculation(print)'!$M$60/12,0)</f>
        <v>13650</v>
      </c>
      <c r="AD18" s="170">
        <f t="shared" si="21"/>
        <v>95550</v>
      </c>
      <c r="AE18" s="159"/>
      <c r="AF18" s="160" t="str">
        <f t="shared" si="1"/>
        <v>Sep-2024</v>
      </c>
      <c r="AG18" s="171">
        <v>0.5</v>
      </c>
      <c r="AH18" s="171">
        <v>0.09</v>
      </c>
      <c r="AI18" s="139"/>
      <c r="AJ18" s="38"/>
      <c r="AK18" s="277" t="str">
        <f t="shared" si="2"/>
        <v>Sep-2024</v>
      </c>
      <c r="AL18" s="278">
        <f t="shared" si="3"/>
        <v>84500</v>
      </c>
      <c r="AM18" s="279">
        <v>0.03</v>
      </c>
      <c r="AN18" s="280">
        <f t="shared" si="4"/>
        <v>2535</v>
      </c>
      <c r="AY18" s="188"/>
    </row>
    <row r="19" spans="1:51" s="66" customFormat="1" ht="9.9499999999999993" customHeight="1">
      <c r="A19" s="34"/>
      <c r="B19" s="192" t="str">
        <f>"Oct-"&amp;$L$3</f>
        <v>Oct-2024</v>
      </c>
      <c r="C19" s="105">
        <v>8</v>
      </c>
      <c r="D19" s="106"/>
      <c r="E19" s="298">
        <v>8</v>
      </c>
      <c r="F19" s="155"/>
      <c r="G19" s="167">
        <f t="shared" si="5"/>
        <v>84500</v>
      </c>
      <c r="H19" s="167">
        <f t="shared" si="6"/>
        <v>0</v>
      </c>
      <c r="I19" s="168">
        <f t="shared" si="7"/>
        <v>0</v>
      </c>
      <c r="J19" s="167">
        <f t="shared" si="8"/>
        <v>0</v>
      </c>
      <c r="K19" s="167">
        <f t="shared" si="9"/>
        <v>0</v>
      </c>
      <c r="L19" s="167">
        <f t="shared" si="26"/>
        <v>0</v>
      </c>
      <c r="M19" s="167">
        <f t="shared" si="26"/>
        <v>0</v>
      </c>
      <c r="N19" s="107"/>
      <c r="O19" s="169"/>
      <c r="P19" s="167">
        <f t="shared" si="10"/>
        <v>10000</v>
      </c>
      <c r="Q19" s="167">
        <f t="shared" ref="Q19" si="40">Q18</f>
        <v>0</v>
      </c>
      <c r="R19" s="167">
        <f t="shared" ref="R19" si="41">R18</f>
        <v>0</v>
      </c>
      <c r="S19" s="167">
        <f t="shared" si="13"/>
        <v>7000</v>
      </c>
      <c r="T19" s="167">
        <f t="shared" ref="T19:Z19" si="42">T18</f>
        <v>0</v>
      </c>
      <c r="U19" s="167">
        <f t="shared" si="42"/>
        <v>0</v>
      </c>
      <c r="V19" s="167">
        <f t="shared" si="42"/>
        <v>0</v>
      </c>
      <c r="W19" s="167">
        <f t="shared" si="42"/>
        <v>0</v>
      </c>
      <c r="X19" s="167">
        <v>875</v>
      </c>
      <c r="Y19" s="167">
        <f t="shared" si="42"/>
        <v>0</v>
      </c>
      <c r="Z19" s="167">
        <f t="shared" si="42"/>
        <v>14000</v>
      </c>
      <c r="AA19" s="170">
        <f t="shared" si="17"/>
        <v>112000</v>
      </c>
      <c r="AB19" s="348"/>
      <c r="AC19" s="170">
        <f>ROUND('Tax Calculation(print)'!$M$60/12,0)</f>
        <v>13650</v>
      </c>
      <c r="AD19" s="170">
        <f t="shared" si="21"/>
        <v>109200</v>
      </c>
      <c r="AE19" s="159"/>
      <c r="AF19" s="160" t="str">
        <f t="shared" si="1"/>
        <v>Oct-2024</v>
      </c>
      <c r="AG19" s="171">
        <v>0.5</v>
      </c>
      <c r="AH19" s="171">
        <v>0.09</v>
      </c>
      <c r="AI19" s="139"/>
      <c r="AJ19" s="38"/>
      <c r="AK19" s="277" t="str">
        <f t="shared" si="2"/>
        <v>Oct-2024</v>
      </c>
      <c r="AL19" s="278">
        <f t="shared" si="3"/>
        <v>84500</v>
      </c>
      <c r="AM19" s="279">
        <v>0.03</v>
      </c>
      <c r="AN19" s="280">
        <f t="shared" si="4"/>
        <v>2535</v>
      </c>
      <c r="AY19" s="188"/>
    </row>
    <row r="20" spans="1:51" s="66" customFormat="1" ht="9.9499999999999993" customHeight="1">
      <c r="A20" s="34"/>
      <c r="B20" s="192" t="str">
        <f>"Nov-"&amp;$L$3</f>
        <v>Nov-2024</v>
      </c>
      <c r="C20" s="105">
        <v>9</v>
      </c>
      <c r="D20" s="106"/>
      <c r="E20" s="298">
        <v>9</v>
      </c>
      <c r="F20" s="155"/>
      <c r="G20" s="167">
        <f t="shared" si="5"/>
        <v>84500</v>
      </c>
      <c r="H20" s="167">
        <f t="shared" si="6"/>
        <v>0</v>
      </c>
      <c r="I20" s="168">
        <f t="shared" si="7"/>
        <v>0</v>
      </c>
      <c r="J20" s="167">
        <f t="shared" ref="J20:J23" si="43">J19</f>
        <v>0</v>
      </c>
      <c r="K20" s="167">
        <f t="shared" si="9"/>
        <v>0</v>
      </c>
      <c r="L20" s="167">
        <f t="shared" si="26"/>
        <v>0</v>
      </c>
      <c r="M20" s="167">
        <f t="shared" si="26"/>
        <v>0</v>
      </c>
      <c r="N20" s="107"/>
      <c r="O20" s="169"/>
      <c r="P20" s="167">
        <f t="shared" si="10"/>
        <v>10000</v>
      </c>
      <c r="Q20" s="167">
        <f t="shared" ref="Q20" si="44">Q19</f>
        <v>0</v>
      </c>
      <c r="R20" s="167">
        <f t="shared" ref="R20" si="45">R19</f>
        <v>0</v>
      </c>
      <c r="S20" s="167">
        <f t="shared" si="13"/>
        <v>7000</v>
      </c>
      <c r="T20" s="167">
        <f t="shared" ref="T20:T23" si="46">T19</f>
        <v>0</v>
      </c>
      <c r="U20" s="167">
        <f t="shared" ref="U20:Z20" si="47">U19</f>
        <v>0</v>
      </c>
      <c r="V20" s="167">
        <f t="shared" si="47"/>
        <v>0</v>
      </c>
      <c r="W20" s="167">
        <f t="shared" si="47"/>
        <v>0</v>
      </c>
      <c r="X20" s="167">
        <v>875</v>
      </c>
      <c r="Y20" s="167">
        <f t="shared" si="47"/>
        <v>0</v>
      </c>
      <c r="Z20" s="167">
        <f t="shared" si="47"/>
        <v>14000</v>
      </c>
      <c r="AA20" s="170">
        <f t="shared" si="17"/>
        <v>126000</v>
      </c>
      <c r="AB20" s="348"/>
      <c r="AC20" s="170">
        <f>ROUND('Tax Calculation(print)'!$M$60/12,0)</f>
        <v>13650</v>
      </c>
      <c r="AD20" s="170">
        <f t="shared" si="21"/>
        <v>122850</v>
      </c>
      <c r="AE20" s="159"/>
      <c r="AF20" s="160" t="str">
        <f t="shared" si="1"/>
        <v>Nov-2024</v>
      </c>
      <c r="AG20" s="171">
        <v>0.53</v>
      </c>
      <c r="AH20" s="171">
        <v>0.1</v>
      </c>
      <c r="AI20" s="139"/>
      <c r="AJ20" s="38"/>
      <c r="AK20" s="277" t="str">
        <f t="shared" si="2"/>
        <v>Nov-2024</v>
      </c>
      <c r="AL20" s="278">
        <f t="shared" si="3"/>
        <v>84500</v>
      </c>
      <c r="AM20" s="279"/>
      <c r="AN20" s="280">
        <f t="shared" si="4"/>
        <v>0</v>
      </c>
      <c r="AY20" s="188"/>
    </row>
    <row r="21" spans="1:51" s="66" customFormat="1" ht="9.9499999999999993" customHeight="1">
      <c r="A21" s="34"/>
      <c r="B21" s="192" t="str">
        <f>"Dec-"&amp;$L$3</f>
        <v>Dec-2024</v>
      </c>
      <c r="C21" s="105">
        <v>10</v>
      </c>
      <c r="D21" s="106"/>
      <c r="E21" s="298">
        <v>10</v>
      </c>
      <c r="F21" s="155"/>
      <c r="G21" s="167">
        <f t="shared" si="5"/>
        <v>84500</v>
      </c>
      <c r="H21" s="167">
        <f t="shared" si="6"/>
        <v>0</v>
      </c>
      <c r="I21" s="168">
        <f t="shared" si="7"/>
        <v>0</v>
      </c>
      <c r="J21" s="167">
        <f t="shared" si="43"/>
        <v>0</v>
      </c>
      <c r="K21" s="167">
        <f t="shared" si="9"/>
        <v>0</v>
      </c>
      <c r="L21" s="167">
        <f t="shared" si="26"/>
        <v>0</v>
      </c>
      <c r="M21" s="167">
        <f t="shared" si="26"/>
        <v>0</v>
      </c>
      <c r="N21" s="107"/>
      <c r="O21" s="169"/>
      <c r="P21" s="167">
        <f t="shared" si="10"/>
        <v>10000</v>
      </c>
      <c r="Q21" s="167">
        <f t="shared" ref="Q21" si="48">Q20</f>
        <v>0</v>
      </c>
      <c r="R21" s="167">
        <f t="shared" ref="R21" si="49">R20</f>
        <v>0</v>
      </c>
      <c r="S21" s="167">
        <f t="shared" si="13"/>
        <v>7000</v>
      </c>
      <c r="T21" s="167">
        <f t="shared" si="46"/>
        <v>0</v>
      </c>
      <c r="U21" s="167">
        <f t="shared" ref="U21:Z21" si="50">U20</f>
        <v>0</v>
      </c>
      <c r="V21" s="167">
        <f t="shared" si="50"/>
        <v>0</v>
      </c>
      <c r="W21" s="167">
        <f t="shared" si="50"/>
        <v>0</v>
      </c>
      <c r="X21" s="167">
        <v>875</v>
      </c>
      <c r="Y21" s="167">
        <f t="shared" si="50"/>
        <v>0</v>
      </c>
      <c r="Z21" s="167">
        <f t="shared" si="50"/>
        <v>14000</v>
      </c>
      <c r="AA21" s="170">
        <f t="shared" si="17"/>
        <v>140000</v>
      </c>
      <c r="AB21" s="348"/>
      <c r="AC21" s="170">
        <f>ROUND('Tax Calculation(print)'!$M$60/12,0)</f>
        <v>13650</v>
      </c>
      <c r="AD21" s="170">
        <f t="shared" si="21"/>
        <v>136500</v>
      </c>
      <c r="AE21" s="159"/>
      <c r="AF21" s="160" t="str">
        <f t="shared" si="1"/>
        <v>Dec-2024</v>
      </c>
      <c r="AG21" s="171">
        <v>0.53</v>
      </c>
      <c r="AH21" s="171">
        <v>0.1</v>
      </c>
      <c r="AI21" s="139"/>
      <c r="AJ21" s="38"/>
      <c r="AK21" s="277" t="str">
        <f t="shared" si="2"/>
        <v>Dec-2024</v>
      </c>
      <c r="AL21" s="278">
        <f t="shared" si="3"/>
        <v>84500</v>
      </c>
      <c r="AM21" s="279"/>
      <c r="AN21" s="280">
        <f t="shared" si="4"/>
        <v>0</v>
      </c>
      <c r="AY21" s="188"/>
    </row>
    <row r="22" spans="1:51" s="66" customFormat="1" ht="9.9499999999999993" customHeight="1">
      <c r="A22" s="34"/>
      <c r="B22" s="192" t="str">
        <f>"Jan-"&amp;$L$3+1</f>
        <v>Jan-2025</v>
      </c>
      <c r="C22" s="105">
        <v>11</v>
      </c>
      <c r="D22" s="106"/>
      <c r="E22" s="298">
        <v>11</v>
      </c>
      <c r="F22" s="155"/>
      <c r="G22" s="167">
        <f t="shared" si="5"/>
        <v>84500</v>
      </c>
      <c r="H22" s="167">
        <f t="shared" si="5"/>
        <v>0</v>
      </c>
      <c r="I22" s="168">
        <f t="shared" si="7"/>
        <v>0</v>
      </c>
      <c r="J22" s="167">
        <f t="shared" si="43"/>
        <v>0</v>
      </c>
      <c r="K22" s="167">
        <f t="shared" si="9"/>
        <v>0</v>
      </c>
      <c r="L22" s="167">
        <f t="shared" si="26"/>
        <v>0</v>
      </c>
      <c r="M22" s="167">
        <f t="shared" si="26"/>
        <v>0</v>
      </c>
      <c r="N22" s="107"/>
      <c r="O22" s="169"/>
      <c r="P22" s="167">
        <f t="shared" si="10"/>
        <v>10000</v>
      </c>
      <c r="Q22" s="167">
        <f t="shared" ref="Q22:Q23" si="51">Q21</f>
        <v>0</v>
      </c>
      <c r="R22" s="167">
        <f t="shared" ref="R22:R23" si="52">R21</f>
        <v>0</v>
      </c>
      <c r="S22" s="167">
        <f t="shared" si="13"/>
        <v>7000</v>
      </c>
      <c r="T22" s="167">
        <f t="shared" si="46"/>
        <v>0</v>
      </c>
      <c r="U22" s="167">
        <f t="shared" ref="U22:Z23" si="53">U21</f>
        <v>0</v>
      </c>
      <c r="V22" s="167">
        <f t="shared" si="53"/>
        <v>0</v>
      </c>
      <c r="W22" s="167">
        <f t="shared" si="53"/>
        <v>0</v>
      </c>
      <c r="X22" s="167">
        <v>875</v>
      </c>
      <c r="Y22" s="167">
        <f t="shared" si="53"/>
        <v>0</v>
      </c>
      <c r="Z22" s="167">
        <f t="shared" si="53"/>
        <v>14000</v>
      </c>
      <c r="AA22" s="170">
        <f t="shared" si="17"/>
        <v>154000</v>
      </c>
      <c r="AB22" s="348"/>
      <c r="AC22" s="170">
        <f>ROUND('Tax Calculation(print)'!$M$60/12,0)</f>
        <v>13650</v>
      </c>
      <c r="AD22" s="170">
        <f t="shared" si="21"/>
        <v>150150</v>
      </c>
      <c r="AE22" s="159"/>
      <c r="AF22" s="160" t="str">
        <f t="shared" si="1"/>
        <v>Jan-2025</v>
      </c>
      <c r="AG22" s="172">
        <f t="shared" ref="AG22:AG23" si="54">AG21</f>
        <v>0.53</v>
      </c>
      <c r="AH22" s="171">
        <v>0.1</v>
      </c>
      <c r="AI22" s="139"/>
      <c r="AJ22" s="38"/>
      <c r="AK22" s="139"/>
      <c r="AL22" s="139"/>
      <c r="AM22" s="139"/>
      <c r="AN22" s="139"/>
      <c r="AY22" s="188"/>
    </row>
    <row r="23" spans="1:51" s="66" customFormat="1" ht="9.9499999999999993" customHeight="1">
      <c r="A23" s="34"/>
      <c r="B23" s="192" t="str">
        <f>"Feb-"&amp;$L$3+1</f>
        <v>Feb-2025</v>
      </c>
      <c r="C23" s="105">
        <v>12</v>
      </c>
      <c r="D23" s="106"/>
      <c r="E23" s="298">
        <v>12</v>
      </c>
      <c r="F23" s="155"/>
      <c r="G23" s="167">
        <f t="shared" si="5"/>
        <v>84500</v>
      </c>
      <c r="H23" s="167">
        <f t="shared" si="6"/>
        <v>0</v>
      </c>
      <c r="I23" s="168">
        <f t="shared" si="7"/>
        <v>0</v>
      </c>
      <c r="J23" s="167">
        <f t="shared" si="43"/>
        <v>0</v>
      </c>
      <c r="K23" s="167">
        <f t="shared" si="9"/>
        <v>0</v>
      </c>
      <c r="L23" s="167">
        <f t="shared" si="26"/>
        <v>0</v>
      </c>
      <c r="M23" s="167">
        <f t="shared" si="26"/>
        <v>0</v>
      </c>
      <c r="N23" s="107"/>
      <c r="O23" s="169"/>
      <c r="P23" s="167">
        <f t="shared" si="10"/>
        <v>10000</v>
      </c>
      <c r="Q23" s="167">
        <f t="shared" si="51"/>
        <v>0</v>
      </c>
      <c r="R23" s="167">
        <f t="shared" si="52"/>
        <v>0</v>
      </c>
      <c r="S23" s="167">
        <f t="shared" si="13"/>
        <v>7000</v>
      </c>
      <c r="T23" s="167">
        <f t="shared" si="46"/>
        <v>0</v>
      </c>
      <c r="U23" s="167">
        <f t="shared" si="53"/>
        <v>0</v>
      </c>
      <c r="V23" s="167">
        <f t="shared" si="53"/>
        <v>0</v>
      </c>
      <c r="W23" s="167">
        <f t="shared" ref="W23" si="55">W22</f>
        <v>0</v>
      </c>
      <c r="X23" s="167">
        <v>875</v>
      </c>
      <c r="Y23" s="167">
        <f t="shared" ref="Y23" si="56">Y22</f>
        <v>0</v>
      </c>
      <c r="Z23" s="339">
        <f t="shared" si="53"/>
        <v>14000</v>
      </c>
      <c r="AA23" s="340">
        <f t="shared" si="17"/>
        <v>168000</v>
      </c>
      <c r="AB23" s="348"/>
      <c r="AC23" s="170">
        <f>ROUND('Tax Calculation(print)'!$M$60/12,0)</f>
        <v>13650</v>
      </c>
      <c r="AD23" s="340">
        <f t="shared" si="21"/>
        <v>163800</v>
      </c>
      <c r="AE23" s="159"/>
      <c r="AF23" s="160" t="str">
        <f t="shared" si="1"/>
        <v>Feb-2025</v>
      </c>
      <c r="AG23" s="172">
        <f t="shared" si="54"/>
        <v>0.53</v>
      </c>
      <c r="AH23" s="171">
        <v>0.1</v>
      </c>
      <c r="AI23" s="139"/>
      <c r="AJ23" s="38"/>
      <c r="AK23" s="139"/>
      <c r="AL23" s="139"/>
      <c r="AM23" s="139"/>
      <c r="AN23" s="139"/>
      <c r="AY23" s="188"/>
    </row>
    <row r="24" spans="1:51" s="66" customFormat="1" ht="3.75" customHeight="1" thickBot="1">
      <c r="A24" s="493"/>
      <c r="B24" s="494"/>
      <c r="C24" s="495"/>
      <c r="D24" s="496"/>
      <c r="E24" s="497"/>
      <c r="F24" s="498"/>
      <c r="G24" s="499"/>
      <c r="H24" s="499"/>
      <c r="I24" s="500"/>
      <c r="J24" s="499"/>
      <c r="K24" s="499"/>
      <c r="L24" s="499"/>
      <c r="M24" s="499"/>
      <c r="N24" s="496"/>
      <c r="O24" s="500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501"/>
      <c r="AA24" s="496"/>
      <c r="AB24" s="496"/>
      <c r="AC24" s="496"/>
      <c r="AD24" s="496"/>
      <c r="AE24" s="502"/>
      <c r="AF24" s="503"/>
      <c r="AG24" s="504"/>
      <c r="AH24" s="505"/>
      <c r="AI24" s="506"/>
      <c r="AJ24" s="507"/>
      <c r="AK24" s="506"/>
      <c r="AL24" s="506"/>
      <c r="AM24" s="506"/>
      <c r="AN24" s="506"/>
      <c r="AO24" s="508"/>
      <c r="AP24" s="508"/>
      <c r="AQ24" s="508"/>
      <c r="AR24" s="508"/>
      <c r="AS24" s="508"/>
      <c r="AT24" s="508"/>
      <c r="AU24" s="508"/>
      <c r="AV24" s="508"/>
      <c r="AW24" s="508"/>
      <c r="AX24" s="508"/>
      <c r="AY24" s="509"/>
    </row>
    <row r="25" spans="1:51" ht="37.5" customHeight="1" thickBot="1">
      <c r="A25" s="510"/>
      <c r="B25" s="511" t="s">
        <v>385</v>
      </c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2"/>
      <c r="O25" s="513"/>
      <c r="P25" s="527" t="s">
        <v>386</v>
      </c>
      <c r="Q25" s="527"/>
      <c r="R25" s="524" t="s">
        <v>342</v>
      </c>
      <c r="S25" s="524"/>
      <c r="T25" s="524"/>
      <c r="U25" s="514" t="s">
        <v>384</v>
      </c>
      <c r="V25" s="515">
        <f>'Tax Calculation(print)'!$M$60</f>
        <v>163805</v>
      </c>
      <c r="W25" s="516" t="s">
        <v>387</v>
      </c>
      <c r="X25" s="517">
        <f>AA23</f>
        <v>168000</v>
      </c>
      <c r="Y25" s="526" t="s">
        <v>388</v>
      </c>
      <c r="Z25" s="525" t="str">
        <f>IF(AA25&gt;0,"Tax Liability",IF(AA25&lt;0,"Refund",""))</f>
        <v>Refund</v>
      </c>
      <c r="AA25" s="518">
        <f>V25-X25</f>
        <v>-4195</v>
      </c>
      <c r="AB25" s="519"/>
      <c r="AC25" s="522" t="s">
        <v>383</v>
      </c>
      <c r="AD25" s="520"/>
      <c r="AE25" s="520"/>
      <c r="AF25" s="520"/>
      <c r="AG25" s="520"/>
      <c r="AH25" s="520"/>
      <c r="AI25" s="520"/>
      <c r="AJ25" s="520"/>
      <c r="AK25" s="520"/>
      <c r="AL25" s="520"/>
      <c r="AM25" s="520"/>
      <c r="AN25" s="520"/>
      <c r="AO25" s="520"/>
      <c r="AP25" s="520"/>
      <c r="AQ25" s="520"/>
      <c r="AR25" s="520"/>
      <c r="AS25" s="520"/>
      <c r="AT25" s="520"/>
      <c r="AU25" s="520"/>
      <c r="AV25" s="520"/>
      <c r="AW25" s="520"/>
      <c r="AX25" s="520"/>
      <c r="AY25" s="521"/>
    </row>
    <row r="26" spans="1:51" ht="3.75" customHeight="1">
      <c r="A26" s="493"/>
      <c r="B26" s="494"/>
      <c r="C26" s="495"/>
      <c r="D26" s="496"/>
      <c r="E26" s="497"/>
      <c r="F26" s="498"/>
      <c r="G26" s="499"/>
      <c r="H26" s="499"/>
      <c r="I26" s="500"/>
      <c r="J26" s="499"/>
      <c r="K26" s="499"/>
      <c r="L26" s="499"/>
      <c r="M26" s="499"/>
      <c r="N26" s="496"/>
      <c r="O26" s="500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501"/>
      <c r="AA26" s="496"/>
      <c r="AB26" s="496"/>
      <c r="AC26" s="496"/>
      <c r="AD26" s="496"/>
      <c r="AE26" s="502"/>
      <c r="AF26" s="503"/>
      <c r="AG26" s="504"/>
      <c r="AH26" s="505"/>
      <c r="AI26" s="506"/>
      <c r="AJ26" s="507"/>
      <c r="AK26" s="506"/>
      <c r="AL26" s="506"/>
      <c r="AM26" s="506"/>
      <c r="AN26" s="506"/>
      <c r="AO26" s="508"/>
      <c r="AP26" s="508"/>
      <c r="AQ26" s="508"/>
      <c r="AR26" s="508"/>
      <c r="AS26" s="508"/>
      <c r="AT26" s="508"/>
      <c r="AU26" s="508"/>
      <c r="AV26" s="508"/>
      <c r="AW26" s="508"/>
      <c r="AX26" s="508"/>
      <c r="AY26" s="509"/>
    </row>
    <row r="27" spans="1:51" ht="9.9499999999999993" customHeight="1">
      <c r="A27" s="34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282"/>
      <c r="AM27" s="282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</row>
    <row r="28" spans="1:51" s="113" customFormat="1" ht="9.9499999999999993" customHeight="1">
      <c r="A28" s="117"/>
      <c r="B28" s="388" t="s">
        <v>190</v>
      </c>
      <c r="C28" s="388"/>
      <c r="D28" s="388"/>
      <c r="E28" s="388"/>
      <c r="F28" s="388"/>
      <c r="G28" s="388"/>
      <c r="H28" s="388"/>
      <c r="I28" s="388"/>
      <c r="J28" s="174" t="s">
        <v>140</v>
      </c>
      <c r="K28" s="175" t="s">
        <v>165</v>
      </c>
      <c r="L28" s="175" t="s">
        <v>19</v>
      </c>
      <c r="M28" s="175"/>
      <c r="N28" s="176"/>
      <c r="O28" s="177"/>
      <c r="P28" s="175" t="s">
        <v>194</v>
      </c>
      <c r="Q28" s="175" t="s">
        <v>193</v>
      </c>
      <c r="R28" s="196"/>
      <c r="S28" s="175" t="s">
        <v>306</v>
      </c>
      <c r="T28" s="139"/>
      <c r="U28" s="139"/>
      <c r="V28" s="139"/>
      <c r="W28" s="139"/>
      <c r="X28" s="139"/>
      <c r="Y28" s="139"/>
      <c r="Z28" s="139"/>
      <c r="AA28" s="412" t="s">
        <v>382</v>
      </c>
      <c r="AB28" s="412"/>
      <c r="AC28" s="412"/>
      <c r="AD28" s="412"/>
      <c r="AE28" s="412"/>
      <c r="AF28" s="412"/>
      <c r="AG28" s="412"/>
      <c r="AH28" s="412"/>
      <c r="AI28" s="412"/>
      <c r="AJ28" s="341"/>
      <c r="AK28" s="341"/>
      <c r="AL28" s="284"/>
      <c r="AM28" s="284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</row>
    <row r="29" spans="1:51" s="120" customFormat="1" ht="9.9499999999999993" customHeight="1">
      <c r="A29" s="119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93"/>
      <c r="P29" s="181"/>
      <c r="Q29" s="181"/>
      <c r="R29" s="181"/>
      <c r="S29" s="181"/>
      <c r="T29" s="309" t="s">
        <v>366</v>
      </c>
      <c r="U29" s="178" t="s">
        <v>139</v>
      </c>
      <c r="V29" s="179" t="s">
        <v>329</v>
      </c>
      <c r="W29" s="139"/>
      <c r="X29" s="139"/>
      <c r="Y29" s="139"/>
      <c r="Z29" s="139"/>
      <c r="AA29" s="412"/>
      <c r="AB29" s="412"/>
      <c r="AC29" s="412"/>
      <c r="AD29" s="412"/>
      <c r="AE29" s="412"/>
      <c r="AF29" s="412"/>
      <c r="AG29" s="412"/>
      <c r="AH29" s="412"/>
      <c r="AI29" s="412"/>
      <c r="AJ29" s="341"/>
      <c r="AK29" s="341"/>
      <c r="AL29" s="284"/>
      <c r="AM29" s="284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</row>
    <row r="30" spans="1:51" s="121" customFormat="1" ht="9.9499999999999993" customHeight="1">
      <c r="A30" s="119"/>
      <c r="B30" s="391" t="s">
        <v>353</v>
      </c>
      <c r="C30" s="391"/>
      <c r="D30" s="391"/>
      <c r="E30" s="391"/>
      <c r="F30" s="387" t="s">
        <v>330</v>
      </c>
      <c r="G30" s="387"/>
      <c r="H30" s="387"/>
      <c r="I30" s="387"/>
      <c r="J30" s="196"/>
      <c r="K30" s="225">
        <f>SUM(AN10:AN15)</f>
        <v>6560</v>
      </c>
      <c r="L30" s="197"/>
      <c r="M30" s="196"/>
      <c r="N30" s="198"/>
      <c r="O30" s="193"/>
      <c r="P30" s="490">
        <f>K30</f>
        <v>6560</v>
      </c>
      <c r="Q30" s="199"/>
      <c r="R30" s="196"/>
      <c r="S30" s="199"/>
      <c r="T30" s="180" t="s">
        <v>189</v>
      </c>
      <c r="U30" s="302">
        <v>45383</v>
      </c>
      <c r="V30" s="306">
        <v>700</v>
      </c>
      <c r="W30" s="139"/>
      <c r="X30" s="196"/>
      <c r="Y30" s="196"/>
      <c r="Z30" s="196"/>
      <c r="AA30" s="412"/>
      <c r="AB30" s="412"/>
      <c r="AC30" s="412"/>
      <c r="AD30" s="412"/>
      <c r="AE30" s="412"/>
      <c r="AF30" s="412"/>
      <c r="AG30" s="412"/>
      <c r="AH30" s="412"/>
      <c r="AI30" s="412"/>
      <c r="AJ30" s="341"/>
      <c r="AK30" s="341"/>
      <c r="AL30" s="285"/>
      <c r="AM30" s="285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</row>
    <row r="31" spans="1:51" s="121" customFormat="1" ht="9.9499999999999993" customHeight="1">
      <c r="A31" s="119"/>
      <c r="B31" s="391"/>
      <c r="C31" s="391"/>
      <c r="D31" s="391"/>
      <c r="E31" s="391"/>
      <c r="F31" s="387" t="s">
        <v>313</v>
      </c>
      <c r="G31" s="387"/>
      <c r="H31" s="387"/>
      <c r="I31" s="387"/>
      <c r="J31" s="196"/>
      <c r="K31" s="225">
        <f>SUM(AN16:AN21)</f>
        <v>10140</v>
      </c>
      <c r="L31" s="197"/>
      <c r="M31" s="196"/>
      <c r="N31" s="198"/>
      <c r="O31" s="193"/>
      <c r="P31" s="490">
        <f>K31</f>
        <v>10140</v>
      </c>
      <c r="Q31" s="199"/>
      <c r="R31" s="196"/>
      <c r="S31" s="199">
        <v>0</v>
      </c>
      <c r="T31" s="180" t="s">
        <v>308</v>
      </c>
      <c r="U31" s="302">
        <v>45627</v>
      </c>
      <c r="V31" s="306">
        <v>500</v>
      </c>
      <c r="W31" s="337" t="s">
        <v>378</v>
      </c>
      <c r="X31" s="196"/>
      <c r="Y31" s="196"/>
      <c r="Z31" s="196"/>
      <c r="AA31" s="412"/>
      <c r="AB31" s="412"/>
      <c r="AC31" s="412"/>
      <c r="AD31" s="412"/>
      <c r="AE31" s="412"/>
      <c r="AF31" s="412"/>
      <c r="AG31" s="412"/>
      <c r="AH31" s="412"/>
      <c r="AI31" s="412"/>
      <c r="AJ31" s="341"/>
      <c r="AK31" s="341"/>
      <c r="AL31" s="285"/>
      <c r="AM31" s="285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</row>
    <row r="32" spans="1:51" s="121" customFormat="1" ht="9.9499999999999993" customHeight="1">
      <c r="A32" s="119"/>
      <c r="B32" s="392" t="s">
        <v>148</v>
      </c>
      <c r="C32" s="392"/>
      <c r="D32" s="392"/>
      <c r="E32" s="392"/>
      <c r="F32" s="319"/>
      <c r="G32" s="319"/>
      <c r="H32" s="319"/>
      <c r="I32" s="319"/>
      <c r="J32" s="182" t="s">
        <v>140</v>
      </c>
      <c r="K32" s="182" t="s">
        <v>165</v>
      </c>
      <c r="L32" s="318" t="s">
        <v>294</v>
      </c>
      <c r="M32" s="196"/>
      <c r="N32" s="200"/>
      <c r="O32" s="193"/>
      <c r="P32" s="196"/>
      <c r="Q32" s="196"/>
      <c r="R32" s="196"/>
      <c r="S32" s="196"/>
      <c r="T32" s="180" t="s">
        <v>37</v>
      </c>
      <c r="U32" s="196"/>
      <c r="V32" s="202">
        <v>6774</v>
      </c>
      <c r="W32" s="202">
        <v>1694</v>
      </c>
      <c r="X32" s="196"/>
      <c r="Y32" s="196"/>
      <c r="Z32" s="196"/>
      <c r="AA32" s="412"/>
      <c r="AB32" s="412"/>
      <c r="AC32" s="412"/>
      <c r="AD32" s="412"/>
      <c r="AE32" s="412"/>
      <c r="AF32" s="412"/>
      <c r="AG32" s="412"/>
      <c r="AH32" s="412"/>
      <c r="AI32" s="412"/>
      <c r="AJ32" s="341"/>
      <c r="AK32" s="341"/>
      <c r="AL32" s="285"/>
      <c r="AM32" s="285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</row>
    <row r="33" spans="1:264" s="121" customFormat="1" ht="9.9499999999999993" customHeight="1">
      <c r="A33" s="119"/>
      <c r="B33" s="392"/>
      <c r="C33" s="392"/>
      <c r="D33" s="392"/>
      <c r="E33" s="392"/>
      <c r="F33" s="387" t="s">
        <v>148</v>
      </c>
      <c r="G33" s="387"/>
      <c r="H33" s="387"/>
      <c r="I33" s="387"/>
      <c r="J33" s="201"/>
      <c r="K33" s="202"/>
      <c r="L33" s="281"/>
      <c r="M33" s="196"/>
      <c r="N33" s="200"/>
      <c r="O33" s="193"/>
      <c r="Q33" s="199"/>
      <c r="R33" s="196"/>
      <c r="S33" s="196"/>
      <c r="T33" s="196"/>
      <c r="U33" s="196"/>
      <c r="V33" s="196"/>
      <c r="W33" s="196"/>
      <c r="X33" s="196"/>
      <c r="Y33" s="196"/>
      <c r="Z33" s="196"/>
      <c r="AA33" s="412"/>
      <c r="AB33" s="412"/>
      <c r="AC33" s="412"/>
      <c r="AD33" s="412"/>
      <c r="AE33" s="412"/>
      <c r="AF33" s="412"/>
      <c r="AG33" s="412"/>
      <c r="AH33" s="412"/>
      <c r="AI33" s="412"/>
      <c r="AJ33" s="341"/>
      <c r="AK33" s="341"/>
      <c r="AL33" s="286" t="s">
        <v>314</v>
      </c>
      <c r="AM33" s="285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</row>
    <row r="34" spans="1:264" s="121" customFormat="1" ht="12" customHeight="1">
      <c r="A34" s="119"/>
      <c r="B34" s="413" t="s">
        <v>311</v>
      </c>
      <c r="C34" s="413"/>
      <c r="D34" s="413"/>
      <c r="E34" s="413"/>
      <c r="F34" s="413"/>
      <c r="G34" s="413"/>
      <c r="H34" s="413"/>
      <c r="I34" s="413"/>
      <c r="J34" s="318" t="s">
        <v>140</v>
      </c>
      <c r="K34" s="318" t="s">
        <v>165</v>
      </c>
      <c r="L34" s="318" t="s">
        <v>19</v>
      </c>
      <c r="M34" s="318" t="s">
        <v>294</v>
      </c>
      <c r="N34" s="318"/>
      <c r="O34" s="318"/>
      <c r="P34" s="318" t="s">
        <v>194</v>
      </c>
      <c r="Q34" s="318" t="s">
        <v>193</v>
      </c>
      <c r="R34" s="196"/>
      <c r="S34" s="182" t="s">
        <v>306</v>
      </c>
      <c r="T34" s="196"/>
      <c r="U34" s="196"/>
      <c r="V34" s="196"/>
      <c r="W34" s="196"/>
      <c r="X34" s="196"/>
      <c r="Y34" s="196"/>
      <c r="Z34" s="335" t="s">
        <v>296</v>
      </c>
      <c r="AA34" s="412"/>
      <c r="AB34" s="412"/>
      <c r="AC34" s="412"/>
      <c r="AD34" s="412"/>
      <c r="AE34" s="412"/>
      <c r="AF34" s="412"/>
      <c r="AG34" s="412"/>
      <c r="AH34" s="412"/>
      <c r="AI34" s="412"/>
      <c r="AJ34" s="341"/>
      <c r="AK34" s="341"/>
      <c r="AL34" s="286" t="s">
        <v>350</v>
      </c>
      <c r="AM34" s="285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</row>
    <row r="35" spans="1:264" s="121" customFormat="1" ht="12" customHeight="1">
      <c r="A35" s="119"/>
      <c r="B35" s="393" t="s">
        <v>354</v>
      </c>
      <c r="C35" s="393"/>
      <c r="D35" s="393"/>
      <c r="E35" s="393"/>
      <c r="F35" s="387" t="s">
        <v>314</v>
      </c>
      <c r="G35" s="387"/>
      <c r="H35" s="387"/>
      <c r="I35" s="387"/>
      <c r="J35" s="281"/>
      <c r="K35" s="281"/>
      <c r="L35" s="281"/>
      <c r="M35" s="281"/>
      <c r="N35" s="200"/>
      <c r="O35" s="193"/>
      <c r="P35" s="155"/>
      <c r="Q35" s="155"/>
      <c r="R35" s="196"/>
      <c r="S35" s="155"/>
      <c r="T35" s="196"/>
      <c r="U35" s="196"/>
      <c r="V35" s="196"/>
      <c r="W35" s="196"/>
      <c r="X35" s="196"/>
      <c r="Y35" s="196"/>
      <c r="Z35" s="155"/>
      <c r="AA35" s="412"/>
      <c r="AB35" s="412"/>
      <c r="AC35" s="412"/>
      <c r="AD35" s="412"/>
      <c r="AE35" s="412"/>
      <c r="AF35" s="412"/>
      <c r="AG35" s="412"/>
      <c r="AH35" s="412"/>
      <c r="AI35" s="412"/>
      <c r="AJ35" s="341"/>
      <c r="AK35" s="341"/>
      <c r="AL35" s="286" t="s">
        <v>315</v>
      </c>
      <c r="AM35" s="285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</row>
    <row r="36" spans="1:264" s="121" customFormat="1" ht="12" customHeight="1">
      <c r="A36" s="119"/>
      <c r="B36" s="393"/>
      <c r="C36" s="393"/>
      <c r="D36" s="393"/>
      <c r="E36" s="393"/>
      <c r="F36" s="387" t="s">
        <v>315</v>
      </c>
      <c r="G36" s="387"/>
      <c r="H36" s="387"/>
      <c r="I36" s="387"/>
      <c r="J36" s="281"/>
      <c r="K36" s="281"/>
      <c r="L36" s="281"/>
      <c r="M36" s="281"/>
      <c r="N36" s="200"/>
      <c r="O36" s="193"/>
      <c r="P36" s="155"/>
      <c r="Q36" s="155"/>
      <c r="R36" s="196"/>
      <c r="S36" s="155"/>
      <c r="T36" s="196"/>
      <c r="U36" s="196"/>
      <c r="V36" s="196"/>
      <c r="W36" s="196"/>
      <c r="X36" s="196"/>
      <c r="Y36" s="196"/>
      <c r="Z36" s="155"/>
      <c r="AA36" s="412"/>
      <c r="AB36" s="412"/>
      <c r="AC36" s="412"/>
      <c r="AD36" s="412"/>
      <c r="AE36" s="412"/>
      <c r="AF36" s="412"/>
      <c r="AG36" s="412"/>
      <c r="AH36" s="412"/>
      <c r="AI36" s="412"/>
      <c r="AJ36" s="341"/>
      <c r="AK36" s="341"/>
      <c r="AL36" s="286" t="s">
        <v>352</v>
      </c>
      <c r="AM36" s="285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</row>
    <row r="37" spans="1:264" s="121" customFormat="1" ht="13.5" customHeight="1">
      <c r="A37" s="119"/>
      <c r="B37" s="393"/>
      <c r="C37" s="393"/>
      <c r="D37" s="393"/>
      <c r="E37" s="393"/>
      <c r="F37" s="387" t="s">
        <v>359</v>
      </c>
      <c r="G37" s="387"/>
      <c r="H37" s="387"/>
      <c r="I37" s="387"/>
      <c r="J37" s="281"/>
      <c r="K37" s="281"/>
      <c r="L37" s="281"/>
      <c r="M37" s="281"/>
      <c r="N37" s="200"/>
      <c r="O37" s="193"/>
      <c r="P37" s="155"/>
      <c r="Q37" s="155"/>
      <c r="R37" s="196"/>
      <c r="S37" s="155"/>
      <c r="T37" s="196"/>
      <c r="U37" s="196"/>
      <c r="V37" s="196"/>
      <c r="W37" s="196"/>
      <c r="X37" s="196"/>
      <c r="Y37" s="196"/>
      <c r="Z37" s="155"/>
      <c r="AA37" s="412"/>
      <c r="AB37" s="412"/>
      <c r="AC37" s="412"/>
      <c r="AD37" s="412"/>
      <c r="AE37" s="412"/>
      <c r="AF37" s="412"/>
      <c r="AG37" s="412"/>
      <c r="AH37" s="412"/>
      <c r="AI37" s="412"/>
      <c r="AJ37" s="341"/>
      <c r="AK37" s="341"/>
      <c r="AL37" s="286"/>
      <c r="AM37" s="285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</row>
    <row r="38" spans="1:264" s="121" customFormat="1" ht="9.9499999999999993" customHeight="1">
      <c r="A38" s="119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412"/>
      <c r="AB38" s="412"/>
      <c r="AC38" s="412"/>
      <c r="AD38" s="412"/>
      <c r="AE38" s="412"/>
      <c r="AF38" s="412"/>
      <c r="AG38" s="412"/>
      <c r="AH38" s="412"/>
      <c r="AI38" s="412"/>
      <c r="AJ38" s="341"/>
      <c r="AK38" s="341"/>
      <c r="AL38" s="285"/>
      <c r="AM38" s="285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</row>
    <row r="39" spans="1:264" s="121" customFormat="1" ht="19.350000000000001" customHeight="1">
      <c r="B39" s="124"/>
      <c r="C39" s="124"/>
      <c r="D39" s="125"/>
      <c r="E39" s="125"/>
      <c r="F39" s="125"/>
      <c r="G39" s="125"/>
      <c r="H39" s="125"/>
      <c r="I39" s="125"/>
      <c r="J39" s="125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0"/>
      <c r="AA39" s="120"/>
      <c r="AB39" s="120"/>
      <c r="AC39" s="120"/>
      <c r="AD39" s="120"/>
      <c r="AE39" s="120"/>
      <c r="AF39" s="120"/>
      <c r="AG39" s="120"/>
      <c r="AH39" s="120"/>
      <c r="AI39" s="126"/>
      <c r="AJ39" s="126"/>
      <c r="AK39" s="300"/>
      <c r="AL39" s="287"/>
      <c r="AM39" s="287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</row>
    <row r="40" spans="1:264" s="121" customFormat="1" ht="18.600000000000001" customHeight="1">
      <c r="A40" s="139"/>
      <c r="B40" s="416" t="s">
        <v>316</v>
      </c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390"/>
      <c r="Q40" s="390"/>
      <c r="R40" s="390"/>
      <c r="S40" s="128"/>
      <c r="T40" s="123"/>
      <c r="U40" s="123"/>
      <c r="V40" s="123"/>
      <c r="W40" s="123"/>
      <c r="X40" s="408" t="s">
        <v>226</v>
      </c>
      <c r="Y40" s="408"/>
      <c r="Z40" s="408"/>
      <c r="AA40" s="408"/>
      <c r="AB40" s="408"/>
      <c r="AC40" s="408"/>
      <c r="AD40" s="408"/>
      <c r="AE40" s="408"/>
      <c r="AF40" s="408"/>
      <c r="AG40" s="408"/>
      <c r="AH40" s="127"/>
      <c r="AI40" s="409"/>
      <c r="AJ40" s="409"/>
      <c r="AK40" s="409"/>
      <c r="AL40" s="409"/>
      <c r="AM40" s="409"/>
      <c r="AN40" s="409"/>
      <c r="AO40" s="409"/>
      <c r="AP40" s="409"/>
      <c r="AQ40" s="409"/>
      <c r="AR40" s="409"/>
      <c r="AS40" s="409"/>
      <c r="AT40" s="409"/>
      <c r="AU40" s="409"/>
      <c r="AV40" s="409"/>
      <c r="AW40" s="409"/>
      <c r="AY40" s="118"/>
    </row>
    <row r="41" spans="1:264" s="114" customFormat="1" ht="9.9499999999999993" customHeight="1">
      <c r="A41" s="139"/>
      <c r="B41" s="118" t="s">
        <v>196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22"/>
      <c r="S41" s="118"/>
      <c r="T41" s="115"/>
      <c r="U41" s="115"/>
      <c r="V41" s="115"/>
      <c r="W41" s="115"/>
      <c r="X41" s="118" t="s">
        <v>214</v>
      </c>
      <c r="Y41" s="118"/>
      <c r="Z41" s="118"/>
      <c r="AA41" s="118"/>
      <c r="AB41" s="118"/>
      <c r="AC41" s="118"/>
      <c r="AD41" s="118"/>
      <c r="AE41" s="118"/>
      <c r="AF41" s="118"/>
      <c r="AG41" s="118"/>
      <c r="AH41" s="374"/>
      <c r="AI41" s="375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</row>
    <row r="42" spans="1:264" s="114" customFormat="1" ht="9.9499999999999993" customHeight="1">
      <c r="A42" s="139"/>
      <c r="B42" s="118" t="s">
        <v>225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22"/>
      <c r="S42" s="118"/>
      <c r="T42" s="115"/>
      <c r="U42" s="115"/>
      <c r="V42" s="115"/>
      <c r="W42" s="115"/>
      <c r="X42" s="118" t="s">
        <v>186</v>
      </c>
      <c r="Y42" s="118"/>
      <c r="Z42" s="118"/>
      <c r="AA42" s="118"/>
      <c r="AB42" s="118"/>
      <c r="AC42" s="118"/>
      <c r="AD42" s="118"/>
      <c r="AE42" s="118"/>
      <c r="AF42" s="118"/>
      <c r="AG42" s="118"/>
      <c r="AH42" s="376"/>
      <c r="AI42" s="376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</row>
    <row r="43" spans="1:264" s="114" customFormat="1" ht="16.7" customHeight="1">
      <c r="A43" s="139"/>
      <c r="B43" s="389" t="s">
        <v>317</v>
      </c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129"/>
      <c r="Q43" s="129"/>
      <c r="R43" s="129"/>
      <c r="S43" s="129"/>
      <c r="T43" s="115"/>
      <c r="U43" s="115"/>
      <c r="V43" s="115"/>
      <c r="W43" s="115"/>
      <c r="X43" s="118" t="s">
        <v>187</v>
      </c>
      <c r="Y43" s="118"/>
      <c r="Z43" s="118"/>
      <c r="AA43" s="118"/>
      <c r="AB43" s="118"/>
      <c r="AC43" s="118"/>
      <c r="AD43" s="118"/>
      <c r="AE43" s="118"/>
      <c r="AF43" s="118"/>
      <c r="AG43" s="118"/>
      <c r="AH43" s="376"/>
      <c r="AI43" s="376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</row>
    <row r="44" spans="1:264" s="114" customFormat="1" ht="12.75" customHeight="1">
      <c r="A44" s="139"/>
      <c r="B44" s="118" t="s">
        <v>357</v>
      </c>
      <c r="C44" s="118"/>
      <c r="D44" s="118"/>
      <c r="E44" s="118"/>
      <c r="F44" s="118"/>
      <c r="G44" s="118"/>
      <c r="H44" s="118"/>
      <c r="I44" s="118"/>
      <c r="J44" s="118"/>
      <c r="K44" s="410"/>
      <c r="L44" s="410"/>
      <c r="M44" s="118" t="s">
        <v>318</v>
      </c>
      <c r="N44" s="118"/>
      <c r="O44" s="118"/>
      <c r="P44" s="118"/>
      <c r="Q44" s="118"/>
      <c r="R44" s="130"/>
      <c r="S44" s="118"/>
      <c r="T44" s="115"/>
      <c r="U44" s="115"/>
      <c r="V44" s="115"/>
      <c r="W44" s="115"/>
      <c r="X44" s="118" t="s">
        <v>319</v>
      </c>
      <c r="Y44" s="118"/>
      <c r="Z44" s="118"/>
      <c r="AA44" s="118"/>
      <c r="AB44" s="118"/>
      <c r="AC44" s="118"/>
      <c r="AD44" s="118"/>
      <c r="AE44" s="118"/>
      <c r="AF44" s="118"/>
      <c r="AG44" s="118"/>
      <c r="AH44" s="376"/>
      <c r="AI44" s="376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</row>
    <row r="45" spans="1:264" s="114" customFormat="1" ht="9.9499999999999993" customHeight="1">
      <c r="A45" s="139"/>
      <c r="B45" s="389" t="s">
        <v>195</v>
      </c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89"/>
      <c r="P45" s="389"/>
      <c r="Q45" s="389"/>
      <c r="R45" s="122"/>
      <c r="S45" s="118"/>
      <c r="T45" s="131"/>
      <c r="U45" s="131"/>
      <c r="V45" s="131"/>
      <c r="W45" s="131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  <c r="IU45" s="131"/>
      <c r="IV45" s="131"/>
      <c r="IW45" s="131"/>
      <c r="IX45" s="131"/>
      <c r="IY45" s="131"/>
      <c r="IZ45" s="131"/>
      <c r="JA45" s="131"/>
      <c r="JB45" s="131"/>
      <c r="JC45" s="131"/>
      <c r="JD45" s="131"/>
    </row>
    <row r="46" spans="1:264" s="121" customFormat="1" ht="15.6" customHeight="1">
      <c r="A46" s="139"/>
      <c r="B46" s="133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  <c r="DL46" s="132"/>
      <c r="DM46" s="132"/>
      <c r="DN46" s="132"/>
      <c r="DO46" s="132"/>
      <c r="DP46" s="132"/>
      <c r="DQ46" s="132"/>
      <c r="DR46" s="132"/>
      <c r="DS46" s="132"/>
      <c r="DT46" s="132"/>
      <c r="DU46" s="132"/>
      <c r="DV46" s="132"/>
      <c r="DW46" s="132"/>
      <c r="DX46" s="132"/>
      <c r="DY46" s="132"/>
      <c r="DZ46" s="132"/>
      <c r="EA46" s="132"/>
      <c r="EB46" s="132"/>
      <c r="EC46" s="132"/>
      <c r="ED46" s="132"/>
      <c r="EE46" s="132"/>
      <c r="EF46" s="132"/>
      <c r="EG46" s="132"/>
      <c r="EH46" s="132"/>
      <c r="EI46" s="132"/>
      <c r="EJ46" s="132"/>
      <c r="EK46" s="132"/>
      <c r="EL46" s="132"/>
      <c r="EM46" s="132"/>
      <c r="EN46" s="132"/>
      <c r="EO46" s="132"/>
      <c r="EP46" s="132"/>
      <c r="EQ46" s="132"/>
      <c r="ER46" s="132"/>
      <c r="ES46" s="132"/>
      <c r="ET46" s="132"/>
      <c r="EU46" s="132"/>
      <c r="EV46" s="132"/>
      <c r="EW46" s="132"/>
      <c r="EX46" s="132"/>
      <c r="EY46" s="132"/>
      <c r="EZ46" s="132"/>
      <c r="FA46" s="132"/>
      <c r="FB46" s="132"/>
      <c r="FC46" s="132"/>
      <c r="FD46" s="132"/>
      <c r="FE46" s="132"/>
      <c r="FF46" s="132"/>
      <c r="FG46" s="132"/>
      <c r="FH46" s="132"/>
      <c r="FI46" s="132"/>
      <c r="FJ46" s="132"/>
      <c r="FK46" s="132"/>
      <c r="FL46" s="132"/>
      <c r="FM46" s="132"/>
      <c r="FN46" s="132"/>
      <c r="FO46" s="132"/>
      <c r="FP46" s="132"/>
      <c r="FQ46" s="132"/>
      <c r="FR46" s="132"/>
      <c r="FS46" s="132"/>
      <c r="FT46" s="132"/>
      <c r="FU46" s="132"/>
      <c r="FV46" s="132"/>
      <c r="FW46" s="132"/>
      <c r="FX46" s="132"/>
      <c r="FY46" s="132"/>
      <c r="FZ46" s="132"/>
      <c r="GA46" s="132"/>
      <c r="GB46" s="132"/>
      <c r="GC46" s="132"/>
      <c r="GD46" s="132"/>
      <c r="GE46" s="132"/>
      <c r="GF46" s="132"/>
      <c r="GG46" s="132"/>
      <c r="GH46" s="132"/>
      <c r="GI46" s="132"/>
      <c r="GJ46" s="132"/>
      <c r="GK46" s="132"/>
      <c r="GL46" s="132"/>
      <c r="GM46" s="132"/>
      <c r="GN46" s="132"/>
      <c r="GO46" s="132"/>
      <c r="GP46" s="132"/>
      <c r="GQ46" s="132"/>
      <c r="GR46" s="132"/>
      <c r="GS46" s="132"/>
      <c r="GT46" s="132"/>
      <c r="GU46" s="132"/>
      <c r="GV46" s="132"/>
      <c r="GW46" s="132"/>
      <c r="GX46" s="132"/>
      <c r="GY46" s="132"/>
      <c r="GZ46" s="132"/>
      <c r="HA46" s="132"/>
      <c r="HB46" s="132"/>
      <c r="HC46" s="132"/>
      <c r="HD46" s="132"/>
      <c r="HE46" s="132"/>
      <c r="HF46" s="132"/>
      <c r="HG46" s="132"/>
      <c r="HH46" s="132"/>
      <c r="HI46" s="132"/>
      <c r="HJ46" s="132"/>
      <c r="HK46" s="132"/>
      <c r="HL46" s="132"/>
      <c r="HM46" s="132"/>
      <c r="HN46" s="132"/>
      <c r="HO46" s="132"/>
      <c r="HP46" s="132"/>
      <c r="HQ46" s="132"/>
      <c r="HR46" s="132"/>
      <c r="HS46" s="132"/>
      <c r="HT46" s="132"/>
      <c r="HU46" s="132"/>
      <c r="HV46" s="132"/>
      <c r="HW46" s="132"/>
      <c r="HX46" s="132"/>
      <c r="HY46" s="132"/>
      <c r="HZ46" s="132"/>
      <c r="IA46" s="132"/>
      <c r="IB46" s="132"/>
      <c r="IC46" s="132"/>
      <c r="ID46" s="132"/>
      <c r="IE46" s="132"/>
      <c r="IF46" s="132"/>
      <c r="IG46" s="132"/>
      <c r="IH46" s="132"/>
      <c r="II46" s="132"/>
      <c r="IJ46" s="132"/>
      <c r="IK46" s="132"/>
      <c r="IL46" s="132"/>
      <c r="IM46" s="132"/>
      <c r="IN46" s="132"/>
      <c r="IO46" s="132"/>
      <c r="IP46" s="132"/>
      <c r="IQ46" s="132"/>
      <c r="IR46" s="132"/>
      <c r="IS46" s="132"/>
      <c r="IT46" s="132"/>
      <c r="IU46" s="132"/>
      <c r="IV46" s="132"/>
      <c r="IW46" s="132"/>
      <c r="IX46" s="132"/>
      <c r="IY46" s="132"/>
      <c r="IZ46" s="132"/>
      <c r="JA46" s="132"/>
      <c r="JB46" s="132"/>
      <c r="JC46" s="132"/>
      <c r="JD46" s="132"/>
    </row>
    <row r="47" spans="1:264" s="114" customFormat="1" ht="19.7" customHeight="1">
      <c r="A47" s="139"/>
      <c r="B47" s="411" t="s">
        <v>227</v>
      </c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 t="s">
        <v>228</v>
      </c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288"/>
      <c r="AK47" s="118"/>
      <c r="AL47" s="118"/>
      <c r="AM47" s="118"/>
      <c r="AN47" s="118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118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131"/>
      <c r="EH47" s="131"/>
      <c r="EI47" s="131"/>
      <c r="EJ47" s="131"/>
      <c r="EK47" s="131"/>
      <c r="EL47" s="131"/>
      <c r="EM47" s="131"/>
      <c r="EN47" s="131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1"/>
      <c r="EZ47" s="131"/>
      <c r="FA47" s="131"/>
      <c r="FB47" s="131"/>
      <c r="FC47" s="131"/>
      <c r="FD47" s="131"/>
      <c r="FE47" s="131"/>
      <c r="FF47" s="131"/>
      <c r="FG47" s="131"/>
      <c r="FH47" s="131"/>
      <c r="FI47" s="131"/>
      <c r="FJ47" s="131"/>
      <c r="FK47" s="131"/>
      <c r="FL47" s="131"/>
      <c r="FM47" s="131"/>
      <c r="FN47" s="131"/>
      <c r="FO47" s="131"/>
      <c r="FP47" s="131"/>
      <c r="FQ47" s="131"/>
      <c r="FR47" s="131"/>
      <c r="FS47" s="131"/>
      <c r="FT47" s="131"/>
      <c r="FU47" s="131"/>
      <c r="FV47" s="131"/>
      <c r="FW47" s="131"/>
      <c r="FX47" s="131"/>
      <c r="FY47" s="131"/>
      <c r="FZ47" s="131"/>
      <c r="GA47" s="131"/>
      <c r="GB47" s="131"/>
      <c r="GC47" s="131"/>
      <c r="GD47" s="131"/>
      <c r="GE47" s="131"/>
      <c r="GF47" s="131"/>
      <c r="GG47" s="131"/>
      <c r="GH47" s="131"/>
      <c r="GI47" s="131"/>
      <c r="GJ47" s="131"/>
      <c r="GK47" s="131"/>
      <c r="GL47" s="131"/>
      <c r="GM47" s="131"/>
      <c r="GN47" s="131"/>
      <c r="GO47" s="131"/>
      <c r="GP47" s="131"/>
      <c r="GQ47" s="131"/>
      <c r="GR47" s="131"/>
      <c r="GS47" s="131"/>
      <c r="GT47" s="131"/>
      <c r="GU47" s="131"/>
      <c r="GV47" s="131"/>
      <c r="GW47" s="131"/>
      <c r="GX47" s="131"/>
      <c r="GY47" s="131"/>
      <c r="GZ47" s="131"/>
      <c r="HA47" s="131"/>
      <c r="HB47" s="131"/>
      <c r="HC47" s="131"/>
      <c r="HD47" s="131"/>
      <c r="HE47" s="131"/>
      <c r="HF47" s="131"/>
      <c r="HG47" s="131"/>
      <c r="HH47" s="131"/>
      <c r="HI47" s="131"/>
      <c r="HJ47" s="131"/>
      <c r="HK47" s="131"/>
      <c r="HL47" s="131"/>
      <c r="HM47" s="131"/>
      <c r="HN47" s="131"/>
      <c r="HO47" s="131"/>
      <c r="HP47" s="131"/>
      <c r="HQ47" s="131"/>
      <c r="HR47" s="131"/>
      <c r="HS47" s="131"/>
      <c r="HT47" s="131"/>
      <c r="HU47" s="131"/>
      <c r="HV47" s="131"/>
      <c r="HW47" s="131"/>
      <c r="HX47" s="131"/>
      <c r="HY47" s="131"/>
      <c r="HZ47" s="131"/>
      <c r="IA47" s="131"/>
      <c r="IB47" s="131"/>
      <c r="IC47" s="131"/>
      <c r="ID47" s="131"/>
      <c r="IE47" s="131"/>
      <c r="IF47" s="131"/>
      <c r="IG47" s="131"/>
      <c r="IH47" s="131"/>
      <c r="II47" s="131"/>
      <c r="IJ47" s="131"/>
      <c r="IK47" s="131"/>
      <c r="IL47" s="131"/>
      <c r="IM47" s="131"/>
      <c r="IN47" s="131"/>
      <c r="IO47" s="131"/>
      <c r="IP47" s="131"/>
      <c r="IQ47" s="131"/>
      <c r="IR47" s="131"/>
      <c r="IS47" s="131"/>
      <c r="IT47" s="131"/>
      <c r="IU47" s="131"/>
      <c r="IV47" s="131"/>
      <c r="IW47" s="131"/>
      <c r="IX47" s="131"/>
      <c r="IY47" s="131"/>
      <c r="IZ47" s="131"/>
      <c r="JA47" s="131"/>
      <c r="JB47" s="131"/>
      <c r="JC47" s="131"/>
      <c r="JD47" s="131"/>
    </row>
    <row r="48" spans="1:264" s="114" customFormat="1" ht="12" customHeight="1">
      <c r="A48" s="139"/>
      <c r="B48" s="135" t="s">
        <v>223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297"/>
      <c r="U48" s="364" t="s">
        <v>307</v>
      </c>
      <c r="V48" s="364"/>
      <c r="W48" s="364"/>
      <c r="X48" s="364"/>
      <c r="Y48" s="364"/>
      <c r="Z48" s="364"/>
      <c r="AA48" s="364"/>
      <c r="AB48" s="364"/>
      <c r="AC48" s="364"/>
      <c r="AD48" s="364"/>
      <c r="AE48" s="364" t="s">
        <v>312</v>
      </c>
      <c r="AF48" s="364"/>
      <c r="AG48" s="364"/>
      <c r="AH48" s="365"/>
      <c r="AI48" s="365"/>
      <c r="AJ48" s="288"/>
      <c r="AK48" s="118"/>
      <c r="AL48" s="118"/>
      <c r="AM48" s="118"/>
      <c r="AN48" s="118"/>
      <c r="AO48" s="290"/>
      <c r="AP48" s="291"/>
      <c r="AQ48" s="291"/>
      <c r="AR48" s="291"/>
      <c r="AS48" s="290"/>
      <c r="AT48" s="290"/>
      <c r="AU48" s="290"/>
      <c r="AV48" s="290"/>
      <c r="AW48" s="290"/>
      <c r="AX48" s="290"/>
      <c r="AY48" s="118"/>
    </row>
    <row r="49" spans="1:51" s="114" customFormat="1" ht="12" customHeight="1">
      <c r="A49" s="139"/>
      <c r="B49" s="136" t="s">
        <v>205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297"/>
      <c r="U49" s="136" t="s">
        <v>321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364" t="s">
        <v>299</v>
      </c>
      <c r="AF49" s="364"/>
      <c r="AG49" s="364"/>
      <c r="AH49" s="365"/>
      <c r="AI49" s="365"/>
      <c r="AJ49" s="288"/>
      <c r="AK49" s="118"/>
      <c r="AL49" s="118"/>
      <c r="AM49" s="118"/>
      <c r="AN49" s="118"/>
      <c r="AO49" s="290"/>
      <c r="AP49" s="291"/>
      <c r="AQ49" s="291"/>
      <c r="AR49" s="291"/>
      <c r="AS49" s="290"/>
      <c r="AT49" s="290"/>
      <c r="AU49" s="290"/>
      <c r="AV49" s="290"/>
      <c r="AW49" s="290"/>
      <c r="AX49" s="290"/>
      <c r="AY49" s="118"/>
    </row>
    <row r="50" spans="1:51" s="114" customFormat="1" ht="12" customHeight="1">
      <c r="A50" s="139"/>
      <c r="B50" s="136" t="s">
        <v>206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297"/>
      <c r="U50" s="136" t="s">
        <v>322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364" t="s">
        <v>299</v>
      </c>
      <c r="AF50" s="364"/>
      <c r="AG50" s="364"/>
      <c r="AH50" s="365"/>
      <c r="AI50" s="365"/>
      <c r="AJ50" s="288"/>
      <c r="AK50" s="118"/>
      <c r="AL50" s="118"/>
      <c r="AM50" s="118"/>
      <c r="AN50" s="118"/>
      <c r="AO50" s="290"/>
      <c r="AP50" s="292"/>
      <c r="AQ50" s="292"/>
      <c r="AR50" s="292"/>
      <c r="AS50" s="290"/>
      <c r="AT50" s="290"/>
      <c r="AU50" s="290"/>
      <c r="AV50" s="290"/>
      <c r="AW50" s="290"/>
      <c r="AX50" s="290"/>
      <c r="AY50" s="118"/>
    </row>
    <row r="51" spans="1:51" s="114" customFormat="1" ht="12" customHeight="1">
      <c r="A51" s="139"/>
      <c r="B51" s="136" t="s">
        <v>207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297"/>
      <c r="U51" s="136" t="s">
        <v>323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364" t="s">
        <v>300</v>
      </c>
      <c r="AF51" s="364"/>
      <c r="AG51" s="364"/>
      <c r="AH51" s="365"/>
      <c r="AI51" s="365"/>
      <c r="AJ51" s="288"/>
      <c r="AK51" s="118"/>
      <c r="AL51" s="118"/>
      <c r="AM51" s="118"/>
      <c r="AN51" s="118"/>
      <c r="AO51" s="290"/>
      <c r="AP51" s="291"/>
      <c r="AQ51" s="291"/>
      <c r="AR51" s="291"/>
      <c r="AS51" s="290"/>
      <c r="AT51" s="290"/>
      <c r="AU51" s="290"/>
      <c r="AV51" s="290"/>
      <c r="AW51" s="290"/>
      <c r="AX51" s="290"/>
      <c r="AY51" s="118"/>
    </row>
    <row r="52" spans="1:51" s="114" customFormat="1" ht="12" customHeight="1">
      <c r="A52" s="139"/>
      <c r="B52" s="136" t="s">
        <v>305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297"/>
      <c r="U52" s="136" t="s">
        <v>324</v>
      </c>
      <c r="V52" s="136"/>
      <c r="W52" s="136"/>
      <c r="X52" s="136"/>
      <c r="Y52" s="136"/>
      <c r="Z52" s="136"/>
      <c r="AA52" s="136"/>
      <c r="AB52" s="136"/>
      <c r="AC52" s="136"/>
      <c r="AD52" s="136"/>
      <c r="AE52" s="364" t="s">
        <v>301</v>
      </c>
      <c r="AF52" s="364"/>
      <c r="AG52" s="364"/>
      <c r="AH52" s="365"/>
      <c r="AI52" s="365"/>
      <c r="AJ52" s="288"/>
      <c r="AK52" s="118"/>
      <c r="AL52" s="118"/>
      <c r="AM52" s="118"/>
      <c r="AN52" s="118"/>
      <c r="AO52" s="290"/>
      <c r="AP52" s="293"/>
      <c r="AQ52" s="293"/>
      <c r="AR52" s="293"/>
      <c r="AS52" s="290"/>
      <c r="AT52" s="290"/>
      <c r="AU52" s="290"/>
      <c r="AV52" s="290"/>
      <c r="AW52" s="290"/>
      <c r="AX52" s="290"/>
      <c r="AY52" s="118"/>
    </row>
    <row r="53" spans="1:51" s="114" customFormat="1" ht="12" customHeight="1">
      <c r="A53" s="139"/>
      <c r="B53" s="136" t="s">
        <v>208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297"/>
      <c r="U53" s="136" t="s">
        <v>325</v>
      </c>
      <c r="V53" s="136"/>
      <c r="W53" s="136"/>
      <c r="X53" s="136"/>
      <c r="Y53" s="136"/>
      <c r="Z53" s="136"/>
      <c r="AA53" s="136"/>
      <c r="AB53" s="136"/>
      <c r="AC53" s="136"/>
      <c r="AD53" s="136"/>
      <c r="AE53" s="364"/>
      <c r="AF53" s="364"/>
      <c r="AG53" s="364"/>
      <c r="AH53" s="365"/>
      <c r="AI53" s="365"/>
      <c r="AJ53" s="28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</row>
    <row r="54" spans="1:51" s="114" customFormat="1" ht="12" customHeight="1">
      <c r="A54" s="139"/>
      <c r="B54" s="135" t="s">
        <v>209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297"/>
      <c r="U54" s="136" t="s">
        <v>326</v>
      </c>
      <c r="V54" s="136"/>
      <c r="W54" s="136"/>
      <c r="X54" s="136"/>
      <c r="Y54" s="136"/>
      <c r="Z54" s="136"/>
      <c r="AA54" s="136"/>
      <c r="AB54" s="136"/>
      <c r="AC54" s="136"/>
      <c r="AD54" s="137" t="s">
        <v>297</v>
      </c>
      <c r="AE54" s="364">
        <v>1</v>
      </c>
      <c r="AF54" s="364"/>
      <c r="AG54" s="364"/>
      <c r="AH54" s="365"/>
      <c r="AI54" s="365"/>
      <c r="AJ54" s="28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</row>
    <row r="55" spans="1:51" s="114" customFormat="1" ht="12" customHeight="1">
      <c r="A55" s="139"/>
      <c r="B55" s="136" t="s">
        <v>210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297"/>
      <c r="U55" s="136" t="s">
        <v>327</v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364" t="s">
        <v>169</v>
      </c>
      <c r="AF55" s="364"/>
      <c r="AG55" s="364"/>
      <c r="AH55" s="365"/>
      <c r="AI55" s="365"/>
      <c r="AJ55" s="28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</row>
    <row r="56" spans="1:51" s="114" customFormat="1" ht="12" customHeight="1">
      <c r="A56" s="139"/>
      <c r="B56" s="136" t="s">
        <v>211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297"/>
      <c r="U56" s="138" t="s">
        <v>302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364" t="s">
        <v>300</v>
      </c>
      <c r="AF56" s="364"/>
      <c r="AG56" s="364"/>
      <c r="AH56" s="365"/>
      <c r="AI56" s="365"/>
      <c r="AJ56" s="28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</row>
    <row r="57" spans="1:51" s="114" customFormat="1" ht="9.9499999999999993" customHeight="1">
      <c r="A57" s="139"/>
      <c r="B57" s="136" t="s">
        <v>212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297"/>
      <c r="U57" s="366" t="s">
        <v>215</v>
      </c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28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</row>
    <row r="58" spans="1:51" s="114" customFormat="1" ht="14.25" customHeight="1">
      <c r="A58" s="139"/>
      <c r="B58" s="135" t="s">
        <v>213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297"/>
      <c r="U58" s="358" t="s">
        <v>215</v>
      </c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60"/>
      <c r="AH58" s="365"/>
      <c r="AI58" s="365"/>
      <c r="AJ58" s="28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</row>
    <row r="59" spans="1:51" s="114" customFormat="1" ht="9.9499999999999993" customHeight="1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357" t="s">
        <v>245</v>
      </c>
      <c r="V59" s="357"/>
      <c r="W59" s="357"/>
      <c r="X59" s="357"/>
      <c r="Y59" s="357"/>
      <c r="Z59" s="357"/>
      <c r="AA59" s="357"/>
      <c r="AB59" s="357"/>
      <c r="AC59" s="357"/>
      <c r="AD59" s="357"/>
      <c r="AE59" s="357"/>
      <c r="AF59" s="357"/>
      <c r="AG59" s="357"/>
      <c r="AH59" s="357"/>
      <c r="AI59" s="357"/>
      <c r="AJ59" s="28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</row>
    <row r="60" spans="1:51" s="114" customFormat="1" ht="13.5" customHeight="1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349" t="s">
        <v>247</v>
      </c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50"/>
      <c r="AH60" s="414"/>
      <c r="AI60" s="415"/>
      <c r="AJ60" s="28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</row>
    <row r="61" spans="1:51" ht="9.9499999999999993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5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</row>
    <row r="62" spans="1:51" ht="9.9499999999999993" customHeight="1">
      <c r="B62" s="23"/>
      <c r="C62" s="23"/>
      <c r="D62" s="23"/>
      <c r="E62" s="23"/>
      <c r="F62" s="23"/>
      <c r="G62" s="23"/>
      <c r="H62" s="23"/>
      <c r="I62" s="23"/>
      <c r="J62" s="24"/>
      <c r="K62" s="24"/>
    </row>
    <row r="63" spans="1:51" ht="9.9499999999999993" customHeight="1">
      <c r="B63" s="23"/>
      <c r="C63" s="23"/>
      <c r="D63" s="23"/>
      <c r="E63" s="23"/>
      <c r="F63" s="23"/>
      <c r="G63" s="25"/>
      <c r="H63" s="25"/>
      <c r="I63" s="26"/>
      <c r="J63" s="26"/>
      <c r="K63" s="26"/>
    </row>
    <row r="64" spans="1:51" ht="9.9499999999999993" customHeight="1">
      <c r="B64" s="23"/>
      <c r="C64" s="23"/>
      <c r="D64" s="23"/>
      <c r="E64" s="23"/>
      <c r="F64" s="23"/>
      <c r="G64" s="23"/>
      <c r="H64" s="23"/>
      <c r="I64" s="23"/>
      <c r="J64" s="26"/>
      <c r="K64" s="26"/>
    </row>
    <row r="65" spans="2:11" ht="9.9499999999999993" customHeight="1">
      <c r="B65" s="23"/>
      <c r="C65" s="23"/>
      <c r="D65" s="23"/>
      <c r="E65" s="23"/>
      <c r="F65" s="23"/>
      <c r="G65" s="23"/>
      <c r="H65" s="23"/>
      <c r="I65" s="23"/>
      <c r="J65" s="26"/>
      <c r="K65" s="26"/>
    </row>
    <row r="66" spans="2:11" ht="9.9499999999999993" customHeight="1">
      <c r="B66" s="23"/>
      <c r="C66" s="23"/>
      <c r="D66" s="23"/>
      <c r="E66" s="23"/>
      <c r="F66" s="23"/>
      <c r="G66" s="25"/>
      <c r="H66" s="25"/>
      <c r="I66" s="27"/>
      <c r="J66" s="27"/>
      <c r="K66" s="27"/>
    </row>
    <row r="67" spans="2:11" ht="9.9499999999999993" customHeight="1">
      <c r="B67" s="23"/>
      <c r="C67" s="23"/>
      <c r="D67" s="23"/>
      <c r="E67" s="23"/>
      <c r="F67" s="23"/>
      <c r="G67" s="25"/>
      <c r="H67" s="25"/>
      <c r="I67" s="25"/>
      <c r="J67" s="28"/>
      <c r="K67" s="28"/>
    </row>
    <row r="68" spans="2:11" ht="9.9499999999999993" customHeight="1">
      <c r="B68" s="29"/>
      <c r="C68" s="29"/>
      <c r="D68" s="29"/>
      <c r="E68" s="29"/>
      <c r="F68" s="29"/>
      <c r="G68" s="29"/>
      <c r="H68" s="29"/>
      <c r="I68" s="24"/>
      <c r="J68" s="24"/>
      <c r="K68" s="24"/>
    </row>
    <row r="69" spans="2:11" ht="9.9499999999999993" customHeight="1">
      <c r="B69" s="29"/>
      <c r="C69" s="29"/>
      <c r="D69" s="29"/>
      <c r="E69" s="29"/>
      <c r="F69" s="29"/>
      <c r="G69" s="29"/>
      <c r="H69" s="29"/>
      <c r="I69" s="30"/>
      <c r="J69" s="24"/>
      <c r="K69" s="24"/>
    </row>
  </sheetData>
  <sheetProtection algorithmName="SHA-512" hashValue="LmQuKjexAAjzN939nxHOxIZeyHh7EPCB095sQJ23ROm8Xx/RKr4Y3Ur5GJlsBQbFuOI6IvOA2p0qMpnpD1MIqw==" saltValue="lkD98+XNjIpv4jzBR7CCKA==" spinCount="100000" sheet="1" selectLockedCells="1"/>
  <mergeCells count="88">
    <mergeCell ref="B25:M25"/>
    <mergeCell ref="AC25:AY25"/>
    <mergeCell ref="P25:Q25"/>
    <mergeCell ref="AA28:AI38"/>
    <mergeCell ref="B34:I34"/>
    <mergeCell ref="F33:I33"/>
    <mergeCell ref="AH60:AI60"/>
    <mergeCell ref="AE48:AG48"/>
    <mergeCell ref="AH42:AI42"/>
    <mergeCell ref="AH55:AI55"/>
    <mergeCell ref="AH56:AI56"/>
    <mergeCell ref="AH52:AI52"/>
    <mergeCell ref="AH53:AI53"/>
    <mergeCell ref="AH54:AI54"/>
    <mergeCell ref="AE52:AG52"/>
    <mergeCell ref="AE53:AG53"/>
    <mergeCell ref="B40:O40"/>
    <mergeCell ref="AH44:AI44"/>
    <mergeCell ref="AI40:AW40"/>
    <mergeCell ref="K44:L44"/>
    <mergeCell ref="B47:T47"/>
    <mergeCell ref="U48:AD48"/>
    <mergeCell ref="U47:AI47"/>
    <mergeCell ref="B43:O43"/>
    <mergeCell ref="B35:E37"/>
    <mergeCell ref="B1:AI1"/>
    <mergeCell ref="P8:Z8"/>
    <mergeCell ref="G8:L8"/>
    <mergeCell ref="R4:U4"/>
    <mergeCell ref="B2:AI2"/>
    <mergeCell ref="AA5:AC5"/>
    <mergeCell ref="Y6:Z6"/>
    <mergeCell ref="N3:O3"/>
    <mergeCell ref="AA6:AC6"/>
    <mergeCell ref="AG7:AI9"/>
    <mergeCell ref="I3:K3"/>
    <mergeCell ref="AE5:AI5"/>
    <mergeCell ref="W6:X6"/>
    <mergeCell ref="AC8:AD8"/>
    <mergeCell ref="R25:T25"/>
    <mergeCell ref="AH48:AI48"/>
    <mergeCell ref="AH49:AI49"/>
    <mergeCell ref="AE54:AG54"/>
    <mergeCell ref="AE55:AG55"/>
    <mergeCell ref="F31:I31"/>
    <mergeCell ref="AE49:AG49"/>
    <mergeCell ref="AE50:AG50"/>
    <mergeCell ref="AE51:AG51"/>
    <mergeCell ref="P45:Q45"/>
    <mergeCell ref="P40:R40"/>
    <mergeCell ref="F35:I35"/>
    <mergeCell ref="F36:I36"/>
    <mergeCell ref="F37:I37"/>
    <mergeCell ref="AH50:AI50"/>
    <mergeCell ref="X40:AG40"/>
    <mergeCell ref="B45:O45"/>
    <mergeCell ref="AH43:AI43"/>
    <mergeCell ref="B5:C5"/>
    <mergeCell ref="D4:J4"/>
    <mergeCell ref="M6:N6"/>
    <mergeCell ref="D6:J6"/>
    <mergeCell ref="Y5:Z5"/>
    <mergeCell ref="B6:C6"/>
    <mergeCell ref="K6:L6"/>
    <mergeCell ref="P4:Q4"/>
    <mergeCell ref="P6:S6"/>
    <mergeCell ref="D5:J5"/>
    <mergeCell ref="B4:C4"/>
    <mergeCell ref="F30:I30"/>
    <mergeCell ref="B28:I28"/>
    <mergeCell ref="B30:E31"/>
    <mergeCell ref="B32:E33"/>
    <mergeCell ref="U60:AG60"/>
    <mergeCell ref="AM2:AM6"/>
    <mergeCell ref="AC3:AI4"/>
    <mergeCell ref="W4:AA4"/>
    <mergeCell ref="V3:AA3"/>
    <mergeCell ref="U59:AI59"/>
    <mergeCell ref="U58:AG58"/>
    <mergeCell ref="AE6:AI6"/>
    <mergeCell ref="AE56:AG56"/>
    <mergeCell ref="AH58:AI58"/>
    <mergeCell ref="U57:AI57"/>
    <mergeCell ref="AK7:AN8"/>
    <mergeCell ref="AG10:AG11"/>
    <mergeCell ref="AH10:AH11"/>
    <mergeCell ref="AH51:AI51"/>
    <mergeCell ref="AH41:AI41"/>
  </mergeCells>
  <phoneticPr fontId="1" type="noConversion"/>
  <conditionalFormatting sqref="AA25">
    <cfRule type="cellIs" dxfId="13" priority="14" operator="lessThan">
      <formula>0</formula>
    </cfRule>
  </conditionalFormatting>
  <conditionalFormatting sqref="R25">
    <cfRule type="containsText" dxfId="12" priority="12" operator="containsText" text="&quot;New Tax Resume&quot;">
      <formula>NOT(ISERROR(SEARCH("""New Tax Resume""",R25)))</formula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5">
    <cfRule type="containsText" dxfId="11" priority="11" operator="containsText" text="New Tax Regime">
      <formula>NOT(ISERROR(SEARCH("New Tax Regime",R25)))</formula>
    </cfRule>
  </conditionalFormatting>
  <conditionalFormatting sqref="R25:T25">
    <cfRule type="containsText" dxfId="10" priority="10" operator="containsText" text="Old Tax Regime">
      <formula>NOT(ISERROR(SEARCH("Old Tax Regime",R25)))</formula>
    </cfRule>
  </conditionalFormatting>
  <conditionalFormatting sqref="AA12:AA2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{591B8535-D12D-4A15-B091-148C8A7445CB}</x14:id>
        </ext>
      </extLst>
    </cfRule>
  </conditionalFormatting>
  <conditionalFormatting sqref="AD12:AD24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{445D95BA-A71B-498A-86FA-D393DAB9D9CB}</x14:id>
        </ext>
      </extLst>
    </cfRule>
  </conditionalFormatting>
  <conditionalFormatting sqref="AA2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{AEA18DEE-2B41-4286-897E-24A486146D8C}</x14:id>
        </ext>
      </extLst>
    </cfRule>
  </conditionalFormatting>
  <conditionalFormatting sqref="AD26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{6C5A78F4-A7B3-486B-B719-F9844877FB8F}</x14:id>
        </ext>
      </extLst>
    </cfRule>
  </conditionalFormatting>
  <conditionalFormatting sqref="Z25">
    <cfRule type="containsText" dxfId="6" priority="2" operator="containsText" text="Tax Liability">
      <formula>NOT(ISERROR(SEARCH("Tax Liability",Z25)))</formula>
    </cfRule>
    <cfRule type="containsText" dxfId="7" priority="1" operator="containsText" text="&quot;Refund&quot;">
      <formula>NOT(ISERROR(SEARCH("""Refund""",Z25)))</formula>
    </cfRule>
  </conditionalFormatting>
  <dataValidations count="12">
    <dataValidation type="list" allowBlank="1" showInputMessage="1" showErrorMessage="1" promptTitle="select from dropdown menu" sqref="AE54:AG54" xr:uid="{00000000-0002-0000-0000-000000000000}">
      <formula1>$AN$54:$AN$55</formula1>
    </dataValidation>
    <dataValidation type="list" allowBlank="1" showInputMessage="1" showErrorMessage="1" sqref="AD54" xr:uid="{00000000-0002-0000-0000-000001000000}">
      <formula1>$AK$54:$AK$57</formula1>
    </dataValidation>
    <dataValidation type="list" allowBlank="1" showInputMessage="1" showErrorMessage="1" sqref="I9" xr:uid="{00000000-0002-0000-0000-000004000000}">
      <formula1>$AX$1:$AX$2</formula1>
    </dataValidation>
    <dataValidation type="list" allowBlank="1" showInputMessage="1" showErrorMessage="1" sqref="F12:F24 F26" xr:uid="{00000000-0002-0000-0000-000005000000}">
      <formula1>$BA$1:$BA$2</formula1>
    </dataValidation>
    <dataValidation type="list" allowBlank="1" showInputMessage="1" showErrorMessage="1" sqref="M9" xr:uid="{00000000-0002-0000-0000-000006000000}">
      <formula1>$AZ$1:$AZ$2</formula1>
    </dataValidation>
    <dataValidation type="list" allowBlank="1" showInputMessage="1" showErrorMessage="1" sqref="F35:I35" xr:uid="{7D8698A2-EAF8-4BFC-8DBE-3BF93A128F43}">
      <formula1>$AQ$2:$AQ$3</formula1>
    </dataValidation>
    <dataValidation type="list" allowBlank="1" showInputMessage="1" showErrorMessage="1" sqref="F36:I36" xr:uid="{C31EEA5D-9640-4902-8AC1-88264D00526E}">
      <formula1>$AR$2:$AR$3</formula1>
    </dataValidation>
    <dataValidation type="list" allowBlank="1" showInputMessage="1" showErrorMessage="1" sqref="F37:I37" xr:uid="{E16C4BE3-9CDF-428C-ACB6-2FD2EE019CC0}">
      <formula1>$AS$2:$AS$4</formula1>
    </dataValidation>
    <dataValidation type="list" allowBlank="1" showInputMessage="1" showErrorMessage="1" sqref="M6:N6" xr:uid="{00000000-0002-0000-0000-000002000000}">
      <formula1>$AV$1:$AV$3</formula1>
    </dataValidation>
    <dataValidation type="list" allowBlank="1" showInputMessage="1" showErrorMessage="1" sqref="X9" xr:uid="{51DFAF0A-3065-4301-8718-84B62B1C915F}">
      <formula1>$BC$1:$BC$2</formula1>
    </dataValidation>
    <dataValidation type="list" allowBlank="1" showInputMessage="1" showErrorMessage="1" sqref="P9 W31" xr:uid="{D5F83D96-2DBB-4E45-BB37-025B7D180530}">
      <formula1>$BD$1:$BD$2</formula1>
    </dataValidation>
    <dataValidation type="list" allowBlank="1" showInputMessage="1" showErrorMessage="1" sqref="R25" xr:uid="{5B0BD5CB-8F66-482B-BA28-903B510B6410}">
      <formula1>$BF$1:$BF$2</formula1>
    </dataValidation>
  </dataValidations>
  <hyperlinks>
    <hyperlink ref="V3" r:id="rId1" display="https://anuragvision.co.in" xr:uid="{F451742B-07E8-42D6-9926-70EF905E7B3E}"/>
    <hyperlink ref="V3:AA3" r:id="rId2" display="https://himadri.co" xr:uid="{A1711F25-1EF1-4995-9A12-2B3F0620C3BB}"/>
  </hyperlinks>
  <pageMargins left="0.75" right="0.75" top="1" bottom="1" header="0.5" footer="0.5"/>
  <pageSetup paperSize="5" scale="89" orientation="landscape" r:id="rId3"/>
  <headerFooter alignWithMargins="0"/>
  <rowBreaks count="1" manualBreakCount="1">
    <brk id="38" min="1" max="33" man="1"/>
  </rowBreaks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1B8535-D12D-4A15-B091-148C8A7445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AA12:AA24</xm:sqref>
        </x14:conditionalFormatting>
        <x14:conditionalFormatting xmlns:xm="http://schemas.microsoft.com/office/excel/2006/main">
          <x14:cfRule type="dataBar" id="{445D95BA-A71B-498A-86FA-D393DAB9D9C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AD12:AD24</xm:sqref>
        </x14:conditionalFormatting>
        <x14:conditionalFormatting xmlns:xm="http://schemas.microsoft.com/office/excel/2006/main">
          <x14:cfRule type="dataBar" id="{AEA18DEE-2B41-4286-897E-24A486146D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AA26</xm:sqref>
        </x14:conditionalFormatting>
        <x14:conditionalFormatting xmlns:xm="http://schemas.microsoft.com/office/excel/2006/main">
          <x14:cfRule type="dataBar" id="{6C5A78F4-A7B3-486B-B719-F9844877FB8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AD26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00B050"/>
  </sheetPr>
  <dimension ref="A1:AE36"/>
  <sheetViews>
    <sheetView view="pageBreakPreview" zoomScaleSheetLayoutView="100" workbookViewId="0">
      <selection activeCell="I16" sqref="I16"/>
    </sheetView>
  </sheetViews>
  <sheetFormatPr defaultColWidth="9.140625" defaultRowHeight="12.75"/>
  <cols>
    <col min="1" max="1" width="3.42578125" style="21" customWidth="1"/>
    <col min="2" max="2" width="8.28515625" style="20" customWidth="1"/>
    <col min="3" max="3" width="8.28515625" style="17" customWidth="1"/>
    <col min="4" max="4" width="5.5703125" style="17" customWidth="1"/>
    <col min="5" max="6" width="7.42578125" style="17" bestFit="1" customWidth="1"/>
    <col min="7" max="7" width="5.85546875" style="17" customWidth="1"/>
    <col min="8" max="8" width="4.85546875" style="17" bestFit="1" customWidth="1"/>
    <col min="9" max="9" width="5.42578125" style="17" bestFit="1" customWidth="1"/>
    <col min="10" max="10" width="5.140625" style="17" customWidth="1"/>
    <col min="11" max="11" width="5.42578125" style="17" bestFit="1" customWidth="1"/>
    <col min="12" max="12" width="6.85546875" style="17" customWidth="1"/>
    <col min="13" max="13" width="8.28515625" style="17" customWidth="1"/>
    <col min="14" max="14" width="7.42578125" style="17" bestFit="1" customWidth="1"/>
    <col min="15" max="15" width="7.140625" style="17" customWidth="1"/>
    <col min="16" max="16" width="6.42578125" style="17" bestFit="1" customWidth="1"/>
    <col min="17" max="17" width="6.5703125" style="17" bestFit="1" customWidth="1"/>
    <col min="18" max="18" width="6.42578125" style="17" bestFit="1" customWidth="1"/>
    <col min="19" max="19" width="6.42578125" style="17" customWidth="1"/>
    <col min="20" max="20" width="7" style="17" bestFit="1" customWidth="1"/>
    <col min="21" max="21" width="6" style="17" customWidth="1"/>
    <col min="22" max="22" width="5.140625" style="17" customWidth="1"/>
    <col min="23" max="23" width="5.5703125" style="17" customWidth="1"/>
    <col min="24" max="24" width="5.85546875" style="17" hidden="1" customWidth="1"/>
    <col min="25" max="25" width="7.42578125" style="17" bestFit="1" customWidth="1"/>
    <col min="26" max="26" width="7.140625" style="17" customWidth="1"/>
    <col min="27" max="27" width="7" style="31" bestFit="1" customWidth="1"/>
    <col min="28" max="30" width="2" style="17" customWidth="1"/>
    <col min="31" max="31" width="2.7109375" style="17" customWidth="1"/>
    <col min="32" max="16384" width="9.140625" style="17"/>
  </cols>
  <sheetData>
    <row r="1" spans="1:31" ht="24.75" customHeight="1">
      <c r="A1" s="417" t="str">
        <f>"SALARY STATEMENT F.Y."&amp;'Data Entry'!L3&amp;'Data Entry'!M3</f>
        <v>SALARY STATEMENT F.Y.2024- 2025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</row>
    <row r="2" spans="1:31" s="19" customFormat="1" ht="27.75" customHeight="1">
      <c r="A2" s="420" t="s">
        <v>3</v>
      </c>
      <c r="B2" s="391"/>
      <c r="C2" s="424" t="str">
        <f>'Data Entry'!D4&amp;"  "&amp;'Data Entry'!I4&amp;"  "&amp;'Data Entry'!J4</f>
        <v xml:space="preserve">GOPAL LAL SUTHAR    </v>
      </c>
      <c r="D2" s="424"/>
      <c r="E2" s="424"/>
      <c r="F2" s="424"/>
      <c r="G2" s="424"/>
      <c r="H2" s="424"/>
      <c r="I2" s="424"/>
      <c r="J2" s="316" t="s">
        <v>13</v>
      </c>
      <c r="K2" s="316"/>
      <c r="L2" s="424" t="str">
        <f>'Data Entry'!$R$4</f>
        <v>D.E.O.</v>
      </c>
      <c r="M2" s="424"/>
      <c r="N2" s="424"/>
      <c r="O2" s="312" t="str">
        <f>'Data Entry'!B6</f>
        <v>Posting Place</v>
      </c>
      <c r="P2" s="423">
        <f>'Data Entry'!D6</f>
        <v>0</v>
      </c>
      <c r="Q2" s="423"/>
      <c r="R2" s="423"/>
      <c r="S2" s="423"/>
      <c r="T2" s="312" t="str">
        <f>'Data Entry'!B5</f>
        <v>Office Name</v>
      </c>
      <c r="U2" s="423">
        <f>'Data Entry'!D5</f>
        <v>0</v>
      </c>
      <c r="V2" s="423"/>
      <c r="W2" s="423"/>
      <c r="X2" s="423"/>
      <c r="Y2" s="423"/>
      <c r="Z2" s="203" t="s">
        <v>249</v>
      </c>
      <c r="AA2" s="422" t="str">
        <f>'Data Entry'!W4</f>
        <v>AHZPS9525J</v>
      </c>
      <c r="AB2" s="422"/>
      <c r="AC2" s="422"/>
      <c r="AD2" s="422"/>
      <c r="AE2" s="422"/>
    </row>
    <row r="3" spans="1:31" s="22" customFormat="1" ht="18.75" customHeight="1">
      <c r="A3" s="419" t="s">
        <v>15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21" t="s">
        <v>36</v>
      </c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221"/>
      <c r="AB3" s="221"/>
      <c r="AC3" s="221"/>
      <c r="AD3" s="221"/>
      <c r="AE3" s="221"/>
    </row>
    <row r="4" spans="1:31" s="66" customFormat="1" ht="45">
      <c r="A4" s="204" t="s">
        <v>16</v>
      </c>
      <c r="B4" s="205" t="s">
        <v>17</v>
      </c>
      <c r="C4" s="205" t="s">
        <v>18</v>
      </c>
      <c r="D4" s="205" t="s">
        <v>294</v>
      </c>
      <c r="E4" s="205" t="s">
        <v>146</v>
      </c>
      <c r="F4" s="205" t="s">
        <v>19</v>
      </c>
      <c r="G4" s="205" t="str">
        <f>'Data Entry'!I9</f>
        <v>Hard Duty Allow.</v>
      </c>
      <c r="H4" s="205" t="str">
        <f>'Data Entry'!J9</f>
        <v>CCA</v>
      </c>
      <c r="I4" s="205" t="str">
        <f>'Data Entry'!K9</f>
        <v xml:space="preserve">Convey.  Allow. </v>
      </c>
      <c r="J4" s="205" t="str">
        <f>'Data Entry'!L9</f>
        <v xml:space="preserve">Washing Allow </v>
      </c>
      <c r="K4" s="205" t="str">
        <f>'Data Entry'!M9</f>
        <v>Mess Allow.</v>
      </c>
      <c r="L4" s="205" t="s">
        <v>293</v>
      </c>
      <c r="M4" s="153" t="s">
        <v>20</v>
      </c>
      <c r="N4" s="205" t="str">
        <f>IF('Data Entry'!M6="New Pension Scheme","C.Pen.Fund Emp.","GPF")</f>
        <v>GPF</v>
      </c>
      <c r="O4" s="205" t="s">
        <v>160</v>
      </c>
      <c r="P4" s="205" t="s">
        <v>253</v>
      </c>
      <c r="Q4" s="205" t="s">
        <v>295</v>
      </c>
      <c r="R4" s="205" t="s">
        <v>252</v>
      </c>
      <c r="S4" s="205" t="s">
        <v>250</v>
      </c>
      <c r="T4" s="205" t="s">
        <v>251</v>
      </c>
      <c r="U4" s="205" t="s">
        <v>1</v>
      </c>
      <c r="V4" s="205" t="s">
        <v>309</v>
      </c>
      <c r="W4" s="205" t="s">
        <v>147</v>
      </c>
      <c r="X4" s="205" t="str">
        <f>'Data Entry'!Y9</f>
        <v>Oth. Ded. (i.e. RD)</v>
      </c>
      <c r="Y4" s="205" t="s">
        <v>21</v>
      </c>
      <c r="Z4" s="153" t="s">
        <v>22</v>
      </c>
      <c r="AA4" s="206" t="s">
        <v>23</v>
      </c>
      <c r="AB4" s="431" t="s">
        <v>310</v>
      </c>
      <c r="AC4" s="431"/>
      <c r="AD4" s="431"/>
      <c r="AE4" s="431"/>
    </row>
    <row r="5" spans="1:31" s="78" customFormat="1" ht="21" customHeight="1">
      <c r="A5" s="207">
        <v>1</v>
      </c>
      <c r="B5" s="208" t="str">
        <f>'Data Entry'!$B12</f>
        <v>Mar-2024</v>
      </c>
      <c r="C5" s="209">
        <f>'Data Entry'!$G12</f>
        <v>82000</v>
      </c>
      <c r="D5" s="209">
        <f>'Data Entry'!H12</f>
        <v>0</v>
      </c>
      <c r="E5" s="209">
        <f>IF('Data Entry'!F12="FIX",0,ROUND((SUM(C5,D5))*'Data Entry'!AG12,0))</f>
        <v>41000</v>
      </c>
      <c r="F5" s="209">
        <f>IF('Data Entry'!F12="FIX",0,ROUND((C5)*'Data Entry'!AH12,0))</f>
        <v>7380</v>
      </c>
      <c r="G5" s="209" t="str">
        <f>IF('Data Entry'!$I12,'Data Entry'!$I12,"")</f>
        <v/>
      </c>
      <c r="H5" s="209" t="str">
        <f>IF('Data Entry'!$J12,'Data Entry'!$J12,"")</f>
        <v/>
      </c>
      <c r="I5" s="209" t="str">
        <f>IF('Data Entry'!$K12,'Data Entry'!$K12,"")</f>
        <v/>
      </c>
      <c r="J5" s="209" t="str">
        <f>IF('Data Entry'!$L12,'Data Entry'!$L12,"")</f>
        <v/>
      </c>
      <c r="K5" s="209" t="str">
        <f>IF('Data Entry'!$M12,'Data Entry'!$M12,"")</f>
        <v/>
      </c>
      <c r="L5" s="209" t="str">
        <f>IF('Data Entry'!$N$5="N",ROUND((C5+E5)*10%,0),"")</f>
        <v/>
      </c>
      <c r="M5" s="210">
        <f>SUM(C5:K5)</f>
        <v>130380</v>
      </c>
      <c r="N5" s="209">
        <f>IF('Data Entry'!$N$5="N",L5,'Data Entry'!P12)</f>
        <v>10000</v>
      </c>
      <c r="O5" s="209" t="str">
        <f>L5</f>
        <v/>
      </c>
      <c r="P5" s="209" t="str">
        <f>IF('Data Entry'!R12&gt;0,'Data Entry'!R12,"")</f>
        <v/>
      </c>
      <c r="Q5" s="209">
        <f>IF('Data Entry'!S12&gt;0,'Data Entry'!S12,"")</f>
        <v>7000</v>
      </c>
      <c r="R5" s="209" t="str">
        <f>IF('Data Entry'!T12&gt;0,'Data Entry'!T12,"")</f>
        <v/>
      </c>
      <c r="S5" s="209" t="str">
        <f>IF('Data Entry'!U12&gt;0,'Data Entry'!U12,"")</f>
        <v/>
      </c>
      <c r="T5" s="209" t="str">
        <f>IF('Data Entry'!V12&gt;0,'Data Entry'!V12,"")</f>
        <v/>
      </c>
      <c r="U5" s="209" t="str">
        <f>IF('Data Entry'!W12&gt;0,'Data Entry'!W12,"")</f>
        <v/>
      </c>
      <c r="V5" s="209"/>
      <c r="W5" s="211">
        <f>IF('Data Entry'!X12&gt;0,'Data Entry'!X12,"")</f>
        <v>875</v>
      </c>
      <c r="X5" s="211" t="str">
        <f>IF('Data Entry'!Y12&gt;0,'Data Entry'!Y12,"")</f>
        <v/>
      </c>
      <c r="Y5" s="209">
        <f>'Data Entry'!$Z12</f>
        <v>14000</v>
      </c>
      <c r="Z5" s="212">
        <f>SUM(N5,P5:Y5)</f>
        <v>31875</v>
      </c>
      <c r="AA5" s="211">
        <f>SUM(M5,-Z5)</f>
        <v>98505</v>
      </c>
      <c r="AB5" s="432">
        <f>SUM(L5:M5)</f>
        <v>130380</v>
      </c>
      <c r="AC5" s="432"/>
      <c r="AD5" s="432"/>
      <c r="AE5" s="432"/>
    </row>
    <row r="6" spans="1:31" s="78" customFormat="1" ht="21" customHeight="1">
      <c r="A6" s="207">
        <v>2</v>
      </c>
      <c r="B6" s="208" t="str">
        <f>'Data Entry'!$B13</f>
        <v>Apr-2024</v>
      </c>
      <c r="C6" s="209">
        <f>'Data Entry'!$G13</f>
        <v>82000</v>
      </c>
      <c r="D6" s="209">
        <f>'Data Entry'!H13</f>
        <v>0</v>
      </c>
      <c r="E6" s="209">
        <f>IF('Data Entry'!F13="FIX",0,ROUND((SUM(C6,D6))*'Data Entry'!AG13,0))</f>
        <v>41000</v>
      </c>
      <c r="F6" s="209">
        <f>IF('Data Entry'!F13="FIX",0,ROUND((C6)*'Data Entry'!AH13,0))</f>
        <v>7380</v>
      </c>
      <c r="G6" s="209" t="str">
        <f>IF('Data Entry'!$I13,'Data Entry'!$I13,"")</f>
        <v/>
      </c>
      <c r="H6" s="209" t="str">
        <f>IF('Data Entry'!$J13,'Data Entry'!$J13,"")</f>
        <v/>
      </c>
      <c r="I6" s="209" t="str">
        <f>IF('Data Entry'!$K13,'Data Entry'!$K13,"")</f>
        <v/>
      </c>
      <c r="J6" s="209" t="str">
        <f>IF('Data Entry'!$L13,'Data Entry'!$L13,"")</f>
        <v/>
      </c>
      <c r="K6" s="209" t="str">
        <f>IF('Data Entry'!$M13,'Data Entry'!$M13,"")</f>
        <v/>
      </c>
      <c r="L6" s="209" t="str">
        <f>IF('Data Entry'!$N$5="N",ROUND((C6+E6)*10%,0),"")</f>
        <v/>
      </c>
      <c r="M6" s="210">
        <f t="shared" ref="M6:M16" si="0">SUM(C6:K6)</f>
        <v>130380</v>
      </c>
      <c r="N6" s="209">
        <f>IF('Data Entry'!$N$5="N",L6,'Data Entry'!P13)</f>
        <v>10000</v>
      </c>
      <c r="O6" s="209" t="str">
        <f t="shared" ref="O6:O23" si="1">L6</f>
        <v/>
      </c>
      <c r="P6" s="209" t="str">
        <f>IF('Data Entry'!R13&gt;0,'Data Entry'!R13,"")</f>
        <v/>
      </c>
      <c r="Q6" s="209">
        <f>IF('Data Entry'!S13&gt;0,'Data Entry'!S13,"")</f>
        <v>7000</v>
      </c>
      <c r="R6" s="209" t="str">
        <f>IF('Data Entry'!T13&gt;0,'Data Entry'!T13,"")</f>
        <v/>
      </c>
      <c r="S6" s="209" t="str">
        <f>IF('Data Entry'!U13&gt;0,'Data Entry'!U13,"")</f>
        <v/>
      </c>
      <c r="T6" s="209" t="str">
        <f>IF('Data Entry'!V13&gt;0,'Data Entry'!V13,"")</f>
        <v/>
      </c>
      <c r="U6" s="209" t="str">
        <f>IF('Data Entry'!W13&gt;0,'Data Entry'!W13,"")</f>
        <v/>
      </c>
      <c r="V6" s="209">
        <f>'Data Entry'!V30+'Data Entry'!W30</f>
        <v>700</v>
      </c>
      <c r="W6" s="211">
        <f>IF('Data Entry'!X13&gt;0,'Data Entry'!X13,"")</f>
        <v>875</v>
      </c>
      <c r="X6" s="211" t="str">
        <f>IF('Data Entry'!Y13&gt;0,'Data Entry'!Y13,"")</f>
        <v/>
      </c>
      <c r="Y6" s="209">
        <f>'Data Entry'!$Z13</f>
        <v>14000</v>
      </c>
      <c r="Z6" s="212">
        <f t="shared" ref="Z6:Z23" si="2">SUM(N6,P6:Y6)</f>
        <v>32575</v>
      </c>
      <c r="AA6" s="211">
        <f t="shared" ref="AA6:AA23" si="3">SUM(M6,-Z6)</f>
        <v>97805</v>
      </c>
      <c r="AB6" s="432">
        <f t="shared" ref="AB6:AB23" si="4">SUM(L6:M6)</f>
        <v>130380</v>
      </c>
      <c r="AC6" s="432"/>
      <c r="AD6" s="432"/>
      <c r="AE6" s="432"/>
    </row>
    <row r="7" spans="1:31" s="78" customFormat="1" ht="21.95" customHeight="1">
      <c r="A7" s="207">
        <v>3</v>
      </c>
      <c r="B7" s="208" t="str">
        <f>'Data Entry'!$B14</f>
        <v>May-2024</v>
      </c>
      <c r="C7" s="209">
        <f>'Data Entry'!$G14</f>
        <v>82000</v>
      </c>
      <c r="D7" s="209">
        <f>'Data Entry'!H14</f>
        <v>0</v>
      </c>
      <c r="E7" s="209">
        <f>IF('Data Entry'!F14="FIX",0,ROUND((SUM(C7,D7))*'Data Entry'!AG14,0))</f>
        <v>41000</v>
      </c>
      <c r="F7" s="209">
        <f>IF('Data Entry'!F14="FIX",0,ROUND((C7)*'Data Entry'!AH14,0))</f>
        <v>7380</v>
      </c>
      <c r="G7" s="209" t="str">
        <f>IF('Data Entry'!$I14,'Data Entry'!$I14,"")</f>
        <v/>
      </c>
      <c r="H7" s="209" t="str">
        <f>IF('Data Entry'!$J14,'Data Entry'!$J14,"")</f>
        <v/>
      </c>
      <c r="I7" s="209" t="str">
        <f>IF('Data Entry'!$K14,'Data Entry'!$K14,"")</f>
        <v/>
      </c>
      <c r="J7" s="209" t="str">
        <f>IF('Data Entry'!$L14,'Data Entry'!$L14,"")</f>
        <v/>
      </c>
      <c r="K7" s="209" t="str">
        <f>IF('Data Entry'!$M14,'Data Entry'!$M14,"")</f>
        <v/>
      </c>
      <c r="L7" s="209" t="str">
        <f>IF('Data Entry'!$N$5="N",ROUND((C7+E7)*10%,0),"")</f>
        <v/>
      </c>
      <c r="M7" s="210">
        <f t="shared" si="0"/>
        <v>130380</v>
      </c>
      <c r="N7" s="209">
        <f>IF('Data Entry'!$N$5="N",L7,'Data Entry'!P14)</f>
        <v>10000</v>
      </c>
      <c r="O7" s="209" t="str">
        <f t="shared" si="1"/>
        <v/>
      </c>
      <c r="P7" s="209" t="str">
        <f>IF('Data Entry'!R14&gt;0,'Data Entry'!R14,"")</f>
        <v/>
      </c>
      <c r="Q7" s="209">
        <f>IF('Data Entry'!S14&gt;0,'Data Entry'!S14,"")</f>
        <v>7000</v>
      </c>
      <c r="R7" s="209" t="str">
        <f>IF('Data Entry'!T14&gt;0,'Data Entry'!T14,"")</f>
        <v/>
      </c>
      <c r="S7" s="209" t="str">
        <f>IF('Data Entry'!U14&gt;0,'Data Entry'!U14,"")</f>
        <v/>
      </c>
      <c r="T7" s="209" t="str">
        <f>IF('Data Entry'!V14&gt;0,'Data Entry'!V14,"")</f>
        <v/>
      </c>
      <c r="U7" s="209" t="str">
        <f>IF('Data Entry'!W14&gt;0,'Data Entry'!W14,"")</f>
        <v/>
      </c>
      <c r="V7" s="209"/>
      <c r="W7" s="211">
        <f>IF('Data Entry'!X14&gt;0,'Data Entry'!X14,"")</f>
        <v>875</v>
      </c>
      <c r="X7" s="211" t="str">
        <f>IF('Data Entry'!Y14&gt;0,'Data Entry'!Y14,"")</f>
        <v/>
      </c>
      <c r="Y7" s="209">
        <f>'Data Entry'!$Z14</f>
        <v>14000</v>
      </c>
      <c r="Z7" s="212">
        <f t="shared" si="2"/>
        <v>31875</v>
      </c>
      <c r="AA7" s="211">
        <f t="shared" si="3"/>
        <v>98505</v>
      </c>
      <c r="AB7" s="432">
        <f t="shared" si="4"/>
        <v>130380</v>
      </c>
      <c r="AC7" s="432"/>
      <c r="AD7" s="432"/>
      <c r="AE7" s="432"/>
    </row>
    <row r="8" spans="1:31" s="78" customFormat="1" ht="21.95" customHeight="1">
      <c r="A8" s="207">
        <v>4</v>
      </c>
      <c r="B8" s="208" t="str">
        <f>'Data Entry'!$B15</f>
        <v>Jun-2024</v>
      </c>
      <c r="C8" s="209">
        <f>'Data Entry'!$G15</f>
        <v>82000</v>
      </c>
      <c r="D8" s="209">
        <f>'Data Entry'!H15</f>
        <v>0</v>
      </c>
      <c r="E8" s="209">
        <f>IF('Data Entry'!F15="FIX",0,ROUND((SUM(C8,D8))*'Data Entry'!AG15,0))</f>
        <v>41000</v>
      </c>
      <c r="F8" s="209">
        <f>IF('Data Entry'!F15="FIX",0,ROUND((C8)*'Data Entry'!AH15,0))</f>
        <v>7380</v>
      </c>
      <c r="G8" s="209" t="str">
        <f>IF('Data Entry'!$I15,'Data Entry'!$I15,"")</f>
        <v/>
      </c>
      <c r="H8" s="209" t="str">
        <f>IF('Data Entry'!$J15,'Data Entry'!$J15,"")</f>
        <v/>
      </c>
      <c r="I8" s="209" t="str">
        <f>IF('Data Entry'!$K15,'Data Entry'!$K15,"")</f>
        <v/>
      </c>
      <c r="J8" s="209" t="str">
        <f>IF('Data Entry'!$L15,'Data Entry'!$L15,"")</f>
        <v/>
      </c>
      <c r="K8" s="209" t="str">
        <f>IF('Data Entry'!$M15,'Data Entry'!$M15,"")</f>
        <v/>
      </c>
      <c r="L8" s="209" t="str">
        <f>IF('Data Entry'!$N$5="N",ROUND((C8+E8)*10%,0),"")</f>
        <v/>
      </c>
      <c r="M8" s="210">
        <f t="shared" si="0"/>
        <v>130380</v>
      </c>
      <c r="N8" s="209">
        <f>IF('Data Entry'!$N$5="N",L8,'Data Entry'!P15)</f>
        <v>10000</v>
      </c>
      <c r="O8" s="209" t="str">
        <f t="shared" si="1"/>
        <v/>
      </c>
      <c r="P8" s="209" t="str">
        <f>IF('Data Entry'!R15&gt;0,'Data Entry'!R15,"")</f>
        <v/>
      </c>
      <c r="Q8" s="209">
        <f>IF('Data Entry'!S15&gt;0,'Data Entry'!S15,"")</f>
        <v>7000</v>
      </c>
      <c r="R8" s="209" t="str">
        <f>IF('Data Entry'!T15&gt;0,'Data Entry'!T15,"")</f>
        <v/>
      </c>
      <c r="S8" s="209" t="str">
        <f>IF('Data Entry'!U15&gt;0,'Data Entry'!U15,"")</f>
        <v/>
      </c>
      <c r="T8" s="209" t="str">
        <f>IF('Data Entry'!V15&gt;0,'Data Entry'!V15,"")</f>
        <v/>
      </c>
      <c r="U8" s="209" t="str">
        <f>IF('Data Entry'!W15&gt;0,'Data Entry'!W15,"")</f>
        <v/>
      </c>
      <c r="V8" s="209"/>
      <c r="W8" s="211">
        <f>IF('Data Entry'!X15&gt;0,'Data Entry'!X15,"")</f>
        <v>875</v>
      </c>
      <c r="X8" s="211" t="str">
        <f>IF('Data Entry'!Y15&gt;0,'Data Entry'!Y15,"")</f>
        <v/>
      </c>
      <c r="Y8" s="209">
        <f>'Data Entry'!$Z15</f>
        <v>14000</v>
      </c>
      <c r="Z8" s="212">
        <f t="shared" si="2"/>
        <v>31875</v>
      </c>
      <c r="AA8" s="211">
        <f t="shared" si="3"/>
        <v>98505</v>
      </c>
      <c r="AB8" s="432">
        <f t="shared" si="4"/>
        <v>130380</v>
      </c>
      <c r="AC8" s="432"/>
      <c r="AD8" s="432"/>
      <c r="AE8" s="432"/>
    </row>
    <row r="9" spans="1:31" s="78" customFormat="1" ht="21.95" customHeight="1">
      <c r="A9" s="207">
        <v>5</v>
      </c>
      <c r="B9" s="208" t="str">
        <f>'Data Entry'!$B16</f>
        <v>July-2024</v>
      </c>
      <c r="C9" s="209">
        <f>'Data Entry'!$G16</f>
        <v>84500</v>
      </c>
      <c r="D9" s="209">
        <f>'Data Entry'!H16</f>
        <v>0</v>
      </c>
      <c r="E9" s="209">
        <f>IF('Data Entry'!F16="FIX",0,ROUND((SUM(C9,D9))*'Data Entry'!AG16,0))</f>
        <v>42250</v>
      </c>
      <c r="F9" s="209">
        <f>IF('Data Entry'!F16="FIX",0,ROUND((C9)*'Data Entry'!AH16,0))</f>
        <v>7605</v>
      </c>
      <c r="G9" s="209" t="str">
        <f>IF('Data Entry'!$I16,'Data Entry'!$I16,"")</f>
        <v/>
      </c>
      <c r="H9" s="209" t="str">
        <f>IF('Data Entry'!$J16,'Data Entry'!$J16,"")</f>
        <v/>
      </c>
      <c r="I9" s="209" t="str">
        <f>IF('Data Entry'!$K16,'Data Entry'!$K16,"")</f>
        <v/>
      </c>
      <c r="J9" s="209" t="str">
        <f>IF('Data Entry'!$L16,'Data Entry'!$L16,"")</f>
        <v/>
      </c>
      <c r="K9" s="209" t="str">
        <f>IF('Data Entry'!$M16,'Data Entry'!$M16,"")</f>
        <v/>
      </c>
      <c r="L9" s="209" t="str">
        <f>IF('Data Entry'!$N$5="N",ROUND((C9+E9)*10%,0),"")</f>
        <v/>
      </c>
      <c r="M9" s="210">
        <f t="shared" si="0"/>
        <v>134355</v>
      </c>
      <c r="N9" s="209">
        <f>IF('Data Entry'!$N$5="N",L9,'Data Entry'!P16)</f>
        <v>10000</v>
      </c>
      <c r="O9" s="209" t="str">
        <f t="shared" si="1"/>
        <v/>
      </c>
      <c r="P9" s="209" t="str">
        <f>IF('Data Entry'!R16&gt;0,'Data Entry'!R16,"")</f>
        <v/>
      </c>
      <c r="Q9" s="209">
        <f>IF('Data Entry'!S16&gt;0,'Data Entry'!S16,"")</f>
        <v>7000</v>
      </c>
      <c r="R9" s="209" t="str">
        <f>IF('Data Entry'!T16&gt;0,'Data Entry'!T16,"")</f>
        <v/>
      </c>
      <c r="S9" s="209" t="str">
        <f>IF('Data Entry'!U16&gt;0,'Data Entry'!U16,"")</f>
        <v/>
      </c>
      <c r="T9" s="209" t="str">
        <f>IF('Data Entry'!V16&gt;0,'Data Entry'!V16,"")</f>
        <v/>
      </c>
      <c r="U9" s="209" t="str">
        <f>IF('Data Entry'!W16&gt;0,'Data Entry'!W16,"")</f>
        <v/>
      </c>
      <c r="V9" s="209"/>
      <c r="W9" s="211">
        <f>IF('Data Entry'!X16&gt;0,'Data Entry'!X16,"")</f>
        <v>875</v>
      </c>
      <c r="X9" s="211" t="str">
        <f>IF('Data Entry'!Y16&gt;0,'Data Entry'!Y16,"")</f>
        <v/>
      </c>
      <c r="Y9" s="209">
        <f>'Data Entry'!$Z16</f>
        <v>14000</v>
      </c>
      <c r="Z9" s="212">
        <f t="shared" si="2"/>
        <v>31875</v>
      </c>
      <c r="AA9" s="211">
        <f t="shared" si="3"/>
        <v>102480</v>
      </c>
      <c r="AB9" s="432">
        <f t="shared" si="4"/>
        <v>134355</v>
      </c>
      <c r="AC9" s="432"/>
      <c r="AD9" s="432"/>
      <c r="AE9" s="432"/>
    </row>
    <row r="10" spans="1:31" s="78" customFormat="1" ht="21.95" customHeight="1">
      <c r="A10" s="207">
        <v>6</v>
      </c>
      <c r="B10" s="208" t="str">
        <f>'Data Entry'!$B17</f>
        <v>Aug-2024</v>
      </c>
      <c r="C10" s="209">
        <f>'Data Entry'!$G17</f>
        <v>84500</v>
      </c>
      <c r="D10" s="209">
        <f>'Data Entry'!H17</f>
        <v>0</v>
      </c>
      <c r="E10" s="209">
        <f>IF('Data Entry'!F17="FIX",0,ROUND((SUM(C10,D10))*'Data Entry'!AG17,0))</f>
        <v>42250</v>
      </c>
      <c r="F10" s="209">
        <f>IF('Data Entry'!F17="FIX",0,ROUND((C10)*'Data Entry'!AH17,0))</f>
        <v>7605</v>
      </c>
      <c r="G10" s="209" t="str">
        <f>IF('Data Entry'!$I17,'Data Entry'!$I17,"")</f>
        <v/>
      </c>
      <c r="H10" s="209" t="str">
        <f>IF('Data Entry'!$J17,'Data Entry'!$J17,"")</f>
        <v/>
      </c>
      <c r="I10" s="209" t="str">
        <f>IF('Data Entry'!$K17,'Data Entry'!$K17,"")</f>
        <v/>
      </c>
      <c r="J10" s="209" t="str">
        <f>IF('Data Entry'!$L17,'Data Entry'!$L17,"")</f>
        <v/>
      </c>
      <c r="K10" s="209" t="str">
        <f>IF('Data Entry'!$M17,'Data Entry'!$M17,"")</f>
        <v/>
      </c>
      <c r="L10" s="209" t="str">
        <f>IF('Data Entry'!$N$5="N",ROUND((C10+E10)*10%,0),"")</f>
        <v/>
      </c>
      <c r="M10" s="210">
        <f t="shared" si="0"/>
        <v>134355</v>
      </c>
      <c r="N10" s="209">
        <f>IF('Data Entry'!$N$5="N",L10,'Data Entry'!P17)</f>
        <v>10000</v>
      </c>
      <c r="O10" s="209" t="str">
        <f t="shared" si="1"/>
        <v/>
      </c>
      <c r="P10" s="209" t="str">
        <f>IF('Data Entry'!R17&gt;0,'Data Entry'!R17,"")</f>
        <v/>
      </c>
      <c r="Q10" s="209">
        <f>IF('Data Entry'!S17&gt;0,'Data Entry'!S17,"")</f>
        <v>7000</v>
      </c>
      <c r="R10" s="209" t="str">
        <f>IF('Data Entry'!T17&gt;0,'Data Entry'!T17,"")</f>
        <v/>
      </c>
      <c r="S10" s="209" t="str">
        <f>IF('Data Entry'!U17&gt;0,'Data Entry'!U17,"")</f>
        <v/>
      </c>
      <c r="T10" s="209" t="str">
        <f>IF('Data Entry'!V17&gt;0,'Data Entry'!V17,"")</f>
        <v/>
      </c>
      <c r="U10" s="209" t="str">
        <f>IF('Data Entry'!W17&gt;0,'Data Entry'!W17,"")</f>
        <v/>
      </c>
      <c r="V10" s="209"/>
      <c r="W10" s="211">
        <f>IF('Data Entry'!X17&gt;0,'Data Entry'!X17,"")</f>
        <v>875</v>
      </c>
      <c r="X10" s="211" t="str">
        <f>IF('Data Entry'!Y17&gt;0,'Data Entry'!Y17,"")</f>
        <v/>
      </c>
      <c r="Y10" s="209">
        <f>'Data Entry'!$Z17</f>
        <v>14000</v>
      </c>
      <c r="Z10" s="212">
        <f t="shared" si="2"/>
        <v>31875</v>
      </c>
      <c r="AA10" s="211">
        <f t="shared" si="3"/>
        <v>102480</v>
      </c>
      <c r="AB10" s="432">
        <f t="shared" si="4"/>
        <v>134355</v>
      </c>
      <c r="AC10" s="432"/>
      <c r="AD10" s="432"/>
      <c r="AE10" s="432"/>
    </row>
    <row r="11" spans="1:31" s="78" customFormat="1" ht="21.95" customHeight="1">
      <c r="A11" s="207">
        <v>7</v>
      </c>
      <c r="B11" s="208" t="str">
        <f>'Data Entry'!$B18</f>
        <v>Sep-2024</v>
      </c>
      <c r="C11" s="209">
        <f>'Data Entry'!$G18</f>
        <v>84500</v>
      </c>
      <c r="D11" s="209">
        <f>'Data Entry'!H18</f>
        <v>0</v>
      </c>
      <c r="E11" s="209">
        <f>IF('Data Entry'!F18="FIX",0,ROUND((SUM(C11,D11))*'Data Entry'!AG18,0))</f>
        <v>42250</v>
      </c>
      <c r="F11" s="209">
        <f>IF('Data Entry'!F18="FIX",0,ROUND((C11)*'Data Entry'!AH18,0))</f>
        <v>7605</v>
      </c>
      <c r="G11" s="209" t="str">
        <f>IF('Data Entry'!$I18,'Data Entry'!$I18,"")</f>
        <v/>
      </c>
      <c r="H11" s="209" t="str">
        <f>IF('Data Entry'!$J18,'Data Entry'!$J18,"")</f>
        <v/>
      </c>
      <c r="I11" s="209" t="str">
        <f>IF('Data Entry'!$K18,'Data Entry'!$K18,"")</f>
        <v/>
      </c>
      <c r="J11" s="209" t="str">
        <f>IF('Data Entry'!$L18,'Data Entry'!$L18,"")</f>
        <v/>
      </c>
      <c r="K11" s="209" t="str">
        <f>IF('Data Entry'!$M18,'Data Entry'!$M18,"")</f>
        <v/>
      </c>
      <c r="L11" s="209" t="str">
        <f>IF('Data Entry'!$N$5="N",ROUND((C11+E11)*10%,0),"")</f>
        <v/>
      </c>
      <c r="M11" s="210">
        <f t="shared" si="0"/>
        <v>134355</v>
      </c>
      <c r="N11" s="209">
        <f>IF('Data Entry'!$N$5="N",L11,'Data Entry'!P18)</f>
        <v>10000</v>
      </c>
      <c r="O11" s="209" t="str">
        <f t="shared" si="1"/>
        <v/>
      </c>
      <c r="P11" s="209" t="str">
        <f>IF('Data Entry'!R18&gt;0,'Data Entry'!R18,"")</f>
        <v/>
      </c>
      <c r="Q11" s="209">
        <f>IF('Data Entry'!S18&gt;0,'Data Entry'!S18,"")</f>
        <v>7000</v>
      </c>
      <c r="R11" s="209" t="str">
        <f>IF('Data Entry'!T18&gt;0,'Data Entry'!T18,"")</f>
        <v/>
      </c>
      <c r="S11" s="209" t="str">
        <f>IF('Data Entry'!U18&gt;0,'Data Entry'!U18,"")</f>
        <v/>
      </c>
      <c r="T11" s="209" t="str">
        <f>IF('Data Entry'!V18&gt;0,'Data Entry'!V18,"")</f>
        <v/>
      </c>
      <c r="U11" s="209" t="str">
        <f>IF('Data Entry'!W18&gt;0,'Data Entry'!W18,"")</f>
        <v/>
      </c>
      <c r="V11" s="209"/>
      <c r="W11" s="211">
        <f>IF('Data Entry'!X18&gt;0,'Data Entry'!X18,"")</f>
        <v>875</v>
      </c>
      <c r="X11" s="211" t="str">
        <f>IF('Data Entry'!Y18&gt;0,'Data Entry'!Y18,"")</f>
        <v/>
      </c>
      <c r="Y11" s="209">
        <f>'Data Entry'!$Z18</f>
        <v>14000</v>
      </c>
      <c r="Z11" s="212">
        <f t="shared" si="2"/>
        <v>31875</v>
      </c>
      <c r="AA11" s="211">
        <f t="shared" si="3"/>
        <v>102480</v>
      </c>
      <c r="AB11" s="432">
        <f t="shared" si="4"/>
        <v>134355</v>
      </c>
      <c r="AC11" s="432"/>
      <c r="AD11" s="432"/>
      <c r="AE11" s="432"/>
    </row>
    <row r="12" spans="1:31" s="78" customFormat="1" ht="21.95" customHeight="1">
      <c r="A12" s="207">
        <v>8</v>
      </c>
      <c r="B12" s="208" t="str">
        <f>'Data Entry'!$B19</f>
        <v>Oct-2024</v>
      </c>
      <c r="C12" s="209">
        <f>'Data Entry'!$G19</f>
        <v>84500</v>
      </c>
      <c r="D12" s="209">
        <f>'Data Entry'!H19</f>
        <v>0</v>
      </c>
      <c r="E12" s="209">
        <f>IF('Data Entry'!F19="FIX",0,ROUND((SUM(C12,D12))*'Data Entry'!AG19,0))</f>
        <v>42250</v>
      </c>
      <c r="F12" s="209">
        <f>IF('Data Entry'!F19="FIX",0,ROUND((C12)*'Data Entry'!AH19,0))</f>
        <v>7605</v>
      </c>
      <c r="G12" s="209" t="str">
        <f>IF('Data Entry'!$I19,'Data Entry'!$I19,"")</f>
        <v/>
      </c>
      <c r="H12" s="209" t="str">
        <f>IF('Data Entry'!$J19,'Data Entry'!$J19,"")</f>
        <v/>
      </c>
      <c r="I12" s="209" t="str">
        <f>IF('Data Entry'!$K19,'Data Entry'!$K19,"")</f>
        <v/>
      </c>
      <c r="J12" s="209" t="str">
        <f>IF('Data Entry'!$L19,'Data Entry'!$L19,"")</f>
        <v/>
      </c>
      <c r="K12" s="209" t="str">
        <f>IF('Data Entry'!$M19,'Data Entry'!$M19,"")</f>
        <v/>
      </c>
      <c r="L12" s="209" t="str">
        <f>IF('Data Entry'!$N$5="N",ROUND((C12+E12)*10%,0),"")</f>
        <v/>
      </c>
      <c r="M12" s="210">
        <f t="shared" si="0"/>
        <v>134355</v>
      </c>
      <c r="N12" s="209">
        <f>IF('Data Entry'!$N$5="N",L12,'Data Entry'!P19)</f>
        <v>10000</v>
      </c>
      <c r="O12" s="209" t="str">
        <f t="shared" si="1"/>
        <v/>
      </c>
      <c r="P12" s="209" t="str">
        <f>IF('Data Entry'!R19&gt;0,'Data Entry'!R19,"")</f>
        <v/>
      </c>
      <c r="Q12" s="209">
        <f>IF('Data Entry'!S19&gt;0,'Data Entry'!S19,"")</f>
        <v>7000</v>
      </c>
      <c r="R12" s="209" t="str">
        <f>IF('Data Entry'!T19&gt;0,'Data Entry'!T19,"")</f>
        <v/>
      </c>
      <c r="S12" s="209" t="str">
        <f>IF('Data Entry'!U19&gt;0,'Data Entry'!U19,"")</f>
        <v/>
      </c>
      <c r="T12" s="209" t="str">
        <f>IF('Data Entry'!V19&gt;0,'Data Entry'!V19,"")</f>
        <v/>
      </c>
      <c r="U12" s="209" t="str">
        <f>IF('Data Entry'!W19&gt;0,'Data Entry'!W19,"")</f>
        <v/>
      </c>
      <c r="V12" s="209"/>
      <c r="W12" s="211">
        <f>IF('Data Entry'!X19&gt;0,'Data Entry'!X19,"")</f>
        <v>875</v>
      </c>
      <c r="X12" s="211" t="str">
        <f>IF('Data Entry'!Y19&gt;0,'Data Entry'!Y19,"")</f>
        <v/>
      </c>
      <c r="Y12" s="209">
        <f>'Data Entry'!$Z19</f>
        <v>14000</v>
      </c>
      <c r="Z12" s="212">
        <f t="shared" si="2"/>
        <v>31875</v>
      </c>
      <c r="AA12" s="211">
        <f t="shared" si="3"/>
        <v>102480</v>
      </c>
      <c r="AB12" s="432">
        <f t="shared" si="4"/>
        <v>134355</v>
      </c>
      <c r="AC12" s="432"/>
      <c r="AD12" s="432"/>
      <c r="AE12" s="432"/>
    </row>
    <row r="13" spans="1:31" s="78" customFormat="1" ht="21.95" customHeight="1">
      <c r="A13" s="207">
        <v>9</v>
      </c>
      <c r="B13" s="208" t="str">
        <f>'Data Entry'!$B20</f>
        <v>Nov-2024</v>
      </c>
      <c r="C13" s="209">
        <f>'Data Entry'!$G20</f>
        <v>84500</v>
      </c>
      <c r="D13" s="209">
        <f>'Data Entry'!H20</f>
        <v>0</v>
      </c>
      <c r="E13" s="209">
        <f>IF('Data Entry'!F20="FIX",0,ROUND((SUM(C13,D13))*'Data Entry'!AG20,0))</f>
        <v>44785</v>
      </c>
      <c r="F13" s="209">
        <f>IF('Data Entry'!F20="FIX",0,ROUND((C13)*'Data Entry'!AH20,0))</f>
        <v>8450</v>
      </c>
      <c r="G13" s="209" t="str">
        <f>IF('Data Entry'!$I20,'Data Entry'!$I20,"")</f>
        <v/>
      </c>
      <c r="H13" s="209" t="str">
        <f>IF('Data Entry'!$J20,'Data Entry'!$J20,"")</f>
        <v/>
      </c>
      <c r="I13" s="209" t="str">
        <f>IF('Data Entry'!$K20,'Data Entry'!$K20,"")</f>
        <v/>
      </c>
      <c r="J13" s="209" t="str">
        <f>IF('Data Entry'!$L20,'Data Entry'!$L20,"")</f>
        <v/>
      </c>
      <c r="K13" s="209" t="str">
        <f>IF('Data Entry'!$M20,'Data Entry'!$M20,"")</f>
        <v/>
      </c>
      <c r="L13" s="209" t="str">
        <f>IF('Data Entry'!$N$5="N",ROUND((C13+E13)*10%,0),"")</f>
        <v/>
      </c>
      <c r="M13" s="210">
        <f t="shared" si="0"/>
        <v>137735</v>
      </c>
      <c r="N13" s="209">
        <f>IF('Data Entry'!$N$5="N",L13,'Data Entry'!P20)</f>
        <v>10000</v>
      </c>
      <c r="O13" s="209" t="str">
        <f t="shared" si="1"/>
        <v/>
      </c>
      <c r="P13" s="209" t="str">
        <f>IF('Data Entry'!R20&gt;0,'Data Entry'!R20,"")</f>
        <v/>
      </c>
      <c r="Q13" s="209">
        <f>IF('Data Entry'!S20&gt;0,'Data Entry'!S20,"")</f>
        <v>7000</v>
      </c>
      <c r="R13" s="209" t="str">
        <f>IF('Data Entry'!T20&gt;0,'Data Entry'!T20,"")</f>
        <v/>
      </c>
      <c r="S13" s="209" t="str">
        <f>IF('Data Entry'!U20&gt;0,'Data Entry'!U20,"")</f>
        <v/>
      </c>
      <c r="T13" s="209" t="str">
        <f>IF('Data Entry'!V20&gt;0,'Data Entry'!V20,"")</f>
        <v/>
      </c>
      <c r="U13" s="209" t="str">
        <f>IF('Data Entry'!W20&gt;0,'Data Entry'!W20,"")</f>
        <v/>
      </c>
      <c r="V13" s="209"/>
      <c r="W13" s="211">
        <f>IF('Data Entry'!X20&gt;0,'Data Entry'!X20,"")</f>
        <v>875</v>
      </c>
      <c r="X13" s="211" t="str">
        <f>IF('Data Entry'!Y20&gt;0,'Data Entry'!Y20,"")</f>
        <v/>
      </c>
      <c r="Y13" s="209">
        <f>'Data Entry'!$Z20</f>
        <v>14000</v>
      </c>
      <c r="Z13" s="212">
        <f t="shared" si="2"/>
        <v>31875</v>
      </c>
      <c r="AA13" s="211">
        <f t="shared" si="3"/>
        <v>105860</v>
      </c>
      <c r="AB13" s="432">
        <f t="shared" si="4"/>
        <v>137735</v>
      </c>
      <c r="AC13" s="432"/>
      <c r="AD13" s="432"/>
      <c r="AE13" s="432"/>
    </row>
    <row r="14" spans="1:31" s="78" customFormat="1" ht="21.95" customHeight="1">
      <c r="A14" s="207">
        <v>10</v>
      </c>
      <c r="B14" s="208" t="str">
        <f>'Data Entry'!$B21</f>
        <v>Dec-2024</v>
      </c>
      <c r="C14" s="209">
        <f>'Data Entry'!$G21</f>
        <v>84500</v>
      </c>
      <c r="D14" s="209">
        <f>'Data Entry'!H21</f>
        <v>0</v>
      </c>
      <c r="E14" s="209">
        <f>IF('Data Entry'!F21="FIX",0,ROUND((SUM(C14,D14))*'Data Entry'!AG21,0))</f>
        <v>44785</v>
      </c>
      <c r="F14" s="209">
        <f>IF('Data Entry'!F21="FIX",0,ROUND((C14)*'Data Entry'!AH21,0))</f>
        <v>8450</v>
      </c>
      <c r="G14" s="209" t="str">
        <f>IF('Data Entry'!$I21,'Data Entry'!$I21,"")</f>
        <v/>
      </c>
      <c r="H14" s="209" t="str">
        <f>IF('Data Entry'!$J21,'Data Entry'!$J21,"")</f>
        <v/>
      </c>
      <c r="I14" s="209" t="str">
        <f>IF('Data Entry'!$K21,'Data Entry'!$K21,"")</f>
        <v/>
      </c>
      <c r="J14" s="209" t="str">
        <f>IF('Data Entry'!$L21,'Data Entry'!$L21,"")</f>
        <v/>
      </c>
      <c r="K14" s="209" t="str">
        <f>IF('Data Entry'!$M21,'Data Entry'!$M21,"")</f>
        <v/>
      </c>
      <c r="L14" s="209" t="str">
        <f>IF('Data Entry'!$N$5="N",ROUND((C14+E14)*10%,0),"")</f>
        <v/>
      </c>
      <c r="M14" s="210">
        <f t="shared" si="0"/>
        <v>137735</v>
      </c>
      <c r="N14" s="209">
        <f>IF('Data Entry'!$N$5="N",L14,'Data Entry'!P21)</f>
        <v>10000</v>
      </c>
      <c r="O14" s="209" t="str">
        <f t="shared" si="1"/>
        <v/>
      </c>
      <c r="P14" s="209" t="str">
        <f>IF('Data Entry'!R21&gt;0,'Data Entry'!R21,"")</f>
        <v/>
      </c>
      <c r="Q14" s="209">
        <f>IF('Data Entry'!S21&gt;0,'Data Entry'!S21,"")</f>
        <v>7000</v>
      </c>
      <c r="R14" s="209" t="str">
        <f>IF('Data Entry'!T21&gt;0,'Data Entry'!T21,"")</f>
        <v/>
      </c>
      <c r="S14" s="209" t="str">
        <f>IF('Data Entry'!U21&gt;0,'Data Entry'!U21,"")</f>
        <v/>
      </c>
      <c r="T14" s="209" t="str">
        <f>IF('Data Entry'!V21&gt;0,'Data Entry'!V21,"")</f>
        <v/>
      </c>
      <c r="U14" s="209" t="str">
        <f>IF('Data Entry'!W21&gt;0,'Data Entry'!W21,"")</f>
        <v/>
      </c>
      <c r="V14" s="209">
        <f>'Data Entry'!V31</f>
        <v>500</v>
      </c>
      <c r="W14" s="211">
        <f>IF('Data Entry'!X21&gt;0,'Data Entry'!X21,"")</f>
        <v>875</v>
      </c>
      <c r="X14" s="211" t="str">
        <f>IF('Data Entry'!Y21&gt;0,'Data Entry'!Y21,"")</f>
        <v/>
      </c>
      <c r="Y14" s="209">
        <f>'Data Entry'!$Z21</f>
        <v>14000</v>
      </c>
      <c r="Z14" s="212">
        <f t="shared" si="2"/>
        <v>32375</v>
      </c>
      <c r="AA14" s="211">
        <f t="shared" si="3"/>
        <v>105360</v>
      </c>
      <c r="AB14" s="432">
        <f t="shared" si="4"/>
        <v>137735</v>
      </c>
      <c r="AC14" s="432"/>
      <c r="AD14" s="432"/>
      <c r="AE14" s="432"/>
    </row>
    <row r="15" spans="1:31" s="78" customFormat="1" ht="21.95" customHeight="1">
      <c r="A15" s="207">
        <v>11</v>
      </c>
      <c r="B15" s="208" t="str">
        <f>'Data Entry'!$B22</f>
        <v>Jan-2025</v>
      </c>
      <c r="C15" s="209">
        <f>'Data Entry'!$G22</f>
        <v>84500</v>
      </c>
      <c r="D15" s="209">
        <f>'Data Entry'!H22</f>
        <v>0</v>
      </c>
      <c r="E15" s="209">
        <f>IF('Data Entry'!F22="FIX",0,ROUND((SUM(C15,D15))*'Data Entry'!AG22,0))</f>
        <v>44785</v>
      </c>
      <c r="F15" s="209">
        <f>IF('Data Entry'!F22="FIX",0,ROUND((C15)*'Data Entry'!AH22,0))</f>
        <v>8450</v>
      </c>
      <c r="G15" s="209" t="str">
        <f>IF('Data Entry'!$I22,'Data Entry'!$I22,"")</f>
        <v/>
      </c>
      <c r="H15" s="209" t="str">
        <f>IF('Data Entry'!$J22,'Data Entry'!$J22,"")</f>
        <v/>
      </c>
      <c r="I15" s="209" t="str">
        <f>IF('Data Entry'!$K22,'Data Entry'!$K22,"")</f>
        <v/>
      </c>
      <c r="J15" s="209" t="str">
        <f>IF('Data Entry'!$L22,'Data Entry'!$L22,"")</f>
        <v/>
      </c>
      <c r="K15" s="209" t="str">
        <f>IF('Data Entry'!$M22,'Data Entry'!$M22,"")</f>
        <v/>
      </c>
      <c r="L15" s="209" t="str">
        <f>IF('Data Entry'!$N$5="N",ROUND((C15+E15)*10%,0),"")</f>
        <v/>
      </c>
      <c r="M15" s="210">
        <f t="shared" si="0"/>
        <v>137735</v>
      </c>
      <c r="N15" s="209">
        <f>IF('Data Entry'!$N$5="N",L15,'Data Entry'!P22)</f>
        <v>10000</v>
      </c>
      <c r="O15" s="209" t="str">
        <f t="shared" si="1"/>
        <v/>
      </c>
      <c r="P15" s="209" t="str">
        <f>IF('Data Entry'!R22&gt;0,'Data Entry'!R22,"")</f>
        <v/>
      </c>
      <c r="Q15" s="209">
        <f>IF('Data Entry'!S22&gt;0,'Data Entry'!S22,"")</f>
        <v>7000</v>
      </c>
      <c r="R15" s="209" t="str">
        <f>IF('Data Entry'!T22&gt;0,'Data Entry'!T22,"")</f>
        <v/>
      </c>
      <c r="S15" s="209" t="str">
        <f>IF('Data Entry'!U22&gt;0,'Data Entry'!U22,"")</f>
        <v/>
      </c>
      <c r="T15" s="209" t="str">
        <f>IF('Data Entry'!V22&gt;0,'Data Entry'!V22,"")</f>
        <v/>
      </c>
      <c r="U15" s="209" t="str">
        <f>IF('Data Entry'!W22&gt;0,'Data Entry'!W22,"")</f>
        <v/>
      </c>
      <c r="V15" s="209"/>
      <c r="W15" s="211">
        <f>IF('Data Entry'!X22&gt;0,'Data Entry'!X22,"")</f>
        <v>875</v>
      </c>
      <c r="X15" s="211" t="str">
        <f>IF('Data Entry'!Y22&gt;0,'Data Entry'!Y22,"")</f>
        <v/>
      </c>
      <c r="Y15" s="209">
        <f>'Data Entry'!$Z22</f>
        <v>14000</v>
      </c>
      <c r="Z15" s="212">
        <f t="shared" si="2"/>
        <v>31875</v>
      </c>
      <c r="AA15" s="211">
        <f t="shared" si="3"/>
        <v>105860</v>
      </c>
      <c r="AB15" s="432">
        <f t="shared" si="4"/>
        <v>137735</v>
      </c>
      <c r="AC15" s="432"/>
      <c r="AD15" s="432"/>
      <c r="AE15" s="432"/>
    </row>
    <row r="16" spans="1:31" s="78" customFormat="1" ht="21.95" customHeight="1">
      <c r="A16" s="207">
        <v>12</v>
      </c>
      <c r="B16" s="208" t="str">
        <f>'Data Entry'!$B23</f>
        <v>Feb-2025</v>
      </c>
      <c r="C16" s="209">
        <f>'Data Entry'!$G23</f>
        <v>84500</v>
      </c>
      <c r="D16" s="209">
        <f>'Data Entry'!H23</f>
        <v>0</v>
      </c>
      <c r="E16" s="209">
        <f>IF('Data Entry'!F23="FIX",0,ROUND((SUM(C16,D16))*'Data Entry'!AG23,0))</f>
        <v>44785</v>
      </c>
      <c r="F16" s="209">
        <f>IF('Data Entry'!F23="FIX",0,ROUND((C16)*'Data Entry'!AH23,0))</f>
        <v>8450</v>
      </c>
      <c r="G16" s="209" t="str">
        <f>IF('Data Entry'!$I23,'Data Entry'!$I23,"")</f>
        <v/>
      </c>
      <c r="H16" s="209" t="str">
        <f>IF('Data Entry'!$J23,'Data Entry'!$J23,"")</f>
        <v/>
      </c>
      <c r="I16" s="209" t="str">
        <f>IF('Data Entry'!$K23,'Data Entry'!$K23,"")</f>
        <v/>
      </c>
      <c r="J16" s="209" t="str">
        <f>IF('Data Entry'!$L23,'Data Entry'!$L23,"")</f>
        <v/>
      </c>
      <c r="K16" s="209" t="str">
        <f>IF('Data Entry'!$M23,'Data Entry'!$M23,"")</f>
        <v/>
      </c>
      <c r="L16" s="209" t="str">
        <f>IF('Data Entry'!$N$5="N",ROUND((C16+E16)*10%,0),"")</f>
        <v/>
      </c>
      <c r="M16" s="210">
        <f t="shared" si="0"/>
        <v>137735</v>
      </c>
      <c r="N16" s="209">
        <f>IF('Data Entry'!$N$5="N",L16,'Data Entry'!P23)</f>
        <v>10000</v>
      </c>
      <c r="O16" s="209" t="str">
        <f t="shared" si="1"/>
        <v/>
      </c>
      <c r="P16" s="209" t="str">
        <f>IF('Data Entry'!R23&gt;0,'Data Entry'!R23,"")</f>
        <v/>
      </c>
      <c r="Q16" s="209">
        <f>IF('Data Entry'!S23&gt;0,'Data Entry'!S23,"")</f>
        <v>7000</v>
      </c>
      <c r="R16" s="209" t="str">
        <f>IF('Data Entry'!T23&gt;0,'Data Entry'!T23,"")</f>
        <v/>
      </c>
      <c r="S16" s="209" t="str">
        <f>IF('Data Entry'!U23&gt;0,'Data Entry'!U23,"")</f>
        <v/>
      </c>
      <c r="T16" s="209" t="str">
        <f>IF('Data Entry'!V23&gt;0,'Data Entry'!V23,"")</f>
        <v/>
      </c>
      <c r="U16" s="209" t="str">
        <f>IF('Data Entry'!W23&gt;0,'Data Entry'!W23,"")</f>
        <v/>
      </c>
      <c r="V16" s="209"/>
      <c r="W16" s="211">
        <f>IF('Data Entry'!X23&gt;0,'Data Entry'!X23,"")</f>
        <v>875</v>
      </c>
      <c r="X16" s="211" t="str">
        <f>IF('Data Entry'!Y23&gt;0,'Data Entry'!Y23,"")</f>
        <v/>
      </c>
      <c r="Y16" s="209">
        <f>'Data Entry'!$Z23</f>
        <v>14000</v>
      </c>
      <c r="Z16" s="212">
        <f t="shared" si="2"/>
        <v>31875</v>
      </c>
      <c r="AA16" s="211">
        <f t="shared" si="3"/>
        <v>105860</v>
      </c>
      <c r="AB16" s="432">
        <f t="shared" si="4"/>
        <v>137735</v>
      </c>
      <c r="AC16" s="432"/>
      <c r="AD16" s="432"/>
      <c r="AE16" s="432"/>
    </row>
    <row r="17" spans="1:31" s="78" customFormat="1" ht="21.95" customHeight="1">
      <c r="A17" s="207">
        <v>15</v>
      </c>
      <c r="B17" s="213" t="str">
        <f>'Data Entry'!T32</f>
        <v>Bonus</v>
      </c>
      <c r="C17" s="214">
        <f>'Data Entry'!V32</f>
        <v>6774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0">
        <f>SUM(C17:K17)</f>
        <v>6774</v>
      </c>
      <c r="N17" s="214">
        <f>'Data Entry'!W32</f>
        <v>1694</v>
      </c>
      <c r="O17" s="214"/>
      <c r="P17" s="214"/>
      <c r="Q17" s="214"/>
      <c r="R17" s="214"/>
      <c r="S17" s="214"/>
      <c r="T17" s="214"/>
      <c r="U17" s="214"/>
      <c r="V17" s="211"/>
      <c r="W17" s="211"/>
      <c r="X17" s="211"/>
      <c r="Y17" s="214"/>
      <c r="Z17" s="212">
        <f t="shared" si="2"/>
        <v>1694</v>
      </c>
      <c r="AA17" s="211">
        <f t="shared" si="3"/>
        <v>5080</v>
      </c>
      <c r="AB17" s="432">
        <f t="shared" si="4"/>
        <v>6774</v>
      </c>
      <c r="AC17" s="432"/>
      <c r="AD17" s="432"/>
      <c r="AE17" s="432"/>
    </row>
    <row r="18" spans="1:31" s="78" customFormat="1" ht="21.95" customHeight="1">
      <c r="A18" s="207">
        <v>16</v>
      </c>
      <c r="B18" s="213" t="str">
        <f>'Data Entry'!B32</f>
        <v>Surrender</v>
      </c>
      <c r="C18" s="214">
        <f>'Data Entry'!J33</f>
        <v>0</v>
      </c>
      <c r="D18" s="214"/>
      <c r="E18" s="214">
        <f>'Data Entry'!K33</f>
        <v>0</v>
      </c>
      <c r="F18" s="214"/>
      <c r="G18" s="214"/>
      <c r="H18" s="214"/>
      <c r="I18" s="214"/>
      <c r="J18" s="214"/>
      <c r="K18" s="214"/>
      <c r="L18" s="214"/>
      <c r="M18" s="210">
        <f>SUM(C18:K18)</f>
        <v>0</v>
      </c>
      <c r="N18" s="214"/>
      <c r="O18" s="214"/>
      <c r="P18" s="214"/>
      <c r="Q18" s="214"/>
      <c r="R18" s="214"/>
      <c r="S18" s="214"/>
      <c r="T18" s="214"/>
      <c r="U18" s="214"/>
      <c r="V18" s="211"/>
      <c r="W18" s="211"/>
      <c r="X18" s="211"/>
      <c r="Y18" s="214"/>
      <c r="Z18" s="212">
        <f t="shared" si="2"/>
        <v>0</v>
      </c>
      <c r="AA18" s="211">
        <f t="shared" si="3"/>
        <v>0</v>
      </c>
      <c r="AB18" s="432">
        <f t="shared" si="4"/>
        <v>0</v>
      </c>
      <c r="AC18" s="432"/>
      <c r="AD18" s="432"/>
      <c r="AE18" s="432"/>
    </row>
    <row r="19" spans="1:31" s="78" customFormat="1" ht="21.95" customHeight="1">
      <c r="A19" s="207">
        <v>17</v>
      </c>
      <c r="B19" s="213" t="str">
        <f>'Data Entry'!F30</f>
        <v>DA Arr 1</v>
      </c>
      <c r="C19" s="214"/>
      <c r="D19" s="214"/>
      <c r="E19" s="214">
        <f>'Data Entry'!K30</f>
        <v>6560</v>
      </c>
      <c r="F19" s="214" t="str">
        <f>IF('Data Entry'!L30&gt;0,'Data Entry'!L30,"")</f>
        <v/>
      </c>
      <c r="G19" s="214"/>
      <c r="H19" s="214"/>
      <c r="I19" s="214"/>
      <c r="J19" s="214"/>
      <c r="K19" s="214"/>
      <c r="L19" s="214" t="str">
        <f>IF('Data Entry'!Q30&gt;0,'Data Entry'!Q30,"")</f>
        <v/>
      </c>
      <c r="M19" s="210">
        <f>SUM(C19:K19)</f>
        <v>6560</v>
      </c>
      <c r="N19" s="214">
        <f>IF('Data Entry'!$N$5="N",L19,'Data Entry'!P30)</f>
        <v>6560</v>
      </c>
      <c r="O19" s="214" t="str">
        <f t="shared" ref="O19" si="5">L19</f>
        <v/>
      </c>
      <c r="P19" s="214"/>
      <c r="Q19" s="214"/>
      <c r="R19" s="214"/>
      <c r="S19" s="214"/>
      <c r="T19" s="214"/>
      <c r="U19" s="214"/>
      <c r="V19" s="211"/>
      <c r="W19" s="211"/>
      <c r="X19" s="211"/>
      <c r="Y19" s="214"/>
      <c r="Z19" s="215">
        <f t="shared" si="2"/>
        <v>6560</v>
      </c>
      <c r="AA19" s="211">
        <f t="shared" si="3"/>
        <v>0</v>
      </c>
      <c r="AB19" s="432">
        <f t="shared" si="4"/>
        <v>6560</v>
      </c>
      <c r="AC19" s="432"/>
      <c r="AD19" s="432"/>
      <c r="AE19" s="432"/>
    </row>
    <row r="20" spans="1:31" s="78" customFormat="1" ht="21.95" customHeight="1">
      <c r="A20" s="207">
        <v>18</v>
      </c>
      <c r="B20" s="213" t="str">
        <f>'Data Entry'!F31</f>
        <v>DA Arr 2</v>
      </c>
      <c r="C20" s="214"/>
      <c r="D20" s="214"/>
      <c r="E20" s="214">
        <f>'Data Entry'!K31</f>
        <v>10140</v>
      </c>
      <c r="F20" s="214" t="str">
        <f>IF('Data Entry'!L31&gt;0,'Data Entry'!L31,"")</f>
        <v/>
      </c>
      <c r="G20" s="214"/>
      <c r="H20" s="214"/>
      <c r="I20" s="214"/>
      <c r="J20" s="214"/>
      <c r="K20" s="214"/>
      <c r="L20" s="214" t="str">
        <f>IF('Data Entry'!Q31&gt;0,'Data Entry'!Q31,"")</f>
        <v/>
      </c>
      <c r="M20" s="210">
        <f t="shared" ref="M20" si="6">SUM(C20:K20)</f>
        <v>10140</v>
      </c>
      <c r="N20" s="214">
        <f>IF('Data Entry'!$N$5="N",L20,'Data Entry'!P31)</f>
        <v>10140</v>
      </c>
      <c r="O20" s="214" t="str">
        <f t="shared" si="1"/>
        <v/>
      </c>
      <c r="P20" s="214"/>
      <c r="Q20" s="214"/>
      <c r="R20" s="214"/>
      <c r="S20" s="214"/>
      <c r="T20" s="214"/>
      <c r="U20" s="214"/>
      <c r="V20" s="211"/>
      <c r="W20" s="211"/>
      <c r="X20" s="211"/>
      <c r="Y20" s="214"/>
      <c r="Z20" s="215">
        <f t="shared" si="2"/>
        <v>10140</v>
      </c>
      <c r="AA20" s="211">
        <f t="shared" si="3"/>
        <v>0</v>
      </c>
      <c r="AB20" s="432">
        <f t="shared" si="4"/>
        <v>10140</v>
      </c>
      <c r="AC20" s="432"/>
      <c r="AD20" s="432"/>
      <c r="AE20" s="432"/>
    </row>
    <row r="21" spans="1:31" s="78" customFormat="1" ht="21.95" customHeight="1">
      <c r="A21" s="207">
        <v>19</v>
      </c>
      <c r="B21" s="178" t="str">
        <f>'Data Entry'!F35</f>
        <v>Salary Arrear i</v>
      </c>
      <c r="C21" s="216" t="str">
        <f>IF('Data Entry'!J35&gt;0,'Data Entry'!J35,"")</f>
        <v/>
      </c>
      <c r="D21" s="216">
        <f>'Data Entry'!M35</f>
        <v>0</v>
      </c>
      <c r="E21" s="216" t="str">
        <f>IF('Data Entry'!K35&gt;0,'Data Entry'!K35,"")</f>
        <v/>
      </c>
      <c r="F21" s="216" t="str">
        <f>IF('Data Entry'!L35&gt;0,'Data Entry'!L35,"")</f>
        <v/>
      </c>
      <c r="G21" s="216"/>
      <c r="H21" s="216"/>
      <c r="I21" s="216"/>
      <c r="J21" s="216"/>
      <c r="K21" s="216"/>
      <c r="L21" s="216" t="str">
        <f>IF('Data Entry'!Q35&gt;0,'Data Entry'!Q35,"")</f>
        <v/>
      </c>
      <c r="M21" s="217">
        <f>SUM(C21:K21)</f>
        <v>0</v>
      </c>
      <c r="N21" s="216">
        <f>IF('Data Entry'!$N$5="N",L21,'Data Entry'!P35)</f>
        <v>0</v>
      </c>
      <c r="O21" s="216" t="str">
        <f t="shared" si="1"/>
        <v/>
      </c>
      <c r="P21" s="216"/>
      <c r="Q21" s="216" t="str">
        <f>IF('Data Entry'!S35&gt;0,'Data Entry'!S35,"")</f>
        <v/>
      </c>
      <c r="R21" s="216"/>
      <c r="S21" s="216"/>
      <c r="T21" s="216"/>
      <c r="U21" s="216"/>
      <c r="V21" s="218"/>
      <c r="W21" s="218"/>
      <c r="X21" s="218"/>
      <c r="Y21" s="218">
        <f>'Data Entry'!Z35</f>
        <v>0</v>
      </c>
      <c r="Z21" s="215">
        <f t="shared" si="2"/>
        <v>0</v>
      </c>
      <c r="AA21" s="211">
        <f t="shared" si="3"/>
        <v>0</v>
      </c>
      <c r="AB21" s="432">
        <f t="shared" si="4"/>
        <v>0</v>
      </c>
      <c r="AC21" s="432"/>
      <c r="AD21" s="432"/>
      <c r="AE21" s="432"/>
    </row>
    <row r="22" spans="1:31" s="78" customFormat="1" ht="21.95" customHeight="1">
      <c r="A22" s="207">
        <v>20</v>
      </c>
      <c r="B22" s="178" t="str">
        <f>'Data Entry'!F36</f>
        <v>Salary Arrear ii</v>
      </c>
      <c r="C22" s="216" t="str">
        <f>IF('Data Entry'!J36&gt;0,'Data Entry'!J36,"")</f>
        <v/>
      </c>
      <c r="D22" s="216">
        <f>'Data Entry'!M36</f>
        <v>0</v>
      </c>
      <c r="E22" s="216" t="str">
        <f>IF('Data Entry'!K36&gt;0,'Data Entry'!K36,"")</f>
        <v/>
      </c>
      <c r="F22" s="216" t="str">
        <f>IF('Data Entry'!L36&gt;0,'Data Entry'!L36,"")</f>
        <v/>
      </c>
      <c r="G22" s="216"/>
      <c r="H22" s="216"/>
      <c r="I22" s="216"/>
      <c r="J22" s="216"/>
      <c r="K22" s="216"/>
      <c r="L22" s="216" t="str">
        <f>IF('Data Entry'!Q36&gt;0,'Data Entry'!Q36,"")</f>
        <v/>
      </c>
      <c r="M22" s="217">
        <f>SUM(C22:K22)</f>
        <v>0</v>
      </c>
      <c r="N22" s="216">
        <f>IF('Data Entry'!$N$5="N",L22,'Data Entry'!P36)</f>
        <v>0</v>
      </c>
      <c r="O22" s="216" t="str">
        <f t="shared" si="1"/>
        <v/>
      </c>
      <c r="P22" s="216"/>
      <c r="Q22" s="216" t="str">
        <f>IF('Data Entry'!S36&gt;0,'Data Entry'!S36,"")</f>
        <v/>
      </c>
      <c r="R22" s="216"/>
      <c r="S22" s="216"/>
      <c r="T22" s="216"/>
      <c r="U22" s="216"/>
      <c r="V22" s="218"/>
      <c r="W22" s="218"/>
      <c r="X22" s="218"/>
      <c r="Y22" s="218" t="str">
        <f>IF('Data Entry'!Z36&gt;0,'Data Entry'!Z36,"")</f>
        <v/>
      </c>
      <c r="Z22" s="215">
        <f t="shared" si="2"/>
        <v>0</v>
      </c>
      <c r="AA22" s="211">
        <f t="shared" si="3"/>
        <v>0</v>
      </c>
      <c r="AB22" s="432">
        <f t="shared" si="4"/>
        <v>0</v>
      </c>
      <c r="AC22" s="432"/>
      <c r="AD22" s="432"/>
      <c r="AE22" s="432"/>
    </row>
    <row r="23" spans="1:31" s="78" customFormat="1" ht="21" customHeight="1" thickBot="1">
      <c r="A23" s="207">
        <v>21</v>
      </c>
      <c r="B23" s="178" t="str">
        <f>'Data Entry'!F37</f>
        <v>Salary Arrear iii</v>
      </c>
      <c r="C23" s="216" t="str">
        <f>IF('Data Entry'!J37&gt;0,'Data Entry'!J37,"")</f>
        <v/>
      </c>
      <c r="D23" s="216">
        <f>'Data Entry'!M37</f>
        <v>0</v>
      </c>
      <c r="E23" s="216" t="str">
        <f>IF('Data Entry'!K37&gt;0,'Data Entry'!J37,"")</f>
        <v/>
      </c>
      <c r="F23" s="216" t="str">
        <f>IF('Data Entry'!L37&gt;0,'Data Entry'!L37,"")</f>
        <v/>
      </c>
      <c r="G23" s="216"/>
      <c r="H23" s="216"/>
      <c r="I23" s="216"/>
      <c r="J23" s="216"/>
      <c r="K23" s="216"/>
      <c r="L23" s="216" t="str">
        <f>IF('Data Entry'!Q37&gt;0,'Data Entry'!Q37,"")</f>
        <v/>
      </c>
      <c r="M23" s="217">
        <f>SUM(C23:K23)</f>
        <v>0</v>
      </c>
      <c r="N23" s="216">
        <f>IF('Data Entry'!$N$5="N",L23,'Data Entry'!P37)</f>
        <v>0</v>
      </c>
      <c r="O23" s="216" t="str">
        <f t="shared" si="1"/>
        <v/>
      </c>
      <c r="P23" s="216"/>
      <c r="Q23" s="216" t="str">
        <f>IF('Data Entry'!S37&gt;0,'Data Entry'!S37,"")</f>
        <v/>
      </c>
      <c r="R23" s="216"/>
      <c r="S23" s="216"/>
      <c r="T23" s="216"/>
      <c r="U23" s="216"/>
      <c r="V23" s="216"/>
      <c r="W23" s="216"/>
      <c r="X23" s="216"/>
      <c r="Y23" s="218" t="str">
        <f>IF('Data Entry'!Z37&gt;0,'Data Entry'!Z37,"")</f>
        <v/>
      </c>
      <c r="Z23" s="215">
        <f t="shared" si="2"/>
        <v>0</v>
      </c>
      <c r="AA23" s="211">
        <f t="shared" si="3"/>
        <v>0</v>
      </c>
      <c r="AB23" s="432">
        <f t="shared" si="4"/>
        <v>0</v>
      </c>
      <c r="AC23" s="432"/>
      <c r="AD23" s="432"/>
      <c r="AE23" s="432"/>
    </row>
    <row r="24" spans="1:31" s="116" customFormat="1" ht="27" customHeight="1" thickBot="1">
      <c r="A24" s="433" t="s">
        <v>4</v>
      </c>
      <c r="B24" s="434"/>
      <c r="C24" s="219">
        <f t="shared" ref="C24:L24" si="7">SUM(C5:C23)</f>
        <v>1010774</v>
      </c>
      <c r="D24" s="219">
        <f t="shared" si="7"/>
        <v>0</v>
      </c>
      <c r="E24" s="219">
        <f t="shared" si="7"/>
        <v>528840</v>
      </c>
      <c r="F24" s="219">
        <f t="shared" si="7"/>
        <v>93740</v>
      </c>
      <c r="G24" s="219">
        <f t="shared" si="7"/>
        <v>0</v>
      </c>
      <c r="H24" s="219">
        <f t="shared" si="7"/>
        <v>0</v>
      </c>
      <c r="I24" s="219">
        <f t="shared" si="7"/>
        <v>0</v>
      </c>
      <c r="J24" s="219">
        <f t="shared" si="7"/>
        <v>0</v>
      </c>
      <c r="K24" s="219">
        <f t="shared" si="7"/>
        <v>0</v>
      </c>
      <c r="L24" s="219">
        <f t="shared" si="7"/>
        <v>0</v>
      </c>
      <c r="M24" s="219">
        <f>SUM(M5:M23)</f>
        <v>1633354</v>
      </c>
      <c r="N24" s="219">
        <f>SUM(N5:N23)</f>
        <v>138394</v>
      </c>
      <c r="O24" s="219">
        <f t="shared" ref="O24:AA24" si="8">SUM(O5:O23)</f>
        <v>0</v>
      </c>
      <c r="P24" s="219">
        <f t="shared" si="8"/>
        <v>0</v>
      </c>
      <c r="Q24" s="219">
        <f t="shared" si="8"/>
        <v>84000</v>
      </c>
      <c r="R24" s="219">
        <f t="shared" si="8"/>
        <v>0</v>
      </c>
      <c r="S24" s="219">
        <f t="shared" si="8"/>
        <v>0</v>
      </c>
      <c r="T24" s="219">
        <f t="shared" si="8"/>
        <v>0</v>
      </c>
      <c r="U24" s="219">
        <f t="shared" si="8"/>
        <v>0</v>
      </c>
      <c r="V24" s="219">
        <f t="shared" si="8"/>
        <v>1200</v>
      </c>
      <c r="W24" s="219">
        <f t="shared" si="8"/>
        <v>10500</v>
      </c>
      <c r="X24" s="219">
        <f t="shared" si="8"/>
        <v>0</v>
      </c>
      <c r="Y24" s="219">
        <f t="shared" si="8"/>
        <v>168000</v>
      </c>
      <c r="Z24" s="220">
        <f t="shared" si="8"/>
        <v>402094</v>
      </c>
      <c r="AA24" s="220">
        <f t="shared" si="8"/>
        <v>1231260</v>
      </c>
      <c r="AB24" s="428">
        <f>SUM(AB5:AE20)</f>
        <v>1633354</v>
      </c>
      <c r="AC24" s="429"/>
      <c r="AD24" s="429"/>
      <c r="AE24" s="430"/>
    </row>
    <row r="25" spans="1:31" ht="60" customHeight="1">
      <c r="A25" s="427"/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</row>
    <row r="26" spans="1:31" s="18" customFormat="1" ht="21.75" customHeight="1">
      <c r="A26" s="425" t="s">
        <v>167</v>
      </c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6" t="s">
        <v>346</v>
      </c>
      <c r="O26" s="426"/>
      <c r="P26" s="426"/>
      <c r="Q26" s="426"/>
      <c r="R26" s="426"/>
      <c r="S26" s="425" t="s">
        <v>168</v>
      </c>
      <c r="T26" s="425"/>
      <c r="U26" s="425"/>
      <c r="V26" s="425"/>
      <c r="W26" s="425"/>
      <c r="X26" s="425"/>
      <c r="Y26" s="425"/>
      <c r="Z26" s="425"/>
      <c r="AA26" s="425"/>
      <c r="AB26" s="425"/>
      <c r="AC26" s="425"/>
      <c r="AD26" s="425"/>
      <c r="AE26" s="425"/>
    </row>
    <row r="27" spans="1:31" ht="57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98" customFormat="1">
      <c r="A28" s="96" t="s">
        <v>145</v>
      </c>
      <c r="B28" s="97"/>
      <c r="J28" s="103"/>
      <c r="K28" s="103"/>
      <c r="L28" s="103"/>
      <c r="M28" s="102"/>
      <c r="Q28" s="100"/>
      <c r="AA28" s="99"/>
    </row>
    <row r="29" spans="1:31" s="98" customFormat="1">
      <c r="A29" s="96"/>
      <c r="B29" s="97"/>
      <c r="Q29" s="100"/>
      <c r="AA29" s="99"/>
    </row>
    <row r="30" spans="1:31" s="98" customFormat="1">
      <c r="A30" s="96"/>
      <c r="B30" s="97"/>
      <c r="Q30" s="100"/>
      <c r="S30" s="100"/>
      <c r="U30" s="102"/>
      <c r="AA30" s="99"/>
    </row>
    <row r="31" spans="1:31" s="98" customFormat="1">
      <c r="A31" s="96"/>
      <c r="B31" s="97"/>
      <c r="Q31" s="100"/>
      <c r="S31" s="100"/>
      <c r="AA31" s="99"/>
    </row>
    <row r="32" spans="1:31" s="98" customFormat="1">
      <c r="A32" s="96"/>
      <c r="B32" s="97"/>
      <c r="Q32" s="100"/>
      <c r="S32" s="101"/>
      <c r="AA32" s="99"/>
    </row>
    <row r="33" spans="1:27" s="98" customFormat="1">
      <c r="A33" s="96"/>
      <c r="B33" s="97"/>
      <c r="Q33" s="100"/>
      <c r="AA33" s="99"/>
    </row>
    <row r="34" spans="1:27" s="98" customFormat="1">
      <c r="A34" s="96"/>
      <c r="B34" s="97"/>
      <c r="S34" s="100"/>
      <c r="U34" s="103"/>
      <c r="AA34" s="99"/>
    </row>
    <row r="35" spans="1:27" s="98" customFormat="1">
      <c r="A35" s="96"/>
      <c r="B35" s="97"/>
      <c r="O35" s="303"/>
      <c r="P35" s="304"/>
      <c r="Q35" s="305"/>
      <c r="AA35" s="99"/>
    </row>
    <row r="36" spans="1:27" s="98" customFormat="1">
      <c r="A36" s="96"/>
      <c r="B36" s="97"/>
      <c r="AA36" s="99"/>
    </row>
  </sheetData>
  <sheetProtection algorithmName="SHA-512" hashValue="RaLWAALFmRELWWDbP+ILbEJ70VMXcDLg1QBVnLkwCLjJCAiL3gLGPIsnV/o8es3ZiLFewCkHJja7ElRHUxvF8A==" saltValue="3h7TNK18xt36rnDrdNVi9g==" spinCount="100000" sheet="1" selectLockedCells="1"/>
  <mergeCells count="35">
    <mergeCell ref="AB15:AE15"/>
    <mergeCell ref="AB16:AE16"/>
    <mergeCell ref="AB10:AE10"/>
    <mergeCell ref="AB11:AE11"/>
    <mergeCell ref="AB12:AE12"/>
    <mergeCell ref="AB4:AE4"/>
    <mergeCell ref="AB7:AE7"/>
    <mergeCell ref="AB8:AE8"/>
    <mergeCell ref="AB9:AE9"/>
    <mergeCell ref="A24:B24"/>
    <mergeCell ref="AB5:AE5"/>
    <mergeCell ref="AB6:AE6"/>
    <mergeCell ref="AB22:AE22"/>
    <mergeCell ref="AB23:AE23"/>
    <mergeCell ref="AB20:AE20"/>
    <mergeCell ref="AB17:AE17"/>
    <mergeCell ref="AB18:AE18"/>
    <mergeCell ref="AB21:AE21"/>
    <mergeCell ref="AB19:AE19"/>
    <mergeCell ref="AB13:AE13"/>
    <mergeCell ref="AB14:AE14"/>
    <mergeCell ref="A26:M26"/>
    <mergeCell ref="S26:AE26"/>
    <mergeCell ref="N26:R26"/>
    <mergeCell ref="A25:AE25"/>
    <mergeCell ref="AB24:AE24"/>
    <mergeCell ref="A1:AE1"/>
    <mergeCell ref="A3:M3"/>
    <mergeCell ref="A2:B2"/>
    <mergeCell ref="N3:Z3"/>
    <mergeCell ref="AA2:AE2"/>
    <mergeCell ref="U2:Y2"/>
    <mergeCell ref="P2:S2"/>
    <mergeCell ref="L2:N2"/>
    <mergeCell ref="C2:I2"/>
  </mergeCells>
  <phoneticPr fontId="0" type="noConversion"/>
  <hyperlinks>
    <hyperlink ref="N26" r:id="rId1" xr:uid="{00000000-0004-0000-0100-000000000000}"/>
  </hyperlinks>
  <printOptions horizontalCentered="1" verticalCentered="1" gridLines="1"/>
  <pageMargins left="0" right="0" top="0.51181102362204722" bottom="0.51181102362204722" header="0" footer="0"/>
  <pageSetup paperSize="9" scale="8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66"/>
  </sheetPr>
  <dimension ref="A1:JF72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2"/>
  <cols>
    <col min="1" max="1" width="2.85546875" style="80" customWidth="1"/>
    <col min="2" max="2" width="3.42578125" style="84" customWidth="1"/>
    <col min="3" max="3" width="4.140625" style="84" customWidth="1"/>
    <col min="4" max="4" width="25.5703125" style="84" customWidth="1"/>
    <col min="5" max="5" width="8.5703125" style="84" hidden="1" customWidth="1"/>
    <col min="6" max="6" width="10.140625" style="84" customWidth="1"/>
    <col min="7" max="7" width="4.42578125" style="84" customWidth="1"/>
    <col min="8" max="8" width="10" style="84" customWidth="1"/>
    <col min="9" max="9" width="19.140625" style="84" customWidth="1"/>
    <col min="10" max="10" width="9.85546875" style="84" hidden="1" customWidth="1"/>
    <col min="11" max="11" width="9.42578125" style="84" customWidth="1"/>
    <col min="12" max="12" width="8.140625" style="93" hidden="1" customWidth="1"/>
    <col min="13" max="13" width="11.140625" style="94" customWidth="1"/>
    <col min="14" max="14" width="9.42578125" style="81" hidden="1" customWidth="1"/>
    <col min="15" max="23" width="1.5703125" style="81" hidden="1" customWidth="1"/>
    <col min="24" max="26" width="9.140625" style="84" customWidth="1"/>
    <col min="27" max="27" width="9.140625" style="84" hidden="1" customWidth="1"/>
    <col min="28" max="28" width="12.28515625" style="84" hidden="1" customWidth="1"/>
    <col min="29" max="29" width="9.140625" style="84" hidden="1" customWidth="1"/>
    <col min="30" max="30" width="6.7109375" style="84" hidden="1" customWidth="1"/>
    <col min="31" max="31" width="37.7109375" style="84" hidden="1" customWidth="1"/>
    <col min="32" max="32" width="6.42578125" style="84" hidden="1" customWidth="1"/>
    <col min="33" max="33" width="8.28515625" style="84" hidden="1" customWidth="1"/>
    <col min="34" max="34" width="9.140625" style="84" hidden="1" customWidth="1"/>
    <col min="35" max="36" width="9.140625" style="84" customWidth="1"/>
    <col min="37" max="16384" width="9.140625" style="84"/>
  </cols>
  <sheetData>
    <row r="1" spans="1:266" ht="10.5" customHeight="1">
      <c r="A1" s="308" t="s">
        <v>346</v>
      </c>
      <c r="B1" s="223"/>
      <c r="C1" s="223"/>
      <c r="D1" s="223"/>
      <c r="E1" s="222"/>
      <c r="F1" s="222"/>
      <c r="G1" s="222"/>
      <c r="H1" s="222"/>
      <c r="I1" s="222"/>
      <c r="J1" s="222"/>
      <c r="K1" s="222"/>
      <c r="L1" s="222"/>
      <c r="M1" s="222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66" ht="12.75">
      <c r="A2" s="445" t="str">
        <f>"INCOME TAX CALCULATION FOR THE YEAR  "&amp;'Data Entry'!L3&amp;'Data Entry'!M3&amp;"  (A.Y."&amp;""&amp;('Data Entry'!L3+1)&amp;('Data Entry'!M3-1)&amp;")"</f>
        <v>INCOME TAX CALCULATION FOR THE YEAR  2024- 2025  (A.Y.2025-2026)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66" ht="15.75">
      <c r="A3" s="450" t="s">
        <v>157</v>
      </c>
      <c r="B3" s="451"/>
      <c r="C3" s="451"/>
      <c r="D3" s="435" t="str">
        <f>'Salary Statement(print)'!$C$2</f>
        <v xml:space="preserve">GOPAL LAL SUTHAR    </v>
      </c>
      <c r="E3" s="435"/>
      <c r="F3" s="435"/>
      <c r="G3" s="435"/>
      <c r="H3" s="321"/>
      <c r="I3" s="224" t="s">
        <v>159</v>
      </c>
      <c r="J3" s="452" t="str">
        <f>'Data Entry'!W4</f>
        <v>AHZPS9525J</v>
      </c>
      <c r="K3" s="453"/>
      <c r="L3" s="453"/>
      <c r="M3" s="454"/>
      <c r="N3" s="230">
        <f>'Data Entry'!AN17</f>
        <v>2535</v>
      </c>
      <c r="O3" s="85" t="str">
        <f>'Data Entry'!AP17</f>
        <v>H</v>
      </c>
      <c r="P3" s="85" t="str">
        <f>'Data Entry'!AQ17</f>
        <v>Z</v>
      </c>
      <c r="Q3" s="85" t="str">
        <f>'Data Entry'!AR17</f>
        <v>P</v>
      </c>
      <c r="R3" s="85" t="str">
        <f>'Data Entry'!AS17</f>
        <v>S</v>
      </c>
      <c r="S3" s="85" t="str">
        <f>'Data Entry'!AT17</f>
        <v>9</v>
      </c>
      <c r="T3" s="85" t="str">
        <f>'Data Entry'!AU17</f>
        <v>5</v>
      </c>
      <c r="U3" s="85" t="str">
        <f>'Data Entry'!AV17</f>
        <v>2</v>
      </c>
      <c r="V3" s="85" t="str">
        <f>'Data Entry'!AW17</f>
        <v>5</v>
      </c>
      <c r="W3" s="85" t="str">
        <f>'Data Entry'!AX17</f>
        <v>J</v>
      </c>
    </row>
    <row r="4" spans="1:266" s="81" customFormat="1" ht="12.75">
      <c r="A4" s="455" t="s">
        <v>158</v>
      </c>
      <c r="B4" s="444"/>
      <c r="C4" s="444"/>
      <c r="D4" s="436" t="str">
        <f>'Data Entry'!R4</f>
        <v>D.E.O.</v>
      </c>
      <c r="E4" s="436"/>
      <c r="F4" s="436"/>
      <c r="G4" s="436"/>
      <c r="H4" s="322"/>
      <c r="I4" s="213" t="s">
        <v>364</v>
      </c>
      <c r="K4" s="491" t="str">
        <f>'Data Entry'!R25</f>
        <v>New Tax Regime</v>
      </c>
      <c r="L4" s="491"/>
      <c r="M4" s="492"/>
      <c r="N4" s="79"/>
      <c r="O4" s="79"/>
      <c r="P4" s="79"/>
      <c r="Q4" s="79"/>
      <c r="R4" s="79"/>
      <c r="S4" s="79"/>
      <c r="T4" s="79"/>
      <c r="U4" s="79"/>
      <c r="V4" s="79"/>
      <c r="W4" s="79"/>
      <c r="AB4" s="81" t="s">
        <v>343</v>
      </c>
    </row>
    <row r="5" spans="1:266" s="81" customFormat="1" ht="18.75" customHeight="1">
      <c r="A5" s="455" t="str">
        <f>'Data Entry'!B6</f>
        <v>Posting Place</v>
      </c>
      <c r="B5" s="444"/>
      <c r="C5" s="444"/>
      <c r="D5" s="443">
        <f>'Data Entry'!D6</f>
        <v>0</v>
      </c>
      <c r="E5" s="443"/>
      <c r="F5" s="443"/>
      <c r="G5" s="443"/>
      <c r="H5" s="326" t="str">
        <f>'Data Entry'!B5</f>
        <v>Office Name</v>
      </c>
      <c r="I5" s="443">
        <f>'Data Entry'!D5</f>
        <v>0</v>
      </c>
      <c r="J5" s="443"/>
      <c r="K5" s="443"/>
      <c r="L5" s="443"/>
      <c r="M5" s="443"/>
      <c r="N5" s="80"/>
      <c r="O5" s="80"/>
      <c r="P5" s="80"/>
      <c r="Q5" s="80"/>
      <c r="R5" s="80"/>
      <c r="S5" s="80"/>
      <c r="T5" s="80"/>
      <c r="U5" s="80"/>
      <c r="V5" s="80"/>
      <c r="W5" s="80"/>
      <c r="AB5" s="81" t="s">
        <v>342</v>
      </c>
    </row>
    <row r="6" spans="1:266" s="81" customFormat="1" ht="12.75">
      <c r="A6" s="231">
        <v>1</v>
      </c>
      <c r="B6" s="439" t="str">
        <f>"INCOME: Gross salary for the year  "&amp;'Data Entry'!L3&amp;'Data Entry'!M3</f>
        <v>INCOME: Gross salary for the year  2024- 2025</v>
      </c>
      <c r="C6" s="439"/>
      <c r="D6" s="439"/>
      <c r="E6" s="439"/>
      <c r="F6" s="439"/>
      <c r="G6" s="439"/>
      <c r="H6" s="439"/>
      <c r="I6" s="439"/>
      <c r="J6" s="439"/>
      <c r="K6" s="439"/>
      <c r="L6" s="233" t="s">
        <v>162</v>
      </c>
      <c r="M6" s="234">
        <f>'Salary Statement(print)'!M24</f>
        <v>1633354</v>
      </c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66" s="81" customFormat="1" ht="12.75">
      <c r="A7" s="235">
        <v>2</v>
      </c>
      <c r="B7" s="441" t="s">
        <v>232</v>
      </c>
      <c r="C7" s="441"/>
      <c r="D7" s="441"/>
      <c r="E7" s="441"/>
      <c r="F7" s="441"/>
      <c r="G7" s="441"/>
      <c r="H7" s="441"/>
      <c r="I7" s="441"/>
      <c r="J7" s="441"/>
      <c r="K7" s="441"/>
      <c r="L7" s="237"/>
      <c r="M7" s="238" t="s">
        <v>10</v>
      </c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1:266" s="81" customFormat="1" ht="12.75">
      <c r="A8" s="239"/>
      <c r="B8" s="240" t="s">
        <v>233</v>
      </c>
      <c r="C8" s="236" t="s">
        <v>229</v>
      </c>
      <c r="D8" s="213"/>
      <c r="E8" s="237" t="s">
        <v>230</v>
      </c>
      <c r="F8" s="213"/>
      <c r="G8" s="237" t="s">
        <v>162</v>
      </c>
      <c r="H8" s="216">
        <f>'Data Entry'!K44</f>
        <v>0</v>
      </c>
      <c r="I8" s="213" t="s">
        <v>231</v>
      </c>
      <c r="J8" s="237" t="s">
        <v>162</v>
      </c>
      <c r="K8" s="241">
        <f>H8*0.3+'Data Entry'!R44</f>
        <v>0</v>
      </c>
      <c r="L8" s="237" t="s">
        <v>162</v>
      </c>
      <c r="M8" s="234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66" s="81" customFormat="1" ht="12.75">
      <c r="A9" s="239"/>
      <c r="B9" s="240" t="s">
        <v>234</v>
      </c>
      <c r="C9" s="242" t="s">
        <v>298</v>
      </c>
      <c r="D9" s="243"/>
      <c r="E9" s="243"/>
      <c r="F9" s="243"/>
      <c r="G9" s="243"/>
      <c r="H9" s="243"/>
      <c r="I9" s="243"/>
      <c r="J9" s="237" t="s">
        <v>162</v>
      </c>
      <c r="K9" s="241">
        <f>SUM('Data Entry'!R41,'Data Entry'!R42)</f>
        <v>0</v>
      </c>
      <c r="L9" s="237" t="s">
        <v>162</v>
      </c>
      <c r="M9" s="234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66" s="81" customFormat="1" ht="12.75">
      <c r="A10" s="235">
        <v>3</v>
      </c>
      <c r="B10" s="438" t="s">
        <v>235</v>
      </c>
      <c r="C10" s="438"/>
      <c r="D10" s="438"/>
      <c r="E10" s="438"/>
      <c r="F10" s="438"/>
      <c r="G10" s="438"/>
      <c r="H10" s="438"/>
      <c r="I10" s="438"/>
      <c r="J10" s="438"/>
      <c r="K10" s="438"/>
      <c r="L10" s="244" t="s">
        <v>162</v>
      </c>
      <c r="M10" s="234">
        <f>SUM(M6:M7)</f>
        <v>1633354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66" s="81" customFormat="1">
      <c r="A11" s="235">
        <v>4</v>
      </c>
      <c r="B11" s="244" t="s">
        <v>238</v>
      </c>
      <c r="C11" s="448" t="s">
        <v>236</v>
      </c>
      <c r="D11" s="448"/>
      <c r="E11" s="448"/>
      <c r="F11" s="448"/>
      <c r="G11" s="448"/>
      <c r="H11" s="448"/>
      <c r="I11" s="448"/>
      <c r="J11" s="448"/>
      <c r="K11" s="448"/>
      <c r="L11" s="448"/>
      <c r="M11" s="449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66" s="81" customFormat="1" ht="12.75">
      <c r="A12" s="239"/>
      <c r="B12" s="245" t="s">
        <v>233</v>
      </c>
      <c r="C12" s="444" t="s">
        <v>217</v>
      </c>
      <c r="D12" s="444"/>
      <c r="E12" s="444"/>
      <c r="F12" s="444"/>
      <c r="G12" s="444"/>
      <c r="H12" s="444"/>
      <c r="I12" s="444"/>
      <c r="J12" s="246" t="s">
        <v>162</v>
      </c>
      <c r="K12" s="241" t="str">
        <f>IF(K4="Old Tax regime",'Rent Receipt'!O16,"")</f>
        <v/>
      </c>
      <c r="L12" s="247"/>
      <c r="M12" s="248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spans="1:266" s="81" customFormat="1" ht="12.75">
      <c r="A13" s="239"/>
      <c r="B13" s="245" t="s">
        <v>234</v>
      </c>
      <c r="C13" s="444" t="s">
        <v>182</v>
      </c>
      <c r="D13" s="444"/>
      <c r="E13" s="444"/>
      <c r="F13" s="444"/>
      <c r="G13" s="444"/>
      <c r="H13" s="444"/>
      <c r="I13" s="444"/>
      <c r="J13" s="246" t="s">
        <v>162</v>
      </c>
      <c r="K13" s="241" t="str">
        <f>IF(K4="Old Tax regime",MIN('Salary Statement(print)'!I24,9600),"")</f>
        <v/>
      </c>
      <c r="L13" s="247"/>
      <c r="M13" s="248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66" s="81" customFormat="1" ht="13.5">
      <c r="A14" s="249"/>
      <c r="B14" s="245" t="s">
        <v>237</v>
      </c>
      <c r="C14" s="444" t="s">
        <v>216</v>
      </c>
      <c r="D14" s="444"/>
      <c r="E14" s="444"/>
      <c r="F14" s="444"/>
      <c r="G14" s="444"/>
      <c r="H14" s="444"/>
      <c r="I14" s="444"/>
      <c r="J14" s="246" t="s">
        <v>162</v>
      </c>
      <c r="K14" s="241" t="str">
        <f>IF(K4="Old Tax regime",MIN('Salary Statement(print)'!J24,9600),"")</f>
        <v/>
      </c>
      <c r="L14" s="247"/>
      <c r="M14" s="248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</row>
    <row r="15" spans="1:266" s="81" customFormat="1">
      <c r="A15" s="239"/>
      <c r="B15" s="244" t="s">
        <v>239</v>
      </c>
      <c r="C15" s="446" t="s">
        <v>185</v>
      </c>
      <c r="D15" s="446"/>
      <c r="E15" s="446"/>
      <c r="F15" s="446"/>
      <c r="G15" s="446"/>
      <c r="H15" s="446"/>
      <c r="I15" s="446"/>
      <c r="J15" s="446"/>
      <c r="K15" s="446"/>
      <c r="L15" s="446"/>
      <c r="M15" s="447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1:266" s="81" customFormat="1" ht="12.75">
      <c r="A16" s="239"/>
      <c r="B16" s="245" t="s">
        <v>233</v>
      </c>
      <c r="C16" s="444" t="s">
        <v>214</v>
      </c>
      <c r="D16" s="444"/>
      <c r="E16" s="444"/>
      <c r="F16" s="444"/>
      <c r="G16" s="444"/>
      <c r="H16" s="444"/>
      <c r="I16" s="444"/>
      <c r="J16" s="247" t="s">
        <v>162</v>
      </c>
      <c r="K16" s="241" t="str">
        <f>IF(K4="Old Tax regime",MIN(('Salary Statement(print)'!$T$24+'Data Entry'!AH41),200000),"")</f>
        <v/>
      </c>
      <c r="L16" s="247"/>
      <c r="M16" s="248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pans="1:26" s="81" customFormat="1" ht="12.75">
      <c r="A17" s="239"/>
      <c r="B17" s="244" t="s">
        <v>303</v>
      </c>
      <c r="C17" s="446" t="str">
        <f>"Standard Deduction(max Rs"&amp;K17</f>
        <v>Standard Deduction(max Rs75000</v>
      </c>
      <c r="D17" s="446"/>
      <c r="E17" s="446"/>
      <c r="F17" s="446"/>
      <c r="G17" s="446"/>
      <c r="H17" s="446"/>
      <c r="I17" s="446"/>
      <c r="J17" s="247" t="s">
        <v>162</v>
      </c>
      <c r="K17" s="241">
        <f>IF(AND(K4="Old Tax regime",M6&gt;=50000),50000,IF(AND(K4="New Tax regime",M6&gt;=75000),75000,""))</f>
        <v>75000</v>
      </c>
      <c r="L17" s="247"/>
      <c r="M17" s="248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1:26" s="81" customFormat="1" ht="12.75" hidden="1">
      <c r="A18" s="239"/>
      <c r="B18" s="245"/>
      <c r="C18" s="444"/>
      <c r="D18" s="444"/>
      <c r="E18" s="444"/>
      <c r="F18" s="444"/>
      <c r="G18" s="444"/>
      <c r="H18" s="444"/>
      <c r="I18" s="444"/>
      <c r="J18" s="247" t="s">
        <v>162</v>
      </c>
      <c r="K18" s="241">
        <f>'Data Entry'!AH43</f>
        <v>0</v>
      </c>
      <c r="L18" s="247"/>
      <c r="M18" s="248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6" s="81" customFormat="1" ht="12.75">
      <c r="A19" s="239">
        <v>5</v>
      </c>
      <c r="B19" s="442" t="s">
        <v>240</v>
      </c>
      <c r="C19" s="442"/>
      <c r="D19" s="442"/>
      <c r="E19" s="442"/>
      <c r="F19" s="442"/>
      <c r="G19" s="442"/>
      <c r="H19" s="442"/>
      <c r="I19" s="442"/>
      <c r="J19" s="247" t="s">
        <v>162</v>
      </c>
      <c r="K19" s="241">
        <f>SUM(K12:K18)</f>
        <v>75000</v>
      </c>
      <c r="L19" s="247"/>
      <c r="M19" s="234">
        <f>K19</f>
        <v>75000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6" s="81" customFormat="1" ht="12.75">
      <c r="A20" s="235">
        <v>6</v>
      </c>
      <c r="B20" s="441" t="s">
        <v>138</v>
      </c>
      <c r="C20" s="441"/>
      <c r="D20" s="441"/>
      <c r="E20" s="441"/>
      <c r="F20" s="441"/>
      <c r="G20" s="441"/>
      <c r="H20" s="441"/>
      <c r="I20" s="240"/>
      <c r="J20" s="244" t="s">
        <v>241</v>
      </c>
      <c r="K20" s="242"/>
      <c r="L20" s="250" t="s">
        <v>162</v>
      </c>
      <c r="M20" s="234">
        <f>SUM(M10,-M19)</f>
        <v>1558354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6" s="81" customFormat="1">
      <c r="A21" s="231">
        <v>7</v>
      </c>
      <c r="B21" s="232" t="s">
        <v>11</v>
      </c>
      <c r="C21" s="232" t="s">
        <v>242</v>
      </c>
      <c r="D21" s="251"/>
      <c r="E21" s="251"/>
      <c r="F21" s="251"/>
      <c r="G21" s="251"/>
      <c r="H21" s="251"/>
      <c r="I21" s="251"/>
      <c r="J21" s="251"/>
      <c r="K21" s="251"/>
      <c r="L21" s="251"/>
      <c r="M21" s="252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6" s="81" customFormat="1" ht="12.75" customHeight="1">
      <c r="A22" s="460"/>
      <c r="B22" s="237" t="s">
        <v>24</v>
      </c>
      <c r="C22" s="179" t="s">
        <v>220</v>
      </c>
      <c r="D22" s="66"/>
      <c r="E22" s="247" t="s">
        <v>162</v>
      </c>
      <c r="F22" s="241">
        <f>IF('Data Entry'!N5="N",0,'Salary Statement(print)'!$N$24)</f>
        <v>138394</v>
      </c>
      <c r="G22" s="237" t="s">
        <v>32</v>
      </c>
      <c r="H22" s="253" t="s">
        <v>219</v>
      </c>
      <c r="I22" s="66"/>
      <c r="J22" s="247" t="s">
        <v>162</v>
      </c>
      <c r="K22" s="241">
        <f>'Data Entry'!T53</f>
        <v>0</v>
      </c>
      <c r="L22" s="237"/>
      <c r="M22" s="254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6" s="81" customFormat="1" ht="12.75" customHeight="1">
      <c r="A23" s="460"/>
      <c r="B23" s="237" t="s">
        <v>25</v>
      </c>
      <c r="C23" s="179" t="s">
        <v>221</v>
      </c>
      <c r="D23" s="179"/>
      <c r="E23" s="247" t="s">
        <v>162</v>
      </c>
      <c r="F23" s="241">
        <f>'Salary Statement(print)'!$Q$24</f>
        <v>84000</v>
      </c>
      <c r="G23" s="237" t="s">
        <v>33</v>
      </c>
      <c r="H23" s="66" t="s">
        <v>197</v>
      </c>
      <c r="I23" s="66"/>
      <c r="J23" s="247" t="s">
        <v>162</v>
      </c>
      <c r="K23" s="241">
        <f>'Data Entry'!T54+'Salary Statement(print)'!U24</f>
        <v>0</v>
      </c>
      <c r="L23" s="237"/>
      <c r="M23" s="254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pans="1:26" s="81" customFormat="1" ht="12.75" customHeight="1">
      <c r="A24" s="460"/>
      <c r="B24" s="237" t="s">
        <v>26</v>
      </c>
      <c r="C24" s="179" t="s">
        <v>198</v>
      </c>
      <c r="D24" s="179"/>
      <c r="E24" s="247" t="s">
        <v>162</v>
      </c>
      <c r="F24" s="241">
        <f>'Salary Statement(print)'!V6</f>
        <v>700</v>
      </c>
      <c r="G24" s="237" t="s">
        <v>34</v>
      </c>
      <c r="H24" s="179" t="s">
        <v>201</v>
      </c>
      <c r="I24" s="253"/>
      <c r="J24" s="247" t="s">
        <v>162</v>
      </c>
      <c r="K24" s="241">
        <f>IF(F22=0,'Salary Statement(print)'!N24,0)</f>
        <v>0</v>
      </c>
      <c r="L24" s="237"/>
      <c r="M24" s="254"/>
      <c r="N24" s="87"/>
      <c r="O24" s="87"/>
      <c r="P24" s="87"/>
      <c r="Q24" s="87"/>
      <c r="R24" s="87"/>
      <c r="S24" s="87"/>
      <c r="T24" s="87"/>
      <c r="U24" s="87"/>
      <c r="V24" s="87"/>
      <c r="W24" s="87"/>
      <c r="Z24" s="89"/>
    </row>
    <row r="25" spans="1:26" s="81" customFormat="1" ht="12.75" customHeight="1">
      <c r="A25" s="460"/>
      <c r="B25" s="237" t="s">
        <v>27</v>
      </c>
      <c r="C25" s="179" t="s">
        <v>203</v>
      </c>
      <c r="D25" s="179"/>
      <c r="E25" s="247" t="s">
        <v>162</v>
      </c>
      <c r="F25" s="241">
        <f>'Data Entry'!T48</f>
        <v>0</v>
      </c>
      <c r="G25" s="237" t="s">
        <v>35</v>
      </c>
      <c r="H25" s="253" t="s">
        <v>222</v>
      </c>
      <c r="I25" s="253"/>
      <c r="J25" s="247" t="s">
        <v>162</v>
      </c>
      <c r="K25" s="241">
        <f>'Data Entry'!T56</f>
        <v>0</v>
      </c>
      <c r="L25" s="237"/>
      <c r="M25" s="254"/>
      <c r="N25" s="87"/>
      <c r="O25" s="87"/>
      <c r="P25" s="87"/>
      <c r="Q25" s="87"/>
      <c r="R25" s="87"/>
      <c r="S25" s="87"/>
      <c r="T25" s="87"/>
      <c r="U25" s="87"/>
      <c r="V25" s="87"/>
      <c r="W25" s="87"/>
    </row>
    <row r="26" spans="1:26" s="81" customFormat="1" ht="12.75" customHeight="1">
      <c r="A26" s="460"/>
      <c r="B26" s="237" t="s">
        <v>28</v>
      </c>
      <c r="C26" s="179" t="s">
        <v>204</v>
      </c>
      <c r="D26" s="179"/>
      <c r="E26" s="247" t="s">
        <v>162</v>
      </c>
      <c r="F26" s="241">
        <f>'Data Entry'!T49</f>
        <v>0</v>
      </c>
      <c r="G26" s="237" t="s">
        <v>153</v>
      </c>
      <c r="H26" s="179" t="s">
        <v>202</v>
      </c>
      <c r="I26" s="253"/>
      <c r="J26" s="247" t="s">
        <v>162</v>
      </c>
      <c r="K26" s="241">
        <f>'Data Entry'!AH44+'Salary Statement(print)'!S24</f>
        <v>0</v>
      </c>
      <c r="L26" s="237"/>
      <c r="M26" s="254"/>
      <c r="N26" s="90"/>
      <c r="O26" s="90"/>
      <c r="P26" s="90"/>
      <c r="Q26" s="90"/>
      <c r="R26" s="90"/>
      <c r="S26" s="90"/>
      <c r="T26" s="90"/>
      <c r="U26" s="90"/>
      <c r="V26" s="90"/>
      <c r="W26" s="90"/>
    </row>
    <row r="27" spans="1:26" s="81" customFormat="1" ht="12.75" customHeight="1">
      <c r="A27" s="460"/>
      <c r="B27" s="237" t="s">
        <v>29</v>
      </c>
      <c r="C27" s="179" t="s">
        <v>200</v>
      </c>
      <c r="D27" s="179"/>
      <c r="E27" s="247" t="s">
        <v>162</v>
      </c>
      <c r="F27" s="241">
        <f>'Data Entry'!T50</f>
        <v>0</v>
      </c>
      <c r="G27" s="237" t="s">
        <v>150</v>
      </c>
      <c r="H27" s="253" t="s">
        <v>199</v>
      </c>
      <c r="I27" s="253"/>
      <c r="J27" s="247" t="s">
        <v>162</v>
      </c>
      <c r="K27" s="241">
        <f>'Data Entry'!T57</f>
        <v>0</v>
      </c>
      <c r="L27" s="237"/>
      <c r="M27" s="254"/>
    </row>
    <row r="28" spans="1:26" s="81" customFormat="1" ht="12.75" customHeight="1">
      <c r="A28" s="460"/>
      <c r="B28" s="237" t="s">
        <v>30</v>
      </c>
      <c r="C28" s="179" t="s">
        <v>218</v>
      </c>
      <c r="D28" s="179"/>
      <c r="E28" s="247" t="s">
        <v>162</v>
      </c>
      <c r="F28" s="241">
        <f>'Data Entry'!T51</f>
        <v>0</v>
      </c>
      <c r="G28" s="237" t="s">
        <v>161</v>
      </c>
      <c r="H28" s="253" t="s">
        <v>164</v>
      </c>
      <c r="I28" s="66"/>
      <c r="J28" s="247" t="s">
        <v>162</v>
      </c>
      <c r="K28" s="241">
        <f>'Data Entry'!T58</f>
        <v>0</v>
      </c>
      <c r="L28" s="237"/>
      <c r="M28" s="254"/>
    </row>
    <row r="29" spans="1:26" s="81" customFormat="1" ht="12.75" customHeight="1">
      <c r="A29" s="460"/>
      <c r="B29" s="237" t="s">
        <v>31</v>
      </c>
      <c r="C29" s="179" t="s">
        <v>224</v>
      </c>
      <c r="D29" s="179"/>
      <c r="E29" s="247" t="s">
        <v>162</v>
      </c>
      <c r="F29" s="241">
        <f>'Data Entry'!T52</f>
        <v>0</v>
      </c>
      <c r="G29" s="255"/>
      <c r="H29" s="440" t="s">
        <v>22</v>
      </c>
      <c r="I29" s="440"/>
      <c r="J29" s="247" t="s">
        <v>162</v>
      </c>
      <c r="K29" s="241">
        <f>ROUND(SUM(F22:F29,K22:K28),0)</f>
        <v>223094</v>
      </c>
      <c r="L29" s="237"/>
      <c r="M29" s="254"/>
    </row>
    <row r="30" spans="1:26" s="81" customFormat="1" ht="12.75" customHeight="1">
      <c r="A30" s="239"/>
      <c r="B30" s="438" t="s">
        <v>154</v>
      </c>
      <c r="C30" s="438"/>
      <c r="D30" s="438"/>
      <c r="E30" s="438"/>
      <c r="F30" s="438"/>
      <c r="G30" s="438"/>
      <c r="H30" s="438"/>
      <c r="I30" s="438"/>
      <c r="J30" s="250" t="s">
        <v>162</v>
      </c>
      <c r="K30" s="267">
        <f>IF(K29&lt;150000,K29,150000)</f>
        <v>150000</v>
      </c>
      <c r="L30" s="244"/>
      <c r="M30" s="267" t="str">
        <f>IF(K4="Old Tax regime",K30,"")</f>
        <v/>
      </c>
    </row>
    <row r="31" spans="1:26" s="81" customFormat="1" ht="12.75" customHeight="1">
      <c r="A31" s="239"/>
      <c r="B31" s="271" t="s">
        <v>254</v>
      </c>
      <c r="C31" s="216"/>
      <c r="D31" s="216"/>
      <c r="E31" s="216"/>
      <c r="F31" s="216"/>
      <c r="G31" s="216"/>
      <c r="H31" s="216"/>
      <c r="I31" s="216"/>
      <c r="J31" s="255"/>
      <c r="K31" s="256">
        <f>'Salary Statement(print)'!O24</f>
        <v>0</v>
      </c>
      <c r="L31" s="247" t="s">
        <v>162</v>
      </c>
      <c r="M31" s="234" t="str">
        <f>IF(K4="Old Tax regime",MIN(ROUND('Salary Statement(print)'!AB24*0.1,0),K31),"")</f>
        <v/>
      </c>
      <c r="X31" s="91"/>
    </row>
    <row r="32" spans="1:26" s="81" customFormat="1" ht="15.75" customHeight="1">
      <c r="A32" s="239">
        <v>8</v>
      </c>
      <c r="B32" s="444" t="str">
        <f>'Data Entry'!U48</f>
        <v>a)Less: Deduction under RGESS Sec 80CCG (Max Rs. 50,000/-)</v>
      </c>
      <c r="C32" s="444"/>
      <c r="D32" s="444"/>
      <c r="E32" s="444"/>
      <c r="F32" s="444"/>
      <c r="G32" s="444"/>
      <c r="H32" s="444"/>
      <c r="I32" s="444"/>
      <c r="J32" s="247" t="s">
        <v>162</v>
      </c>
      <c r="K32" s="241">
        <f>IF('Data Entry'!AH48="",0,MIN('Data Entry'!AH48,50000))</f>
        <v>0</v>
      </c>
      <c r="L32" s="247" t="s">
        <v>162</v>
      </c>
      <c r="M32" s="257" t="str">
        <f>IF(K4="Old Tax regime",ROUND(K32/2,0),"")</f>
        <v/>
      </c>
    </row>
    <row r="33" spans="1:34" s="81" customFormat="1" ht="12.75" customHeight="1">
      <c r="A33" s="239">
        <v>9</v>
      </c>
      <c r="B33" s="444" t="str">
        <f>'Data Entry'!U49</f>
        <v>b) Section 80D 2A ( Mediclaim Premium Up To 25,000/- )</v>
      </c>
      <c r="C33" s="444"/>
      <c r="D33" s="444"/>
      <c r="E33" s="444"/>
      <c r="F33" s="444"/>
      <c r="G33" s="444"/>
      <c r="H33" s="444"/>
      <c r="I33" s="444"/>
      <c r="J33" s="247" t="s">
        <v>162</v>
      </c>
      <c r="K33" s="241">
        <f>IF('Data Entry'!AH49="",0,MIN('Data Entry'!AH49,15000))</f>
        <v>0</v>
      </c>
      <c r="L33" s="247" t="s">
        <v>162</v>
      </c>
      <c r="M33" s="257" t="str">
        <f>IF(K4="Old Tax regime",K33,"")</f>
        <v/>
      </c>
    </row>
    <row r="34" spans="1:34" s="81" customFormat="1" ht="14.1" customHeight="1">
      <c r="A34" s="239">
        <v>10</v>
      </c>
      <c r="B34" s="444" t="str">
        <f>'Data Entry'!U50</f>
        <v>c) Section 80D 2B ( Parent's Mediclaim Premium Up To 30,000/- )</v>
      </c>
      <c r="C34" s="444"/>
      <c r="D34" s="444"/>
      <c r="E34" s="444"/>
      <c r="F34" s="444"/>
      <c r="G34" s="444"/>
      <c r="H34" s="444"/>
      <c r="I34" s="444"/>
      <c r="J34" s="247" t="s">
        <v>162</v>
      </c>
      <c r="K34" s="241">
        <f>IF('Data Entry'!AH50="",0,MIN('Data Entry'!AH50,15000))</f>
        <v>0</v>
      </c>
      <c r="L34" s="247" t="s">
        <v>162</v>
      </c>
      <c r="M34" s="257" t="str">
        <f>IF(K4="Old Tax regime",K34,"")</f>
        <v/>
      </c>
    </row>
    <row r="35" spans="1:34" s="81" customFormat="1" ht="14.1" customHeight="1">
      <c r="A35" s="239">
        <v>11</v>
      </c>
      <c r="B35" s="444" t="str">
        <f>'Data Entry'!U51</f>
        <v>d) Section 80DD ( Medical Exp On PHC ) max 75000 and in some cases 125000 disability act 1995</v>
      </c>
      <c r="C35" s="444"/>
      <c r="D35" s="444"/>
      <c r="E35" s="444"/>
      <c r="F35" s="444"/>
      <c r="G35" s="444"/>
      <c r="H35" s="444"/>
      <c r="I35" s="444"/>
      <c r="J35" s="247" t="s">
        <v>162</v>
      </c>
      <c r="K35" s="241">
        <f>IF('Data Entry'!AH51="",0,MIN('Data Entry'!AH51,100000))</f>
        <v>0</v>
      </c>
      <c r="L35" s="247" t="s">
        <v>162</v>
      </c>
      <c r="M35" s="257" t="str">
        <f>IF(K4="Old Tax regime",K35,"")</f>
        <v/>
      </c>
    </row>
    <row r="36" spans="1:34" s="81" customFormat="1" ht="14.1" customHeight="1">
      <c r="A36" s="239">
        <v>12</v>
      </c>
      <c r="B36" s="444" t="str">
        <f>'Data Entry'!U52</f>
        <v>e) Section 80DDB ( Medical Exp On Terminal Diseases )</v>
      </c>
      <c r="C36" s="444"/>
      <c r="D36" s="444"/>
      <c r="E36" s="444"/>
      <c r="F36" s="444"/>
      <c r="G36" s="444"/>
      <c r="H36" s="444"/>
      <c r="I36" s="444"/>
      <c r="J36" s="247" t="s">
        <v>162</v>
      </c>
      <c r="K36" s="241">
        <f>IF('Data Entry'!AH52="",0,MIN('Data Entry'!AH52,100000))</f>
        <v>0</v>
      </c>
      <c r="L36" s="247" t="s">
        <v>162</v>
      </c>
      <c r="M36" s="257" t="str">
        <f>IF(K4="Old Tax regime",K36,"")</f>
        <v/>
      </c>
    </row>
    <row r="37" spans="1:34" s="81" customFormat="1" ht="14.1" customHeight="1">
      <c r="A37" s="239">
        <v>13</v>
      </c>
      <c r="B37" s="444" t="str">
        <f>'Data Entry'!U53</f>
        <v>f) Section 80E  ( Interest On Education Loan )</v>
      </c>
      <c r="C37" s="444"/>
      <c r="D37" s="444"/>
      <c r="E37" s="444"/>
      <c r="F37" s="444"/>
      <c r="G37" s="444"/>
      <c r="H37" s="444"/>
      <c r="I37" s="444"/>
      <c r="J37" s="247" t="s">
        <v>162</v>
      </c>
      <c r="K37" s="241">
        <f>IF('Data Entry'!AH53="",0,MIN('Data Entry'!AH53,150000))</f>
        <v>0</v>
      </c>
      <c r="L37" s="247" t="s">
        <v>162</v>
      </c>
      <c r="M37" s="257" t="str">
        <f>IF(K4="Old Tax regime",K37,"")</f>
        <v/>
      </c>
    </row>
    <row r="38" spans="1:34" s="81" customFormat="1" ht="14.1" customHeight="1">
      <c r="A38" s="239">
        <v>14</v>
      </c>
      <c r="B38" s="243" t="str">
        <f>'Data Entry'!U54</f>
        <v>g) Section 80G, 80GGA, 80GGC (Donation to approved funds</v>
      </c>
      <c r="C38" s="243"/>
      <c r="D38" s="243"/>
      <c r="E38" s="243"/>
      <c r="F38" s="243"/>
      <c r="G38" s="243"/>
      <c r="H38" s="258">
        <f>'Data Entry'!AE54</f>
        <v>1</v>
      </c>
      <c r="I38" s="243"/>
      <c r="J38" s="247" t="s">
        <v>162</v>
      </c>
      <c r="K38" s="241">
        <f>'Data Entry'!AH54</f>
        <v>0</v>
      </c>
      <c r="L38" s="247" t="s">
        <v>162</v>
      </c>
      <c r="M38" s="257" t="str">
        <f>IF(K4="Old Tax regime",IF(H38=100%,K38,IF(H38=50%,MIN(ROUND(K38/2,0),M20*10%))),"")</f>
        <v/>
      </c>
    </row>
    <row r="39" spans="1:34" s="81" customFormat="1" ht="14.1" customHeight="1">
      <c r="A39" s="239">
        <v>15</v>
      </c>
      <c r="B39" s="444" t="str">
        <f>'Data Entry'!U55</f>
        <v>h) Section 80GG ( Rent Provided No House At Work Place )</v>
      </c>
      <c r="C39" s="444"/>
      <c r="D39" s="444"/>
      <c r="E39" s="444"/>
      <c r="F39" s="444"/>
      <c r="G39" s="444"/>
      <c r="H39" s="444"/>
      <c r="I39" s="444"/>
      <c r="J39" s="247" t="s">
        <v>162</v>
      </c>
      <c r="K39" s="241">
        <f>IF('Data Entry'!AH55="",0,MIN('Data Entry'!AH55,100000))</f>
        <v>0</v>
      </c>
      <c r="L39" s="247" t="s">
        <v>162</v>
      </c>
      <c r="M39" s="257" t="str">
        <f>IF(K4="Old Tax regime",K39,"")</f>
        <v/>
      </c>
    </row>
    <row r="40" spans="1:34" s="81" customFormat="1" ht="11.25" customHeight="1">
      <c r="A40" s="239">
        <v>16</v>
      </c>
      <c r="B40" s="444" t="str">
        <f>'Data Entry'!U56</f>
        <v>i) Section 80U  ( Permanent Physical Disability ) max 75000 and in some cases 125000 disability act 1995</v>
      </c>
      <c r="C40" s="444"/>
      <c r="D40" s="444"/>
      <c r="E40" s="444"/>
      <c r="F40" s="444"/>
      <c r="G40" s="444"/>
      <c r="H40" s="444"/>
      <c r="I40" s="444"/>
      <c r="J40" s="247" t="s">
        <v>162</v>
      </c>
      <c r="K40" s="241">
        <f>IF('Data Entry'!AH56="",0,MIN('Data Entry'!AH56,100000))</f>
        <v>0</v>
      </c>
      <c r="L40" s="247" t="s">
        <v>162</v>
      </c>
      <c r="M40" s="257" t="str">
        <f>IF(K4="Old Tax regime",K40,"")</f>
        <v/>
      </c>
    </row>
    <row r="41" spans="1:34" s="81" customFormat="1" ht="12.75" customHeight="1">
      <c r="A41" s="239">
        <v>17</v>
      </c>
      <c r="B41" s="442" t="s">
        <v>151</v>
      </c>
      <c r="C41" s="442"/>
      <c r="D41" s="442"/>
      <c r="E41" s="442"/>
      <c r="F41" s="442"/>
      <c r="G41" s="442"/>
      <c r="H41" s="442"/>
      <c r="I41" s="442"/>
      <c r="J41" s="442"/>
      <c r="K41" s="442"/>
      <c r="L41" s="247" t="s">
        <v>162</v>
      </c>
      <c r="M41" s="234" t="str">
        <f>IF(K4="Old Tax regime",SUM(M32:M40),"")</f>
        <v/>
      </c>
    </row>
    <row r="42" spans="1:34" s="81" customFormat="1" ht="12.75" customHeight="1">
      <c r="A42" s="239">
        <v>18</v>
      </c>
      <c r="B42" s="442" t="s">
        <v>152</v>
      </c>
      <c r="C42" s="442"/>
      <c r="D42" s="442"/>
      <c r="E42" s="442"/>
      <c r="F42" s="442"/>
      <c r="G42" s="442"/>
      <c r="H42" s="442"/>
      <c r="I42" s="442"/>
      <c r="J42" s="442"/>
      <c r="K42" s="442"/>
      <c r="L42" s="247" t="s">
        <v>162</v>
      </c>
      <c r="M42" s="234">
        <f>SUM(M30,M31,M41)</f>
        <v>0</v>
      </c>
    </row>
    <row r="43" spans="1:34" s="88" customFormat="1" ht="12.75">
      <c r="A43" s="259">
        <v>19</v>
      </c>
      <c r="B43" s="439" t="s">
        <v>142</v>
      </c>
      <c r="C43" s="439"/>
      <c r="D43" s="439"/>
      <c r="E43" s="439"/>
      <c r="F43" s="439"/>
      <c r="G43" s="439"/>
      <c r="H43" s="439"/>
      <c r="I43" s="439"/>
      <c r="J43" s="439"/>
      <c r="K43" s="439"/>
      <c r="L43" s="260" t="s">
        <v>162</v>
      </c>
      <c r="M43" s="234">
        <f>IF(SUM(M20,-M42)&gt;0,SUM(M20,-M42),0)</f>
        <v>1558354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</row>
    <row r="44" spans="1:34" s="81" customFormat="1" ht="12.75">
      <c r="A44" s="235">
        <v>20</v>
      </c>
      <c r="B44" s="441" t="s">
        <v>141</v>
      </c>
      <c r="C44" s="441"/>
      <c r="D44" s="441"/>
      <c r="E44" s="441"/>
      <c r="F44" s="441"/>
      <c r="G44" s="441"/>
      <c r="H44" s="441"/>
      <c r="I44" s="441"/>
      <c r="J44" s="441"/>
      <c r="K44" s="441"/>
      <c r="L44" s="250" t="s">
        <v>162</v>
      </c>
      <c r="M44" s="234">
        <f>ROUND(M43,-1)</f>
        <v>1558350</v>
      </c>
      <c r="AE44" s="81" t="s">
        <v>372</v>
      </c>
      <c r="AG44" s="329">
        <f>IF((M44-700000)&gt;0,(M44-700000),0)</f>
        <v>858350</v>
      </c>
      <c r="AH44" s="81" t="s">
        <v>371</v>
      </c>
    </row>
    <row r="45" spans="1:34" s="81" customFormat="1" ht="13.5" customHeight="1">
      <c r="A45" s="259">
        <v>21</v>
      </c>
      <c r="B45" s="462" t="s">
        <v>12</v>
      </c>
      <c r="C45" s="462"/>
      <c r="D45" s="462"/>
      <c r="E45" s="462"/>
      <c r="F45" s="462"/>
      <c r="G45" s="462"/>
      <c r="H45" s="462"/>
      <c r="I45" s="462"/>
      <c r="J45" s="462"/>
      <c r="K45" s="462"/>
      <c r="L45" s="462"/>
      <c r="M45" s="463"/>
      <c r="AE45" s="81" t="s">
        <v>373</v>
      </c>
    </row>
    <row r="46" spans="1:34" s="81" customFormat="1" ht="12" customHeight="1">
      <c r="A46" s="239"/>
      <c r="B46" s="237" t="s">
        <v>24</v>
      </c>
      <c r="C46" s="437" t="s">
        <v>343</v>
      </c>
      <c r="D46" s="243" t="s">
        <v>331</v>
      </c>
      <c r="E46" s="81">
        <v>0</v>
      </c>
      <c r="F46" s="268">
        <v>0</v>
      </c>
      <c r="G46" s="437" t="s">
        <v>342</v>
      </c>
      <c r="H46" s="243" t="s">
        <v>332</v>
      </c>
      <c r="I46" s="243"/>
      <c r="J46" s="81">
        <v>0</v>
      </c>
      <c r="K46" s="268">
        <v>0</v>
      </c>
      <c r="L46" s="247" t="s">
        <v>162</v>
      </c>
      <c r="M46" s="257">
        <f>IF($K$4="Old Tax regime",E46,IF($K$4="New Tax regime",J46,""))</f>
        <v>0</v>
      </c>
      <c r="AE46" s="81" t="s">
        <v>368</v>
      </c>
      <c r="AG46" s="81">
        <v>0</v>
      </c>
    </row>
    <row r="47" spans="1:34" s="81" customFormat="1" ht="12.75">
      <c r="A47" s="239"/>
      <c r="B47" s="237" t="s">
        <v>25</v>
      </c>
      <c r="C47" s="437"/>
      <c r="D47" s="243" t="s">
        <v>333</v>
      </c>
      <c r="E47" s="243">
        <f>ROUND(IF(AND(M44&gt;=250000,M44&lt;=500000),(M44-250000)*5%,IF(M44&gt;500000,12500,0)),0)</f>
        <v>12500</v>
      </c>
      <c r="F47" s="268">
        <v>0.05</v>
      </c>
      <c r="G47" s="437"/>
      <c r="H47" s="243" t="s">
        <v>334</v>
      </c>
      <c r="I47" s="243"/>
      <c r="J47" s="243">
        <f>ROUND(IF(AND(M44&gt;=300000,M44&lt;=700000),(M44-300000)*5%,IF(M44&gt;700000,20000,0)),0)</f>
        <v>20000</v>
      </c>
      <c r="K47" s="268">
        <v>0.05</v>
      </c>
      <c r="L47" s="247" t="s">
        <v>162</v>
      </c>
      <c r="M47" s="257">
        <f t="shared" ref="M47:M51" si="0">IF($K$4="Old Tax regime",E47,IF($K$4="New Tax regime",J47,""))</f>
        <v>20000</v>
      </c>
      <c r="AE47" s="81" t="s">
        <v>374</v>
      </c>
      <c r="AG47" s="81">
        <f>ROUND(IF(AND(M44&gt;=300000,M44&lt;=700000),(M44-300000)*5%,IF(M44&gt;700000,20000,0)),0)</f>
        <v>20000</v>
      </c>
    </row>
    <row r="48" spans="1:34" s="81" customFormat="1" ht="12.75">
      <c r="A48" s="239"/>
      <c r="B48" s="237" t="s">
        <v>26</v>
      </c>
      <c r="C48" s="437"/>
      <c r="F48" s="269"/>
      <c r="G48" s="437"/>
      <c r="H48" s="243" t="s">
        <v>336</v>
      </c>
      <c r="I48" s="243"/>
      <c r="J48" s="243">
        <f>ROUND(IF(AND(M44&gt;=700000,M44&lt;=1000000),(M44-700000)*10%,IF(M44&gt;1000000,30000,0)),0)</f>
        <v>30000</v>
      </c>
      <c r="K48" s="270">
        <v>0.1</v>
      </c>
      <c r="L48" s="247"/>
      <c r="M48" s="257">
        <f t="shared" si="0"/>
        <v>30000</v>
      </c>
      <c r="AB48" s="274"/>
      <c r="AE48" s="81" t="str">
        <f>"Tax on balance Rs"&amp; AG44&amp;"@ 10%"</f>
        <v>Tax on balance Rs858350@ 10%</v>
      </c>
      <c r="AG48" s="81">
        <f>ROUND(IF(AND(M44&gt;=700000,M44&lt;=1000000),(M44-700000)*10%,IF(M44&gt;1000000,30000,0)),0)</f>
        <v>30000</v>
      </c>
    </row>
    <row r="49" spans="1:34" s="81" customFormat="1" ht="12.75">
      <c r="A49" s="239"/>
      <c r="B49" s="237" t="s">
        <v>27</v>
      </c>
      <c r="C49" s="437"/>
      <c r="F49" s="269"/>
      <c r="G49" s="437"/>
      <c r="H49" s="243" t="s">
        <v>338</v>
      </c>
      <c r="I49" s="243"/>
      <c r="J49" s="243">
        <f>ROUND(IF(AND(M44&gt;=1000000,M44&lt;=1200000),(M44-1000000)*15%,IF(M44&gt;1200000,30000,0)),0)</f>
        <v>30000</v>
      </c>
      <c r="K49" s="270">
        <v>0.15</v>
      </c>
      <c r="L49" s="247"/>
      <c r="M49" s="257">
        <f>IF($K$4="Old Tax regime",E49,IF($K$4="New Tax regime",J49,""))</f>
        <v>30000</v>
      </c>
      <c r="AG49" s="328">
        <f>SUM(AG47:AG48)</f>
        <v>50000</v>
      </c>
      <c r="AH49" s="81" t="s">
        <v>370</v>
      </c>
    </row>
    <row r="50" spans="1:34" s="81" customFormat="1" ht="12.75">
      <c r="A50" s="239"/>
      <c r="B50" s="237" t="s">
        <v>28</v>
      </c>
      <c r="C50" s="437"/>
      <c r="D50" s="243" t="s">
        <v>335</v>
      </c>
      <c r="E50" s="243">
        <f>ROUND(IF(AND(M44&gt;=500000,M44&lt;=1000000),(M44-500000)*20%,IF(M44&gt;1000000,100000,0)),0)</f>
        <v>100000</v>
      </c>
      <c r="F50" s="268">
        <v>0.2</v>
      </c>
      <c r="G50" s="437"/>
      <c r="H50" s="243" t="s">
        <v>339</v>
      </c>
      <c r="I50" s="243"/>
      <c r="J50" s="243">
        <f>ROUND(IF(AND(M44&gt;=1200000,M44&lt;=1500000),(M44-1200000)*20%,IF(M44&gt;1500000,60000,0)),0)</f>
        <v>60000</v>
      </c>
      <c r="K50" s="268">
        <v>0.2</v>
      </c>
      <c r="L50" s="247"/>
      <c r="M50" s="257">
        <f t="shared" si="0"/>
        <v>60000</v>
      </c>
      <c r="AE50" s="81" t="s">
        <v>369</v>
      </c>
      <c r="AG50" s="327">
        <f>AG49-AG44</f>
        <v>-808350</v>
      </c>
    </row>
    <row r="51" spans="1:34" s="81" customFormat="1" ht="12.75">
      <c r="A51" s="239"/>
      <c r="B51" s="237" t="s">
        <v>29</v>
      </c>
      <c r="C51" s="437"/>
      <c r="D51" s="243" t="s">
        <v>337</v>
      </c>
      <c r="E51" s="243">
        <f>IF(M44&gt;1000000,ROUND((M44-1000000)*30%,0),0)</f>
        <v>167505</v>
      </c>
      <c r="F51" s="268">
        <v>0.3</v>
      </c>
      <c r="G51" s="437"/>
      <c r="H51" s="243" t="s">
        <v>340</v>
      </c>
      <c r="I51" s="243"/>
      <c r="J51" s="243">
        <f>IF(M44&gt;1500000,ROUND((M44-1500000)*30%,0),0)</f>
        <v>17505</v>
      </c>
      <c r="K51" s="268">
        <v>0.3</v>
      </c>
      <c r="L51" s="247" t="s">
        <v>162</v>
      </c>
      <c r="M51" s="257">
        <f t="shared" si="0"/>
        <v>17505</v>
      </c>
    </row>
    <row r="52" spans="1:34" s="81" customFormat="1" ht="12.75">
      <c r="A52" s="239"/>
      <c r="B52" s="244" t="s">
        <v>255</v>
      </c>
      <c r="C52" s="441" t="s">
        <v>375</v>
      </c>
      <c r="D52" s="441"/>
      <c r="E52" s="441"/>
      <c r="F52" s="441"/>
      <c r="G52" s="441"/>
      <c r="H52" s="441"/>
      <c r="I52" s="441"/>
      <c r="J52" s="441"/>
      <c r="K52" s="441"/>
      <c r="L52" s="247" t="s">
        <v>162</v>
      </c>
      <c r="M52" s="234">
        <f>IF($K$4="Old Tax regime",E53,IF($K$4="New Tax regime",J53,""))</f>
        <v>0</v>
      </c>
    </row>
    <row r="53" spans="1:34" s="81" customFormat="1" ht="17.25" hidden="1" customHeight="1">
      <c r="A53" s="239"/>
      <c r="B53" s="244"/>
      <c r="C53" s="236"/>
      <c r="D53" s="236"/>
      <c r="E53" s="243">
        <f>IF(M44&lt;=250000,0,IF(M44&lt;=500000,ROUND((M44-250000)*0.05,0),0))</f>
        <v>0</v>
      </c>
      <c r="F53" s="236"/>
      <c r="G53" s="236"/>
      <c r="H53" s="236"/>
      <c r="I53" s="236"/>
      <c r="J53" s="330">
        <f>IF(AG50&gt;0,AG50,0)</f>
        <v>0</v>
      </c>
      <c r="K53" s="236"/>
      <c r="L53" s="247"/>
      <c r="M53" s="257"/>
    </row>
    <row r="54" spans="1:34" s="81" customFormat="1" ht="12.75">
      <c r="A54" s="239"/>
      <c r="B54" s="237" t="s">
        <v>0</v>
      </c>
      <c r="C54" s="444" t="s">
        <v>256</v>
      </c>
      <c r="D54" s="444"/>
      <c r="E54" s="444"/>
      <c r="F54" s="444"/>
      <c r="G54" s="444"/>
      <c r="H54" s="444"/>
      <c r="I54" s="444"/>
      <c r="J54" s="444"/>
      <c r="K54" s="444"/>
      <c r="L54" s="247" t="s">
        <v>162</v>
      </c>
      <c r="M54" s="257">
        <f>SUM(M46:M51,-M52)</f>
        <v>157505</v>
      </c>
    </row>
    <row r="55" spans="1:34" s="81" customFormat="1" ht="18" hidden="1" customHeight="1">
      <c r="A55" s="239"/>
      <c r="B55" s="237" t="s">
        <v>2</v>
      </c>
      <c r="C55" s="464" t="s">
        <v>163</v>
      </c>
      <c r="D55" s="464"/>
      <c r="E55" s="464"/>
      <c r="F55" s="464"/>
      <c r="G55" s="464"/>
      <c r="H55" s="464"/>
      <c r="I55" s="464"/>
      <c r="J55" s="464"/>
      <c r="K55" s="464"/>
      <c r="L55" s="247" t="s">
        <v>162</v>
      </c>
      <c r="M55" s="257"/>
    </row>
    <row r="56" spans="1:34" s="81" customFormat="1" ht="12.75">
      <c r="A56" s="239"/>
      <c r="B56" s="237" t="s">
        <v>149</v>
      </c>
      <c r="C56" s="444" t="s">
        <v>304</v>
      </c>
      <c r="D56" s="444"/>
      <c r="E56" s="444"/>
      <c r="F56" s="444"/>
      <c r="G56" s="444"/>
      <c r="H56" s="444"/>
      <c r="I56" s="444"/>
      <c r="J56" s="444"/>
      <c r="K56" s="444"/>
      <c r="L56" s="247" t="s">
        <v>162</v>
      </c>
      <c r="M56" s="257">
        <f>ROUND((M54+M55)*4%,0)</f>
        <v>6300</v>
      </c>
    </row>
    <row r="57" spans="1:34" s="81" customFormat="1" ht="12.75">
      <c r="A57" s="231">
        <v>22</v>
      </c>
      <c r="B57" s="439" t="s">
        <v>243</v>
      </c>
      <c r="C57" s="439"/>
      <c r="D57" s="439"/>
      <c r="E57" s="439"/>
      <c r="F57" s="439"/>
      <c r="G57" s="439"/>
      <c r="H57" s="439"/>
      <c r="I57" s="439"/>
      <c r="J57" s="439"/>
      <c r="K57" s="439"/>
      <c r="L57" s="261" t="s">
        <v>162</v>
      </c>
      <c r="M57" s="234">
        <f>SUM(M54:M56)</f>
        <v>163805</v>
      </c>
      <c r="X57" s="273" t="s">
        <v>345</v>
      </c>
    </row>
    <row r="58" spans="1:34" s="81" customFormat="1" ht="12.75">
      <c r="A58" s="239">
        <v>23</v>
      </c>
      <c r="B58" s="444" t="s">
        <v>215</v>
      </c>
      <c r="C58" s="444"/>
      <c r="D58" s="444"/>
      <c r="E58" s="444"/>
      <c r="F58" s="444"/>
      <c r="G58" s="444"/>
      <c r="H58" s="444"/>
      <c r="I58" s="444"/>
      <c r="J58" s="444"/>
      <c r="K58" s="444"/>
      <c r="L58" s="247" t="s">
        <v>162</v>
      </c>
      <c r="M58" s="257">
        <f>'Data Entry'!AI58</f>
        <v>0</v>
      </c>
    </row>
    <row r="59" spans="1:34" s="81" customFormat="1" ht="12.75">
      <c r="A59" s="239">
        <v>24</v>
      </c>
      <c r="B59" s="444" t="s">
        <v>246</v>
      </c>
      <c r="C59" s="444"/>
      <c r="D59" s="444"/>
      <c r="E59" s="444"/>
      <c r="F59" s="444"/>
      <c r="G59" s="444"/>
      <c r="H59" s="444"/>
      <c r="I59" s="444"/>
      <c r="J59" s="444"/>
      <c r="K59" s="444"/>
      <c r="L59" s="247" t="s">
        <v>162</v>
      </c>
      <c r="M59" s="257">
        <f>-'Data Entry'!AH60</f>
        <v>0</v>
      </c>
    </row>
    <row r="60" spans="1:34" s="81" customFormat="1" ht="12.75">
      <c r="A60" s="231">
        <v>25</v>
      </c>
      <c r="B60" s="439" t="s">
        <v>244</v>
      </c>
      <c r="C60" s="439"/>
      <c r="D60" s="439"/>
      <c r="E60" s="439"/>
      <c r="F60" s="439"/>
      <c r="G60" s="439"/>
      <c r="H60" s="439"/>
      <c r="I60" s="439"/>
      <c r="J60" s="439"/>
      <c r="K60" s="439"/>
      <c r="L60" s="261" t="s">
        <v>162</v>
      </c>
      <c r="M60" s="234">
        <f>SUM(M57:M59)</f>
        <v>163805</v>
      </c>
    </row>
    <row r="61" spans="1:34" s="81" customFormat="1" ht="12.75">
      <c r="A61" s="239">
        <v>26</v>
      </c>
      <c r="B61" s="444" t="s">
        <v>156</v>
      </c>
      <c r="C61" s="444"/>
      <c r="D61" s="444"/>
      <c r="E61" s="444"/>
      <c r="F61" s="444"/>
      <c r="G61" s="444"/>
      <c r="H61" s="444"/>
      <c r="I61" s="444"/>
      <c r="J61" s="444"/>
      <c r="K61" s="444"/>
      <c r="L61" s="237"/>
      <c r="M61" s="262"/>
    </row>
    <row r="62" spans="1:34" s="95" customFormat="1">
      <c r="A62" s="263"/>
      <c r="B62" s="66"/>
      <c r="C62" s="456" t="str">
        <f>"up to Sept. "&amp;'Data Entry'!L3</f>
        <v>up to Sept. 2024</v>
      </c>
      <c r="D62" s="456"/>
      <c r="E62" s="465" t="str">
        <f>"Upto Dec. "&amp;'Data Entry'!L3</f>
        <v>Upto Dec. 2024</v>
      </c>
      <c r="F62" s="465"/>
      <c r="G62" s="456" t="str">
        <f>"upto Jan."&amp;('Data Entry'!L3+1)</f>
        <v>upto Jan.2025</v>
      </c>
      <c r="H62" s="456"/>
      <c r="I62" s="237" t="str">
        <f>"in Feb. "&amp;('Data Entry'!L3+1)</f>
        <v>in Feb. 2025</v>
      </c>
      <c r="J62" s="456" t="s">
        <v>155</v>
      </c>
      <c r="K62" s="456"/>
      <c r="L62" s="264"/>
      <c r="M62" s="265"/>
      <c r="X62" s="104"/>
    </row>
    <row r="63" spans="1:34" s="81" customFormat="1" ht="14.25" customHeight="1">
      <c r="A63" s="239"/>
      <c r="B63" s="255"/>
      <c r="C63" s="461">
        <f>SUM('Salary Statement(print)'!Y5:Y11)</f>
        <v>98000</v>
      </c>
      <c r="D63" s="461"/>
      <c r="E63" s="461">
        <f>SUM('Salary Statement(print)'!Y5:Y14)</f>
        <v>140000</v>
      </c>
      <c r="F63" s="461"/>
      <c r="G63" s="461">
        <f>SUM('Salary Statement(print)'!Y5:Y15)</f>
        <v>154000</v>
      </c>
      <c r="H63" s="461"/>
      <c r="I63" s="266">
        <f>'Salary Statement(print)'!Y16</f>
        <v>14000</v>
      </c>
      <c r="J63" s="466">
        <f>'Salary Statement(print)'!Y24</f>
        <v>168000</v>
      </c>
      <c r="K63" s="466"/>
      <c r="L63" s="247" t="s">
        <v>162</v>
      </c>
      <c r="M63" s="257">
        <f>J63</f>
        <v>168000</v>
      </c>
    </row>
    <row r="64" spans="1:34" s="81" customFormat="1" ht="15.75" customHeight="1">
      <c r="A64" s="231">
        <v>27</v>
      </c>
      <c r="B64" s="523" t="str">
        <f>IF(M64&gt;0,"Tax Liability",IF(M64&lt;0,"Refund",""))</f>
        <v>Refund</v>
      </c>
      <c r="C64" s="523"/>
      <c r="D64" s="523"/>
      <c r="E64" s="523"/>
      <c r="F64" s="523"/>
      <c r="G64" s="523"/>
      <c r="H64" s="523"/>
      <c r="I64" s="523"/>
      <c r="J64" s="523"/>
      <c r="K64" s="523"/>
      <c r="L64" s="261" t="s">
        <v>162</v>
      </c>
      <c r="M64" s="234">
        <f>M60-M63</f>
        <v>-4195</v>
      </c>
    </row>
    <row r="65" spans="1:23" s="92" customFormat="1" ht="47.25" customHeight="1">
      <c r="A65" s="457" t="s">
        <v>344</v>
      </c>
      <c r="B65" s="458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9"/>
      <c r="N65" s="81"/>
      <c r="O65" s="81"/>
      <c r="P65" s="81"/>
      <c r="Q65" s="81"/>
      <c r="R65" s="81"/>
      <c r="S65" s="81"/>
      <c r="T65" s="81"/>
      <c r="U65" s="81"/>
      <c r="V65" s="81"/>
      <c r="W65" s="81"/>
    </row>
    <row r="66" spans="1:23" ht="15" customHeight="1">
      <c r="M66" s="84"/>
    </row>
    <row r="67" spans="1:23">
      <c r="M67" s="84"/>
    </row>
    <row r="68" spans="1:23">
      <c r="M68" s="84"/>
    </row>
    <row r="69" spans="1:23">
      <c r="M69" s="84"/>
    </row>
    <row r="72" spans="1:23">
      <c r="K72" s="272"/>
    </row>
  </sheetData>
  <sheetProtection algorithmName="SHA-512" hashValue="xnNo9CKdwSk23cb1XJQj3cueGxijp8JO726Rz3XOjw1HWQHRm4EQbW1my2/3Cr2lJjjLhbLpjxuOnCmIGXOMYA==" saltValue="WfLuk/LR88x3gOxDFB9eMg==" spinCount="100000" sheet="1" selectLockedCells="1"/>
  <dataConsolidate/>
  <mergeCells count="60">
    <mergeCell ref="A65:M65"/>
    <mergeCell ref="A22:A29"/>
    <mergeCell ref="C63:D63"/>
    <mergeCell ref="B59:K59"/>
    <mergeCell ref="B45:M45"/>
    <mergeCell ref="B61:K61"/>
    <mergeCell ref="J62:K62"/>
    <mergeCell ref="C54:K54"/>
    <mergeCell ref="B42:K42"/>
    <mergeCell ref="C55:K55"/>
    <mergeCell ref="E62:F62"/>
    <mergeCell ref="E63:F63"/>
    <mergeCell ref="B41:K41"/>
    <mergeCell ref="J63:K63"/>
    <mergeCell ref="B60:K60"/>
    <mergeCell ref="G63:H63"/>
    <mergeCell ref="G62:H62"/>
    <mergeCell ref="C62:D62"/>
    <mergeCell ref="B64:K64"/>
    <mergeCell ref="C56:K56"/>
    <mergeCell ref="C52:K52"/>
    <mergeCell ref="B58:K58"/>
    <mergeCell ref="B57:K57"/>
    <mergeCell ref="B32:I32"/>
    <mergeCell ref="B33:I33"/>
    <mergeCell ref="B34:I34"/>
    <mergeCell ref="B35:I35"/>
    <mergeCell ref="B36:I36"/>
    <mergeCell ref="A2:M2"/>
    <mergeCell ref="C18:I18"/>
    <mergeCell ref="C17:I17"/>
    <mergeCell ref="C16:I16"/>
    <mergeCell ref="C15:M15"/>
    <mergeCell ref="B10:K10"/>
    <mergeCell ref="C11:M11"/>
    <mergeCell ref="C12:I12"/>
    <mergeCell ref="C13:I13"/>
    <mergeCell ref="C14:I14"/>
    <mergeCell ref="A3:C3"/>
    <mergeCell ref="J3:M3"/>
    <mergeCell ref="B7:K7"/>
    <mergeCell ref="A4:C4"/>
    <mergeCell ref="A5:C5"/>
    <mergeCell ref="K4:M4"/>
    <mergeCell ref="D3:G3"/>
    <mergeCell ref="D4:G4"/>
    <mergeCell ref="C46:C51"/>
    <mergeCell ref="G46:G51"/>
    <mergeCell ref="B30:I30"/>
    <mergeCell ref="B6:K6"/>
    <mergeCell ref="H29:I29"/>
    <mergeCell ref="B20:H20"/>
    <mergeCell ref="B19:I19"/>
    <mergeCell ref="D5:G5"/>
    <mergeCell ref="I5:M5"/>
    <mergeCell ref="B37:I37"/>
    <mergeCell ref="B39:I39"/>
    <mergeCell ref="B40:I40"/>
    <mergeCell ref="B44:K44"/>
    <mergeCell ref="B43:K43"/>
  </mergeCells>
  <phoneticPr fontId="0" type="noConversion"/>
  <conditionalFormatting sqref="M64">
    <cfRule type="cellIs" dxfId="5" priority="11" operator="lessThan">
      <formula>0</formula>
    </cfRule>
  </conditionalFormatting>
  <conditionalFormatting sqref="K46:K5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{89DE8AC5-D629-4FBB-A8A6-AFF6EAD390DE}</x14:id>
        </ext>
      </extLst>
    </cfRule>
  </conditionalFormatting>
  <conditionalFormatting sqref="F46:F51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{1C3B2AF4-8A3C-46BE-A543-22CD071A5166}</x14:id>
        </ext>
      </extLst>
    </cfRule>
  </conditionalFormatting>
  <conditionalFormatting sqref="K4">
    <cfRule type="containsText" dxfId="4" priority="5" operator="containsText" text="&quot;New Tax Resume&quot;">
      <formula>NOT(ISERROR(SEARCH("""New Tax Resume""",K4)))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M4">
    <cfRule type="containsText" dxfId="3" priority="3" operator="containsText" text="New Tax regime">
      <formula>NOT(ISERROR(SEARCH("New Tax regime",K4)))</formula>
    </cfRule>
    <cfRule type="containsText" dxfId="2" priority="4" operator="containsText" text="Old Tax Regime">
      <formula>NOT(ISERROR(SEARCH("Old Tax Regime",K4)))</formula>
    </cfRule>
  </conditionalFormatting>
  <conditionalFormatting sqref="B64:K64">
    <cfRule type="containsText" dxfId="0" priority="2" operator="containsText" text="Refund">
      <formula>NOT(ISERROR(SEARCH("Refund",B64)))</formula>
    </cfRule>
    <cfRule type="containsText" dxfId="1" priority="1" operator="containsText" text="Tax Liability">
      <formula>NOT(ISERROR(SEARCH("Tax Liability",B64)))</formula>
    </cfRule>
  </conditionalFormatting>
  <hyperlinks>
    <hyperlink ref="A1" r:id="rId1" xr:uid="{00000000-0004-0000-0200-000000000000}"/>
    <hyperlink ref="X57" r:id="rId2" location="/TaxCalc/calculator" xr:uid="{392AE0B8-212F-4FF1-92E2-DC7968761563}"/>
  </hyperlinks>
  <printOptions horizontalCentered="1" verticalCentered="1" gridLines="1"/>
  <pageMargins left="0" right="0" top="0.31496062992125984" bottom="0.31496062992125984" header="0" footer="0"/>
  <pageSetup paperSize="9" scale="95" orientation="portrait" r:id="rId3"/>
  <headerFooter scaleWithDoc="0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DE8AC5-D629-4FBB-A8A6-AFF6EAD390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K46:K51</xm:sqref>
        </x14:conditionalFormatting>
        <x14:conditionalFormatting xmlns:xm="http://schemas.microsoft.com/office/excel/2006/main">
          <x14:cfRule type="dataBar" id="{1C3B2AF4-8A3C-46BE-A543-22CD071A516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F46:F51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>
      <selection activeCell="G20" sqref="G20"/>
    </sheetView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R36"/>
  <sheetViews>
    <sheetView zoomScale="90" zoomScaleNormal="90" workbookViewId="0">
      <selection activeCell="J32" sqref="J32:L32"/>
    </sheetView>
  </sheetViews>
  <sheetFormatPr defaultColWidth="9.140625" defaultRowHeight="12.75"/>
  <cols>
    <col min="1" max="10" width="8.140625" style="22" customWidth="1"/>
    <col min="11" max="11" width="9.42578125" style="22" customWidth="1"/>
    <col min="12" max="12" width="8.140625" style="22" customWidth="1"/>
    <col min="13" max="13" width="7.140625" style="22" customWidth="1"/>
    <col min="14" max="14" width="66.5703125" style="22" customWidth="1"/>
    <col min="15" max="15" width="21.140625" style="22" customWidth="1"/>
    <col min="16" max="16" width="15.85546875" style="22" customWidth="1"/>
    <col min="17" max="17" width="32.5703125" style="22" customWidth="1"/>
    <col min="18" max="16384" width="9.140625" style="22"/>
  </cols>
  <sheetData>
    <row r="1" spans="1:18" ht="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5" t="s">
        <v>276</v>
      </c>
      <c r="N1" s="45" t="str">
        <f>'Data Entry'!D4</f>
        <v>GOPAL LAL SUTHAR</v>
      </c>
      <c r="O1" s="40"/>
      <c r="P1" s="40"/>
      <c r="Q1" s="40"/>
      <c r="R1" s="40"/>
    </row>
    <row r="2" spans="1:18" ht="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5" t="s">
        <v>249</v>
      </c>
      <c r="N2" s="45" t="str">
        <f>'Data Entry'!W4</f>
        <v>AHZPS9525J</v>
      </c>
      <c r="O2" s="40"/>
      <c r="P2" s="40"/>
      <c r="Q2" s="40"/>
      <c r="R2" s="40"/>
    </row>
    <row r="3" spans="1:18" ht="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 t="s">
        <v>13</v>
      </c>
      <c r="N3" s="45" t="str">
        <f>'Data Entry'!R4</f>
        <v>D.E.O.</v>
      </c>
      <c r="O3" s="40"/>
      <c r="P3" s="40"/>
      <c r="Q3" s="40"/>
      <c r="R3" s="40"/>
    </row>
    <row r="4" spans="1:18" ht="15">
      <c r="A4" s="39"/>
      <c r="B4" s="39"/>
      <c r="C4" s="39"/>
      <c r="D4" s="39"/>
      <c r="E4" s="39"/>
      <c r="F4" s="39"/>
      <c r="G4" s="39"/>
      <c r="H4" s="39"/>
      <c r="I4" s="55" t="s">
        <v>171</v>
      </c>
      <c r="J4" s="469">
        <f ca="1">TODAY()</f>
        <v>45645</v>
      </c>
      <c r="K4" s="469"/>
      <c r="L4" s="40"/>
      <c r="M4" s="45" t="s">
        <v>14</v>
      </c>
      <c r="N4" s="45">
        <f>'Data Entry'!AA4</f>
        <v>0</v>
      </c>
      <c r="O4" s="43"/>
      <c r="P4" s="44"/>
      <c r="Q4" s="44"/>
      <c r="R4" s="44"/>
    </row>
    <row r="5" spans="1:18" ht="15.75">
      <c r="A5" s="39"/>
      <c r="B5" s="39"/>
      <c r="C5" s="39"/>
      <c r="D5" s="39"/>
      <c r="E5" s="39"/>
      <c r="F5" s="39"/>
      <c r="G5" s="39"/>
      <c r="H5" s="39"/>
      <c r="I5" s="48"/>
      <c r="J5" s="49"/>
      <c r="K5" s="39"/>
      <c r="L5" s="39"/>
      <c r="M5" s="40"/>
      <c r="N5" s="43"/>
      <c r="O5" s="43"/>
      <c r="P5" s="43"/>
      <c r="Q5" s="43"/>
      <c r="R5" s="43"/>
    </row>
    <row r="6" spans="1:18" ht="15.75">
      <c r="A6" s="39"/>
      <c r="B6" s="39"/>
      <c r="C6" s="39"/>
      <c r="D6" s="39"/>
      <c r="E6" s="39"/>
      <c r="F6" s="39"/>
      <c r="G6" s="39"/>
      <c r="H6" s="39"/>
      <c r="I6" s="48"/>
      <c r="J6" s="49"/>
      <c r="K6" s="39"/>
      <c r="L6" s="39"/>
      <c r="M6" s="468" t="s">
        <v>277</v>
      </c>
      <c r="N6" s="468"/>
      <c r="O6" s="468"/>
      <c r="P6" s="41"/>
      <c r="Q6" s="40"/>
      <c r="R6" s="40"/>
    </row>
    <row r="7" spans="1:18" ht="15.75">
      <c r="I7" s="39"/>
      <c r="J7" s="39"/>
      <c r="K7" s="49"/>
      <c r="L7" s="49"/>
      <c r="M7" s="50"/>
      <c r="N7" s="40"/>
      <c r="O7" s="46"/>
      <c r="P7" s="42"/>
      <c r="Q7" s="40"/>
      <c r="R7" s="40"/>
    </row>
    <row r="8" spans="1:18" ht="23.25" customHeight="1">
      <c r="A8" s="475" t="s">
        <v>172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50">
        <v>1</v>
      </c>
      <c r="N8" s="45" t="str">
        <f>"HOUSE RENT RECEIVED IN FINANCIAL YEAR  "&amp;'Data Entry'!L3&amp;'Data Entry'!M3</f>
        <v>HOUSE RENT RECEIVED IN FINANCIAL YEAR  2024- 2025</v>
      </c>
      <c r="O8" s="46">
        <f>SUM('Salary Statement(print)'!F5:F16)</f>
        <v>93740</v>
      </c>
      <c r="P8" s="42"/>
      <c r="Q8" s="40"/>
      <c r="R8" s="40"/>
    </row>
    <row r="9" spans="1:18" ht="15">
      <c r="A9" s="476" t="s">
        <v>173</v>
      </c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50"/>
      <c r="N9" s="45"/>
      <c r="O9" s="40"/>
      <c r="P9" s="40"/>
      <c r="Q9" s="40"/>
      <c r="R9" s="40"/>
    </row>
    <row r="10" spans="1:18" ht="17.25" customHeight="1">
      <c r="A10" s="467" t="str">
        <f>"                                   "&amp;"Received cash with thanks from Mr. "&amp;'Data Entry'!D4&amp;" , a sum of Rs "&amp;'Data Entry'!V6&amp;" "&amp;CONCATENATE(FPB!B12," ",FPB!B16," ",FPB!C16," ",FPB!D16," ",FPB!E16," ",FPB!F16)&amp;"  towards rent @  "&amp;'Data Entry'!T6&amp;" Rs./- per month from "&amp;"  to "&amp;DAY('Data Entry'!P3)&amp;"/"&amp;MONTH('Data Entry'!P3)&amp;"/"&amp;YEAR('Data Entry'!P3)&amp;"  in respect of house address:  "&amp;CONCATENATE('Data Entry'!W6,"  ",'Data Entry'!Y6,)&amp;"  , situated at, "&amp;'Data Entry'!AA6&amp;" ("&amp;'Data Entry'!AD6&amp;")"</f>
        <v xml:space="preserve">                                   Received cash with thanks from Mr. GOPAL LAL SUTHAR , a sum of Rs 0 (Rupees           towards rent @   Rs./- per month from   to 0/1/1900  in respect of house address:      , situated at,  ()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50">
        <v>2</v>
      </c>
      <c r="N10" s="45" t="str">
        <f>"HOUSE RENT PAID IN THE FINANCIAL YEAR "&amp;'Data Entry'!L3&amp;'Data Entry'!M3</f>
        <v>HOUSE RENT PAID IN THE FINANCIAL YEAR 2024- 2025</v>
      </c>
      <c r="O10" s="40">
        <f>'Data Entry'!V6</f>
        <v>0</v>
      </c>
      <c r="P10" s="40"/>
      <c r="Q10" s="40"/>
      <c r="R10" s="40"/>
    </row>
    <row r="11" spans="1:18" ht="17.25" customHeight="1">
      <c r="A11" s="467"/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50"/>
      <c r="N11" s="45" t="s">
        <v>278</v>
      </c>
      <c r="O11" s="40"/>
      <c r="P11" s="40"/>
      <c r="Q11" s="40"/>
      <c r="R11" s="40"/>
    </row>
    <row r="12" spans="1:18" ht="17.25" customHeight="1">
      <c r="A12" s="467"/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50">
        <v>3</v>
      </c>
      <c r="N12" s="45" t="str">
        <f>"(SALARY+DP+DA)*10% IN FINANCIAL YEAR "&amp;'Data Entry'!L3&amp;'Data Entry'!M3</f>
        <v>(SALARY+DP+DA)*10% IN FINANCIAL YEAR 2024- 2025</v>
      </c>
      <c r="O12" s="40">
        <f>ROUND(SUM('Salary Statement(print)'!C5:C16,'Salary Statement(print)'!E5:E16)*0.1,0)</f>
        <v>151614</v>
      </c>
      <c r="P12" s="40"/>
      <c r="Q12" s="40"/>
      <c r="R12" s="40"/>
    </row>
    <row r="13" spans="1:18" ht="17.25" customHeight="1">
      <c r="A13" s="467"/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50"/>
      <c r="N13" s="45"/>
      <c r="O13" s="40"/>
      <c r="P13" s="41"/>
      <c r="Q13" s="40"/>
      <c r="R13" s="40"/>
    </row>
    <row r="14" spans="1:18" ht="17.25" customHeight="1">
      <c r="A14" s="467"/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50">
        <v>4</v>
      </c>
      <c r="N14" s="45" t="s">
        <v>280</v>
      </c>
      <c r="O14" s="40">
        <f>IF((O10-O12)&gt;0,(O10-O12),0)</f>
        <v>0</v>
      </c>
      <c r="P14" s="41"/>
      <c r="Q14" s="41"/>
      <c r="R14" s="41"/>
    </row>
    <row r="15" spans="1:18" ht="17.25" customHeight="1">
      <c r="A15" s="467"/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50"/>
      <c r="N15" s="45" t="s">
        <v>279</v>
      </c>
      <c r="O15" s="40"/>
      <c r="P15" s="41"/>
      <c r="Q15" s="41"/>
      <c r="R15" s="41"/>
    </row>
    <row r="16" spans="1:18" ht="12.75" customHeight="1">
      <c r="A16" s="467"/>
      <c r="B16" s="467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50">
        <v>5</v>
      </c>
      <c r="N16" s="43" t="str">
        <f>"THE HOUSE RENT AMOUNT ACTUL  DELIVERED IN FINANCIAL YEAR "&amp;'Data Entry'!L3&amp;'Data Entry'!M3</f>
        <v>THE HOUSE RENT AMOUNT ACTUL  DELIVERED IN FINANCIAL YEAR 2024- 2025</v>
      </c>
      <c r="O16" s="40">
        <f>MIN(O8,O14)</f>
        <v>0</v>
      </c>
      <c r="P16" s="41"/>
      <c r="Q16" s="41"/>
      <c r="R16" s="41"/>
    </row>
    <row r="17" spans="1:18" ht="17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0"/>
      <c r="N17" s="40"/>
      <c r="O17" s="40"/>
      <c r="P17" s="40"/>
      <c r="Q17" s="40"/>
      <c r="R17" s="40"/>
    </row>
    <row r="18" spans="1:18" ht="17.25">
      <c r="A18" s="52"/>
      <c r="B18" s="52"/>
      <c r="C18" s="52"/>
      <c r="D18" s="52"/>
      <c r="E18" s="52"/>
      <c r="F18" s="52"/>
      <c r="G18" s="52"/>
      <c r="H18" s="52"/>
      <c r="I18" s="52"/>
      <c r="J18" s="53" t="s">
        <v>174</v>
      </c>
      <c r="K18" s="54"/>
      <c r="L18" s="54"/>
      <c r="M18" s="50"/>
      <c r="N18" s="45"/>
      <c r="O18" s="40"/>
      <c r="P18" s="40"/>
      <c r="Q18" s="40"/>
      <c r="R18" s="40"/>
    </row>
    <row r="19" spans="1:18" ht="17.25">
      <c r="A19" s="52"/>
      <c r="B19" s="52"/>
      <c r="C19" s="52"/>
      <c r="D19" s="52"/>
      <c r="E19" s="52"/>
      <c r="F19" s="52"/>
      <c r="G19" s="52"/>
      <c r="H19" s="52"/>
      <c r="I19" s="52"/>
      <c r="J19" s="39"/>
      <c r="K19" s="54"/>
      <c r="L19" s="54"/>
      <c r="M19" s="40"/>
      <c r="N19" s="40"/>
      <c r="O19" s="40"/>
      <c r="P19" s="40"/>
      <c r="Q19" s="40"/>
      <c r="R19" s="40"/>
    </row>
    <row r="20" spans="1:18" ht="15">
      <c r="J20" s="39"/>
      <c r="M20" s="45"/>
      <c r="N20" s="40"/>
      <c r="O20" s="40"/>
      <c r="P20" s="40"/>
      <c r="Q20" s="40"/>
      <c r="R20" s="40"/>
    </row>
    <row r="21" spans="1:18" ht="15">
      <c r="M21" s="45"/>
      <c r="N21" s="40"/>
      <c r="O21" s="55" t="s">
        <v>282</v>
      </c>
      <c r="P21" s="40"/>
      <c r="Q21" s="40"/>
      <c r="R21" s="40"/>
    </row>
    <row r="22" spans="1:18" ht="15">
      <c r="M22" s="45"/>
      <c r="N22" s="40"/>
      <c r="O22" s="40"/>
      <c r="P22" s="40"/>
      <c r="Q22" s="40"/>
      <c r="R22" s="40"/>
    </row>
    <row r="23" spans="1:18" ht="15">
      <c r="M23" s="45"/>
      <c r="N23" s="40"/>
      <c r="O23" s="40"/>
      <c r="P23" s="40"/>
      <c r="Q23" s="40"/>
      <c r="R23" s="40"/>
    </row>
    <row r="24" spans="1:18" ht="15.75">
      <c r="A24" s="48"/>
      <c r="B24" s="48"/>
      <c r="C24" s="48"/>
      <c r="D24" s="48"/>
      <c r="E24" s="48"/>
      <c r="F24" s="48"/>
      <c r="G24" s="48"/>
      <c r="H24" s="48"/>
      <c r="I24" s="56"/>
      <c r="M24" s="45" t="s">
        <v>281</v>
      </c>
      <c r="N24" s="57"/>
      <c r="P24" s="40"/>
      <c r="Q24" s="40"/>
      <c r="R24" s="40"/>
    </row>
    <row r="25" spans="1:18" ht="15.75">
      <c r="A25" s="48"/>
      <c r="B25" s="48"/>
      <c r="C25" s="48"/>
      <c r="D25" s="48"/>
      <c r="E25" s="48"/>
      <c r="F25" s="48"/>
      <c r="G25" s="48"/>
      <c r="H25" s="48"/>
      <c r="I25" s="56"/>
      <c r="J25" s="58" t="s">
        <v>175</v>
      </c>
      <c r="K25" s="47"/>
      <c r="L25" s="47"/>
      <c r="N25" s="59"/>
    </row>
    <row r="26" spans="1:18">
      <c r="A26" s="39"/>
      <c r="B26" s="39"/>
      <c r="C26" s="39"/>
      <c r="D26" s="39"/>
      <c r="E26" s="39"/>
      <c r="G26" s="470" t="s">
        <v>176</v>
      </c>
      <c r="H26" s="471"/>
      <c r="I26" s="472"/>
      <c r="J26" s="473">
        <f>'Data Entry'!AE6</f>
        <v>0</v>
      </c>
      <c r="K26" s="474"/>
      <c r="L26" s="60"/>
    </row>
    <row r="27" spans="1:18">
      <c r="A27" s="39"/>
      <c r="B27" s="39"/>
      <c r="C27" s="39"/>
      <c r="D27" s="39"/>
      <c r="E27" s="39"/>
      <c r="G27" s="480" t="s">
        <v>177</v>
      </c>
      <c r="H27" s="481"/>
      <c r="I27" s="482"/>
      <c r="J27" s="474">
        <f>'Data Entry'!W6</f>
        <v>0</v>
      </c>
      <c r="K27" s="479"/>
    </row>
    <row r="28" spans="1:18" ht="15.75" customHeight="1">
      <c r="A28" s="39"/>
      <c r="B28" s="39"/>
      <c r="C28" s="39"/>
      <c r="D28" s="39"/>
      <c r="E28" s="39"/>
      <c r="G28" s="483"/>
      <c r="H28" s="484"/>
      <c r="I28" s="485"/>
      <c r="J28" s="474">
        <f>'Data Entry'!Y6</f>
        <v>0</v>
      </c>
      <c r="K28" s="479"/>
    </row>
    <row r="29" spans="1:18" ht="15.75" customHeight="1">
      <c r="A29" s="39"/>
      <c r="B29" s="39"/>
      <c r="C29" s="39"/>
      <c r="D29" s="39"/>
      <c r="E29" s="39"/>
      <c r="G29" s="483"/>
      <c r="H29" s="484"/>
      <c r="I29" s="485"/>
      <c r="J29" s="474">
        <f>'Data Entry'!AA6</f>
        <v>0</v>
      </c>
      <c r="K29" s="479"/>
    </row>
    <row r="30" spans="1:18" ht="15.75" customHeight="1">
      <c r="A30" s="39"/>
      <c r="B30" s="39"/>
      <c r="C30" s="39"/>
      <c r="D30" s="39"/>
      <c r="E30" s="39"/>
      <c r="G30" s="486"/>
      <c r="H30" s="487"/>
      <c r="I30" s="488"/>
      <c r="J30" s="474">
        <f>'Data Entry'!AD6</f>
        <v>0</v>
      </c>
      <c r="K30" s="479"/>
    </row>
    <row r="31" spans="1:18" ht="15.75">
      <c r="A31" s="39"/>
      <c r="B31" s="39"/>
      <c r="C31" s="39"/>
      <c r="D31" s="39"/>
      <c r="E31" s="39"/>
      <c r="H31" s="48"/>
      <c r="I31" s="48"/>
      <c r="J31" s="48"/>
      <c r="K31" s="48"/>
    </row>
    <row r="32" spans="1:18" ht="15.75">
      <c r="A32" s="39"/>
      <c r="B32" s="39"/>
      <c r="C32" s="39"/>
      <c r="D32" s="39"/>
      <c r="E32" s="39"/>
      <c r="G32" s="477" t="s">
        <v>178</v>
      </c>
      <c r="H32" s="478"/>
      <c r="I32" s="478"/>
      <c r="J32" s="489"/>
      <c r="K32" s="489"/>
      <c r="L32" s="489"/>
    </row>
    <row r="33" spans="1:12">
      <c r="A33" s="39"/>
      <c r="B33" s="39"/>
      <c r="C33" s="39"/>
      <c r="D33" s="39"/>
      <c r="E33" s="39"/>
      <c r="G33" s="61" t="s">
        <v>179</v>
      </c>
    </row>
    <row r="34" spans="1:1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G36" s="62" t="s">
        <v>181</v>
      </c>
    </row>
  </sheetData>
  <sheetProtection algorithmName="SHA-512" hashValue="oMjIaOv8eCp/akFdUUa+PtPIeEj/q8hMMzhhf38wcSWpZT8MKS+CsMW8fzloCY33Ei6JUsPu1hqZWKHqhWLvcg==" saltValue="uhqRQMlhYectisEvYd0MBQ==" spinCount="100000" sheet="1" selectLockedCells="1"/>
  <mergeCells count="14">
    <mergeCell ref="G32:I32"/>
    <mergeCell ref="J27:K27"/>
    <mergeCell ref="J28:K28"/>
    <mergeCell ref="J29:K29"/>
    <mergeCell ref="J30:K30"/>
    <mergeCell ref="G27:I30"/>
    <mergeCell ref="J32:L32"/>
    <mergeCell ref="A10:L16"/>
    <mergeCell ref="M6:O6"/>
    <mergeCell ref="J4:K4"/>
    <mergeCell ref="G26:I26"/>
    <mergeCell ref="J26:K26"/>
    <mergeCell ref="A8:L8"/>
    <mergeCell ref="A9:L9"/>
  </mergeCells>
  <dataValidations count="1">
    <dataValidation type="textLength" allowBlank="1" showInputMessage="1" showErrorMessage="1" error="PAN consists 10 digit alfa numaric codes" sqref="J32" xr:uid="{00000000-0002-0000-0400-000000000000}">
      <formula1>10</formula1>
      <formula2>10</formula2>
    </dataValidation>
  </dataValidations>
  <pageMargins left="0.2" right="0.2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28"/>
  </sheetPr>
  <dimension ref="A1:K102"/>
  <sheetViews>
    <sheetView topLeftCell="A7" workbookViewId="0">
      <selection activeCell="A21" sqref="A21"/>
    </sheetView>
  </sheetViews>
  <sheetFormatPr defaultColWidth="9.140625" defaultRowHeight="12.75"/>
  <cols>
    <col min="1" max="16384" width="9.140625" style="1"/>
  </cols>
  <sheetData>
    <row r="1" spans="1:11">
      <c r="J1" s="1">
        <v>0</v>
      </c>
      <c r="K1" s="2" t="s">
        <v>10</v>
      </c>
    </row>
    <row r="2" spans="1:11">
      <c r="J2" s="1">
        <v>1</v>
      </c>
      <c r="K2" s="2" t="s">
        <v>38</v>
      </c>
    </row>
    <row r="3" spans="1:11">
      <c r="J3" s="1">
        <v>2</v>
      </c>
      <c r="K3" s="2" t="s">
        <v>39</v>
      </c>
    </row>
    <row r="4" spans="1:11">
      <c r="J4" s="1">
        <v>3</v>
      </c>
      <c r="K4" s="2" t="s">
        <v>40</v>
      </c>
    </row>
    <row r="5" spans="1:11">
      <c r="J5" s="1">
        <v>4</v>
      </c>
      <c r="K5" s="2" t="s">
        <v>41</v>
      </c>
    </row>
    <row r="6" spans="1:11">
      <c r="J6" s="1">
        <v>5</v>
      </c>
      <c r="K6" s="2" t="s">
        <v>42</v>
      </c>
    </row>
    <row r="7" spans="1:11">
      <c r="J7" s="1">
        <v>6</v>
      </c>
      <c r="K7" s="2" t="s">
        <v>43</v>
      </c>
    </row>
    <row r="8" spans="1:11">
      <c r="J8" s="1">
        <v>7</v>
      </c>
      <c r="K8" s="2" t="s">
        <v>44</v>
      </c>
    </row>
    <row r="9" spans="1:11">
      <c r="J9" s="1">
        <v>8</v>
      </c>
      <c r="K9" s="2" t="s">
        <v>45</v>
      </c>
    </row>
    <row r="10" spans="1:11">
      <c r="J10" s="1">
        <v>9</v>
      </c>
      <c r="K10" s="2" t="s">
        <v>46</v>
      </c>
    </row>
    <row r="11" spans="1:11" ht="13.5" thickBot="1">
      <c r="J11" s="1">
        <v>10</v>
      </c>
      <c r="K11" s="2" t="s">
        <v>47</v>
      </c>
    </row>
    <row r="12" spans="1:11" ht="13.5" thickBot="1">
      <c r="A12" s="3">
        <f>'Data Entry'!V6</f>
        <v>0</v>
      </c>
      <c r="B12" s="4" t="s">
        <v>5</v>
      </c>
      <c r="C12" s="4"/>
      <c r="D12" s="4"/>
      <c r="E12" s="4"/>
      <c r="F12" s="4"/>
      <c r="G12" s="4"/>
      <c r="H12" s="5"/>
      <c r="J12" s="1">
        <v>11</v>
      </c>
      <c r="K12" s="2" t="s">
        <v>48</v>
      </c>
    </row>
    <row r="13" spans="1:11">
      <c r="A13" s="6"/>
      <c r="B13" s="1" t="s">
        <v>6</v>
      </c>
      <c r="C13" s="7" t="s">
        <v>7</v>
      </c>
      <c r="D13" s="7" t="s">
        <v>8</v>
      </c>
      <c r="E13" s="8" t="s">
        <v>9</v>
      </c>
      <c r="F13" s="8"/>
      <c r="G13" s="8"/>
      <c r="H13" s="9"/>
      <c r="J13" s="1">
        <v>12</v>
      </c>
      <c r="K13" s="2" t="s">
        <v>49</v>
      </c>
    </row>
    <row r="14" spans="1:11">
      <c r="A14" s="6"/>
      <c r="C14" s="7"/>
      <c r="D14" s="7"/>
      <c r="E14" s="8"/>
      <c r="F14" s="8"/>
      <c r="G14" s="8"/>
      <c r="H14" s="9"/>
      <c r="K14" s="2"/>
    </row>
    <row r="15" spans="1:11">
      <c r="A15" s="10"/>
      <c r="B15" s="7">
        <f>INT(A12/100000)</f>
        <v>0</v>
      </c>
      <c r="C15" s="7">
        <f>INT(A12/1000)-B15*100</f>
        <v>0</v>
      </c>
      <c r="D15" s="7">
        <f>INT(A12/100)-B15*1000-C15*10</f>
        <v>0</v>
      </c>
      <c r="E15" s="7">
        <f>INT(A12)-B15*100000-C15*1000-D15*100</f>
        <v>0</v>
      </c>
      <c r="F15" s="11"/>
      <c r="G15" s="11"/>
      <c r="H15" s="12"/>
      <c r="J15" s="1">
        <v>13</v>
      </c>
      <c r="K15" s="2" t="s">
        <v>50</v>
      </c>
    </row>
    <row r="16" spans="1:11">
      <c r="A16" s="13" t="str">
        <f>LOOKUP(B15,J1:K101)</f>
        <v xml:space="preserve"> </v>
      </c>
      <c r="B16" s="1" t="str">
        <f>IF(B15&lt;1,"","lakh")</f>
        <v/>
      </c>
      <c r="C16" s="1" t="str">
        <f>LOOKUP(C15,J1:K101)</f>
        <v xml:space="preserve"> </v>
      </c>
      <c r="D16" s="1" t="str">
        <f>IF(C15&gt;=1,"thousand",IF(AND(B15&gt;=1,D15&gt;=1)," ",IF(AND(B15&gt;=1,E15&gt;=0)," ",IF(AND(B15&gt;=1,C15=0),"only)"," "))))</f>
        <v xml:space="preserve"> </v>
      </c>
      <c r="E16" s="7" t="str">
        <f>LOOKUP(D15,J1:K101)</f>
        <v xml:space="preserve"> </v>
      </c>
      <c r="F16" s="1" t="str">
        <f>IF(D15&gt;=1,"hundred",IF(AND(C15&gt;=1,E15&gt;=1)," ",IF(AND(C15&gt;=1,D15=0),"only)"," ")))</f>
        <v xml:space="preserve"> </v>
      </c>
      <c r="G16" s="7" t="str">
        <f>LOOKUP(E15,J1:K101)</f>
        <v xml:space="preserve"> </v>
      </c>
      <c r="H16" s="9" t="str">
        <f>IF(D16="only)"," ",IF(F16="only)"," ","only)"))</f>
        <v>only)</v>
      </c>
      <c r="J16" s="1">
        <v>14</v>
      </c>
      <c r="K16" s="2" t="s">
        <v>51</v>
      </c>
    </row>
    <row r="17" spans="1:11" ht="13.5" thickBot="1">
      <c r="A17" s="14"/>
      <c r="B17" s="15"/>
      <c r="C17" s="15"/>
      <c r="D17" s="15"/>
      <c r="E17" s="15"/>
      <c r="F17" s="15"/>
      <c r="G17" s="15"/>
      <c r="H17" s="16"/>
      <c r="J17" s="1">
        <v>15</v>
      </c>
      <c r="K17" s="2" t="s">
        <v>52</v>
      </c>
    </row>
    <row r="18" spans="1:11">
      <c r="J18" s="1">
        <v>16</v>
      </c>
      <c r="K18" s="2" t="s">
        <v>53</v>
      </c>
    </row>
    <row r="19" spans="1:11" ht="13.5" thickBot="1">
      <c r="J19" s="1">
        <v>17</v>
      </c>
      <c r="K19" s="2" t="s">
        <v>54</v>
      </c>
    </row>
    <row r="20" spans="1:11" ht="13.5" thickBot="1">
      <c r="A20" s="3">
        <f>'Data Entry'!T6</f>
        <v>0</v>
      </c>
      <c r="B20" s="4" t="s">
        <v>5</v>
      </c>
      <c r="C20" s="4"/>
      <c r="D20" s="4"/>
      <c r="E20" s="4"/>
      <c r="F20" s="4"/>
      <c r="G20" s="4"/>
      <c r="H20" s="5"/>
      <c r="J20" s="1">
        <v>18</v>
      </c>
      <c r="K20" s="2" t="s">
        <v>55</v>
      </c>
    </row>
    <row r="21" spans="1:11">
      <c r="A21" s="6"/>
      <c r="B21" s="1" t="s">
        <v>6</v>
      </c>
      <c r="C21" s="7" t="s">
        <v>7</v>
      </c>
      <c r="D21" s="7" t="s">
        <v>8</v>
      </c>
      <c r="E21" s="8" t="s">
        <v>9</v>
      </c>
      <c r="F21" s="8"/>
      <c r="G21" s="8"/>
      <c r="H21" s="9"/>
      <c r="J21" s="1">
        <v>19</v>
      </c>
      <c r="K21" s="2" t="s">
        <v>56</v>
      </c>
    </row>
    <row r="22" spans="1:11">
      <c r="A22" s="6"/>
      <c r="C22" s="7"/>
      <c r="D22" s="7"/>
      <c r="E22" s="8"/>
      <c r="F22" s="8"/>
      <c r="G22" s="8"/>
      <c r="H22" s="9"/>
      <c r="J22" s="1">
        <v>20</v>
      </c>
      <c r="K22" s="2" t="s">
        <v>57</v>
      </c>
    </row>
    <row r="23" spans="1:11">
      <c r="A23" s="10"/>
      <c r="B23" s="7">
        <v>0</v>
      </c>
      <c r="C23" s="7">
        <v>96</v>
      </c>
      <c r="D23" s="7">
        <v>0</v>
      </c>
      <c r="E23" s="7">
        <v>0</v>
      </c>
      <c r="F23" s="11"/>
      <c r="G23" s="11"/>
      <c r="H23" s="12"/>
      <c r="J23" s="1">
        <v>21</v>
      </c>
      <c r="K23" s="2" t="s">
        <v>58</v>
      </c>
    </row>
    <row r="24" spans="1:11">
      <c r="A24" s="13" t="s">
        <v>10</v>
      </c>
      <c r="B24" s="1" t="s">
        <v>271</v>
      </c>
      <c r="C24" s="1" t="s">
        <v>133</v>
      </c>
      <c r="D24" s="1" t="s">
        <v>272</v>
      </c>
      <c r="E24" s="7" t="s">
        <v>10</v>
      </c>
      <c r="F24" s="1" t="s">
        <v>273</v>
      </c>
      <c r="G24" s="7" t="s">
        <v>10</v>
      </c>
      <c r="H24" s="9" t="s">
        <v>10</v>
      </c>
      <c r="J24" s="1">
        <v>22</v>
      </c>
      <c r="K24" s="2" t="s">
        <v>59</v>
      </c>
    </row>
    <row r="25" spans="1:11" ht="13.5" thickBot="1">
      <c r="A25" s="14"/>
      <c r="B25" s="15"/>
      <c r="C25" s="15"/>
      <c r="D25" s="15"/>
      <c r="E25" s="15"/>
      <c r="F25" s="15"/>
      <c r="G25" s="15"/>
      <c r="H25" s="16"/>
      <c r="J25" s="1">
        <v>23</v>
      </c>
      <c r="K25" s="2" t="s">
        <v>60</v>
      </c>
    </row>
    <row r="26" spans="1:11">
      <c r="J26" s="1">
        <v>24</v>
      </c>
      <c r="K26" s="2" t="s">
        <v>61</v>
      </c>
    </row>
    <row r="27" spans="1:11">
      <c r="J27" s="1">
        <v>25</v>
      </c>
      <c r="K27" s="2" t="s">
        <v>62</v>
      </c>
    </row>
    <row r="28" spans="1:11">
      <c r="J28" s="1">
        <v>26</v>
      </c>
      <c r="K28" s="2" t="s">
        <v>63</v>
      </c>
    </row>
    <row r="29" spans="1:11">
      <c r="J29" s="1">
        <v>27</v>
      </c>
      <c r="K29" s="2" t="s">
        <v>64</v>
      </c>
    </row>
    <row r="30" spans="1:11">
      <c r="J30" s="1">
        <v>28</v>
      </c>
      <c r="K30" s="2" t="s">
        <v>65</v>
      </c>
    </row>
    <row r="31" spans="1:11">
      <c r="J31" s="1">
        <v>29</v>
      </c>
      <c r="K31" s="2" t="s">
        <v>66</v>
      </c>
    </row>
    <row r="32" spans="1:11">
      <c r="J32" s="1">
        <v>30</v>
      </c>
      <c r="K32" s="2" t="s">
        <v>67</v>
      </c>
    </row>
    <row r="33" spans="10:11">
      <c r="J33" s="1">
        <v>31</v>
      </c>
      <c r="K33" s="2" t="s">
        <v>68</v>
      </c>
    </row>
    <row r="34" spans="10:11">
      <c r="J34" s="1">
        <v>32</v>
      </c>
      <c r="K34" s="2" t="s">
        <v>69</v>
      </c>
    </row>
    <row r="35" spans="10:11">
      <c r="J35" s="1">
        <v>33</v>
      </c>
      <c r="K35" s="2" t="s">
        <v>70</v>
      </c>
    </row>
    <row r="36" spans="10:11">
      <c r="J36" s="1">
        <v>34</v>
      </c>
      <c r="K36" s="2" t="s">
        <v>71</v>
      </c>
    </row>
    <row r="37" spans="10:11">
      <c r="J37" s="1">
        <v>35</v>
      </c>
      <c r="K37" s="2" t="s">
        <v>72</v>
      </c>
    </row>
    <row r="38" spans="10:11">
      <c r="J38" s="1">
        <v>36</v>
      </c>
      <c r="K38" s="2" t="s">
        <v>73</v>
      </c>
    </row>
    <row r="39" spans="10:11">
      <c r="J39" s="1">
        <v>37</v>
      </c>
      <c r="K39" s="2" t="s">
        <v>74</v>
      </c>
    </row>
    <row r="40" spans="10:11">
      <c r="J40" s="1">
        <v>38</v>
      </c>
      <c r="K40" s="2" t="s">
        <v>75</v>
      </c>
    </row>
    <row r="41" spans="10:11">
      <c r="J41" s="1">
        <v>39</v>
      </c>
      <c r="K41" s="2" t="s">
        <v>76</v>
      </c>
    </row>
    <row r="42" spans="10:11">
      <c r="J42" s="1">
        <v>40</v>
      </c>
      <c r="K42" s="2" t="s">
        <v>77</v>
      </c>
    </row>
    <row r="43" spans="10:11">
      <c r="J43" s="1">
        <v>41</v>
      </c>
      <c r="K43" s="2" t="s">
        <v>78</v>
      </c>
    </row>
    <row r="44" spans="10:11">
      <c r="J44" s="1">
        <v>42</v>
      </c>
      <c r="K44" s="2" t="s">
        <v>79</v>
      </c>
    </row>
    <row r="45" spans="10:11">
      <c r="J45" s="1">
        <v>43</v>
      </c>
      <c r="K45" s="2" t="s">
        <v>80</v>
      </c>
    </row>
    <row r="46" spans="10:11">
      <c r="J46" s="1">
        <v>44</v>
      </c>
      <c r="K46" s="2" t="s">
        <v>81</v>
      </c>
    </row>
    <row r="47" spans="10:11">
      <c r="J47" s="1">
        <v>45</v>
      </c>
      <c r="K47" s="2" t="s">
        <v>82</v>
      </c>
    </row>
    <row r="48" spans="10:11">
      <c r="J48" s="1">
        <v>46</v>
      </c>
      <c r="K48" s="2" t="s">
        <v>83</v>
      </c>
    </row>
    <row r="49" spans="10:11">
      <c r="J49" s="1">
        <v>47</v>
      </c>
      <c r="K49" s="2" t="s">
        <v>84</v>
      </c>
    </row>
    <row r="50" spans="10:11">
      <c r="J50" s="1">
        <v>48</v>
      </c>
      <c r="K50" s="2" t="s">
        <v>85</v>
      </c>
    </row>
    <row r="51" spans="10:11">
      <c r="J51" s="1">
        <v>49</v>
      </c>
      <c r="K51" s="2" t="s">
        <v>86</v>
      </c>
    </row>
    <row r="52" spans="10:11">
      <c r="J52" s="1">
        <v>50</v>
      </c>
      <c r="K52" s="2" t="s">
        <v>87</v>
      </c>
    </row>
    <row r="53" spans="10:11">
      <c r="J53" s="1">
        <v>51</v>
      </c>
      <c r="K53" s="2" t="s">
        <v>88</v>
      </c>
    </row>
    <row r="54" spans="10:11">
      <c r="J54" s="1">
        <v>52</v>
      </c>
      <c r="K54" s="2" t="s">
        <v>89</v>
      </c>
    </row>
    <row r="55" spans="10:11">
      <c r="J55" s="1">
        <v>53</v>
      </c>
      <c r="K55" s="2" t="s">
        <v>90</v>
      </c>
    </row>
    <row r="56" spans="10:11">
      <c r="J56" s="1">
        <v>54</v>
      </c>
      <c r="K56" s="2" t="s">
        <v>91</v>
      </c>
    </row>
    <row r="57" spans="10:11">
      <c r="J57" s="1">
        <v>55</v>
      </c>
      <c r="K57" s="2" t="s">
        <v>92</v>
      </c>
    </row>
    <row r="58" spans="10:11">
      <c r="J58" s="1">
        <v>56</v>
      </c>
      <c r="K58" s="2" t="s">
        <v>93</v>
      </c>
    </row>
    <row r="59" spans="10:11">
      <c r="J59" s="1">
        <v>57</v>
      </c>
      <c r="K59" s="2" t="s">
        <v>94</v>
      </c>
    </row>
    <row r="60" spans="10:11">
      <c r="J60" s="1">
        <v>58</v>
      </c>
      <c r="K60" s="2" t="s">
        <v>95</v>
      </c>
    </row>
    <row r="61" spans="10:11">
      <c r="J61" s="1">
        <v>59</v>
      </c>
      <c r="K61" s="2" t="s">
        <v>96</v>
      </c>
    </row>
    <row r="62" spans="10:11">
      <c r="J62" s="1">
        <v>60</v>
      </c>
      <c r="K62" s="2" t="s">
        <v>97</v>
      </c>
    </row>
    <row r="63" spans="10:11">
      <c r="J63" s="1">
        <v>61</v>
      </c>
      <c r="K63" s="2" t="s">
        <v>98</v>
      </c>
    </row>
    <row r="64" spans="10:11">
      <c r="J64" s="1">
        <v>62</v>
      </c>
      <c r="K64" s="2" t="s">
        <v>99</v>
      </c>
    </row>
    <row r="65" spans="10:11">
      <c r="J65" s="1">
        <v>63</v>
      </c>
      <c r="K65" s="2" t="s">
        <v>100</v>
      </c>
    </row>
    <row r="66" spans="10:11">
      <c r="J66" s="1">
        <v>64</v>
      </c>
      <c r="K66" s="2" t="s">
        <v>101</v>
      </c>
    </row>
    <row r="67" spans="10:11">
      <c r="J67" s="1">
        <v>65</v>
      </c>
      <c r="K67" s="2" t="s">
        <v>102</v>
      </c>
    </row>
    <row r="68" spans="10:11">
      <c r="J68" s="1">
        <v>66</v>
      </c>
      <c r="K68" s="2" t="s">
        <v>103</v>
      </c>
    </row>
    <row r="69" spans="10:11">
      <c r="J69" s="1">
        <v>67</v>
      </c>
      <c r="K69" s="2" t="s">
        <v>104</v>
      </c>
    </row>
    <row r="70" spans="10:11">
      <c r="J70" s="1">
        <v>68</v>
      </c>
      <c r="K70" s="2" t="s">
        <v>105</v>
      </c>
    </row>
    <row r="71" spans="10:11">
      <c r="J71" s="1">
        <v>69</v>
      </c>
      <c r="K71" s="2" t="s">
        <v>106</v>
      </c>
    </row>
    <row r="72" spans="10:11">
      <c r="J72" s="1">
        <v>70</v>
      </c>
      <c r="K72" s="2" t="s">
        <v>107</v>
      </c>
    </row>
    <row r="73" spans="10:11">
      <c r="J73" s="1">
        <v>71</v>
      </c>
      <c r="K73" s="2" t="s">
        <v>108</v>
      </c>
    </row>
    <row r="74" spans="10:11">
      <c r="J74" s="1">
        <v>72</v>
      </c>
      <c r="K74" s="2" t="s">
        <v>109</v>
      </c>
    </row>
    <row r="75" spans="10:11">
      <c r="J75" s="1">
        <v>73</v>
      </c>
      <c r="K75" s="2" t="s">
        <v>110</v>
      </c>
    </row>
    <row r="76" spans="10:11">
      <c r="J76" s="1">
        <v>74</v>
      </c>
      <c r="K76" s="2" t="s">
        <v>111</v>
      </c>
    </row>
    <row r="77" spans="10:11">
      <c r="J77" s="1">
        <v>75</v>
      </c>
      <c r="K77" s="2" t="s">
        <v>112</v>
      </c>
    </row>
    <row r="78" spans="10:11">
      <c r="J78" s="1">
        <v>76</v>
      </c>
      <c r="K78" s="2" t="s">
        <v>113</v>
      </c>
    </row>
    <row r="79" spans="10:11">
      <c r="J79" s="1">
        <v>77</v>
      </c>
      <c r="K79" s="2" t="s">
        <v>114</v>
      </c>
    </row>
    <row r="80" spans="10:11">
      <c r="J80" s="1">
        <v>78</v>
      </c>
      <c r="K80" s="2" t="s">
        <v>115</v>
      </c>
    </row>
    <row r="81" spans="10:11">
      <c r="J81" s="1">
        <v>79</v>
      </c>
      <c r="K81" s="2" t="s">
        <v>116</v>
      </c>
    </row>
    <row r="82" spans="10:11">
      <c r="J82" s="1">
        <v>80</v>
      </c>
      <c r="K82" s="2" t="s">
        <v>117</v>
      </c>
    </row>
    <row r="83" spans="10:11">
      <c r="J83" s="1">
        <v>81</v>
      </c>
      <c r="K83" s="2" t="s">
        <v>118</v>
      </c>
    </row>
    <row r="84" spans="10:11">
      <c r="J84" s="1">
        <v>82</v>
      </c>
      <c r="K84" s="2" t="s">
        <v>119</v>
      </c>
    </row>
    <row r="85" spans="10:11">
      <c r="J85" s="1">
        <v>83</v>
      </c>
      <c r="K85" s="2" t="s">
        <v>120</v>
      </c>
    </row>
    <row r="86" spans="10:11">
      <c r="J86" s="1">
        <v>84</v>
      </c>
      <c r="K86" s="2" t="s">
        <v>121</v>
      </c>
    </row>
    <row r="87" spans="10:11">
      <c r="J87" s="1">
        <v>85</v>
      </c>
      <c r="K87" s="2" t="s">
        <v>122</v>
      </c>
    </row>
    <row r="88" spans="10:11">
      <c r="J88" s="1">
        <v>86</v>
      </c>
      <c r="K88" s="2" t="s">
        <v>123</v>
      </c>
    </row>
    <row r="89" spans="10:11">
      <c r="J89" s="1">
        <v>87</v>
      </c>
      <c r="K89" s="2" t="s">
        <v>124</v>
      </c>
    </row>
    <row r="90" spans="10:11">
      <c r="J90" s="1">
        <v>88</v>
      </c>
      <c r="K90" s="2" t="s">
        <v>125</v>
      </c>
    </row>
    <row r="91" spans="10:11">
      <c r="J91" s="1">
        <v>89</v>
      </c>
      <c r="K91" s="2" t="s">
        <v>126</v>
      </c>
    </row>
    <row r="92" spans="10:11">
      <c r="J92" s="1">
        <v>90</v>
      </c>
      <c r="K92" s="2" t="s">
        <v>127</v>
      </c>
    </row>
    <row r="93" spans="10:11">
      <c r="J93" s="1">
        <v>91</v>
      </c>
      <c r="K93" s="2" t="s">
        <v>128</v>
      </c>
    </row>
    <row r="94" spans="10:11">
      <c r="J94" s="1">
        <v>92</v>
      </c>
      <c r="K94" s="2" t="s">
        <v>129</v>
      </c>
    </row>
    <row r="95" spans="10:11">
      <c r="J95" s="1">
        <v>93</v>
      </c>
      <c r="K95" s="2" t="s">
        <v>130</v>
      </c>
    </row>
    <row r="96" spans="10:11">
      <c r="J96" s="1">
        <v>94</v>
      </c>
      <c r="K96" s="2" t="s">
        <v>131</v>
      </c>
    </row>
    <row r="97" spans="10:11">
      <c r="J97" s="1">
        <v>95</v>
      </c>
      <c r="K97" s="2" t="s">
        <v>132</v>
      </c>
    </row>
    <row r="98" spans="10:11">
      <c r="J98" s="1">
        <v>96</v>
      </c>
      <c r="K98" s="2" t="s">
        <v>133</v>
      </c>
    </row>
    <row r="99" spans="10:11">
      <c r="J99" s="1">
        <v>97</v>
      </c>
      <c r="K99" s="2" t="s">
        <v>134</v>
      </c>
    </row>
    <row r="100" spans="10:11">
      <c r="J100" s="1">
        <v>98</v>
      </c>
      <c r="K100" s="2" t="s">
        <v>135</v>
      </c>
    </row>
    <row r="101" spans="10:11">
      <c r="J101" s="1">
        <v>99</v>
      </c>
      <c r="K101" s="2" t="s">
        <v>136</v>
      </c>
    </row>
    <row r="102" spans="10:11">
      <c r="J102" s="1">
        <v>100</v>
      </c>
      <c r="K102" s="2" t="s">
        <v>137</v>
      </c>
    </row>
  </sheetData>
  <sheetProtection password="F490" sheet="1" objects="1" scenarios="1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 Entry</vt:lpstr>
      <vt:lpstr>Salary Statement(print)</vt:lpstr>
      <vt:lpstr>Tax Calculation(print)</vt:lpstr>
      <vt:lpstr>Income Tax Return</vt:lpstr>
      <vt:lpstr>Rent Receipt</vt:lpstr>
      <vt:lpstr>FPB</vt:lpstr>
      <vt:lpstr>'Data Entry'!Print_Area</vt:lpstr>
      <vt:lpstr>'Salary Statement(print)'!Print_Area</vt:lpstr>
      <vt:lpstr>'Tax Calculation(print)'!Print_Area</vt:lpstr>
    </vt:vector>
  </TitlesOfParts>
  <Company>Shivani Computers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Anurag</dc:creator>
  <cp:lastModifiedBy>Anurag Jangid</cp:lastModifiedBy>
  <cp:lastPrinted>2024-12-16T15:37:54Z</cp:lastPrinted>
  <dcterms:created xsi:type="dcterms:W3CDTF">2003-06-06T03:52:53Z</dcterms:created>
  <dcterms:modified xsi:type="dcterms:W3CDTF">2024-12-19T13:52:36Z</dcterms:modified>
</cp:coreProperties>
</file>