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iagrams/data2.xml" ContentType="application/vnd.openxmlformats-officedocument.drawingml.diagramData+xml"/>
  <Override PartName="/xl/diagrams/layout2.xml" ContentType="application/vnd.openxmlformats-officedocument.drawingml.diagramLayout+xml"/>
  <Override PartName="/xl/diagrams/quickStyle2.xml" ContentType="application/vnd.openxmlformats-officedocument.drawingml.diagramStyle+xml"/>
  <Override PartName="/xl/diagrams/colors2.xml" ContentType="application/vnd.openxmlformats-officedocument.drawingml.diagramColors+xml"/>
  <Override PartName="/xl/diagrams/drawing2.xml" ContentType="application/vnd.ms-office.drawingml.diagramDrawing+xml"/>
  <Override PartName="/xl/diagrams/data3.xml" ContentType="application/vnd.openxmlformats-officedocument.drawingml.diagramData+xml"/>
  <Override PartName="/xl/diagrams/layout3.xml" ContentType="application/vnd.openxmlformats-officedocument.drawingml.diagramLayout+xml"/>
  <Override PartName="/xl/diagrams/quickStyle3.xml" ContentType="application/vnd.openxmlformats-officedocument.drawingml.diagramStyle+xml"/>
  <Override PartName="/xl/diagrams/colors3.xml" ContentType="application/vnd.openxmlformats-officedocument.drawingml.diagramColors+xml"/>
  <Override PartName="/xl/diagrams/drawing3.xml" ContentType="application/vnd.ms-office.drawingml.diagramDrawing+xml"/>
  <Override PartName="/xl/diagrams/data4.xml" ContentType="application/vnd.openxmlformats-officedocument.drawingml.diagramData+xml"/>
  <Override PartName="/xl/diagrams/layout4.xml" ContentType="application/vnd.openxmlformats-officedocument.drawingml.diagramLayout+xml"/>
  <Override PartName="/xl/diagrams/quickStyle4.xml" ContentType="application/vnd.openxmlformats-officedocument.drawingml.diagramStyle+xml"/>
  <Override PartName="/xl/diagrams/colors4.xml" ContentType="application/vnd.openxmlformats-officedocument.drawingml.diagramColors+xml"/>
  <Override PartName="/xl/diagrams/drawing4.xml" ContentType="application/vnd.ms-office.drawingml.diagramDrawing+xml"/>
  <Override PartName="/xl/diagrams/data5.xml" ContentType="application/vnd.openxmlformats-officedocument.drawingml.diagramData+xml"/>
  <Override PartName="/xl/diagrams/layout5.xml" ContentType="application/vnd.openxmlformats-officedocument.drawingml.diagramLayout+xml"/>
  <Override PartName="/xl/diagrams/quickStyle5.xml" ContentType="application/vnd.openxmlformats-officedocument.drawingml.diagramStyle+xml"/>
  <Override PartName="/xl/diagrams/colors5.xml" ContentType="application/vnd.openxmlformats-officedocument.drawingml.diagramColors+xml"/>
  <Override PartName="/xl/diagrams/drawing5.xml" ContentType="application/vnd.ms-office.drawingml.diagram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masyumi\"/>
    </mc:Choice>
  </mc:AlternateContent>
  <xr:revisionPtr revIDLastSave="0" documentId="13_ncr:1_{CDEBA0E2-DE47-4E6F-A1F3-96B02AD09828}" xr6:coauthVersionLast="47" xr6:coauthVersionMax="47" xr10:uidLastSave="{00000000-0000-0000-0000-000000000000}"/>
  <bookViews>
    <workbookView xWindow="-120" yWindow="-120" windowWidth="29040" windowHeight="15840" activeTab="3" xr2:uid="{5BB6D267-CA6E-4A4F-A9B5-3348E3EDA289}"/>
  </bookViews>
  <sheets>
    <sheet name="organisasi_masyumi" sheetId="1" r:id="rId1"/>
    <sheet name="1_per_1.000" sheetId="3" r:id="rId2"/>
    <sheet name="PENDUDUK" sheetId="2" r:id="rId3"/>
    <sheet name="WILAYAH" sheetId="4" r:id="rId4"/>
  </sheets>
  <definedNames>
    <definedName name="_xlnm._FilterDatabase" localSheetId="2" hidden="1">PENDUDUK!$D$5:$G$13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2" i="4" l="1"/>
  <c r="C92" i="4"/>
  <c r="I792" i="4"/>
  <c r="G778" i="4"/>
  <c r="F778" i="4"/>
  <c r="E778" i="4"/>
  <c r="H778" i="4"/>
  <c r="I789" i="4"/>
  <c r="H789" i="4"/>
  <c r="G789" i="4"/>
  <c r="E789" i="4"/>
  <c r="AG557" i="4"/>
  <c r="AF554" i="4"/>
  <c r="AF549" i="4"/>
  <c r="AF550" i="4"/>
  <c r="AF551" i="4"/>
  <c r="AF552" i="4"/>
  <c r="AF553" i="4"/>
  <c r="AC557" i="4"/>
  <c r="AB557" i="4"/>
  <c r="Z557" i="4"/>
  <c r="AD556" i="4"/>
  <c r="AF556" i="4" s="1"/>
  <c r="AD555" i="4"/>
  <c r="AE550" i="4"/>
  <c r="AE6" i="4"/>
  <c r="AE10" i="4"/>
  <c r="AE5" i="4"/>
  <c r="AC14" i="4"/>
  <c r="AD14" i="4" s="1"/>
  <c r="Z14" i="4"/>
  <c r="AB14" i="4" s="1"/>
  <c r="AD13" i="4"/>
  <c r="AE13" i="4" s="1"/>
  <c r="AD12" i="4"/>
  <c r="AE12" i="4" s="1"/>
  <c r="AD11" i="4"/>
  <c r="AE11" i="4" s="1"/>
  <c r="AD10" i="4"/>
  <c r="AD9" i="4"/>
  <c r="AE9" i="4" s="1"/>
  <c r="AD8" i="4"/>
  <c r="AE8" i="4" s="1"/>
  <c r="AD7" i="4"/>
  <c r="AE7" i="4" s="1"/>
  <c r="AD6" i="4"/>
  <c r="AD5" i="4"/>
  <c r="P789" i="4"/>
  <c r="P788" i="4"/>
  <c r="P787" i="4"/>
  <c r="P786" i="4"/>
  <c r="P785" i="4"/>
  <c r="P784" i="4"/>
  <c r="P783" i="4"/>
  <c r="O785" i="4"/>
  <c r="O784" i="4"/>
  <c r="O783" i="4"/>
  <c r="O790" i="4" s="1"/>
  <c r="N785" i="4"/>
  <c r="O788" i="4"/>
  <c r="C76" i="4"/>
  <c r="C770" i="4" s="1"/>
  <c r="C777" i="4" s="1"/>
  <c r="F777" i="4"/>
  <c r="G777" i="4"/>
  <c r="H777" i="4"/>
  <c r="E777" i="4"/>
  <c r="B777" i="4"/>
  <c r="O29" i="4"/>
  <c r="P29" i="4"/>
  <c r="Q29" i="4"/>
  <c r="N29" i="4"/>
  <c r="E76" i="4" s="1"/>
  <c r="L29" i="4"/>
  <c r="C16" i="4"/>
  <c r="E16" i="4" s="1"/>
  <c r="L58" i="4" s="1"/>
  <c r="Z714" i="4"/>
  <c r="F766" i="4" s="1"/>
  <c r="AA714" i="4"/>
  <c r="G766" i="4" s="1"/>
  <c r="AB714" i="4"/>
  <c r="H766" i="4" s="1"/>
  <c r="Y714" i="4"/>
  <c r="E766" i="4" s="1"/>
  <c r="W714" i="4"/>
  <c r="C766" i="4" s="1"/>
  <c r="W579" i="4"/>
  <c r="C700" i="4" s="1"/>
  <c r="Z579" i="4"/>
  <c r="F700" i="4" s="1"/>
  <c r="AA579" i="4"/>
  <c r="G700" i="4" s="1"/>
  <c r="AB579" i="4"/>
  <c r="H700" i="4" s="1"/>
  <c r="Y579" i="4"/>
  <c r="E700" i="4" s="1"/>
  <c r="Z508" i="4"/>
  <c r="F539" i="4" s="1"/>
  <c r="AA508" i="4"/>
  <c r="G539" i="4" s="1"/>
  <c r="AB508" i="4"/>
  <c r="H539" i="4" s="1"/>
  <c r="Y508" i="4"/>
  <c r="E539" i="4" s="1"/>
  <c r="W508" i="4"/>
  <c r="C539" i="4" s="1"/>
  <c r="C384" i="4"/>
  <c r="E384" i="4" s="1"/>
  <c r="C133" i="4"/>
  <c r="E133" i="4" s="1"/>
  <c r="C155" i="4"/>
  <c r="E155" i="4" s="1"/>
  <c r="C167" i="4"/>
  <c r="E167" i="4" s="1"/>
  <c r="C185" i="4"/>
  <c r="E185" i="4" s="1"/>
  <c r="C197" i="4"/>
  <c r="E197" i="4" s="1"/>
  <c r="Z293" i="4"/>
  <c r="F315" i="4" s="1"/>
  <c r="AA293" i="4"/>
  <c r="G315" i="4" s="1"/>
  <c r="AB293" i="4"/>
  <c r="H315" i="4" s="1"/>
  <c r="Y293" i="4"/>
  <c r="E315" i="4" s="1"/>
  <c r="W293" i="4"/>
  <c r="C315" i="4" s="1"/>
  <c r="C263" i="4"/>
  <c r="E263" i="4"/>
  <c r="C302" i="4"/>
  <c r="E302" i="4" s="1"/>
  <c r="C282" i="4"/>
  <c r="E282" i="4" s="1"/>
  <c r="C313" i="4"/>
  <c r="E313" i="4" s="1"/>
  <c r="B229" i="4"/>
  <c r="B766" i="4"/>
  <c r="B700" i="4"/>
  <c r="B539" i="4"/>
  <c r="C345" i="4"/>
  <c r="E345" i="4" s="1"/>
  <c r="B315" i="4"/>
  <c r="C245" i="4"/>
  <c r="E245" i="4" s="1"/>
  <c r="C228" i="4"/>
  <c r="E109" i="4"/>
  <c r="C109" i="4"/>
  <c r="C110" i="4" s="1"/>
  <c r="B76" i="4"/>
  <c r="C74" i="4"/>
  <c r="E74" i="4" s="1"/>
  <c r="C65" i="4"/>
  <c r="E65" i="4" s="1"/>
  <c r="L63" i="4" s="1"/>
  <c r="C52" i="4"/>
  <c r="E52" i="4" s="1"/>
  <c r="L61" i="4" s="1"/>
  <c r="C39" i="4"/>
  <c r="E39" i="4" s="1"/>
  <c r="L60" i="4" s="1"/>
  <c r="C28" i="4"/>
  <c r="E28" i="4" s="1"/>
  <c r="L59" i="4" s="1"/>
  <c r="C763" i="4"/>
  <c r="C734" i="4"/>
  <c r="C717" i="4"/>
  <c r="C698" i="4"/>
  <c r="C653" i="4"/>
  <c r="C611" i="4"/>
  <c r="C600" i="4"/>
  <c r="C566" i="4"/>
  <c r="C553" i="4"/>
  <c r="C409" i="4"/>
  <c r="E409" i="4" s="1"/>
  <c r="C537" i="4"/>
  <c r="C515" i="4"/>
  <c r="C491" i="4"/>
  <c r="C474" i="4"/>
  <c r="C456" i="4"/>
  <c r="C442" i="4"/>
  <c r="C428" i="4"/>
  <c r="E428" i="4" s="1"/>
  <c r="G26" i="4"/>
  <c r="G27" i="4"/>
  <c r="F39" i="4"/>
  <c r="E763" i="4"/>
  <c r="F763" i="4"/>
  <c r="G762" i="4"/>
  <c r="G761" i="4"/>
  <c r="G760" i="4"/>
  <c r="G759" i="4"/>
  <c r="G758" i="4"/>
  <c r="G757" i="4"/>
  <c r="G756" i="4"/>
  <c r="G755" i="4"/>
  <c r="G754" i="4"/>
  <c r="G753" i="4"/>
  <c r="G752" i="4"/>
  <c r="G751" i="4"/>
  <c r="G750" i="4"/>
  <c r="G749" i="4"/>
  <c r="G748" i="4"/>
  <c r="G747" i="4"/>
  <c r="G746" i="4"/>
  <c r="G745" i="4"/>
  <c r="G744" i="4"/>
  <c r="G743" i="4"/>
  <c r="G742" i="4"/>
  <c r="G741" i="4"/>
  <c r="F734" i="4"/>
  <c r="E734" i="4"/>
  <c r="G733" i="4"/>
  <c r="G732" i="4"/>
  <c r="G731" i="4"/>
  <c r="G730" i="4"/>
  <c r="G729" i="4"/>
  <c r="G728" i="4"/>
  <c r="G727" i="4"/>
  <c r="H726" i="4"/>
  <c r="G726" i="4"/>
  <c r="Q761" i="4"/>
  <c r="L761" i="4"/>
  <c r="Q758" i="4"/>
  <c r="O758" i="4"/>
  <c r="P757" i="4"/>
  <c r="P756" i="4"/>
  <c r="P755" i="4"/>
  <c r="P754" i="4"/>
  <c r="P753" i="4"/>
  <c r="P752" i="4"/>
  <c r="P751" i="4"/>
  <c r="P750" i="4"/>
  <c r="P749" i="4"/>
  <c r="P748" i="4"/>
  <c r="P747" i="4"/>
  <c r="P746" i="4"/>
  <c r="P745" i="4"/>
  <c r="P744" i="4"/>
  <c r="P743" i="4"/>
  <c r="P742" i="4"/>
  <c r="P741" i="4"/>
  <c r="P740" i="4"/>
  <c r="P739" i="4"/>
  <c r="P738" i="4"/>
  <c r="P737" i="4"/>
  <c r="P736" i="4"/>
  <c r="Q729" i="4"/>
  <c r="O729" i="4"/>
  <c r="P728" i="4"/>
  <c r="P727" i="4"/>
  <c r="P726" i="4"/>
  <c r="P725" i="4"/>
  <c r="P724" i="4"/>
  <c r="P723" i="4"/>
  <c r="P722" i="4"/>
  <c r="Q721" i="4"/>
  <c r="P721" i="4"/>
  <c r="F717" i="4"/>
  <c r="G716" i="4"/>
  <c r="G715" i="4"/>
  <c r="G714" i="4"/>
  <c r="G713" i="4"/>
  <c r="G712" i="4"/>
  <c r="G711" i="4"/>
  <c r="G710" i="4"/>
  <c r="G709" i="4"/>
  <c r="G708" i="4"/>
  <c r="E717" i="4"/>
  <c r="Q713" i="4"/>
  <c r="O712" i="4"/>
  <c r="P711" i="4"/>
  <c r="P710" i="4"/>
  <c r="P709" i="4"/>
  <c r="P708" i="4"/>
  <c r="P707" i="4"/>
  <c r="P706" i="4"/>
  <c r="P705" i="4"/>
  <c r="P704" i="4"/>
  <c r="P703" i="4"/>
  <c r="F698" i="4"/>
  <c r="E698" i="4"/>
  <c r="G697" i="4"/>
  <c r="G696" i="4"/>
  <c r="G695" i="4"/>
  <c r="G694" i="4"/>
  <c r="G693" i="4"/>
  <c r="G692" i="4"/>
  <c r="G691" i="4"/>
  <c r="G690" i="4"/>
  <c r="G689" i="4"/>
  <c r="G688" i="4"/>
  <c r="G687" i="4"/>
  <c r="G686" i="4"/>
  <c r="G685" i="4"/>
  <c r="G684" i="4"/>
  <c r="G683" i="4"/>
  <c r="G682" i="4"/>
  <c r="G681" i="4"/>
  <c r="G680" i="4"/>
  <c r="H668" i="4"/>
  <c r="E653" i="4"/>
  <c r="G652" i="4"/>
  <c r="G651" i="4"/>
  <c r="G650" i="4"/>
  <c r="G649" i="4"/>
  <c r="G648" i="4"/>
  <c r="G647" i="4"/>
  <c r="G646" i="4"/>
  <c r="G645" i="4"/>
  <c r="G644" i="4"/>
  <c r="G643" i="4"/>
  <c r="G642" i="4"/>
  <c r="G641" i="4"/>
  <c r="G640" i="4"/>
  <c r="G639" i="4"/>
  <c r="G638" i="4"/>
  <c r="H626" i="4"/>
  <c r="F653" i="4"/>
  <c r="G610" i="4"/>
  <c r="G609" i="4"/>
  <c r="G608" i="4"/>
  <c r="E611" i="4"/>
  <c r="F611" i="4"/>
  <c r="F600" i="4"/>
  <c r="H579" i="4"/>
  <c r="E600" i="4"/>
  <c r="G588" i="4"/>
  <c r="G593" i="4"/>
  <c r="G590" i="4"/>
  <c r="G592" i="4"/>
  <c r="G589" i="4"/>
  <c r="G591" i="4"/>
  <c r="G587" i="4"/>
  <c r="F566" i="4"/>
  <c r="E566" i="4"/>
  <c r="G565" i="4"/>
  <c r="G566" i="4" s="1"/>
  <c r="H566" i="4" s="1"/>
  <c r="L685" i="4"/>
  <c r="Q683" i="4"/>
  <c r="O683" i="4"/>
  <c r="P682" i="4"/>
  <c r="P681" i="4"/>
  <c r="P680" i="4"/>
  <c r="P679" i="4"/>
  <c r="P678" i="4"/>
  <c r="P677" i="4"/>
  <c r="P676" i="4"/>
  <c r="P675" i="4"/>
  <c r="P674" i="4"/>
  <c r="P673" i="4"/>
  <c r="P672" i="4"/>
  <c r="P671" i="4"/>
  <c r="P670" i="4"/>
  <c r="P669" i="4"/>
  <c r="P668" i="4"/>
  <c r="P667" i="4"/>
  <c r="P666" i="4"/>
  <c r="P665" i="4"/>
  <c r="Q654" i="4"/>
  <c r="Q641" i="4"/>
  <c r="O641" i="4"/>
  <c r="P640" i="4"/>
  <c r="P639" i="4"/>
  <c r="P638" i="4"/>
  <c r="P637" i="4"/>
  <c r="P636" i="4"/>
  <c r="P635" i="4"/>
  <c r="P634" i="4"/>
  <c r="P633" i="4"/>
  <c r="P632" i="4"/>
  <c r="P631" i="4"/>
  <c r="P630" i="4"/>
  <c r="P629" i="4"/>
  <c r="P628" i="4"/>
  <c r="P627" i="4"/>
  <c r="P626" i="4"/>
  <c r="Q614" i="4"/>
  <c r="Q602" i="4"/>
  <c r="O602" i="4"/>
  <c r="P601" i="4"/>
  <c r="P600" i="4"/>
  <c r="P599" i="4"/>
  <c r="Q593" i="4"/>
  <c r="O593" i="4"/>
  <c r="P592" i="4"/>
  <c r="P591" i="4"/>
  <c r="P590" i="4"/>
  <c r="P589" i="4"/>
  <c r="P588" i="4"/>
  <c r="P587" i="4"/>
  <c r="P586" i="4"/>
  <c r="Q571" i="4"/>
  <c r="Q563" i="4"/>
  <c r="O563" i="4"/>
  <c r="P562" i="4"/>
  <c r="P563" i="4" s="1"/>
  <c r="R563" i="4" s="1"/>
  <c r="Q550" i="4"/>
  <c r="P551" i="4"/>
  <c r="P552" i="4"/>
  <c r="O553" i="4"/>
  <c r="Q553" i="4"/>
  <c r="Q685" i="4" s="1"/>
  <c r="H546" i="4"/>
  <c r="E537" i="4"/>
  <c r="F537" i="4"/>
  <c r="G536" i="4"/>
  <c r="G535" i="4"/>
  <c r="G534" i="4"/>
  <c r="G533" i="4"/>
  <c r="G532" i="4"/>
  <c r="G531" i="4"/>
  <c r="G530" i="4"/>
  <c r="G529" i="4"/>
  <c r="G528" i="4"/>
  <c r="G527" i="4"/>
  <c r="H526" i="4"/>
  <c r="G526" i="4"/>
  <c r="E515" i="4"/>
  <c r="F515" i="4"/>
  <c r="G514" i="4"/>
  <c r="G513" i="4"/>
  <c r="G512" i="4"/>
  <c r="G511" i="4"/>
  <c r="G510" i="4"/>
  <c r="G509" i="4"/>
  <c r="G508" i="4"/>
  <c r="G507" i="4"/>
  <c r="G506" i="4"/>
  <c r="G505" i="4"/>
  <c r="G504" i="4"/>
  <c r="G503" i="4"/>
  <c r="G502" i="4"/>
  <c r="G501" i="4"/>
  <c r="G500" i="4"/>
  <c r="G499" i="4"/>
  <c r="E491" i="4"/>
  <c r="F491" i="4"/>
  <c r="G490" i="4"/>
  <c r="G489" i="4"/>
  <c r="G488" i="4"/>
  <c r="G487" i="4"/>
  <c r="G486" i="4"/>
  <c r="G485" i="4"/>
  <c r="G484" i="4"/>
  <c r="G483" i="4"/>
  <c r="G482" i="4"/>
  <c r="G481" i="4"/>
  <c r="E474" i="4"/>
  <c r="F474" i="4"/>
  <c r="G473" i="4"/>
  <c r="G472" i="4"/>
  <c r="G471" i="4"/>
  <c r="G470" i="4"/>
  <c r="G469" i="4"/>
  <c r="G468" i="4"/>
  <c r="G467" i="4"/>
  <c r="G466" i="4"/>
  <c r="G465" i="4"/>
  <c r="G464" i="4"/>
  <c r="G463" i="4"/>
  <c r="E456" i="4"/>
  <c r="F456" i="4"/>
  <c r="G455" i="4"/>
  <c r="G454" i="4"/>
  <c r="G453" i="4"/>
  <c r="G452" i="4"/>
  <c r="G451" i="4"/>
  <c r="G450" i="4"/>
  <c r="G449" i="4"/>
  <c r="E442" i="4"/>
  <c r="F442" i="4"/>
  <c r="G441" i="4"/>
  <c r="G440" i="4"/>
  <c r="G439" i="4"/>
  <c r="G438" i="4"/>
  <c r="G437" i="4"/>
  <c r="G436" i="4"/>
  <c r="G435" i="4"/>
  <c r="F428" i="4"/>
  <c r="G427" i="4"/>
  <c r="G426" i="4"/>
  <c r="G425" i="4"/>
  <c r="G424" i="4"/>
  <c r="G423" i="4"/>
  <c r="G422" i="4"/>
  <c r="G421" i="4"/>
  <c r="G420" i="4"/>
  <c r="G419" i="4"/>
  <c r="G418" i="4"/>
  <c r="G417" i="4"/>
  <c r="F409" i="4"/>
  <c r="G408" i="4"/>
  <c r="G407" i="4"/>
  <c r="G406" i="4"/>
  <c r="G405" i="4"/>
  <c r="G404" i="4"/>
  <c r="G403" i="4"/>
  <c r="G402" i="4"/>
  <c r="G401" i="4"/>
  <c r="G400" i="4"/>
  <c r="G399" i="4"/>
  <c r="G398" i="4"/>
  <c r="G397" i="4"/>
  <c r="G396" i="4"/>
  <c r="G395" i="4"/>
  <c r="G394" i="4"/>
  <c r="G393" i="4"/>
  <c r="G392" i="4"/>
  <c r="G391" i="4"/>
  <c r="G390" i="4"/>
  <c r="F384" i="4"/>
  <c r="G383" i="4"/>
  <c r="G382" i="4"/>
  <c r="G381" i="4"/>
  <c r="G380" i="4"/>
  <c r="G379" i="4"/>
  <c r="G378" i="4"/>
  <c r="G377" i="4"/>
  <c r="G376" i="4"/>
  <c r="G375" i="4"/>
  <c r="G374" i="4"/>
  <c r="G373" i="4"/>
  <c r="G372" i="4"/>
  <c r="G371" i="4"/>
  <c r="G370" i="4"/>
  <c r="G369" i="4"/>
  <c r="G368" i="4"/>
  <c r="G367" i="4"/>
  <c r="G366" i="4"/>
  <c r="G365" i="4"/>
  <c r="G364" i="4"/>
  <c r="G363" i="4"/>
  <c r="G362" i="4"/>
  <c r="G361" i="4"/>
  <c r="G360" i="4"/>
  <c r="G359" i="4"/>
  <c r="G358" i="4"/>
  <c r="G357" i="4"/>
  <c r="G356" i="4"/>
  <c r="G355" i="4"/>
  <c r="F345" i="4"/>
  <c r="G345" i="4" s="1"/>
  <c r="G344" i="4"/>
  <c r="G343" i="4"/>
  <c r="G342" i="4"/>
  <c r="G341" i="4"/>
  <c r="G340" i="4"/>
  <c r="G339" i="4"/>
  <c r="G338" i="4"/>
  <c r="G337" i="4"/>
  <c r="G336" i="4"/>
  <c r="G335" i="4"/>
  <c r="G334" i="4"/>
  <c r="G333" i="4"/>
  <c r="G332" i="4"/>
  <c r="G331" i="4"/>
  <c r="G330" i="4"/>
  <c r="G329" i="4"/>
  <c r="G328" i="4"/>
  <c r="G327" i="4"/>
  <c r="G326" i="4"/>
  <c r="G325" i="4"/>
  <c r="G324" i="4"/>
  <c r="G323" i="4"/>
  <c r="G322" i="4"/>
  <c r="F313" i="4"/>
  <c r="G313" i="4" s="1"/>
  <c r="G312" i="4"/>
  <c r="G311" i="4"/>
  <c r="G310" i="4"/>
  <c r="G309" i="4"/>
  <c r="G308" i="4"/>
  <c r="G301" i="4"/>
  <c r="G300" i="4"/>
  <c r="G299" i="4"/>
  <c r="G298" i="4"/>
  <c r="G297" i="4"/>
  <c r="G296" i="4"/>
  <c r="G295" i="4"/>
  <c r="G294" i="4"/>
  <c r="G293" i="4"/>
  <c r="G292" i="4"/>
  <c r="G291" i="4"/>
  <c r="G290" i="4"/>
  <c r="G289" i="4"/>
  <c r="G288" i="4"/>
  <c r="F302" i="4"/>
  <c r="G281" i="4"/>
  <c r="G280" i="4"/>
  <c r="G279" i="4"/>
  <c r="G278" i="4"/>
  <c r="G277" i="4"/>
  <c r="G276" i="4"/>
  <c r="G275" i="4"/>
  <c r="G274" i="4"/>
  <c r="G273" i="4"/>
  <c r="G272" i="4"/>
  <c r="G271" i="4"/>
  <c r="G270" i="4"/>
  <c r="G269" i="4"/>
  <c r="G268" i="4"/>
  <c r="F282" i="4"/>
  <c r="F263" i="4"/>
  <c r="G262" i="4"/>
  <c r="G261" i="4"/>
  <c r="G260" i="4"/>
  <c r="G259" i="4"/>
  <c r="G258" i="4"/>
  <c r="G257" i="4"/>
  <c r="G256" i="4"/>
  <c r="G255" i="4"/>
  <c r="G254" i="4"/>
  <c r="G253" i="4"/>
  <c r="G252" i="4"/>
  <c r="G251" i="4"/>
  <c r="G250" i="4"/>
  <c r="F245" i="4"/>
  <c r="G244" i="4"/>
  <c r="G243" i="4"/>
  <c r="G242" i="4"/>
  <c r="G241" i="4"/>
  <c r="G240" i="4"/>
  <c r="G239" i="4"/>
  <c r="G238" i="4"/>
  <c r="G237" i="4"/>
  <c r="G236" i="4"/>
  <c r="G235" i="4"/>
  <c r="Q496" i="4"/>
  <c r="O496" i="4"/>
  <c r="P495" i="4"/>
  <c r="P494" i="4"/>
  <c r="P493" i="4"/>
  <c r="P492" i="4"/>
  <c r="P491" i="4"/>
  <c r="P490" i="4"/>
  <c r="P489" i="4"/>
  <c r="P488" i="4"/>
  <c r="P487" i="4"/>
  <c r="P486" i="4"/>
  <c r="Q485" i="4"/>
  <c r="P485" i="4"/>
  <c r="Q478" i="4"/>
  <c r="O478" i="4"/>
  <c r="P477" i="4"/>
  <c r="P476" i="4"/>
  <c r="P475" i="4"/>
  <c r="P474" i="4"/>
  <c r="P473" i="4"/>
  <c r="P472" i="4"/>
  <c r="P471" i="4"/>
  <c r="P470" i="4"/>
  <c r="P469" i="4"/>
  <c r="P468" i="4"/>
  <c r="P467" i="4"/>
  <c r="P466" i="4"/>
  <c r="P465" i="4"/>
  <c r="P464" i="4"/>
  <c r="P463" i="4"/>
  <c r="P462" i="4"/>
  <c r="Q457" i="4"/>
  <c r="O457" i="4"/>
  <c r="P456" i="4"/>
  <c r="P455" i="4"/>
  <c r="P454" i="4"/>
  <c r="P453" i="4"/>
  <c r="P452" i="4"/>
  <c r="P451" i="4"/>
  <c r="P450" i="4"/>
  <c r="P449" i="4"/>
  <c r="P448" i="4"/>
  <c r="P447" i="4"/>
  <c r="Q442" i="4"/>
  <c r="O442" i="4"/>
  <c r="P441" i="4"/>
  <c r="P440" i="4"/>
  <c r="P439" i="4"/>
  <c r="P438" i="4"/>
  <c r="P437" i="4"/>
  <c r="P436" i="4"/>
  <c r="P435" i="4"/>
  <c r="P434" i="4"/>
  <c r="P433" i="4"/>
  <c r="P432" i="4"/>
  <c r="P431" i="4"/>
  <c r="Q427" i="4"/>
  <c r="O427" i="4"/>
  <c r="P426" i="4"/>
  <c r="P425" i="4"/>
  <c r="P424" i="4"/>
  <c r="P423" i="4"/>
  <c r="P422" i="4"/>
  <c r="P421" i="4"/>
  <c r="P420" i="4"/>
  <c r="Q417" i="4"/>
  <c r="O417" i="4"/>
  <c r="P416" i="4"/>
  <c r="P415" i="4"/>
  <c r="P414" i="4"/>
  <c r="P413" i="4"/>
  <c r="P412" i="4"/>
  <c r="P411" i="4"/>
  <c r="P410" i="4"/>
  <c r="Q407" i="4"/>
  <c r="O407" i="4"/>
  <c r="P406" i="4"/>
  <c r="P405" i="4"/>
  <c r="P404" i="4"/>
  <c r="P403" i="4"/>
  <c r="P402" i="4"/>
  <c r="P401" i="4"/>
  <c r="P400" i="4"/>
  <c r="P399" i="4"/>
  <c r="P398" i="4"/>
  <c r="P397" i="4"/>
  <c r="P396" i="4"/>
  <c r="Q392" i="4"/>
  <c r="O392" i="4"/>
  <c r="P391" i="4"/>
  <c r="P390" i="4"/>
  <c r="P389" i="4"/>
  <c r="P388" i="4"/>
  <c r="P387" i="4"/>
  <c r="P386" i="4"/>
  <c r="P385" i="4"/>
  <c r="P384" i="4"/>
  <c r="P383" i="4"/>
  <c r="P382" i="4"/>
  <c r="P381" i="4"/>
  <c r="P380" i="4"/>
  <c r="P379" i="4"/>
  <c r="P378" i="4"/>
  <c r="P377" i="4"/>
  <c r="P376" i="4"/>
  <c r="P375" i="4"/>
  <c r="P374" i="4"/>
  <c r="P373" i="4"/>
  <c r="Q368" i="4"/>
  <c r="O368" i="4"/>
  <c r="O370" i="4" s="1"/>
  <c r="P367" i="4"/>
  <c r="P366" i="4"/>
  <c r="P365" i="4"/>
  <c r="P364" i="4"/>
  <c r="P363" i="4"/>
  <c r="P362" i="4"/>
  <c r="P361" i="4"/>
  <c r="P360" i="4"/>
  <c r="P359" i="4"/>
  <c r="P358" i="4"/>
  <c r="P357" i="4"/>
  <c r="P356" i="4"/>
  <c r="P355" i="4"/>
  <c r="P354" i="4"/>
  <c r="P353" i="4"/>
  <c r="P352" i="4"/>
  <c r="P351" i="4"/>
  <c r="P350" i="4"/>
  <c r="P349" i="4"/>
  <c r="P348" i="4"/>
  <c r="P347" i="4"/>
  <c r="P346" i="4"/>
  <c r="P345" i="4"/>
  <c r="P344" i="4"/>
  <c r="P343" i="4"/>
  <c r="P342" i="4"/>
  <c r="P341" i="4"/>
  <c r="P340" i="4"/>
  <c r="P339" i="4"/>
  <c r="Q332" i="4"/>
  <c r="O332" i="4"/>
  <c r="P332" i="4" s="1"/>
  <c r="P331" i="4"/>
  <c r="P330" i="4"/>
  <c r="P329" i="4"/>
  <c r="P328" i="4"/>
  <c r="P327" i="4"/>
  <c r="P326" i="4"/>
  <c r="P325" i="4"/>
  <c r="P324" i="4"/>
  <c r="P323" i="4"/>
  <c r="P322" i="4"/>
  <c r="P321" i="4"/>
  <c r="P320" i="4"/>
  <c r="P319" i="4"/>
  <c r="P318" i="4"/>
  <c r="P317" i="4"/>
  <c r="P316" i="4"/>
  <c r="P315" i="4"/>
  <c r="P314" i="4"/>
  <c r="P313" i="4"/>
  <c r="P312" i="4"/>
  <c r="P311" i="4"/>
  <c r="P310" i="4"/>
  <c r="P309" i="4"/>
  <c r="L303" i="4"/>
  <c r="Q302" i="4"/>
  <c r="O302" i="4"/>
  <c r="P302" i="4" s="1"/>
  <c r="P301" i="4"/>
  <c r="P300" i="4"/>
  <c r="P299" i="4"/>
  <c r="P298" i="4"/>
  <c r="P297" i="4"/>
  <c r="Q294" i="4"/>
  <c r="P294" i="4"/>
  <c r="P293" i="4"/>
  <c r="P292" i="4"/>
  <c r="P291" i="4"/>
  <c r="P290" i="4"/>
  <c r="P289" i="4"/>
  <c r="P288" i="4"/>
  <c r="P287" i="4"/>
  <c r="P286" i="4"/>
  <c r="P285" i="4"/>
  <c r="P284" i="4"/>
  <c r="P283" i="4"/>
  <c r="P282" i="4"/>
  <c r="P281" i="4"/>
  <c r="P280" i="4"/>
  <c r="Q277" i="4"/>
  <c r="O277" i="4"/>
  <c r="P277" i="4" s="1"/>
  <c r="P276" i="4"/>
  <c r="P275" i="4"/>
  <c r="P274" i="4"/>
  <c r="P273" i="4"/>
  <c r="P272" i="4"/>
  <c r="P271" i="4"/>
  <c r="P270" i="4"/>
  <c r="P269" i="4"/>
  <c r="P268" i="4"/>
  <c r="P267" i="4"/>
  <c r="P266" i="4"/>
  <c r="P265" i="4"/>
  <c r="P264" i="4"/>
  <c r="P263" i="4"/>
  <c r="Q260" i="4"/>
  <c r="O260" i="4"/>
  <c r="P260" i="4" s="1"/>
  <c r="P259" i="4"/>
  <c r="P258" i="4"/>
  <c r="P257" i="4"/>
  <c r="P256" i="4"/>
  <c r="P255" i="4"/>
  <c r="P254" i="4"/>
  <c r="P253" i="4"/>
  <c r="P252" i="4"/>
  <c r="P251" i="4"/>
  <c r="P250" i="4"/>
  <c r="P249" i="4"/>
  <c r="P248" i="4"/>
  <c r="P247" i="4"/>
  <c r="Q244" i="4"/>
  <c r="O244" i="4"/>
  <c r="P244" i="4" s="1"/>
  <c r="P243" i="4"/>
  <c r="P242" i="4"/>
  <c r="P241" i="4"/>
  <c r="P240" i="4"/>
  <c r="P239" i="4"/>
  <c r="P238" i="4"/>
  <c r="P237" i="4"/>
  <c r="P236" i="4"/>
  <c r="P235" i="4"/>
  <c r="P234" i="4"/>
  <c r="F228" i="4"/>
  <c r="G228" i="4" s="1"/>
  <c r="G227" i="4"/>
  <c r="G226" i="4"/>
  <c r="G225" i="4"/>
  <c r="G224" i="4"/>
  <c r="G223" i="4"/>
  <c r="G222" i="4"/>
  <c r="G221" i="4"/>
  <c r="G220" i="4"/>
  <c r="G219" i="4"/>
  <c r="G218" i="4"/>
  <c r="G217" i="4"/>
  <c r="G216" i="4"/>
  <c r="G215" i="4"/>
  <c r="G214" i="4"/>
  <c r="G213" i="4"/>
  <c r="G212" i="4"/>
  <c r="G211" i="4"/>
  <c r="G210" i="4"/>
  <c r="G209" i="4"/>
  <c r="G208" i="4"/>
  <c r="G207" i="4"/>
  <c r="G206" i="4"/>
  <c r="G205" i="4"/>
  <c r="F197" i="4"/>
  <c r="G196" i="4"/>
  <c r="G195" i="4"/>
  <c r="G194" i="4"/>
  <c r="G193" i="4"/>
  <c r="G192" i="4"/>
  <c r="G191" i="4"/>
  <c r="H191" i="4" s="1"/>
  <c r="L227" i="4"/>
  <c r="Q226" i="4"/>
  <c r="Q227" i="4" s="1"/>
  <c r="O226" i="4"/>
  <c r="P226" i="4" s="1"/>
  <c r="P225" i="4"/>
  <c r="P224" i="4"/>
  <c r="P223" i="4"/>
  <c r="P222" i="4"/>
  <c r="P221" i="4"/>
  <c r="P220" i="4"/>
  <c r="P219" i="4"/>
  <c r="P218" i="4"/>
  <c r="P217" i="4"/>
  <c r="P216" i="4"/>
  <c r="P215" i="4"/>
  <c r="P214" i="4"/>
  <c r="P213" i="4"/>
  <c r="P212" i="4"/>
  <c r="P211" i="4"/>
  <c r="P210" i="4"/>
  <c r="P209" i="4"/>
  <c r="P208" i="4"/>
  <c r="P207" i="4"/>
  <c r="P206" i="4"/>
  <c r="P205" i="4"/>
  <c r="P204" i="4"/>
  <c r="P203" i="4"/>
  <c r="Q195" i="4"/>
  <c r="O195" i="4"/>
  <c r="P195" i="4" s="1"/>
  <c r="P194" i="4"/>
  <c r="P193" i="4"/>
  <c r="P192" i="4"/>
  <c r="P191" i="4"/>
  <c r="P190" i="4"/>
  <c r="P189" i="4"/>
  <c r="Q189" i="4" s="1"/>
  <c r="F185" i="4"/>
  <c r="G184" i="4"/>
  <c r="G183" i="4"/>
  <c r="G182" i="4"/>
  <c r="G181" i="4"/>
  <c r="G180" i="4"/>
  <c r="G179" i="4"/>
  <c r="G178" i="4"/>
  <c r="G177" i="4"/>
  <c r="G176" i="4"/>
  <c r="G175" i="4"/>
  <c r="G174" i="4"/>
  <c r="G173" i="4"/>
  <c r="G172" i="4"/>
  <c r="Q184" i="4"/>
  <c r="O184" i="4"/>
  <c r="P184" i="4" s="1"/>
  <c r="P183" i="4"/>
  <c r="L183" i="4"/>
  <c r="P182" i="4"/>
  <c r="P181" i="4"/>
  <c r="P180" i="4"/>
  <c r="P179" i="4"/>
  <c r="P178" i="4"/>
  <c r="P177" i="4"/>
  <c r="P176" i="4"/>
  <c r="P175" i="4"/>
  <c r="P174" i="4"/>
  <c r="P173" i="4"/>
  <c r="P172" i="4"/>
  <c r="P171" i="4"/>
  <c r="G166" i="4"/>
  <c r="G165" i="4"/>
  <c r="G164" i="4"/>
  <c r="G163" i="4"/>
  <c r="G162" i="4"/>
  <c r="G161" i="4"/>
  <c r="H161" i="4" s="1"/>
  <c r="P166" i="4"/>
  <c r="P165" i="4"/>
  <c r="P164" i="4"/>
  <c r="P163" i="4"/>
  <c r="P162" i="4"/>
  <c r="P161" i="4"/>
  <c r="Q161" i="4" s="1"/>
  <c r="F167" i="4"/>
  <c r="F155" i="4"/>
  <c r="G154" i="4"/>
  <c r="G153" i="4"/>
  <c r="G152" i="4"/>
  <c r="G151" i="4"/>
  <c r="G150" i="4"/>
  <c r="G149" i="4"/>
  <c r="G148" i="4"/>
  <c r="G147" i="4"/>
  <c r="G146" i="4"/>
  <c r="G145" i="4"/>
  <c r="G144" i="4"/>
  <c r="G143" i="4"/>
  <c r="G142" i="4"/>
  <c r="G141" i="4"/>
  <c r="G140" i="4"/>
  <c r="G139" i="4"/>
  <c r="G138" i="4"/>
  <c r="Q153" i="4"/>
  <c r="O153" i="4"/>
  <c r="P153" i="4" s="1"/>
  <c r="P152" i="4"/>
  <c r="P151" i="4"/>
  <c r="P150" i="4"/>
  <c r="P149" i="4"/>
  <c r="P148" i="4"/>
  <c r="P147" i="4"/>
  <c r="P146" i="4"/>
  <c r="P145" i="4"/>
  <c r="P144" i="4"/>
  <c r="P143" i="4"/>
  <c r="P142" i="4"/>
  <c r="P141" i="4"/>
  <c r="P140" i="4"/>
  <c r="P139" i="4"/>
  <c r="P138" i="4"/>
  <c r="P137" i="4"/>
  <c r="P136" i="4"/>
  <c r="F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Q131" i="4"/>
  <c r="O131" i="4"/>
  <c r="P131" i="4" s="1"/>
  <c r="P130" i="4"/>
  <c r="P129" i="4"/>
  <c r="P128" i="4"/>
  <c r="P127" i="4"/>
  <c r="P126" i="4"/>
  <c r="P125" i="4"/>
  <c r="P124" i="4"/>
  <c r="P123" i="4"/>
  <c r="P122" i="4"/>
  <c r="P121" i="4"/>
  <c r="P120" i="4"/>
  <c r="P119" i="4"/>
  <c r="P118" i="4"/>
  <c r="P117" i="4"/>
  <c r="P116" i="4"/>
  <c r="F109" i="4"/>
  <c r="G109" i="4" s="1"/>
  <c r="G108" i="4"/>
  <c r="G107" i="4"/>
  <c r="G106" i="4"/>
  <c r="G105" i="4"/>
  <c r="G104" i="4"/>
  <c r="G103" i="4"/>
  <c r="G102" i="4"/>
  <c r="G101" i="4"/>
  <c r="G100" i="4"/>
  <c r="G99" i="4"/>
  <c r="G98" i="4"/>
  <c r="L110" i="4"/>
  <c r="Q109" i="4"/>
  <c r="Q110" i="4" s="1"/>
  <c r="O109" i="4"/>
  <c r="P109" i="4" s="1"/>
  <c r="P108" i="4"/>
  <c r="P107" i="4"/>
  <c r="P106" i="4"/>
  <c r="P105" i="4"/>
  <c r="P104" i="4"/>
  <c r="P103" i="4"/>
  <c r="P102" i="4"/>
  <c r="P101" i="4"/>
  <c r="P100" i="4"/>
  <c r="P99" i="4"/>
  <c r="P98" i="4"/>
  <c r="F92" i="4"/>
  <c r="G92" i="4" s="1"/>
  <c r="G91" i="4"/>
  <c r="G90" i="4"/>
  <c r="G89" i="4"/>
  <c r="G88" i="4"/>
  <c r="G87" i="4"/>
  <c r="G86" i="4"/>
  <c r="G85" i="4"/>
  <c r="G84" i="4"/>
  <c r="G83" i="4"/>
  <c r="G82" i="4"/>
  <c r="Q88" i="4"/>
  <c r="O88" i="4"/>
  <c r="P88" i="4" s="1"/>
  <c r="P87" i="4"/>
  <c r="P86" i="4"/>
  <c r="P85" i="4"/>
  <c r="P84" i="4"/>
  <c r="P83" i="4"/>
  <c r="P82" i="4"/>
  <c r="P81" i="4"/>
  <c r="P80" i="4"/>
  <c r="P79" i="4"/>
  <c r="P78" i="4"/>
  <c r="I604" i="2"/>
  <c r="F553" i="4"/>
  <c r="G552" i="4"/>
  <c r="G551" i="4"/>
  <c r="E553" i="4"/>
  <c r="T687" i="2"/>
  <c r="T685" i="2"/>
  <c r="H61" i="2"/>
  <c r="H16" i="2"/>
  <c r="T684" i="2"/>
  <c r="T681" i="2"/>
  <c r="T680" i="2"/>
  <c r="T683" i="2"/>
  <c r="T682" i="2"/>
  <c r="T686" i="2"/>
  <c r="I664" i="2"/>
  <c r="H604" i="2"/>
  <c r="U687" i="2"/>
  <c r="S687" i="2"/>
  <c r="J10" i="2"/>
  <c r="O686" i="2"/>
  <c r="O680" i="2"/>
  <c r="O681" i="2"/>
  <c r="O682" i="2"/>
  <c r="O683" i="2"/>
  <c r="O684" i="2"/>
  <c r="F74" i="4"/>
  <c r="G74" i="4" s="1"/>
  <c r="G73" i="4"/>
  <c r="G72" i="4"/>
  <c r="G71" i="4"/>
  <c r="G70" i="4"/>
  <c r="F65" i="4"/>
  <c r="G65" i="4" s="1"/>
  <c r="G64" i="4"/>
  <c r="G63" i="4"/>
  <c r="G62" i="4"/>
  <c r="G61" i="4"/>
  <c r="G60" i="4"/>
  <c r="G59" i="4"/>
  <c r="G58" i="4"/>
  <c r="G57" i="4"/>
  <c r="F52" i="4"/>
  <c r="G52" i="4" s="1"/>
  <c r="G51" i="4"/>
  <c r="G50" i="4"/>
  <c r="G49" i="4"/>
  <c r="G48" i="4"/>
  <c r="G47" i="4"/>
  <c r="G46" i="4"/>
  <c r="G45" i="4"/>
  <c r="G44" i="4"/>
  <c r="G38" i="4"/>
  <c r="G37" i="4"/>
  <c r="G36" i="4"/>
  <c r="G35" i="4"/>
  <c r="G34" i="4"/>
  <c r="G33" i="4"/>
  <c r="F28" i="4"/>
  <c r="G25" i="4"/>
  <c r="G24" i="4"/>
  <c r="G23" i="4"/>
  <c r="G22" i="4"/>
  <c r="G21" i="4"/>
  <c r="F16" i="4"/>
  <c r="G16" i="4" s="1"/>
  <c r="G15" i="4"/>
  <c r="G14" i="4"/>
  <c r="G13" i="4"/>
  <c r="G12" i="4"/>
  <c r="G11" i="4"/>
  <c r="G10" i="4"/>
  <c r="G9" i="4"/>
  <c r="G8" i="4"/>
  <c r="G7" i="4"/>
  <c r="O696" i="2"/>
  <c r="O697" i="2"/>
  <c r="O698" i="2"/>
  <c r="O699" i="2"/>
  <c r="O700" i="2"/>
  <c r="O701" i="2"/>
  <c r="O695" i="2"/>
  <c r="K704" i="2"/>
  <c r="K705" i="2"/>
  <c r="M705" i="2" s="1"/>
  <c r="K706" i="2"/>
  <c r="M706" i="2" s="1"/>
  <c r="K707" i="2"/>
  <c r="M707" i="2" s="1"/>
  <c r="K708" i="2"/>
  <c r="M708" i="2" s="1"/>
  <c r="K709" i="2"/>
  <c r="M709" i="2" s="1"/>
  <c r="K703" i="2"/>
  <c r="M703" i="2" s="1"/>
  <c r="M693" i="2"/>
  <c r="M692" i="2"/>
  <c r="E14" i="2"/>
  <c r="N687" i="2"/>
  <c r="R470" i="2"/>
  <c r="Q470" i="2"/>
  <c r="R282" i="2"/>
  <c r="Q282" i="2"/>
  <c r="P282" i="2"/>
  <c r="P470" i="2"/>
  <c r="O273" i="2"/>
  <c r="O274" i="2"/>
  <c r="O275" i="2"/>
  <c r="O276" i="2"/>
  <c r="O277" i="2"/>
  <c r="O278" i="2"/>
  <c r="O279" i="2"/>
  <c r="O280" i="2"/>
  <c r="O281" i="2"/>
  <c r="O272" i="2"/>
  <c r="N282" i="2"/>
  <c r="R203" i="2"/>
  <c r="Q203" i="2"/>
  <c r="N203" i="2"/>
  <c r="P203" i="2"/>
  <c r="R102" i="2"/>
  <c r="Q102" i="2"/>
  <c r="P102" i="2"/>
  <c r="O97" i="2"/>
  <c r="O98" i="2"/>
  <c r="O99" i="2"/>
  <c r="O100" i="2"/>
  <c r="O101" i="2"/>
  <c r="O96" i="2"/>
  <c r="N102" i="2"/>
  <c r="R72" i="2"/>
  <c r="Q72" i="2"/>
  <c r="N72" i="2"/>
  <c r="P72" i="2"/>
  <c r="Q12" i="2"/>
  <c r="R12" i="2"/>
  <c r="P12" i="2"/>
  <c r="N12" i="2"/>
  <c r="P611" i="2"/>
  <c r="Q611" i="2"/>
  <c r="C664" i="2"/>
  <c r="H664" i="2"/>
  <c r="M687" i="2" s="1"/>
  <c r="C604" i="2"/>
  <c r="M64" i="2"/>
  <c r="L57" i="2"/>
  <c r="H44" i="2"/>
  <c r="H33" i="2"/>
  <c r="H24" i="2"/>
  <c r="H17" i="2"/>
  <c r="N611" i="2"/>
  <c r="N577" i="2"/>
  <c r="N456" i="2"/>
  <c r="N457" i="2" s="1"/>
  <c r="M456" i="2"/>
  <c r="M457" i="2" s="1"/>
  <c r="C268" i="2"/>
  <c r="C194" i="2"/>
  <c r="C157" i="2" s="1"/>
  <c r="C93" i="2"/>
  <c r="C61" i="2"/>
  <c r="K687" i="2"/>
  <c r="G613" i="2"/>
  <c r="G610" i="2"/>
  <c r="G611" i="2"/>
  <c r="G616" i="2"/>
  <c r="G615" i="2"/>
  <c r="G612" i="2"/>
  <c r="G608" i="2"/>
  <c r="G609" i="2"/>
  <c r="G614" i="2"/>
  <c r="H602" i="2"/>
  <c r="O576" i="2" s="1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584" i="2"/>
  <c r="F602" i="2"/>
  <c r="Q576" i="2" s="1"/>
  <c r="H469" i="2"/>
  <c r="K261" i="2"/>
  <c r="K260" i="2"/>
  <c r="K259" i="2"/>
  <c r="K258" i="2"/>
  <c r="K257" i="2"/>
  <c r="H209" i="2"/>
  <c r="O198" i="2" s="1"/>
  <c r="G12" i="2"/>
  <c r="F482" i="2"/>
  <c r="Q572" i="2" s="1"/>
  <c r="G481" i="2"/>
  <c r="C700" i="2"/>
  <c r="C680" i="2"/>
  <c r="H79" i="2"/>
  <c r="O70" i="2" s="1"/>
  <c r="H661" i="2"/>
  <c r="O610" i="2" s="1"/>
  <c r="H632" i="2"/>
  <c r="O609" i="2" s="1"/>
  <c r="H618" i="2"/>
  <c r="O608" i="2" s="1"/>
  <c r="H560" i="2"/>
  <c r="O575" i="2" s="1"/>
  <c r="H521" i="2"/>
  <c r="O574" i="2" s="1"/>
  <c r="H512" i="2"/>
  <c r="O573" i="2" s="1"/>
  <c r="H482" i="2"/>
  <c r="O572" i="2" s="1"/>
  <c r="H472" i="2"/>
  <c r="O571" i="2" s="1"/>
  <c r="H459" i="2"/>
  <c r="H441" i="2"/>
  <c r="H420" i="2"/>
  <c r="H405" i="2"/>
  <c r="H390" i="2"/>
  <c r="H380" i="2"/>
  <c r="H370" i="2"/>
  <c r="H461" i="2" s="1"/>
  <c r="H355" i="2"/>
  <c r="H331" i="2"/>
  <c r="G338" i="2"/>
  <c r="G341" i="2"/>
  <c r="G345" i="2"/>
  <c r="G343" i="2"/>
  <c r="G340" i="2"/>
  <c r="G337" i="2"/>
  <c r="G342" i="2"/>
  <c r="G344" i="2"/>
  <c r="G347" i="2"/>
  <c r="G346" i="2"/>
  <c r="G339" i="2"/>
  <c r="G336" i="2"/>
  <c r="G352" i="2"/>
  <c r="G353" i="2"/>
  <c r="G354" i="2"/>
  <c r="G349" i="2"/>
  <c r="G348" i="2"/>
  <c r="G350" i="2"/>
  <c r="G364" i="2"/>
  <c r="G360" i="2"/>
  <c r="G365" i="2"/>
  <c r="G363" i="2"/>
  <c r="G359" i="2"/>
  <c r="G369" i="2"/>
  <c r="G362" i="2"/>
  <c r="G361" i="2"/>
  <c r="G368" i="2"/>
  <c r="G367" i="2"/>
  <c r="G376" i="2"/>
  <c r="G378" i="2"/>
  <c r="G377" i="2"/>
  <c r="G379" i="2"/>
  <c r="G373" i="2"/>
  <c r="G375" i="2"/>
  <c r="G388" i="2"/>
  <c r="G385" i="2"/>
  <c r="G386" i="2"/>
  <c r="G387" i="2"/>
  <c r="G389" i="2"/>
  <c r="G384" i="2"/>
  <c r="G397" i="2"/>
  <c r="G401" i="2"/>
  <c r="G400" i="2"/>
  <c r="G395" i="2"/>
  <c r="G403" i="2"/>
  <c r="G399" i="2"/>
  <c r="G398" i="2"/>
  <c r="G396" i="2"/>
  <c r="G394" i="2"/>
  <c r="G404" i="2"/>
  <c r="G412" i="2"/>
  <c r="G411" i="2"/>
  <c r="G417" i="2"/>
  <c r="G413" i="2"/>
  <c r="G414" i="2"/>
  <c r="G419" i="2"/>
  <c r="G416" i="2"/>
  <c r="G418" i="2"/>
  <c r="G410" i="2"/>
  <c r="G426" i="2"/>
  <c r="G429" i="2"/>
  <c r="G430" i="2"/>
  <c r="G433" i="2"/>
  <c r="G428" i="2"/>
  <c r="G425" i="2"/>
  <c r="G432" i="2"/>
  <c r="G427" i="2"/>
  <c r="G431" i="2"/>
  <c r="G435" i="2"/>
  <c r="G437" i="2"/>
  <c r="G439" i="2"/>
  <c r="G438" i="2"/>
  <c r="G440" i="2"/>
  <c r="G436" i="2"/>
  <c r="G448" i="2"/>
  <c r="G449" i="2"/>
  <c r="G451" i="2"/>
  <c r="G452" i="2"/>
  <c r="G450" i="2"/>
  <c r="G453" i="2"/>
  <c r="G456" i="2"/>
  <c r="G455" i="2"/>
  <c r="G458" i="2"/>
  <c r="G457" i="2"/>
  <c r="G471" i="2"/>
  <c r="G470" i="2"/>
  <c r="G505" i="2"/>
  <c r="G508" i="2"/>
  <c r="G509" i="2"/>
  <c r="G510" i="2"/>
  <c r="G507" i="2"/>
  <c r="G506" i="2"/>
  <c r="G511" i="2"/>
  <c r="G518" i="2"/>
  <c r="G519" i="2"/>
  <c r="G553" i="2"/>
  <c r="G548" i="2"/>
  <c r="G547" i="2"/>
  <c r="G546" i="2"/>
  <c r="G545" i="2"/>
  <c r="G549" i="2"/>
  <c r="G554" i="2"/>
  <c r="G550" i="2"/>
  <c r="G552" i="2"/>
  <c r="G551" i="2"/>
  <c r="G559" i="2"/>
  <c r="G555" i="2"/>
  <c r="G558" i="2"/>
  <c r="G556" i="2"/>
  <c r="G557" i="2"/>
  <c r="G626" i="2"/>
  <c r="G629" i="2"/>
  <c r="G625" i="2"/>
  <c r="G631" i="2"/>
  <c r="G628" i="2"/>
  <c r="G627" i="2"/>
  <c r="G630" i="2"/>
  <c r="G650" i="2"/>
  <c r="G641" i="2"/>
  <c r="G639" i="2"/>
  <c r="G649" i="2"/>
  <c r="G651" i="2"/>
  <c r="G652" i="2"/>
  <c r="G658" i="2"/>
  <c r="G645" i="2"/>
  <c r="G642" i="2"/>
  <c r="G647" i="2"/>
  <c r="G654" i="2"/>
  <c r="G643" i="2"/>
  <c r="G656" i="2"/>
  <c r="G648" i="2"/>
  <c r="G660" i="2"/>
  <c r="G644" i="2"/>
  <c r="G655" i="2"/>
  <c r="G646" i="2"/>
  <c r="G659" i="2"/>
  <c r="G653" i="2"/>
  <c r="G640" i="2"/>
  <c r="G657" i="2"/>
  <c r="G624" i="2"/>
  <c r="G520" i="2"/>
  <c r="G454" i="2"/>
  <c r="G434" i="2"/>
  <c r="G415" i="2"/>
  <c r="G402" i="2"/>
  <c r="G383" i="2"/>
  <c r="G374" i="2"/>
  <c r="G366" i="2"/>
  <c r="G351" i="2"/>
  <c r="G305" i="2"/>
  <c r="G314" i="2"/>
  <c r="G309" i="2"/>
  <c r="G313" i="2"/>
  <c r="G320" i="2"/>
  <c r="G304" i="2"/>
  <c r="G302" i="2"/>
  <c r="G312" i="2"/>
  <c r="G307" i="2"/>
  <c r="G310" i="2"/>
  <c r="G321" i="2"/>
  <c r="G330" i="2"/>
  <c r="G327" i="2"/>
  <c r="G303" i="2"/>
  <c r="G306" i="2"/>
  <c r="G317" i="2"/>
  <c r="G316" i="2"/>
  <c r="G311" i="2"/>
  <c r="G308" i="2"/>
  <c r="G324" i="2"/>
  <c r="G328" i="2"/>
  <c r="G329" i="2"/>
  <c r="G322" i="2"/>
  <c r="G318" i="2"/>
  <c r="G323" i="2"/>
  <c r="G315" i="2"/>
  <c r="G319" i="2"/>
  <c r="G326" i="2"/>
  <c r="G325" i="2"/>
  <c r="H295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72" i="2"/>
  <c r="G245" i="2"/>
  <c r="G246" i="2"/>
  <c r="G254" i="2"/>
  <c r="G251" i="2"/>
  <c r="G258" i="2"/>
  <c r="G257" i="2"/>
  <c r="G249" i="2"/>
  <c r="G250" i="2"/>
  <c r="G253" i="2"/>
  <c r="G252" i="2"/>
  <c r="G255" i="2"/>
  <c r="G256" i="2"/>
  <c r="G247" i="2"/>
  <c r="G259" i="2"/>
  <c r="G248" i="2"/>
  <c r="F661" i="2"/>
  <c r="F632" i="2"/>
  <c r="F617" i="2"/>
  <c r="F560" i="2"/>
  <c r="Q575" i="2" s="1"/>
  <c r="F521" i="2"/>
  <c r="Q574" i="2" s="1"/>
  <c r="F512" i="2"/>
  <c r="Q573" i="2" s="1"/>
  <c r="F472" i="2"/>
  <c r="Q571" i="2" s="1"/>
  <c r="F459" i="2"/>
  <c r="O455" i="2" s="1"/>
  <c r="F441" i="2"/>
  <c r="O454" i="2" s="1"/>
  <c r="F420" i="2"/>
  <c r="O453" i="2" s="1"/>
  <c r="F405" i="2"/>
  <c r="O452" i="2" s="1"/>
  <c r="F390" i="2"/>
  <c r="O451" i="2" s="1"/>
  <c r="F380" i="2"/>
  <c r="O450" i="2" s="1"/>
  <c r="F370" i="2"/>
  <c r="O449" i="2" s="1"/>
  <c r="F355" i="2"/>
  <c r="O448" i="2" s="1"/>
  <c r="F331" i="2"/>
  <c r="F333" i="2" s="1"/>
  <c r="F295" i="2"/>
  <c r="G295" i="2" s="1"/>
  <c r="G264" i="2"/>
  <c r="G266" i="2"/>
  <c r="G263" i="2"/>
  <c r="G262" i="2"/>
  <c r="G265" i="2"/>
  <c r="H267" i="2"/>
  <c r="O202" i="2" s="1"/>
  <c r="H259" i="2"/>
  <c r="O201" i="2" s="1"/>
  <c r="H242" i="2"/>
  <c r="O200" i="2" s="1"/>
  <c r="G236" i="2"/>
  <c r="G234" i="2"/>
  <c r="G235" i="2"/>
  <c r="G232" i="2"/>
  <c r="G231" i="2"/>
  <c r="G233" i="2"/>
  <c r="G237" i="2"/>
  <c r="G240" i="2"/>
  <c r="G239" i="2"/>
  <c r="G241" i="2"/>
  <c r="G230" i="2"/>
  <c r="G228" i="2"/>
  <c r="G238" i="2"/>
  <c r="G229" i="2"/>
  <c r="G215" i="2"/>
  <c r="G213" i="2"/>
  <c r="G217" i="2"/>
  <c r="G223" i="2"/>
  <c r="G221" i="2"/>
  <c r="G219" i="2"/>
  <c r="G222" i="2"/>
  <c r="G220" i="2"/>
  <c r="G216" i="2"/>
  <c r="G224" i="2"/>
  <c r="G212" i="2"/>
  <c r="G218" i="2"/>
  <c r="G214" i="2"/>
  <c r="H225" i="2"/>
  <c r="O199" i="2" s="1"/>
  <c r="G207" i="2"/>
  <c r="G200" i="2"/>
  <c r="G202" i="2"/>
  <c r="G205" i="2"/>
  <c r="G204" i="2"/>
  <c r="G208" i="2"/>
  <c r="G201" i="2"/>
  <c r="G199" i="2"/>
  <c r="G206" i="2"/>
  <c r="G203" i="2"/>
  <c r="G172" i="2"/>
  <c r="G188" i="2"/>
  <c r="G175" i="2"/>
  <c r="G182" i="2"/>
  <c r="G170" i="2"/>
  <c r="G183" i="2"/>
  <c r="G177" i="2"/>
  <c r="G178" i="2"/>
  <c r="G190" i="2"/>
  <c r="G171" i="2"/>
  <c r="G186" i="2"/>
  <c r="G173" i="2"/>
  <c r="G181" i="2"/>
  <c r="G174" i="2"/>
  <c r="G187" i="2"/>
  <c r="G176" i="2"/>
  <c r="G184" i="2"/>
  <c r="G179" i="2"/>
  <c r="G180" i="2"/>
  <c r="G185" i="2"/>
  <c r="G191" i="2"/>
  <c r="G189" i="2"/>
  <c r="G192" i="2"/>
  <c r="H193" i="2"/>
  <c r="G160" i="2"/>
  <c r="H160" i="2" s="1"/>
  <c r="G163" i="2"/>
  <c r="G162" i="2"/>
  <c r="G165" i="2"/>
  <c r="G161" i="2"/>
  <c r="G164" i="2"/>
  <c r="G147" i="2"/>
  <c r="G152" i="2"/>
  <c r="G151" i="2"/>
  <c r="G148" i="2"/>
  <c r="G150" i="2"/>
  <c r="G155" i="2"/>
  <c r="G145" i="2"/>
  <c r="G154" i="2"/>
  <c r="G149" i="2"/>
  <c r="G156" i="2"/>
  <c r="G157" i="2"/>
  <c r="G146" i="2"/>
  <c r="G153" i="2"/>
  <c r="H166" i="2"/>
  <c r="H158" i="2"/>
  <c r="G136" i="2"/>
  <c r="H136" i="2" s="1"/>
  <c r="G140" i="2"/>
  <c r="G137" i="2"/>
  <c r="G138" i="2"/>
  <c r="G141" i="2"/>
  <c r="G139" i="2"/>
  <c r="H142" i="2"/>
  <c r="H133" i="2"/>
  <c r="G120" i="2"/>
  <c r="G118" i="2"/>
  <c r="G119" i="2"/>
  <c r="G117" i="2"/>
  <c r="G122" i="2"/>
  <c r="G127" i="2"/>
  <c r="G123" i="2"/>
  <c r="G131" i="2"/>
  <c r="G130" i="2"/>
  <c r="G124" i="2"/>
  <c r="G132" i="2"/>
  <c r="G129" i="2"/>
  <c r="G126" i="2"/>
  <c r="G128" i="2"/>
  <c r="G116" i="2"/>
  <c r="G121" i="2"/>
  <c r="G125" i="2"/>
  <c r="G99" i="2"/>
  <c r="G104" i="2"/>
  <c r="G108" i="2"/>
  <c r="G101" i="2"/>
  <c r="G103" i="2"/>
  <c r="G110" i="2"/>
  <c r="G111" i="2"/>
  <c r="G106" i="2"/>
  <c r="G112" i="2"/>
  <c r="G109" i="2"/>
  <c r="G98" i="2"/>
  <c r="G102" i="2"/>
  <c r="G107" i="2"/>
  <c r="G105" i="2"/>
  <c r="G100" i="2"/>
  <c r="H113" i="2"/>
  <c r="G87" i="2"/>
  <c r="G81" i="2"/>
  <c r="G85" i="2"/>
  <c r="G88" i="2"/>
  <c r="G83" i="2"/>
  <c r="G84" i="2"/>
  <c r="G90" i="2"/>
  <c r="G91" i="2"/>
  <c r="G82" i="2"/>
  <c r="G89" i="2"/>
  <c r="G86" i="2"/>
  <c r="H92" i="2"/>
  <c r="O71" i="2" s="1"/>
  <c r="G78" i="2"/>
  <c r="G74" i="2"/>
  <c r="G69" i="2"/>
  <c r="G71" i="2"/>
  <c r="G75" i="2"/>
  <c r="G76" i="2"/>
  <c r="G77" i="2"/>
  <c r="G70" i="2"/>
  <c r="G73" i="2"/>
  <c r="G72" i="2"/>
  <c r="G59" i="2"/>
  <c r="G58" i="2"/>
  <c r="G57" i="2"/>
  <c r="G56" i="2"/>
  <c r="H60" i="2"/>
  <c r="O11" i="2" s="1"/>
  <c r="G51" i="2"/>
  <c r="G53" i="2"/>
  <c r="G49" i="2"/>
  <c r="G47" i="2"/>
  <c r="G50" i="2"/>
  <c r="G52" i="2"/>
  <c r="G48" i="2"/>
  <c r="G46" i="2"/>
  <c r="H47" i="2" s="1"/>
  <c r="H54" i="2"/>
  <c r="O10" i="2" s="1"/>
  <c r="G36" i="2"/>
  <c r="G38" i="2"/>
  <c r="G37" i="2"/>
  <c r="G42" i="2"/>
  <c r="G40" i="2"/>
  <c r="G35" i="2"/>
  <c r="G41" i="2"/>
  <c r="G39" i="2"/>
  <c r="H43" i="2"/>
  <c r="O9" i="2" s="1"/>
  <c r="H32" i="2"/>
  <c r="O8" i="2" s="1"/>
  <c r="G27" i="2"/>
  <c r="G29" i="2"/>
  <c r="G30" i="2"/>
  <c r="G31" i="2"/>
  <c r="G26" i="2"/>
  <c r="H26" i="2" s="1"/>
  <c r="G28" i="2"/>
  <c r="H23" i="2"/>
  <c r="G21" i="2"/>
  <c r="G22" i="2"/>
  <c r="G19" i="2"/>
  <c r="G18" i="2"/>
  <c r="H18" i="2" s="1"/>
  <c r="G20" i="2"/>
  <c r="G8" i="2"/>
  <c r="G7" i="2"/>
  <c r="G10" i="2"/>
  <c r="G9" i="2"/>
  <c r="G13" i="2"/>
  <c r="G11" i="2"/>
  <c r="G5" i="2"/>
  <c r="G6" i="2"/>
  <c r="D54" i="3"/>
  <c r="D53" i="3"/>
  <c r="D52" i="3"/>
  <c r="D50" i="3"/>
  <c r="C44" i="3"/>
  <c r="C43" i="3"/>
  <c r="C42" i="3"/>
  <c r="I42" i="3"/>
  <c r="I38" i="3"/>
  <c r="I37" i="3"/>
  <c r="I36" i="3"/>
  <c r="I35" i="3"/>
  <c r="I34" i="3"/>
  <c r="E37" i="3"/>
  <c r="C5" i="3"/>
  <c r="C4" i="3"/>
  <c r="C3" i="3"/>
  <c r="F267" i="2"/>
  <c r="G267" i="2" s="1"/>
  <c r="F242" i="2"/>
  <c r="G242" i="2" s="1"/>
  <c r="F225" i="2"/>
  <c r="G225" i="2" s="1"/>
  <c r="F209" i="2"/>
  <c r="G209" i="2" s="1"/>
  <c r="F193" i="2"/>
  <c r="G193" i="2" s="1"/>
  <c r="F133" i="2"/>
  <c r="G133" i="2" s="1"/>
  <c r="F166" i="2"/>
  <c r="G166" i="2" s="1"/>
  <c r="F142" i="2"/>
  <c r="G142" i="2" s="1"/>
  <c r="F158" i="2"/>
  <c r="G158" i="2" s="1"/>
  <c r="F113" i="2"/>
  <c r="G113" i="2" s="1"/>
  <c r="F79" i="2"/>
  <c r="G79" i="2" s="1"/>
  <c r="F92" i="2"/>
  <c r="G92" i="2" s="1"/>
  <c r="F54" i="2"/>
  <c r="G54" i="2" s="1"/>
  <c r="F43" i="2"/>
  <c r="G43" i="2" s="1"/>
  <c r="F60" i="2"/>
  <c r="G60" i="2" s="1"/>
  <c r="F14" i="2"/>
  <c r="G14" i="2" s="1"/>
  <c r="F23" i="2"/>
  <c r="G23" i="2" s="1"/>
  <c r="F32" i="2"/>
  <c r="G32" i="2" s="1"/>
  <c r="P790" i="4" l="1"/>
  <c r="AD557" i="4"/>
  <c r="AE557" i="4" s="1"/>
  <c r="AF555" i="4"/>
  <c r="L62" i="4"/>
  <c r="AF10" i="4"/>
  <c r="B768" i="4"/>
  <c r="AF14" i="4"/>
  <c r="N788" i="4"/>
  <c r="N790" i="4" s="1"/>
  <c r="F110" i="4"/>
  <c r="E110" i="4"/>
  <c r="G110" i="4"/>
  <c r="L64" i="4"/>
  <c r="E228" i="4"/>
  <c r="W210" i="4"/>
  <c r="F229" i="4" s="1"/>
  <c r="T210" i="4"/>
  <c r="C229" i="4" s="1"/>
  <c r="V210" i="4"/>
  <c r="E229" i="4" s="1"/>
  <c r="H710" i="4"/>
  <c r="G28" i="4"/>
  <c r="H28" i="4" s="1"/>
  <c r="H450" i="4"/>
  <c r="G611" i="4"/>
  <c r="H611" i="4" s="1"/>
  <c r="Q741" i="4"/>
  <c r="G734" i="4"/>
  <c r="H734" i="4" s="1"/>
  <c r="G39" i="4"/>
  <c r="H39" i="4" s="1"/>
  <c r="P553" i="4"/>
  <c r="R553" i="4" s="1"/>
  <c r="H33" i="4"/>
  <c r="G600" i="4"/>
  <c r="H600" i="4" s="1"/>
  <c r="G491" i="4"/>
  <c r="G717" i="4"/>
  <c r="H717" i="4" s="1"/>
  <c r="H313" i="4"/>
  <c r="H465" i="4"/>
  <c r="P641" i="4"/>
  <c r="R641" i="4" s="1"/>
  <c r="O685" i="4"/>
  <c r="P712" i="4"/>
  <c r="P729" i="4"/>
  <c r="P593" i="4"/>
  <c r="R593" i="4" s="1"/>
  <c r="G653" i="4"/>
  <c r="H653" i="4" s="1"/>
  <c r="P602" i="4"/>
  <c r="R602" i="4" s="1"/>
  <c r="P683" i="4"/>
  <c r="R683" i="4" s="1"/>
  <c r="G763" i="4"/>
  <c r="H746" i="4"/>
  <c r="P758" i="4"/>
  <c r="Q705" i="4"/>
  <c r="G698" i="4"/>
  <c r="H698" i="4" s="1"/>
  <c r="G537" i="4"/>
  <c r="H537" i="4" s="1"/>
  <c r="Q235" i="4"/>
  <c r="H270" i="4"/>
  <c r="H436" i="4"/>
  <c r="G474" i="4"/>
  <c r="H482" i="4"/>
  <c r="H501" i="4"/>
  <c r="G515" i="4"/>
  <c r="G456" i="4"/>
  <c r="G442" i="4"/>
  <c r="Q249" i="4"/>
  <c r="R260" i="4"/>
  <c r="R244" i="4"/>
  <c r="G384" i="4"/>
  <c r="Q433" i="4"/>
  <c r="H418" i="4"/>
  <c r="G428" i="4"/>
  <c r="G197" i="4"/>
  <c r="Q411" i="4"/>
  <c r="Q448" i="4"/>
  <c r="P496" i="4"/>
  <c r="R496" i="4" s="1"/>
  <c r="H236" i="4"/>
  <c r="H358" i="4"/>
  <c r="R195" i="4"/>
  <c r="Q282" i="4"/>
  <c r="R294" i="4" s="1"/>
  <c r="Q314" i="4"/>
  <c r="R332" i="4" s="1"/>
  <c r="G263" i="4"/>
  <c r="G409" i="4"/>
  <c r="G185" i="4"/>
  <c r="H290" i="4"/>
  <c r="H327" i="4"/>
  <c r="H345" i="4" s="1"/>
  <c r="H394" i="4"/>
  <c r="G245" i="4"/>
  <c r="Q265" i="4"/>
  <c r="R302" i="4"/>
  <c r="Q421" i="4"/>
  <c r="G302" i="4"/>
  <c r="H302" i="4" s="1"/>
  <c r="H209" i="4"/>
  <c r="H228" i="4" s="1"/>
  <c r="R277" i="4"/>
  <c r="Q303" i="4"/>
  <c r="P368" i="4"/>
  <c r="P392" i="4"/>
  <c r="Q498" i="4"/>
  <c r="P442" i="4"/>
  <c r="H252" i="4"/>
  <c r="Q397" i="4"/>
  <c r="P457" i="4"/>
  <c r="Q464" i="4"/>
  <c r="G282" i="4"/>
  <c r="Q342" i="4"/>
  <c r="Q377" i="4"/>
  <c r="P407" i="4"/>
  <c r="P417" i="4"/>
  <c r="P427" i="4"/>
  <c r="P478" i="4"/>
  <c r="R226" i="4"/>
  <c r="Q207" i="4"/>
  <c r="H174" i="4"/>
  <c r="Q173" i="4"/>
  <c r="R184" i="4"/>
  <c r="H92" i="4"/>
  <c r="H100" i="4"/>
  <c r="G167" i="4"/>
  <c r="Q79" i="4"/>
  <c r="H83" i="4"/>
  <c r="H121" i="4"/>
  <c r="G133" i="4"/>
  <c r="G155" i="4"/>
  <c r="R153" i="4"/>
  <c r="H109" i="4"/>
  <c r="S110" i="4" s="1"/>
  <c r="R131" i="4"/>
  <c r="Q100" i="4"/>
  <c r="Q119" i="4"/>
  <c r="Q139" i="4"/>
  <c r="H141" i="4"/>
  <c r="R88" i="4"/>
  <c r="G553" i="4"/>
  <c r="H553" i="4" s="1"/>
  <c r="H12" i="4"/>
  <c r="H61" i="4"/>
  <c r="H65" i="4" s="1"/>
  <c r="H23" i="4"/>
  <c r="H72" i="4"/>
  <c r="F76" i="4"/>
  <c r="H74" i="4"/>
  <c r="H16" i="4"/>
  <c r="I23" i="2"/>
  <c r="K710" i="2"/>
  <c r="M710" i="2" s="1"/>
  <c r="O702" i="2"/>
  <c r="M704" i="2"/>
  <c r="H52" i="4"/>
  <c r="H48" i="4" s="1"/>
  <c r="O282" i="2"/>
  <c r="O102" i="2"/>
  <c r="O72" i="2"/>
  <c r="O12" i="2"/>
  <c r="O203" i="2"/>
  <c r="N673" i="2"/>
  <c r="H230" i="2"/>
  <c r="F604" i="2"/>
  <c r="H36" i="2"/>
  <c r="H214" i="2"/>
  <c r="I54" i="2"/>
  <c r="H70" i="2"/>
  <c r="H83" i="2"/>
  <c r="H93" i="2"/>
  <c r="Q577" i="2"/>
  <c r="O577" i="2"/>
  <c r="H268" i="2"/>
  <c r="O446" i="2"/>
  <c r="O447" i="2"/>
  <c r="H194" i="2"/>
  <c r="G602" i="2"/>
  <c r="G617" i="2"/>
  <c r="H247" i="2"/>
  <c r="I259" i="2" s="1"/>
  <c r="M260" i="2" s="1"/>
  <c r="H411" i="2"/>
  <c r="H147" i="2"/>
  <c r="H277" i="2"/>
  <c r="I295" i="2" s="1"/>
  <c r="Q446" i="2" s="1"/>
  <c r="H384" i="2"/>
  <c r="H396" i="2"/>
  <c r="I32" i="2"/>
  <c r="K58" i="2"/>
  <c r="I209" i="2"/>
  <c r="M257" i="2" s="1"/>
  <c r="H200" i="2"/>
  <c r="I43" i="2"/>
  <c r="H119" i="2"/>
  <c r="H174" i="2"/>
  <c r="I79" i="2"/>
  <c r="H644" i="2"/>
  <c r="H533" i="2"/>
  <c r="H374" i="2"/>
  <c r="H624" i="2"/>
  <c r="H360" i="2"/>
  <c r="I267" i="2"/>
  <c r="M261" i="2" s="1"/>
  <c r="H573" i="2"/>
  <c r="G521" i="2"/>
  <c r="I521" i="2" s="1"/>
  <c r="R574" i="2" s="1"/>
  <c r="G441" i="2"/>
  <c r="H14" i="2"/>
  <c r="I92" i="2"/>
  <c r="H668" i="2"/>
  <c r="H448" i="2"/>
  <c r="G355" i="2"/>
  <c r="H427" i="2"/>
  <c r="G380" i="2"/>
  <c r="H667" i="2"/>
  <c r="H101" i="2"/>
  <c r="G512" i="2"/>
  <c r="G420" i="2"/>
  <c r="G370" i="2"/>
  <c r="H610" i="2"/>
  <c r="I618" i="2" s="1"/>
  <c r="I113" i="2"/>
  <c r="M184" i="2" s="1"/>
  <c r="H340" i="2"/>
  <c r="G405" i="2"/>
  <c r="G472" i="2"/>
  <c r="I472" i="2" s="1"/>
  <c r="R571" i="2" s="1"/>
  <c r="H490" i="2"/>
  <c r="G560" i="2"/>
  <c r="G661" i="2"/>
  <c r="I661" i="2" s="1"/>
  <c r="G331" i="2"/>
  <c r="H305" i="2"/>
  <c r="G390" i="2"/>
  <c r="G459" i="2"/>
  <c r="G632" i="2"/>
  <c r="H671" i="2"/>
  <c r="H673" i="2"/>
  <c r="G482" i="2"/>
  <c r="I482" i="2" s="1"/>
  <c r="R572" i="2" s="1"/>
  <c r="I193" i="2"/>
  <c r="H672" i="2"/>
  <c r="I225" i="2"/>
  <c r="M258" i="2" s="1"/>
  <c r="H669" i="2"/>
  <c r="H670" i="2"/>
  <c r="I242" i="2"/>
  <c r="M259" i="2" s="1"/>
  <c r="I158" i="2"/>
  <c r="M187" i="2" s="1"/>
  <c r="I166" i="2"/>
  <c r="M188" i="2" s="1"/>
  <c r="I133" i="2"/>
  <c r="M185" i="2" s="1"/>
  <c r="I142" i="2"/>
  <c r="M186" i="2" s="1"/>
  <c r="I60" i="2"/>
  <c r="R417" i="4" l="1"/>
  <c r="H282" i="4"/>
  <c r="H263" i="4"/>
  <c r="G76" i="4"/>
  <c r="H456" i="4"/>
  <c r="H197" i="4"/>
  <c r="X210" i="4"/>
  <c r="G229" i="4" s="1"/>
  <c r="H167" i="4"/>
  <c r="H474" i="4"/>
  <c r="H491" i="4"/>
  <c r="H185" i="4"/>
  <c r="R685" i="4"/>
  <c r="H763" i="4"/>
  <c r="R392" i="4"/>
  <c r="H428" i="4"/>
  <c r="R407" i="4"/>
  <c r="R442" i="4"/>
  <c r="H442" i="4"/>
  <c r="R368" i="4"/>
  <c r="H515" i="4"/>
  <c r="R427" i="4"/>
  <c r="H409" i="4"/>
  <c r="H245" i="4"/>
  <c r="H384" i="4"/>
  <c r="R457" i="4"/>
  <c r="R478" i="4"/>
  <c r="H155" i="4"/>
  <c r="S303" i="4"/>
  <c r="H133" i="4"/>
  <c r="H110" i="4"/>
  <c r="H76" i="4"/>
  <c r="L687" i="2"/>
  <c r="O687" i="2" s="1"/>
  <c r="I602" i="2"/>
  <c r="R576" i="2" s="1"/>
  <c r="O456" i="2"/>
  <c r="O457" i="2" s="1"/>
  <c r="I331" i="2"/>
  <c r="Q447" i="2" s="1"/>
  <c r="J93" i="2"/>
  <c r="I632" i="2"/>
  <c r="I673" i="2" s="1"/>
  <c r="I405" i="2"/>
  <c r="Q452" i="2" s="1"/>
  <c r="I390" i="2"/>
  <c r="Q451" i="2" s="1"/>
  <c r="I560" i="2"/>
  <c r="R575" i="2" s="1"/>
  <c r="I355" i="2"/>
  <c r="Q448" i="2" s="1"/>
  <c r="I420" i="2"/>
  <c r="Q453" i="2" s="1"/>
  <c r="I441" i="2"/>
  <c r="Q454" i="2" s="1"/>
  <c r="I380" i="2"/>
  <c r="Q450" i="2" s="1"/>
  <c r="I370" i="2"/>
  <c r="Q449" i="2" s="1"/>
  <c r="I669" i="2"/>
  <c r="M189" i="2"/>
  <c r="M190" i="2" s="1"/>
  <c r="M262" i="2"/>
  <c r="I459" i="2"/>
  <c r="Q455" i="2" s="1"/>
  <c r="H674" i="2"/>
  <c r="I512" i="2"/>
  <c r="R573" i="2" s="1"/>
  <c r="J268" i="2"/>
  <c r="I670" i="2" s="1"/>
  <c r="J61" i="2"/>
  <c r="I667" i="2" s="1"/>
  <c r="Y210" i="4" l="1"/>
  <c r="H229" i="4" s="1"/>
  <c r="R577" i="2"/>
  <c r="Q456" i="2"/>
  <c r="Q457" i="2" s="1"/>
  <c r="I668" i="2"/>
  <c r="I671" i="2"/>
  <c r="I672" i="2"/>
  <c r="N691" i="2" l="1"/>
  <c r="I674" i="2"/>
</calcChain>
</file>

<file path=xl/sharedStrings.xml><?xml version="1.0" encoding="utf-8"?>
<sst xmlns="http://schemas.openxmlformats.org/spreadsheetml/2006/main" count="3598" uniqueCount="828">
  <si>
    <t>LEGALITAS</t>
  </si>
  <si>
    <t>Akta Notaris</t>
  </si>
  <si>
    <t>AD/ART</t>
  </si>
  <si>
    <t>SK Kemenkumham</t>
  </si>
  <si>
    <t>SK DPP Masyumi</t>
  </si>
  <si>
    <t>SK Dewan Syuro Masyumi</t>
  </si>
  <si>
    <t>SK DPW Masyumi</t>
  </si>
  <si>
    <t>SK DPD Masyumi</t>
  </si>
  <si>
    <t>STRUKTUR ORGANISASI</t>
  </si>
  <si>
    <t>Dewan Syuro</t>
  </si>
  <si>
    <t>DPP</t>
  </si>
  <si>
    <t>DPW</t>
  </si>
  <si>
    <t>DPD</t>
  </si>
  <si>
    <t>ANGGOTA</t>
  </si>
  <si>
    <t>Provinsi</t>
  </si>
  <si>
    <t>Kabko</t>
  </si>
  <si>
    <t>Kecamatan</t>
  </si>
  <si>
    <t>Kegiatan</t>
  </si>
  <si>
    <t>News</t>
  </si>
  <si>
    <t>Dialog/Komunikasi</t>
  </si>
  <si>
    <t>KEANGGOTAAN</t>
  </si>
  <si>
    <t>KOMUNIKASI</t>
  </si>
  <si>
    <t>DPC</t>
  </si>
  <si>
    <t>PROVINSI</t>
  </si>
  <si>
    <t>NASIONAL</t>
  </si>
  <si>
    <t>KECAMATN</t>
  </si>
  <si>
    <t>PERSURATAN</t>
  </si>
  <si>
    <t>BERITA</t>
  </si>
  <si>
    <t>KEGIATAN</t>
  </si>
  <si>
    <t>DISKUSI/DIALOG</t>
  </si>
  <si>
    <t>ARSITEKTUR SISTEM INFORMASI Partai MASYUMI</t>
  </si>
  <si>
    <t>KECAMATAN</t>
  </si>
  <si>
    <t>ARSITEKTUR MANAJMEN SISTIM INFORMASI PARTAI MASYUMI</t>
  </si>
  <si>
    <t>KABUPATEN/KOTA</t>
  </si>
  <si>
    <t>MAJELIS SYURO</t>
  </si>
  <si>
    <t>STRUKTU ORGANISASI PARTAI MASYUMI</t>
  </si>
  <si>
    <t>WILAYAH</t>
  </si>
  <si>
    <t>PAPUA</t>
  </si>
  <si>
    <t>I</t>
  </si>
  <si>
    <t>Papua</t>
  </si>
  <si>
    <t>Papua Barat</t>
  </si>
  <si>
    <t>Papua Barat Daya</t>
  </si>
  <si>
    <t>Papua Pegunungan</t>
  </si>
  <si>
    <t>Papua Tengah</t>
  </si>
  <si>
    <t>Papua Selatan</t>
  </si>
  <si>
    <t>Raja Ampat</t>
  </si>
  <si>
    <t>Sorong</t>
  </si>
  <si>
    <t>Sorong Selatan</t>
  </si>
  <si>
    <t>Maybrat</t>
  </si>
  <si>
    <t>Tambrau</t>
  </si>
  <si>
    <t>Fakfak</t>
  </si>
  <si>
    <t>Kaimana</t>
  </si>
  <si>
    <t>Teluk Wondana</t>
  </si>
  <si>
    <t>Teluk Bintuni</t>
  </si>
  <si>
    <t>Manokwari</t>
  </si>
  <si>
    <t>Jayapura</t>
  </si>
  <si>
    <t>Kepulauan Yapen</t>
  </si>
  <si>
    <t>Biak Numfor</t>
  </si>
  <si>
    <t>Sarmi</t>
  </si>
  <si>
    <t>Keerom</t>
  </si>
  <si>
    <t>Waropen</t>
  </si>
  <si>
    <t>Supiori</t>
  </si>
  <si>
    <t>Memberamo Raya</t>
  </si>
  <si>
    <t>Kota Jayapura</t>
  </si>
  <si>
    <t>Merauke</t>
  </si>
  <si>
    <t>Boven Digoel</t>
  </si>
  <si>
    <t>Mappi</t>
  </si>
  <si>
    <t>Asmat</t>
  </si>
  <si>
    <t>Nduga</t>
  </si>
  <si>
    <t>Jayawijaya</t>
  </si>
  <si>
    <t>Lanny Jaya</t>
  </si>
  <si>
    <t>Tolikara</t>
  </si>
  <si>
    <t>Membramo Tengah</t>
  </si>
  <si>
    <t>Yalimo</t>
  </si>
  <si>
    <t>Yahukimo</t>
  </si>
  <si>
    <t>Pegunungan Bintang</t>
  </si>
  <si>
    <t>Mimika</t>
  </si>
  <si>
    <t>Dogiyai</t>
  </si>
  <si>
    <t>Deiyai</t>
  </si>
  <si>
    <t>Nabire</t>
  </si>
  <si>
    <t>Paniai</t>
  </si>
  <si>
    <t>Intan Jaya</t>
  </si>
  <si>
    <t>Puncak</t>
  </si>
  <si>
    <t>Puncak Jaya</t>
  </si>
  <si>
    <t>MALUKU</t>
  </si>
  <si>
    <t>Maluku Utara</t>
  </si>
  <si>
    <t>Halmahera Barat</t>
  </si>
  <si>
    <t>Halmahera Tengah</t>
  </si>
  <si>
    <t>Kepulauan Sula</t>
  </si>
  <si>
    <t>Halmahera Selatan</t>
  </si>
  <si>
    <t>Halmahera Utara</t>
  </si>
  <si>
    <t>Halmahera Timur</t>
  </si>
  <si>
    <t>Pulau Morotai</t>
  </si>
  <si>
    <t>Pulau Taliabu</t>
  </si>
  <si>
    <t>Kota Ternate</t>
  </si>
  <si>
    <t>Kota Tidore Kepulauan</t>
  </si>
  <si>
    <t>Maluku</t>
  </si>
  <si>
    <t>Kepulauan Tanimbar</t>
  </si>
  <si>
    <t>Maluku Tenggara</t>
  </si>
  <si>
    <t>Maluku Tengah</t>
  </si>
  <si>
    <t>Buru</t>
  </si>
  <si>
    <t>Kepulauan Aru</t>
  </si>
  <si>
    <t>Seram Bagian Barat</t>
  </si>
  <si>
    <t>Seram Bagian Timur</t>
  </si>
  <si>
    <t>Maluku Barat Daya</t>
  </si>
  <si>
    <t>Buru Selatan</t>
  </si>
  <si>
    <t>Ambon</t>
  </si>
  <si>
    <t>Tual</t>
  </si>
  <si>
    <t>SULAWESI</t>
  </si>
  <si>
    <t>SULAWESI UTARA</t>
  </si>
  <si>
    <t>Minahasa</t>
  </si>
  <si>
    <t>Kepulauan Sangihe</t>
  </si>
  <si>
    <t>Kepulauan Talaud</t>
  </si>
  <si>
    <t>Minahasa Selatan</t>
  </si>
  <si>
    <t>Minahasa Utara</t>
  </si>
  <si>
    <t>Bolaang Mongondow</t>
  </si>
  <si>
    <t>Bolaang Mongondow Utara</t>
  </si>
  <si>
    <t>Kepulauan Sitaro</t>
  </si>
  <si>
    <t>Minahasa Tenggara</t>
  </si>
  <si>
    <t>Bolaang Mongondow Selatan</t>
  </si>
  <si>
    <t>Bolaang Mongondow Timur</t>
  </si>
  <si>
    <t>Kota Manado</t>
  </si>
  <si>
    <t>Kota Bitung</t>
  </si>
  <si>
    <t>Kota Tomohon</t>
  </si>
  <si>
    <t>Kota Kotamobagu</t>
  </si>
  <si>
    <t>SULTRA</t>
  </si>
  <si>
    <t>Buton</t>
  </si>
  <si>
    <t>Muna</t>
  </si>
  <si>
    <t>Konawe</t>
  </si>
  <si>
    <t>Kolaka</t>
  </si>
  <si>
    <t>Bombana</t>
  </si>
  <si>
    <t>Wakatobi</t>
  </si>
  <si>
    <t>Kolaka Utara</t>
  </si>
  <si>
    <t>Buton Utara</t>
  </si>
  <si>
    <t>Konawe Utara</t>
  </si>
  <si>
    <t>Kolaka Timur</t>
  </si>
  <si>
    <t>Konawe Kepulauan</t>
  </si>
  <si>
    <t>Muna Barat</t>
  </si>
  <si>
    <t>Buton Tengah</t>
  </si>
  <si>
    <t>Buton Selatan</t>
  </si>
  <si>
    <t>Kota Kendari</t>
  </si>
  <si>
    <t>Kota Baubau</t>
  </si>
  <si>
    <t>SULAWESI BARAT</t>
  </si>
  <si>
    <t>Majene</t>
  </si>
  <si>
    <t>Polewali Mandar</t>
  </si>
  <si>
    <t>Mamasa</t>
  </si>
  <si>
    <t>Mamuju</t>
  </si>
  <si>
    <t>Pasangkayu</t>
  </si>
  <si>
    <t>Mamuju Tengah</t>
  </si>
  <si>
    <t>SULAWESI TENGAH</t>
  </si>
  <si>
    <t>Banggai Kepulauan</t>
  </si>
  <si>
    <t>Morowali</t>
  </si>
  <si>
    <t>Poso</t>
  </si>
  <si>
    <t>Donggala</t>
  </si>
  <si>
    <t>ToliToli</t>
  </si>
  <si>
    <t>Buol</t>
  </si>
  <si>
    <t>Parigi Mautomg</t>
  </si>
  <si>
    <t>Tojo Una-Una</t>
  </si>
  <si>
    <t>Sigi</t>
  </si>
  <si>
    <t>Banggai Laut</t>
  </si>
  <si>
    <t>Morowali Utara</t>
  </si>
  <si>
    <t>GORONTALO</t>
  </si>
  <si>
    <t>Boalemo</t>
  </si>
  <si>
    <t>Gorontalo</t>
  </si>
  <si>
    <t>Pohuwatu</t>
  </si>
  <si>
    <t>Bone Bolango</t>
  </si>
  <si>
    <t>Gorontalo Utara</t>
  </si>
  <si>
    <t>Kota Gorontalo</t>
  </si>
  <si>
    <t>SULAWESI SELATAN</t>
  </si>
  <si>
    <t>Kepulauan Selayar</t>
  </si>
  <si>
    <t>Bulukumba</t>
  </si>
  <si>
    <t>Jeneponto</t>
  </si>
  <si>
    <t>Takalar</t>
  </si>
  <si>
    <t>Gowa</t>
  </si>
  <si>
    <t>Sinjai</t>
  </si>
  <si>
    <t>Maros</t>
  </si>
  <si>
    <t>Pangkep</t>
  </si>
  <si>
    <t>Barru</t>
  </si>
  <si>
    <t>Bone</t>
  </si>
  <si>
    <t>Soppeng</t>
  </si>
  <si>
    <t>Wajo</t>
  </si>
  <si>
    <t>Sidrap</t>
  </si>
  <si>
    <t>Pinrang</t>
  </si>
  <si>
    <t>Enrekang</t>
  </si>
  <si>
    <t>Luwu</t>
  </si>
  <si>
    <t>Tana Toraja</t>
  </si>
  <si>
    <t>Luwu Utara</t>
  </si>
  <si>
    <t>Luwu Timur</t>
  </si>
  <si>
    <t>Toraja Utara</t>
  </si>
  <si>
    <t>Makassar</t>
  </si>
  <si>
    <t>Pare Pare</t>
  </si>
  <si>
    <t>Palopo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</si>
  <si>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</si>
  <si>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</si>
  <si>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</si>
  <si>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</si>
  <si>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</si>
  <si>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</si>
  <si>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</si>
  <si>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</si>
  <si>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</si>
  <si>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</si>
  <si>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</si>
  <si>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</si>
  <si>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</si>
  <si>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</si>
  <si>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</si>
  <si>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</si>
  <si>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</si>
  <si>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</si>
  <si>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</si>
  <si>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</si>
  <si>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</si>
  <si>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</si>
  <si>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</si>
  <si>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Bqnggai</t>
  </si>
  <si>
    <t>Kota Palu</t>
  </si>
  <si>
    <t>Konawe Selatan</t>
  </si>
  <si>
    <t>Bantaneg</t>
  </si>
  <si>
    <t>24</t>
  </si>
  <si>
    <t>KALIMANTAN</t>
  </si>
  <si>
    <t>Kalimantan Timur</t>
  </si>
  <si>
    <t>Paser</t>
  </si>
  <si>
    <t>Kutai Barat</t>
  </si>
  <si>
    <t>Kutai Kartanegara</t>
  </si>
  <si>
    <t>Kutai Timur</t>
  </si>
  <si>
    <t>Berau</t>
  </si>
  <si>
    <t>Penajam Paser Utara</t>
  </si>
  <si>
    <t>Mahakam Ulu</t>
  </si>
  <si>
    <t>Kota Balikpapan</t>
  </si>
  <si>
    <t>Kota Samarinda</t>
  </si>
  <si>
    <t>Kota Bontang</t>
  </si>
  <si>
    <t>Kalimantan Selatan</t>
  </si>
  <si>
    <t>Tanah Laut</t>
  </si>
  <si>
    <t>Kotabaru</t>
  </si>
  <si>
    <t>Banjar</t>
  </si>
  <si>
    <t>Barito Kuala</t>
  </si>
  <si>
    <t>Tapin</t>
  </si>
  <si>
    <t>Hulu Sungai Selatan</t>
  </si>
  <si>
    <t>Hulu Sungai Tengah</t>
  </si>
  <si>
    <t>Huku Sungai Utara</t>
  </si>
  <si>
    <t>Tabalong</t>
  </si>
  <si>
    <t>Tanah Bumbu</t>
  </si>
  <si>
    <t>Balangan</t>
  </si>
  <si>
    <t>Kota Banjarmasin</t>
  </si>
  <si>
    <t>Kota Banjar Baru</t>
  </si>
  <si>
    <t>Kalimantan Barat</t>
  </si>
  <si>
    <t>Sambas</t>
  </si>
  <si>
    <t>Bengkayang</t>
  </si>
  <si>
    <t>Landak</t>
  </si>
  <si>
    <t>Mempawah</t>
  </si>
  <si>
    <t>Sanggau</t>
  </si>
  <si>
    <t>Ketapang</t>
  </si>
  <si>
    <t>Sintang</t>
  </si>
  <si>
    <t>Kapuas Hulu</t>
  </si>
  <si>
    <t>Sekadau</t>
  </si>
  <si>
    <t>Melawi</t>
  </si>
  <si>
    <t>Kayong Utara</t>
  </si>
  <si>
    <t>Kubu Raya</t>
  </si>
  <si>
    <t>Kota Pontianak</t>
  </si>
  <si>
    <t>Kota Singkawang</t>
  </si>
  <si>
    <t>Kalimantan Tengah</t>
  </si>
  <si>
    <t>Kotawaringin Barat</t>
  </si>
  <si>
    <t>Kotawaringin Timur</t>
  </si>
  <si>
    <t>Kapuas</t>
  </si>
  <si>
    <t>Barito Selatan</t>
  </si>
  <si>
    <t>Barito Utara</t>
  </si>
  <si>
    <t>Sukamara</t>
  </si>
  <si>
    <t>Lamandau</t>
  </si>
  <si>
    <t>Seruyan</t>
  </si>
  <si>
    <t>Katingan</t>
  </si>
  <si>
    <t>Pulang Pisau</t>
  </si>
  <si>
    <t>Gunung Mas</t>
  </si>
  <si>
    <t>Barito Timur</t>
  </si>
  <si>
    <t>Murung Raya</t>
  </si>
  <si>
    <t>Palangka Raya</t>
  </si>
  <si>
    <t>Kalimantan Utara</t>
  </si>
  <si>
    <t>Malinau</t>
  </si>
  <si>
    <t>Bulungan</t>
  </si>
  <si>
    <t>Tanah Tidung</t>
  </si>
  <si>
    <t>Nunukan</t>
  </si>
  <si>
    <t>Tarakan</t>
  </si>
  <si>
    <t>ACEH</t>
  </si>
  <si>
    <t>SUMATERA UTARA</t>
  </si>
  <si>
    <t>SUMATERA BARAT</t>
  </si>
  <si>
    <t>RIAU</t>
  </si>
  <si>
    <t>JAMBI</t>
  </si>
  <si>
    <t>BENGKULU</t>
  </si>
  <si>
    <t>SUMATERA SELATAN</t>
  </si>
  <si>
    <t>LAMPUNG</t>
  </si>
  <si>
    <t>Jumlah pnedudujk</t>
  </si>
  <si>
    <t>1/1.000</t>
  </si>
  <si>
    <t>20 Parpol</t>
  </si>
  <si>
    <t>500 kabko</t>
  </si>
  <si>
    <t>Praktik persyaratan</t>
  </si>
  <si>
    <t>Tanpa melihat jumlah penduduk dan dan jumlah Paprol</t>
  </si>
  <si>
    <t>ini belum memperhiungkan jumlah pemilik E-KTP</t>
  </si>
  <si>
    <t>1/1000</t>
  </si>
  <si>
    <t>Praktik 1 Parpol</t>
  </si>
  <si>
    <t>KTP</t>
  </si>
  <si>
    <t>20/jmlh.pnddk</t>
  </si>
  <si>
    <t>99,21 % sudah E_KTP</t>
  </si>
  <si>
    <t>Wajib E-KTP 2021</t>
  </si>
  <si>
    <t>kabupaten</t>
  </si>
  <si>
    <t>kota</t>
  </si>
  <si>
    <t>Rerata Kabko</t>
  </si>
  <si>
    <t>1 per seribu</t>
  </si>
  <si>
    <t>Jmlh NIK</t>
  </si>
  <si>
    <t>wajib E-Ktp</t>
  </si>
  <si>
    <t>Pemilik E-KTP</t>
  </si>
  <si>
    <t>Rasio E Wajib</t>
  </si>
  <si>
    <t>Rerata/Kabko</t>
  </si>
  <si>
    <t>Per 1.000</t>
  </si>
  <si>
    <t>BANGKA BELITUNG</t>
  </si>
  <si>
    <t>Simeulue</t>
  </si>
  <si>
    <t>Aceh Selatan</t>
  </si>
  <si>
    <t>Aceh Singkil</t>
  </si>
  <si>
    <t>Aceh Tenggara</t>
  </si>
  <si>
    <t>Aceh Timur</t>
  </si>
  <si>
    <t>Aceh Tengah</t>
  </si>
  <si>
    <t>Aceh Barat</t>
  </si>
  <si>
    <t>Aceh Besar</t>
  </si>
  <si>
    <t>Pidie</t>
  </si>
  <si>
    <t>Bireuen</t>
  </si>
  <si>
    <t>Aceh Utara</t>
  </si>
  <si>
    <t>Aceh Barat Daya</t>
  </si>
  <si>
    <t>Gayo Lues</t>
  </si>
  <si>
    <t>Aceh Tamiang</t>
  </si>
  <si>
    <t>Nagan Raya</t>
  </si>
  <si>
    <t>Aceh Jaya</t>
  </si>
  <si>
    <t>Bener Meriah</t>
  </si>
  <si>
    <t>Pidie Jaya</t>
  </si>
  <si>
    <t>Banda Aceh</t>
  </si>
  <si>
    <t>Sabang</t>
  </si>
  <si>
    <t>Langsa</t>
  </si>
  <si>
    <t>Lhokseumawe</t>
  </si>
  <si>
    <t>Subulussalam</t>
  </si>
  <si>
    <t>Nias</t>
  </si>
  <si>
    <t>Mandailing Natal</t>
  </si>
  <si>
    <t>Tapanuli Selatan</t>
  </si>
  <si>
    <t>Tapanuli Tengah</t>
  </si>
  <si>
    <t>Tapanuli Utara</t>
  </si>
  <si>
    <t>Toba</t>
  </si>
  <si>
    <t>Labuhan Batu</t>
  </si>
  <si>
    <t>Asahan</t>
  </si>
  <si>
    <t>Simalungun</t>
  </si>
  <si>
    <t>Dairi</t>
  </si>
  <si>
    <t>Karo</t>
  </si>
  <si>
    <t>Deli Serdang</t>
  </si>
  <si>
    <t>Langkat</t>
  </si>
  <si>
    <t>Nias Selatan</t>
  </si>
  <si>
    <t>Humbang Hasundutan</t>
  </si>
  <si>
    <t>Pakpak Bharat</t>
  </si>
  <si>
    <t>Samosir</t>
  </si>
  <si>
    <t>Serdang Bedagai</t>
  </si>
  <si>
    <t>Batu Bara</t>
  </si>
  <si>
    <t>Padang Lawas Utara</t>
  </si>
  <si>
    <t>Labuhanbatu Selatan</t>
  </si>
  <si>
    <t>Labihanbatu Utara</t>
  </si>
  <si>
    <t>Nias Utara</t>
  </si>
  <si>
    <t>Nias Barat</t>
  </si>
  <si>
    <t>Sibolga</t>
  </si>
  <si>
    <t>Tanjung Balai</t>
  </si>
  <si>
    <t>Pematangsiantar</t>
  </si>
  <si>
    <t>Tebing Tinggi</t>
  </si>
  <si>
    <t>Medan</t>
  </si>
  <si>
    <t>Binjau</t>
  </si>
  <si>
    <t>Padangsidimpuan</t>
  </si>
  <si>
    <t>Gunungsitoli</t>
  </si>
  <si>
    <t xml:space="preserve">Padang Lawas </t>
  </si>
  <si>
    <t>Tertulis</t>
  </si>
  <si>
    <t>Selisih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</si>
  <si>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</si>
  <si>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</si>
  <si>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</si>
  <si>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</si>
  <si>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</si>
  <si>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</si>
  <si>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</si>
  <si>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</si>
  <si>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</si>
  <si>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Kepulauan Mentawai</t>
  </si>
  <si>
    <t>Pesisir Selatan</t>
  </si>
  <si>
    <t>Kab Solok</t>
  </si>
  <si>
    <t>Sijunjung</t>
  </si>
  <si>
    <t>Tanah Datar</t>
  </si>
  <si>
    <t>Padang Pariaman</t>
  </si>
  <si>
    <t>Agam</t>
  </si>
  <si>
    <t>Lima Puluh Kota</t>
  </si>
  <si>
    <t>Pasaman</t>
  </si>
  <si>
    <t>Solok Selatan</t>
  </si>
  <si>
    <t>Dharmasraya</t>
  </si>
  <si>
    <t>Pasaman Barat</t>
  </si>
  <si>
    <t xml:space="preserve">Padang  </t>
  </si>
  <si>
    <t>Kota Solok</t>
  </si>
  <si>
    <t>Sawahlunto</t>
  </si>
  <si>
    <t>Padang Panjang</t>
  </si>
  <si>
    <t>Bukittinggi</t>
  </si>
  <si>
    <t>Payakumbu</t>
  </si>
  <si>
    <t>Pariaman</t>
  </si>
  <si>
    <t>Kuantan Singingi</t>
  </si>
  <si>
    <t>Indragiri Hulu</t>
  </si>
  <si>
    <t>Indragiri Hilir</t>
  </si>
  <si>
    <t>Pelalawan</t>
  </si>
  <si>
    <t>Siak</t>
  </si>
  <si>
    <t>Kampar</t>
  </si>
  <si>
    <t>Rokan Hulu</t>
  </si>
  <si>
    <t>Bengkalis</t>
  </si>
  <si>
    <t>Rokan Hilir</t>
  </si>
  <si>
    <t>Kepulauan Meranti</t>
  </si>
  <si>
    <t>Pekanbaru</t>
  </si>
  <si>
    <t xml:space="preserve">Dumai </t>
  </si>
  <si>
    <t>KEPULAUAN RIAU</t>
  </si>
  <si>
    <t>Karimun</t>
  </si>
  <si>
    <t>Bintan</t>
  </si>
  <si>
    <t>Natuna</t>
  </si>
  <si>
    <t>Lingga</t>
  </si>
  <si>
    <t>Kepulauan Anambas</t>
  </si>
  <si>
    <t>Batam</t>
  </si>
  <si>
    <t>Tanjungpinang</t>
  </si>
  <si>
    <t>Bangka</t>
  </si>
  <si>
    <t>Belitung</t>
  </si>
  <si>
    <t>Bangka Barat</t>
  </si>
  <si>
    <t>Bangka Tengah</t>
  </si>
  <si>
    <t>Bangka Selatan</t>
  </si>
  <si>
    <t>Belitung Timur</t>
  </si>
  <si>
    <t>Pangkalpinang</t>
  </si>
  <si>
    <t>Kerinci</t>
  </si>
  <si>
    <t>Merangin</t>
  </si>
  <si>
    <t>Sarolangun</t>
  </si>
  <si>
    <t>Batang Hari</t>
  </si>
  <si>
    <t>Muaro Jambi</t>
  </si>
  <si>
    <t>Tanjung Jabung Timur</t>
  </si>
  <si>
    <t>Tanjung Jabung Barat</t>
  </si>
  <si>
    <t>Tebo</t>
  </si>
  <si>
    <t>Bungo</t>
  </si>
  <si>
    <t>Kota Jambi</t>
  </si>
  <si>
    <t>Kota Sungai Penuh</t>
  </si>
  <si>
    <t>Jumlah di wbsite</t>
  </si>
  <si>
    <t>Bengkulu Selatan</t>
  </si>
  <si>
    <t>Rejang Lebong</t>
  </si>
  <si>
    <t>Bengkulu Utara</t>
  </si>
  <si>
    <t>Kaur</t>
  </si>
  <si>
    <t>Seluma</t>
  </si>
  <si>
    <t>Mukomuko</t>
  </si>
  <si>
    <t>Lebong</t>
  </si>
  <si>
    <t>Kepahiang</t>
  </si>
  <si>
    <t>Bengkulu Tengah</t>
  </si>
  <si>
    <t>Kota Bengkulu</t>
  </si>
  <si>
    <t>Ogan Komering Ulu</t>
  </si>
  <si>
    <t>Ogan Komering Ilir</t>
  </si>
  <si>
    <t>Muara Enim</t>
  </si>
  <si>
    <t>Lahat</t>
  </si>
  <si>
    <t>Musi Rawas</t>
  </si>
  <si>
    <t>Musi Banyuasin</t>
  </si>
  <si>
    <t>Banyuasin</t>
  </si>
  <si>
    <t>Ogan Komering Ulu Selatan</t>
  </si>
  <si>
    <t>Ogan Komering UluTimur</t>
  </si>
  <si>
    <t>Ogan Ilir</t>
  </si>
  <si>
    <t>Empat Lawang</t>
  </si>
  <si>
    <t>Pali</t>
  </si>
  <si>
    <t>Musi Rawas Utara</t>
  </si>
  <si>
    <t>Palembang</t>
  </si>
  <si>
    <t>Prabumulih</t>
  </si>
  <si>
    <t>Pagar Alam</t>
  </si>
  <si>
    <t>Lubuk Linggau</t>
  </si>
  <si>
    <t>Lampung Barat</t>
  </si>
  <si>
    <t>Tenggamus</t>
  </si>
  <si>
    <t>Lampung Selatan</t>
  </si>
  <si>
    <t>Lampung Timur</t>
  </si>
  <si>
    <t>Lampung Tengah</t>
  </si>
  <si>
    <t>Lampung Utara</t>
  </si>
  <si>
    <t>Way Kanan</t>
  </si>
  <si>
    <t>Tulang Bawang</t>
  </si>
  <si>
    <t>Pesawaran</t>
  </si>
  <si>
    <t>Pringsewu</t>
  </si>
  <si>
    <t>Mesuji</t>
  </si>
  <si>
    <t>Tulang Bawang Barat</t>
  </si>
  <si>
    <t>Pesisir Barat</t>
  </si>
  <si>
    <t>Bandar Lampung</t>
  </si>
  <si>
    <t>Metro</t>
  </si>
  <si>
    <t>BANTEN</t>
  </si>
  <si>
    <t>DK JAKARTA</t>
  </si>
  <si>
    <t>JAWA BARAT</t>
  </si>
  <si>
    <t>DI YOGYAKARTA</t>
  </si>
  <si>
    <t>JAWA TENGAH</t>
  </si>
  <si>
    <t>JAWA TIMUR</t>
  </si>
  <si>
    <t>BALI</t>
  </si>
  <si>
    <t>NTB</t>
  </si>
  <si>
    <t>NTT</t>
  </si>
  <si>
    <t>Kab Pandeglang</t>
  </si>
  <si>
    <t>Kab Lebak</t>
  </si>
  <si>
    <t>Kab Tangerang</t>
  </si>
  <si>
    <t>Kab Serang</t>
  </si>
  <si>
    <t>Kota Tangerang</t>
  </si>
  <si>
    <t>Kota Serang</t>
  </si>
  <si>
    <t>Kota Tangerang Selatan</t>
  </si>
  <si>
    <t>Jumlah di website</t>
  </si>
  <si>
    <t>Kep Seribu</t>
  </si>
  <si>
    <t>Jakarta Selatan</t>
  </si>
  <si>
    <t>Jakarta Timur</t>
  </si>
  <si>
    <t>Jakarta Pusat</t>
  </si>
  <si>
    <t>Jakarta Barat</t>
  </si>
  <si>
    <t>Jakarta Utara</t>
  </si>
  <si>
    <t>Bogor</t>
  </si>
  <si>
    <t>Sukabumi</t>
  </si>
  <si>
    <t>Cianjur</t>
  </si>
  <si>
    <t>Bandung</t>
  </si>
  <si>
    <t>Garut</t>
  </si>
  <si>
    <t>Tasikmalaya</t>
  </si>
  <si>
    <t>Ciamis</t>
  </si>
  <si>
    <t>Kuningan</t>
  </si>
  <si>
    <t>Cirebon</t>
  </si>
  <si>
    <t>Majalengka</t>
  </si>
  <si>
    <t>Sumedang</t>
  </si>
  <si>
    <t>Indramayu</t>
  </si>
  <si>
    <t>Subang</t>
  </si>
  <si>
    <t>Purwakarta</t>
  </si>
  <si>
    <t>Karawang</t>
  </si>
  <si>
    <t>Bekasi</t>
  </si>
  <si>
    <t>Bandung Barat</t>
  </si>
  <si>
    <t>Pangandaraan</t>
  </si>
  <si>
    <t>Kota Bogor</t>
  </si>
  <si>
    <t>Kota Sukabumi</t>
  </si>
  <si>
    <t>Kota Bandung</t>
  </si>
  <si>
    <t>Kota Cirebon</t>
  </si>
  <si>
    <t>Kota Bekasi</t>
  </si>
  <si>
    <t>Kota Depok</t>
  </si>
  <si>
    <t>Kota Cimahi</t>
  </si>
  <si>
    <t>Kota Tasikmalaya</t>
  </si>
  <si>
    <t>Kota Banjar</t>
  </si>
  <si>
    <t>Bantul</t>
  </si>
  <si>
    <t>Gunungkidul</t>
  </si>
  <si>
    <t>Sleman</t>
  </si>
  <si>
    <t>Kota Yogyakarta</t>
  </si>
  <si>
    <t>Kabupaten Cilacap</t>
  </si>
  <si>
    <t>Kabupaten Banyumas</t>
  </si>
  <si>
    <t>Kabupaten Purbalingga</t>
  </si>
  <si>
    <t>Kabupaten Banjarnegara</t>
  </si>
  <si>
    <t>Kabupaten Kebumen</t>
  </si>
  <si>
    <t>Kabupaten Purworejo</t>
  </si>
  <si>
    <t>Kabupaten Wonosobo</t>
  </si>
  <si>
    <t>Kabupaten Magelang</t>
  </si>
  <si>
    <t>Kabupaten Boyolali</t>
  </si>
  <si>
    <t>Kabupaten Klaten</t>
  </si>
  <si>
    <t>Kabupaten Sukoharjo</t>
  </si>
  <si>
    <t>Kabupaten Wonogiri</t>
  </si>
  <si>
    <t>Kabupaten Karanganyar</t>
  </si>
  <si>
    <t>Kabupaten Sragen</t>
  </si>
  <si>
    <t>Kabupaten Grobogan</t>
  </si>
  <si>
    <t>Kabupaten Blora</t>
  </si>
  <si>
    <t>Kabupaten Rembang</t>
  </si>
  <si>
    <t>Kabupaten Pati</t>
  </si>
  <si>
    <t>Kabupaten Kudus</t>
  </si>
  <si>
    <t>Kabupaten Jepara</t>
  </si>
  <si>
    <t>Kabupaten Demak</t>
  </si>
  <si>
    <t>Kabupaten Semarang</t>
  </si>
  <si>
    <t>Kabupaten Temanggung</t>
  </si>
  <si>
    <t>Kabupaten Kendal</t>
  </si>
  <si>
    <t>Kabupaten Batang</t>
  </si>
  <si>
    <t>Kabupaten Pekalongan</t>
  </si>
  <si>
    <t>Kabupaten Pemalang</t>
  </si>
  <si>
    <t>Kabupaten Tegal</t>
  </si>
  <si>
    <t>Kabupaten Brebes</t>
  </si>
  <si>
    <t>Kota Magelang</t>
  </si>
  <si>
    <t>Kota Surakerta</t>
  </si>
  <si>
    <t>Kota Salatiga</t>
  </si>
  <si>
    <t>kota Semarang</t>
  </si>
  <si>
    <t>Kota Pekalongan</t>
  </si>
  <si>
    <t>Kota Tegal</t>
  </si>
  <si>
    <t>Pacitan</t>
  </si>
  <si>
    <t>Ponorogo</t>
  </si>
  <si>
    <t>Trenggalek</t>
  </si>
  <si>
    <t>Tulungagung</t>
  </si>
  <si>
    <t>Blitar</t>
  </si>
  <si>
    <t>Kediri</t>
  </si>
  <si>
    <t>Malang</t>
  </si>
  <si>
    <t>Lumajang</t>
  </si>
  <si>
    <t>Jember</t>
  </si>
  <si>
    <t>Banyuwangi</t>
  </si>
  <si>
    <t>Bondowoso</t>
  </si>
  <si>
    <t>Situbondo</t>
  </si>
  <si>
    <t>Probolinggo</t>
  </si>
  <si>
    <t>Pasuruan</t>
  </si>
  <si>
    <t>Sidoarjo</t>
  </si>
  <si>
    <t>Mojokerto</t>
  </si>
  <si>
    <t>Jombang</t>
  </si>
  <si>
    <t>Nganjuk</t>
  </si>
  <si>
    <t>Madiun</t>
  </si>
  <si>
    <t>Magetan</t>
  </si>
  <si>
    <t>Ngawi</t>
  </si>
  <si>
    <t>Bojonegoro</t>
  </si>
  <si>
    <t>Tuban</t>
  </si>
  <si>
    <t>Lamongan</t>
  </si>
  <si>
    <t>Gresik</t>
  </si>
  <si>
    <t>Bangkalan</t>
  </si>
  <si>
    <t>Sampang</t>
  </si>
  <si>
    <t>Pamekasan</t>
  </si>
  <si>
    <t>Sumenep</t>
  </si>
  <si>
    <t>Jawa Timur</t>
  </si>
  <si>
    <t>.</t>
  </si>
  <si>
    <t>Kab. Jembrana</t>
  </si>
  <si>
    <t>Kab. Tabanan</t>
  </si>
  <si>
    <t>Kab. Badung</t>
  </si>
  <si>
    <t>Kab. Gianyar</t>
  </si>
  <si>
    <t>Kab. Klungkung</t>
  </si>
  <si>
    <t>Kab. Bangli</t>
  </si>
  <si>
    <t>Kab. Karangasem</t>
  </si>
  <si>
    <t>Kab. Buleleng</t>
  </si>
  <si>
    <t>Kota Denpasar</t>
  </si>
  <si>
    <t>Provinsi Bali</t>
  </si>
  <si>
    <t>Kota Mataram</t>
  </si>
  <si>
    <t>Kota Bima</t>
  </si>
  <si>
    <t>Nusa Tenggara Barat</t>
  </si>
  <si>
    <t>5.731.107</t>
  </si>
  <si>
    <t>Sumba Barat</t>
  </si>
  <si>
    <t>Sumba Timur</t>
  </si>
  <si>
    <t>Kupang</t>
  </si>
  <si>
    <t>Timor Tengah Selatan</t>
  </si>
  <si>
    <t>Timor Tengah Utara</t>
  </si>
  <si>
    <t>Belu</t>
  </si>
  <si>
    <t>Alor</t>
  </si>
  <si>
    <t>Lembata</t>
  </si>
  <si>
    <t>Flores Timur</t>
  </si>
  <si>
    <t>Sikka</t>
  </si>
  <si>
    <t>Ende</t>
  </si>
  <si>
    <t>Ngada</t>
  </si>
  <si>
    <t>Manggarai</t>
  </si>
  <si>
    <t>Rote Ndao</t>
  </si>
  <si>
    <t>Manggarai Barat</t>
  </si>
  <si>
    <t>Sumba Tengah</t>
  </si>
  <si>
    <t>Sumba Barat Daya</t>
  </si>
  <si>
    <t>Nagekeo</t>
  </si>
  <si>
    <t>Manggarai Timur</t>
  </si>
  <si>
    <t>Sabu Raijua</t>
  </si>
  <si>
    <t>Malaka</t>
  </si>
  <si>
    <t>Kota Kupang</t>
  </si>
  <si>
    <t>Nusa Tenggara Timur</t>
  </si>
  <si>
    <t>2.871.307</t>
  </si>
  <si>
    <t>34</t>
  </si>
  <si>
    <t>35</t>
  </si>
  <si>
    <t>36</t>
  </si>
  <si>
    <t>37</t>
  </si>
  <si>
    <t>38</t>
  </si>
  <si>
    <t>39</t>
  </si>
  <si>
    <t>SELURUH PAPUA</t>
  </si>
  <si>
    <t>SELURUH MALUKU</t>
  </si>
  <si>
    <t>WILAYAH SULAWESI</t>
  </si>
  <si>
    <t>WILAYAH KALIMANTAN</t>
  </si>
  <si>
    <t>SUMATERA</t>
  </si>
  <si>
    <t>JAWA</t>
  </si>
  <si>
    <t>BALI DAN NUSA TENGGARA</t>
  </si>
  <si>
    <t>KABKO</t>
  </si>
  <si>
    <t>MIN ANGGOTA</t>
  </si>
  <si>
    <t>BALI &amp; NT</t>
  </si>
  <si>
    <t>JUMLAH</t>
  </si>
  <si>
    <t>Pembulatan</t>
  </si>
  <si>
    <t>Author</t>
  </si>
  <si>
    <t>Almizan</t>
  </si>
  <si>
    <t>JMLH PNDDK</t>
  </si>
  <si>
    <t>Min KTP</t>
  </si>
  <si>
    <t>.75*Kabko</t>
  </si>
  <si>
    <t>DK Jakarta</t>
  </si>
  <si>
    <t>WILAYAH SUMATERA</t>
  </si>
  <si>
    <t>WILAYAH PULAU JAWA</t>
  </si>
  <si>
    <t>Kota Sorong</t>
  </si>
  <si>
    <t>Kota Cilegon</t>
  </si>
  <si>
    <t>1.000 (1/1000)</t>
  </si>
  <si>
    <t>Kulonprogo</t>
  </si>
  <si>
    <t>Kota Kediri</t>
  </si>
  <si>
    <t>Kota Blitar</t>
  </si>
  <si>
    <t>Kota Malang</t>
  </si>
  <si>
    <t>Kota Probolinggo</t>
  </si>
  <si>
    <t>Kota Pasuruan</t>
  </si>
  <si>
    <t>Kota Mojokerto</t>
  </si>
  <si>
    <t>Kota Madiun</t>
  </si>
  <si>
    <t>Kota Surabaya</t>
  </si>
  <si>
    <t>Kota Batu</t>
  </si>
  <si>
    <t>Kabupaten/Kota</t>
  </si>
  <si>
    <t>Jmlh Penduduk</t>
  </si>
  <si>
    <t>Lombok Barat</t>
  </si>
  <si>
    <t>Lombok Tengah</t>
  </si>
  <si>
    <t>Lombok Timur</t>
  </si>
  <si>
    <t>Sumbawa</t>
  </si>
  <si>
    <t>Dompu</t>
  </si>
  <si>
    <t>Bima</t>
  </si>
  <si>
    <t>Sumbawa Barat</t>
  </si>
  <si>
    <t>Lombok Utara</t>
  </si>
  <si>
    <t>Keterangan: Kabko* adalah Kabko prioritas</t>
  </si>
  <si>
    <t>Kabko Trgt</t>
  </si>
  <si>
    <t>Penduduk</t>
  </si>
  <si>
    <t>Aceh</t>
  </si>
  <si>
    <t>Sumatera Utara</t>
  </si>
  <si>
    <t>Sumatera Barat</t>
  </si>
  <si>
    <t>Riau</t>
  </si>
  <si>
    <t>Kepulauan Riau</t>
  </si>
  <si>
    <t>Jambi</t>
  </si>
  <si>
    <t>Bengkulu</t>
  </si>
  <si>
    <t>Sumatera Selatan</t>
  </si>
  <si>
    <t>Lampung</t>
  </si>
  <si>
    <t>Bangka Belitung</t>
  </si>
  <si>
    <t>WILAYAH JAWA</t>
  </si>
  <si>
    <t>WILAYAH BALI &amp; NUSRA</t>
  </si>
  <si>
    <t>Bali</t>
  </si>
  <si>
    <t>Banten</t>
  </si>
  <si>
    <t>Jawa Barat</t>
  </si>
  <si>
    <t>DI Yogyakarta</t>
  </si>
  <si>
    <t>Jawa Tengah</t>
  </si>
  <si>
    <t>Non Prioritas</t>
  </si>
  <si>
    <t xml:space="preserve">Papua Barat  </t>
  </si>
  <si>
    <t>..</t>
  </si>
  <si>
    <t>Seluruh</t>
  </si>
  <si>
    <t>Wilayah Pulau Jawa</t>
  </si>
  <si>
    <t>Bali dan Nusa Tenggara</t>
  </si>
  <si>
    <t>Seluruh (juta orang)</t>
  </si>
  <si>
    <t>Norma (1.000 atau 1/1000) * Penduduk (ribu orang/KTP)</t>
  </si>
  <si>
    <t>(75% * Penduduk  terendah) atau norma 1.000 pndduk tertinggi (ribu orang/KTP)</t>
  </si>
  <si>
    <t>JUMLAH PENDUDUK</t>
  </si>
  <si>
    <t>Jumlah</t>
  </si>
  <si>
    <t>75% Kabko (#)</t>
  </si>
  <si>
    <t>Keterangan (#): pembulatan keatas untuk masig-masing provinsi</t>
  </si>
  <si>
    <t>Sulawesi</t>
  </si>
  <si>
    <t>Sulawesi Utara</t>
  </si>
  <si>
    <t>Sulawesi Tenggara</t>
  </si>
  <si>
    <t>Sulawesi Barat</t>
  </si>
  <si>
    <t>Sulawesi Tengah</t>
  </si>
  <si>
    <t>Sulawesi Selatan</t>
  </si>
  <si>
    <t>Kalimantan</t>
  </si>
  <si>
    <t>(75% * Penduduk  terendah) atau norma 1.000 penduduk tertinggi (ribu orang/KTP)</t>
  </si>
  <si>
    <t xml:space="preserve">Maluku </t>
  </si>
  <si>
    <t>Sumatera</t>
  </si>
  <si>
    <t>Jawa</t>
  </si>
  <si>
    <t>DK. Jakarta</t>
  </si>
  <si>
    <t>(75% * Penduduk  terendah) atau norma 1.000 pdduk trtnggi (ribu orNg/KTP)</t>
  </si>
  <si>
    <t>Norma 1.000 atau (1/1000) * Penduduk (ribu orang/KTP)</t>
  </si>
  <si>
    <t>MINIMUM KTP (1.000)</t>
  </si>
  <si>
    <t>Sumber data penduduk adalah BPS</t>
  </si>
  <si>
    <t>Jumlah Penduduk</t>
  </si>
  <si>
    <t>PENDUDUK</t>
  </si>
  <si>
    <t>KABUPATEN KOTA</t>
  </si>
  <si>
    <t xml:space="preserve">SELURUH </t>
  </si>
  <si>
    <t>WILAYAH PAPUA</t>
  </si>
  <si>
    <t>PROVINSI PAPUA</t>
  </si>
  <si>
    <t>Minimal Kabko (75% Kabko)</t>
  </si>
  <si>
    <t>Seluruh Provinsi Papua</t>
  </si>
  <si>
    <t>Minimal Anggota: 1.000 atau (1/1.00)*penduduk (orang)</t>
  </si>
  <si>
    <t>Minimal Anggota Prioritas (orang/KTP)</t>
  </si>
  <si>
    <t>SELURUH</t>
  </si>
  <si>
    <t>75 Persen</t>
  </si>
  <si>
    <t>SELISIH</t>
  </si>
  <si>
    <t>PRIORITAS</t>
  </si>
  <si>
    <t>Minimal Anggota: 1.000 atau (1/1.00)* penduduk (orang)</t>
  </si>
  <si>
    <t>JUMLAH PROVINSI</t>
  </si>
  <si>
    <t>Ket: Warna merah Kabko Non-Prioritas, hijau prioritas, kuning minimum KTP</t>
  </si>
  <si>
    <t>JUMLAH 75% KABKO PRIORITAS</t>
  </si>
  <si>
    <t>MINIMUM KTP (ribuan)</t>
  </si>
  <si>
    <t xml:space="preserve">PROVINSI BANTEN </t>
  </si>
  <si>
    <t>PROVINSI MALUKU UTARA</t>
  </si>
  <si>
    <t>WILAYAH MALUKU</t>
  </si>
  <si>
    <t>PROVINSI MALUKU</t>
  </si>
  <si>
    <t>NO.</t>
  </si>
  <si>
    <t>No</t>
  </si>
  <si>
    <t>PROVINSI SULAWESI UTARA</t>
  </si>
  <si>
    <t>PROVINSI SULAWESI TENGGARA</t>
  </si>
  <si>
    <t>PROVINSI SULAWESI BARAT</t>
  </si>
  <si>
    <t>PROVINSI SULAWESI TENGAH</t>
  </si>
  <si>
    <t>PROVINSI GORONTALO</t>
  </si>
  <si>
    <t>NO</t>
  </si>
  <si>
    <t>PROVINSI SULAWESI SELATAN</t>
  </si>
  <si>
    <t>PROVINSI KALIMANTAN TIMUR</t>
  </si>
  <si>
    <t>PROVINSI KALIMANTAN SELATAN</t>
  </si>
  <si>
    <t>PROVINSI KALIMANTAN BARAT</t>
  </si>
  <si>
    <t>PROVINSI KALIMANTAN TENGAH</t>
  </si>
  <si>
    <t>PROVINSI KALIMANTAN UTARA</t>
  </si>
  <si>
    <t>PROVINSI ACEH</t>
  </si>
  <si>
    <t>PROVINSI SUMATERA UTARA</t>
  </si>
  <si>
    <t>PROVINSI SUMATERA BARAT</t>
  </si>
  <si>
    <t>PROVINSI RIAU</t>
  </si>
  <si>
    <t>PROVINSI KEPULAUAN RIAU</t>
  </si>
  <si>
    <t>PROVINSI BANGKA BELITUNG</t>
  </si>
  <si>
    <t>PROVINSI JAMBI</t>
  </si>
  <si>
    <t>PROVINSI BENGKULU</t>
  </si>
  <si>
    <t>PROVINSI SUMATERA SELATAN</t>
  </si>
  <si>
    <t>PROVINSI LAMPUNG</t>
  </si>
  <si>
    <t>PROVINSI BANTEN</t>
  </si>
  <si>
    <t>PROVINSI DK JAKARTA</t>
  </si>
  <si>
    <t>PROVINSI JAWA BARAT</t>
  </si>
  <si>
    <t>PROVINSI DI YOGYAKARTA</t>
  </si>
  <si>
    <t>PROVINSI JAWA TENGAH</t>
  </si>
  <si>
    <t>PROVINSI JAWA TIMUR</t>
  </si>
  <si>
    <t>WILAYAH BALI DAN NUSA TENGGARA</t>
  </si>
  <si>
    <t>PROVINSI BALI</t>
  </si>
  <si>
    <t>PROVINSI NUSA TENGGGARA BARAT</t>
  </si>
  <si>
    <t>PROVINSI NUSA TENGGARA BARAT</t>
  </si>
  <si>
    <t>PROVINSI NUSA TENGGARA TIMUR</t>
  </si>
  <si>
    <t>Manokkwari Selatan</t>
  </si>
  <si>
    <t>Pegunungan Arfak</t>
  </si>
  <si>
    <t>PROVINSI PAPUA BARAT</t>
  </si>
  <si>
    <t>PROVINSI PAPUA BARAT DAYA</t>
  </si>
  <si>
    <t>PROVINSI PAPUA PEGUNUNGAN</t>
  </si>
  <si>
    <t>PROVINSI PAPUA TENGAH</t>
  </si>
  <si>
    <t>PROVINSI PAPUA SELATAN</t>
  </si>
  <si>
    <t>PROVINSI  PAPUA TENGAH</t>
  </si>
  <si>
    <t>PROVINSI 'KALIMANTAN TIMUR</t>
  </si>
  <si>
    <t>PROVINSISUMATERA BARAT</t>
  </si>
  <si>
    <t>WILAYAH PULAU SUMATERA</t>
  </si>
  <si>
    <t>MINIMUM KTP (1.000) atau 1/1.000* Penduduk</t>
  </si>
  <si>
    <t>Tabel 1. Distribusi Jumlah Kepengurusan dan Minimum KTP Anggota Parpol</t>
  </si>
  <si>
    <t>Sumber: Jumlah Provinsi dan Kabupaten/Kota BPS (2023), isi cell 75% dan isi cell Minimum KTP hasil komputasi penulis</t>
  </si>
  <si>
    <t>Minimal Unit KTP</t>
  </si>
  <si>
    <t>Unit KTP/Jumlah Penduduk</t>
  </si>
  <si>
    <t>MINIMUM ANGGOTA/KTP PADA KABKO PRIORITAS</t>
  </si>
  <si>
    <t>JUMLAH KABUPATENdan KOTA</t>
  </si>
  <si>
    <t>NORMA 1.000 atau (1/1.000 )* Jumlah Penduduk</t>
  </si>
  <si>
    <t>PAPUA BARAT</t>
  </si>
  <si>
    <t>PAPUA BARAT DAYA</t>
  </si>
  <si>
    <t>PAPUA PEGUNUNGAN</t>
  </si>
  <si>
    <t>PAPUA TENGAH</t>
  </si>
  <si>
    <t>PAPUA SELATAN</t>
  </si>
  <si>
    <t>SULAWESI TENGGARA</t>
  </si>
  <si>
    <t>KALIMANTAN TIMUR</t>
  </si>
  <si>
    <t>KALIMANTAN UTARA</t>
  </si>
  <si>
    <t>KALIMANTAN BARAT</t>
  </si>
  <si>
    <t xml:space="preserve"> KALIMANTAN TENGAH</t>
  </si>
  <si>
    <t>KALIMANTAN SELATAN</t>
  </si>
  <si>
    <t>NUSA TENGGARA BARAT</t>
  </si>
  <si>
    <t>NUSA TENGGARA TIMUR</t>
  </si>
  <si>
    <t>MALUKU UTARA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</si>
</sst>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2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111111"/>
      <name val="__Inter_d65c78"/>
    </font>
    <font>
      <sz val="8"/>
      <name val="Calibri"/>
      <charset val="134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rgb="FF111111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0"/>
      <name val="__Inter_d65c78"/>
    </font>
    <font>
      <sz val="11"/>
      <color theme="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CFCF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4" xfId="0" applyBorder="1"/>
    <xf numFmtId="0" fontId="0" fillId="0" borderId="6" xfId="0" applyBorder="1"/>
    <xf numFmtId="0" fontId="1" fillId="0" borderId="13" xfId="0" applyFont="1" applyBorder="1"/>
    <xf numFmtId="0" fontId="1" fillId="0" borderId="0" xfId="0" applyFont="1"/>
    <xf numFmtId="0" fontId="1" fillId="0" borderId="14" xfId="0" applyFont="1" applyBorder="1"/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3" fontId="0" fillId="0" borderId="0" xfId="0" applyNumberFormat="1"/>
    <xf numFmtId="0" fontId="0" fillId="0" borderId="0" xfId="0" quotePrefix="1"/>
    <xf numFmtId="3" fontId="1" fillId="0" borderId="0" xfId="0" applyNumberFormat="1" applyFont="1"/>
    <xf numFmtId="15" fontId="0" fillId="0" borderId="0" xfId="0" applyNumberFormat="1"/>
    <xf numFmtId="10" fontId="0" fillId="0" borderId="0" xfId="0" applyNumberFormat="1"/>
    <xf numFmtId="1" fontId="0" fillId="0" borderId="0" xfId="0" applyNumberFormat="1"/>
    <xf numFmtId="9" fontId="0" fillId="0" borderId="0" xfId="0" applyNumberFormat="1"/>
    <xf numFmtId="0" fontId="0" fillId="2" borderId="0" xfId="0" applyFill="1"/>
    <xf numFmtId="3" fontId="6" fillId="4" borderId="0" xfId="0" applyNumberFormat="1" applyFont="1" applyFill="1" applyAlignment="1">
      <alignment horizontal="right" vertical="top" wrapText="1" indent="1"/>
    </xf>
    <xf numFmtId="0" fontId="7" fillId="3" borderId="18" xfId="0" applyFont="1" applyFill="1" applyBorder="1" applyAlignment="1">
      <alignment horizontal="left" vertical="top" wrapText="1"/>
    </xf>
    <xf numFmtId="0" fontId="7" fillId="3" borderId="0" xfId="0" applyFont="1" applyFill="1" applyAlignment="1">
      <alignment horizontal="left" vertical="top" wrapText="1"/>
    </xf>
    <xf numFmtId="0" fontId="8" fillId="0" borderId="0" xfId="0" applyFont="1" applyAlignment="1">
      <alignment vertical="center"/>
    </xf>
    <xf numFmtId="0" fontId="0" fillId="7" borderId="0" xfId="0" applyFill="1"/>
    <xf numFmtId="0" fontId="0" fillId="6" borderId="0" xfId="0" applyFill="1"/>
    <xf numFmtId="0" fontId="9" fillId="0" borderId="0" xfId="0" applyFont="1"/>
    <xf numFmtId="3" fontId="9" fillId="0" borderId="0" xfId="0" applyNumberFormat="1" applyFont="1"/>
    <xf numFmtId="0" fontId="10" fillId="5" borderId="0" xfId="0" applyFont="1" applyFill="1" applyAlignment="1">
      <alignment horizontal="left" vertical="center" wrapText="1"/>
    </xf>
    <xf numFmtId="0" fontId="0" fillId="0" borderId="21" xfId="0" applyBorder="1"/>
    <xf numFmtId="3" fontId="0" fillId="0" borderId="21" xfId="0" applyNumberFormat="1" applyBorder="1" applyAlignment="1">
      <alignment horizontal="center"/>
    </xf>
    <xf numFmtId="0" fontId="0" fillId="0" borderId="21" xfId="0" applyBorder="1" applyAlignment="1">
      <alignment vertical="center"/>
    </xf>
    <xf numFmtId="3" fontId="0" fillId="0" borderId="21" xfId="0" applyNumberFormat="1" applyBorder="1" applyAlignment="1">
      <alignment horizontal="center" vertical="center"/>
    </xf>
    <xf numFmtId="0" fontId="11" fillId="0" borderId="21" xfId="0" applyFont="1" applyBorder="1"/>
    <xf numFmtId="0" fontId="0" fillId="0" borderId="22" xfId="0" applyBorder="1"/>
    <xf numFmtId="3" fontId="0" fillId="0" borderId="22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quotePrefix="1" applyAlignment="1">
      <alignment horizontal="center"/>
    </xf>
    <xf numFmtId="1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0" fontId="5" fillId="4" borderId="18" xfId="0" applyFont="1" applyFill="1" applyBorder="1" applyAlignment="1">
      <alignment horizontal="center" vertical="top" wrapText="1"/>
    </xf>
    <xf numFmtId="3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21" xfId="0" applyBorder="1" applyAlignment="1">
      <alignment horizontal="center"/>
    </xf>
    <xf numFmtId="0" fontId="1" fillId="0" borderId="21" xfId="0" applyFont="1" applyBorder="1"/>
    <xf numFmtId="0" fontId="1" fillId="0" borderId="21" xfId="0" applyFont="1" applyBorder="1" applyAlignment="1">
      <alignment horizontal="center"/>
    </xf>
    <xf numFmtId="0" fontId="0" fillId="0" borderId="21" xfId="0" quotePrefix="1" applyBorder="1" applyAlignment="1">
      <alignment horizontal="center"/>
    </xf>
    <xf numFmtId="3" fontId="0" fillId="8" borderId="0" xfId="0" applyNumberFormat="1" applyFill="1"/>
    <xf numFmtId="3" fontId="0" fillId="9" borderId="0" xfId="0" applyNumberFormat="1" applyFill="1"/>
    <xf numFmtId="1" fontId="0" fillId="9" borderId="0" xfId="0" applyNumberFormat="1" applyFill="1"/>
    <xf numFmtId="0" fontId="1" fillId="0" borderId="0" xfId="0" quotePrefix="1" applyFont="1"/>
    <xf numFmtId="0" fontId="9" fillId="0" borderId="0" xfId="0" applyFont="1" applyAlignment="1">
      <alignment horizontal="left"/>
    </xf>
    <xf numFmtId="0" fontId="0" fillId="0" borderId="0" xfId="0" applyAlignment="1">
      <alignment horizontal="right"/>
    </xf>
    <xf numFmtId="3" fontId="0" fillId="9" borderId="21" xfId="0" applyNumberFormat="1" applyFill="1" applyBorder="1"/>
    <xf numFmtId="0" fontId="6" fillId="2" borderId="0" xfId="0" applyFont="1" applyFill="1" applyAlignment="1">
      <alignment horizontal="left" vertical="top" wrapText="1"/>
    </xf>
    <xf numFmtId="0" fontId="6" fillId="7" borderId="0" xfId="0" applyFont="1" applyFill="1" applyAlignment="1">
      <alignment horizontal="left" vertical="top" wrapText="1"/>
    </xf>
    <xf numFmtId="0" fontId="12" fillId="0" borderId="0" xfId="0" applyFont="1" applyAlignment="1">
      <alignment vertical="center"/>
    </xf>
    <xf numFmtId="0" fontId="9" fillId="0" borderId="0" xfId="0" applyFont="1" applyAlignment="1">
      <alignment horizontal="center"/>
    </xf>
    <xf numFmtId="3" fontId="9" fillId="9" borderId="0" xfId="0" applyNumberFormat="1" applyFont="1" applyFill="1"/>
    <xf numFmtId="0" fontId="9" fillId="0" borderId="0" xfId="0" quotePrefix="1" applyFont="1" applyAlignment="1">
      <alignment horizontal="center"/>
    </xf>
    <xf numFmtId="0" fontId="10" fillId="5" borderId="19" xfId="0" applyFont="1" applyFill="1" applyBorder="1" applyAlignment="1">
      <alignment horizontal="left" vertical="center" wrapText="1"/>
    </xf>
    <xf numFmtId="1" fontId="0" fillId="9" borderId="0" xfId="0" applyNumberFormat="1" applyFill="1" applyAlignment="1">
      <alignment horizontal="center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164" fontId="0" fillId="0" borderId="0" xfId="0" applyNumberFormat="1" applyAlignment="1">
      <alignment horizontal="center"/>
    </xf>
    <xf numFmtId="0" fontId="0" fillId="8" borderId="0" xfId="0" applyFill="1"/>
    <xf numFmtId="3" fontId="0" fillId="8" borderId="0" xfId="0" applyNumberFormat="1" applyFill="1" applyAlignment="1">
      <alignment horizontal="center"/>
    </xf>
    <xf numFmtId="0" fontId="11" fillId="0" borderId="0" xfId="0" applyFont="1"/>
    <xf numFmtId="3" fontId="0" fillId="0" borderId="0" xfId="0" applyNumberFormat="1" applyAlignment="1">
      <alignment horizontal="center" vertical="center"/>
    </xf>
    <xf numFmtId="0" fontId="11" fillId="0" borderId="21" xfId="0" applyFont="1" applyBorder="1" applyAlignment="1">
      <alignment horizontal="center"/>
    </xf>
    <xf numFmtId="0" fontId="0" fillId="0" borderId="21" xfId="0" applyBorder="1" applyAlignment="1">
      <alignment vertical="top"/>
    </xf>
    <xf numFmtId="0" fontId="0" fillId="0" borderId="21" xfId="0" applyBorder="1" applyAlignment="1">
      <alignment vertical="top" wrapText="1"/>
    </xf>
    <xf numFmtId="0" fontId="1" fillId="0" borderId="21" xfId="0" applyFont="1" applyBorder="1" applyAlignment="1">
      <alignment vertical="top" wrapText="1"/>
    </xf>
    <xf numFmtId="1" fontId="0" fillId="0" borderId="21" xfId="0" applyNumberFormat="1" applyBorder="1" applyAlignment="1">
      <alignment horizontal="center"/>
    </xf>
    <xf numFmtId="4" fontId="0" fillId="0" borderId="21" xfId="0" applyNumberFormat="1" applyBorder="1" applyAlignment="1">
      <alignment horizontal="center"/>
    </xf>
    <xf numFmtId="0" fontId="1" fillId="0" borderId="21" xfId="0" applyFont="1" applyBorder="1" applyAlignment="1">
      <alignment vertical="center" wrapText="1"/>
    </xf>
    <xf numFmtId="0" fontId="0" fillId="0" borderId="23" xfId="0" applyBorder="1" applyAlignment="1">
      <alignment horizontal="right" indent="1"/>
    </xf>
    <xf numFmtId="0" fontId="0" fillId="0" borderId="24" xfId="0" applyBorder="1" applyAlignment="1">
      <alignment horizontal="right" indent="1"/>
    </xf>
    <xf numFmtId="0" fontId="0" fillId="0" borderId="25" xfId="0" applyBorder="1" applyAlignment="1">
      <alignment horizontal="right" indent="1"/>
    </xf>
    <xf numFmtId="0" fontId="0" fillId="0" borderId="0" xfId="0" applyAlignment="1">
      <alignment horizontal="right" vertical="top"/>
    </xf>
    <xf numFmtId="0" fontId="0" fillId="0" borderId="21" xfId="0" applyBorder="1" applyAlignment="1">
      <alignment horizontal="right"/>
    </xf>
    <xf numFmtId="4" fontId="0" fillId="0" borderId="21" xfId="0" applyNumberFormat="1" applyBorder="1" applyAlignment="1">
      <alignment vertical="top" wrapText="1"/>
    </xf>
    <xf numFmtId="3" fontId="0" fillId="6" borderId="0" xfId="0" applyNumberFormat="1" applyFill="1" applyAlignment="1">
      <alignment horizontal="center"/>
    </xf>
    <xf numFmtId="3" fontId="0" fillId="2" borderId="0" xfId="0" applyNumberFormat="1" applyFill="1" applyAlignment="1">
      <alignment horizontal="center"/>
    </xf>
    <xf numFmtId="3" fontId="0" fillId="7" borderId="0" xfId="0" applyNumberFormat="1" applyFill="1" applyAlignment="1">
      <alignment horizontal="center"/>
    </xf>
    <xf numFmtId="3" fontId="4" fillId="2" borderId="0" xfId="0" applyNumberFormat="1" applyFont="1" applyFill="1" applyAlignment="1">
      <alignment horizontal="center"/>
    </xf>
    <xf numFmtId="3" fontId="4" fillId="7" borderId="0" xfId="0" applyNumberFormat="1" applyFont="1" applyFill="1" applyAlignment="1">
      <alignment horizontal="center"/>
    </xf>
    <xf numFmtId="3" fontId="0" fillId="2" borderId="21" xfId="0" applyNumberFormat="1" applyFill="1" applyBorder="1" applyAlignment="1">
      <alignment horizontal="center"/>
    </xf>
    <xf numFmtId="3" fontId="0" fillId="7" borderId="21" xfId="0" applyNumberFormat="1" applyFill="1" applyBorder="1" applyAlignment="1">
      <alignment horizontal="center"/>
    </xf>
    <xf numFmtId="0" fontId="6" fillId="4" borderId="18" xfId="0" applyFont="1" applyFill="1" applyBorder="1" applyAlignment="1">
      <alignment horizontal="center" vertical="top" wrapText="1"/>
    </xf>
    <xf numFmtId="3" fontId="6" fillId="2" borderId="0" xfId="0" applyNumberFormat="1" applyFont="1" applyFill="1" applyAlignment="1">
      <alignment horizontal="center" vertical="top" wrapText="1"/>
    </xf>
    <xf numFmtId="3" fontId="6" fillId="7" borderId="0" xfId="0" applyNumberFormat="1" applyFont="1" applyFill="1" applyAlignment="1">
      <alignment horizontal="center" vertical="top" wrapText="1"/>
    </xf>
    <xf numFmtId="3" fontId="6" fillId="4" borderId="0" xfId="0" applyNumberFormat="1" applyFont="1" applyFill="1" applyAlignment="1">
      <alignment horizontal="center" vertical="top" wrapText="1"/>
    </xf>
    <xf numFmtId="3" fontId="10" fillId="2" borderId="0" xfId="0" applyNumberFormat="1" applyFont="1" applyFill="1" applyAlignment="1">
      <alignment horizontal="center"/>
    </xf>
    <xf numFmtId="3" fontId="13" fillId="2" borderId="0" xfId="0" applyNumberFormat="1" applyFont="1" applyFill="1" applyAlignment="1">
      <alignment horizontal="center" vertical="center"/>
    </xf>
    <xf numFmtId="3" fontId="13" fillId="7" borderId="0" xfId="0" applyNumberFormat="1" applyFont="1" applyFill="1" applyAlignment="1">
      <alignment horizontal="center" vertical="center"/>
    </xf>
    <xf numFmtId="3" fontId="10" fillId="7" borderId="0" xfId="0" applyNumberFormat="1" applyFont="1" applyFill="1" applyAlignment="1">
      <alignment horizont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3" fontId="10" fillId="2" borderId="20" xfId="0" applyNumberFormat="1" applyFont="1" applyFill="1" applyBorder="1" applyAlignment="1">
      <alignment horizontal="center" vertical="center" wrapText="1"/>
    </xf>
    <xf numFmtId="3" fontId="10" fillId="5" borderId="20" xfId="0" applyNumberFormat="1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center" vertical="center" wrapText="1"/>
    </xf>
    <xf numFmtId="3" fontId="10" fillId="7" borderId="20" xfId="0" applyNumberFormat="1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1" fontId="0" fillId="2" borderId="0" xfId="0" applyNumberFormat="1" applyFill="1" applyAlignment="1">
      <alignment horizontal="center"/>
    </xf>
    <xf numFmtId="1" fontId="0" fillId="8" borderId="0" xfId="0" applyNumberFormat="1" applyFill="1" applyAlignment="1">
      <alignment horizontal="center"/>
    </xf>
    <xf numFmtId="1" fontId="0" fillId="6" borderId="0" xfId="0" applyNumberFormat="1" applyFill="1" applyAlignment="1">
      <alignment horizontal="center"/>
    </xf>
    <xf numFmtId="1" fontId="0" fillId="7" borderId="0" xfId="0" applyNumberFormat="1" applyFill="1" applyAlignment="1">
      <alignment horizontal="center"/>
    </xf>
    <xf numFmtId="0" fontId="0" fillId="0" borderId="0" xfId="0" applyAlignment="1">
      <alignment horizontal="center" vertical="top" wrapText="1"/>
    </xf>
    <xf numFmtId="3" fontId="9" fillId="2" borderId="0" xfId="0" applyNumberFormat="1" applyFont="1" applyFill="1" applyAlignment="1">
      <alignment horizontal="center"/>
    </xf>
    <xf numFmtId="3" fontId="9" fillId="7" borderId="0" xfId="0" applyNumberFormat="1" applyFont="1" applyFill="1" applyAlignment="1">
      <alignment horizontal="center"/>
    </xf>
    <xf numFmtId="3" fontId="15" fillId="0" borderId="0" xfId="0" applyNumberFormat="1" applyFont="1" applyAlignment="1">
      <alignment horizontal="center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0" xfId="0" applyFont="1" applyFill="1" applyBorder="1" applyAlignment="1">
      <alignment horizontal="left" vertical="center" wrapText="1"/>
    </xf>
    <xf numFmtId="0" fontId="0" fillId="0" borderId="21" xfId="0" applyBorder="1" applyAlignment="1">
      <alignment horizontal="center" vertical="top" wrapText="1"/>
    </xf>
    <xf numFmtId="1" fontId="0" fillId="2" borderId="21" xfId="0" applyNumberFormat="1" applyFill="1" applyBorder="1" applyAlignment="1">
      <alignment horizontal="center"/>
    </xf>
    <xf numFmtId="1" fontId="0" fillId="8" borderId="21" xfId="0" applyNumberFormat="1" applyFill="1" applyBorder="1" applyAlignment="1">
      <alignment horizontal="center"/>
    </xf>
    <xf numFmtId="1" fontId="0" fillId="9" borderId="21" xfId="0" applyNumberFormat="1" applyFill="1" applyBorder="1"/>
    <xf numFmtId="4" fontId="0" fillId="0" borderId="0" xfId="0" applyNumberFormat="1" applyAlignment="1">
      <alignment horizontal="center"/>
    </xf>
    <xf numFmtId="0" fontId="0" fillId="2" borderId="21" xfId="0" applyFill="1" applyBorder="1"/>
    <xf numFmtId="0" fontId="0" fillId="2" borderId="21" xfId="0" applyFill="1" applyBorder="1" applyAlignment="1">
      <alignment horizontal="center"/>
    </xf>
    <xf numFmtId="4" fontId="0" fillId="2" borderId="0" xfId="0" applyNumberFormat="1" applyFill="1" applyAlignment="1">
      <alignment horizontal="center"/>
    </xf>
    <xf numFmtId="0" fontId="0" fillId="2" borderId="21" xfId="0" applyFill="1" applyBorder="1" applyAlignment="1">
      <alignment vertical="center"/>
    </xf>
    <xf numFmtId="0" fontId="0" fillId="8" borderId="21" xfId="0" applyFill="1" applyBorder="1"/>
    <xf numFmtId="1" fontId="0" fillId="0" borderId="21" xfId="0" applyNumberFormat="1" applyBorder="1"/>
    <xf numFmtId="0" fontId="0" fillId="0" borderId="22" xfId="0" applyBorder="1" applyAlignment="1">
      <alignment horizontal="right"/>
    </xf>
    <xf numFmtId="0" fontId="0" fillId="8" borderId="21" xfId="0" applyFill="1" applyBorder="1" applyAlignment="1">
      <alignment horizontal="center"/>
    </xf>
    <xf numFmtId="3" fontId="0" fillId="8" borderId="21" xfId="0" applyNumberFormat="1" applyFill="1" applyBorder="1" applyAlignment="1">
      <alignment horizontal="center"/>
    </xf>
    <xf numFmtId="4" fontId="0" fillId="8" borderId="21" xfId="0" applyNumberFormat="1" applyFill="1" applyBorder="1" applyAlignment="1">
      <alignment horizontal="center"/>
    </xf>
    <xf numFmtId="0" fontId="0" fillId="8" borderId="21" xfId="0" applyFill="1" applyBorder="1" applyAlignment="1">
      <alignment vertical="center"/>
    </xf>
    <xf numFmtId="3" fontId="0" fillId="8" borderId="21" xfId="0" applyNumberFormat="1" applyFill="1" applyBorder="1" applyAlignment="1">
      <alignment horizontal="center" vertical="center"/>
    </xf>
    <xf numFmtId="4" fontId="0" fillId="8" borderId="21" xfId="0" applyNumberForma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1" fontId="0" fillId="10" borderId="0" xfId="0" applyNumberFormat="1" applyFill="1" applyAlignment="1">
      <alignment horizontal="center"/>
    </xf>
    <xf numFmtId="0" fontId="0" fillId="10" borderId="0" xfId="0" applyFill="1" applyAlignment="1">
      <alignment horizontal="center"/>
    </xf>
    <xf numFmtId="0" fontId="0" fillId="10" borderId="0" xfId="0" applyFill="1"/>
    <xf numFmtId="0" fontId="9" fillId="10" borderId="0" xfId="0" applyFont="1" applyFill="1" applyAlignment="1">
      <alignment horizontal="center"/>
    </xf>
    <xf numFmtId="1" fontId="0" fillId="10" borderId="0" xfId="0" applyNumberFormat="1" applyFill="1"/>
    <xf numFmtId="0" fontId="0" fillId="0" borderId="26" xfId="0" applyBorder="1" applyAlignment="1">
      <alignment horizontal="center" vertical="top" wrapText="1"/>
    </xf>
    <xf numFmtId="0" fontId="0" fillId="0" borderId="0" xfId="0" applyAlignment="1">
      <alignment vertical="top" wrapText="1"/>
    </xf>
    <xf numFmtId="0" fontId="0" fillId="0" borderId="21" xfId="0" quotePrefix="1" applyBorder="1" applyAlignment="1">
      <alignment horizontal="center" vertical="center"/>
    </xf>
    <xf numFmtId="3" fontId="0" fillId="0" borderId="21" xfId="0" applyNumberFormat="1" applyBorder="1"/>
    <xf numFmtId="1" fontId="0" fillId="11" borderId="21" xfId="0" applyNumberFormat="1" applyFill="1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4" fontId="0" fillId="12" borderId="21" xfId="0" applyNumberFormat="1" applyFill="1" applyBorder="1" applyAlignment="1">
      <alignment horizontal="center"/>
    </xf>
    <xf numFmtId="3" fontId="0" fillId="12" borderId="21" xfId="0" applyNumberForma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horizontal="right" indent="1"/>
    </xf>
    <xf numFmtId="0" fontId="0" fillId="0" borderId="26" xfId="0" applyBorder="1" applyAlignment="1">
      <alignment vertical="top"/>
    </xf>
    <xf numFmtId="0" fontId="0" fillId="0" borderId="26" xfId="0" applyBorder="1" applyAlignment="1">
      <alignment vertical="top" wrapText="1"/>
    </xf>
    <xf numFmtId="1" fontId="0" fillId="6" borderId="21" xfId="0" applyNumberFormat="1" applyFill="1" applyBorder="1" applyAlignment="1">
      <alignment horizontal="center"/>
    </xf>
    <xf numFmtId="3" fontId="0" fillId="6" borderId="21" xfId="0" applyNumberFormat="1" applyFill="1" applyBorder="1" applyAlignment="1">
      <alignment horizontal="center"/>
    </xf>
    <xf numFmtId="0" fontId="0" fillId="0" borderId="21" xfId="0" applyBorder="1" applyAlignment="1">
      <alignment horizontal="center" vertical="top"/>
    </xf>
    <xf numFmtId="0" fontId="0" fillId="0" borderId="29" xfId="0" applyBorder="1" applyAlignment="1">
      <alignment horizontal="center"/>
    </xf>
    <xf numFmtId="0" fontId="6" fillId="0" borderId="21" xfId="0" applyFont="1" applyBorder="1" applyAlignment="1">
      <alignment horizontal="left" vertical="top" wrapText="1"/>
    </xf>
    <xf numFmtId="3" fontId="6" fillId="2" borderId="21" xfId="0" applyNumberFormat="1" applyFont="1" applyFill="1" applyBorder="1" applyAlignment="1">
      <alignment horizontal="center" vertical="top" wrapText="1"/>
    </xf>
    <xf numFmtId="0" fontId="10" fillId="5" borderId="21" xfId="0" applyFont="1" applyFill="1" applyBorder="1" applyAlignment="1">
      <alignment horizontal="left" vertical="center" wrapText="1"/>
    </xf>
    <xf numFmtId="3" fontId="10" fillId="2" borderId="21" xfId="0" applyNumberFormat="1" applyFont="1" applyFill="1" applyBorder="1" applyAlignment="1">
      <alignment horizontal="center" vertical="center" wrapText="1"/>
    </xf>
    <xf numFmtId="3" fontId="9" fillId="2" borderId="21" xfId="0" applyNumberFormat="1" applyFont="1" applyFill="1" applyBorder="1" applyAlignment="1">
      <alignment horizontal="center"/>
    </xf>
    <xf numFmtId="0" fontId="9" fillId="0" borderId="21" xfId="0" applyFont="1" applyBorder="1" applyAlignment="1">
      <alignment horizontal="center"/>
    </xf>
    <xf numFmtId="3" fontId="9" fillId="0" borderId="2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0" fillId="0" borderId="25" xfId="0" applyBorder="1" applyAlignment="1">
      <alignment vertical="top"/>
    </xf>
    <xf numFmtId="0" fontId="0" fillId="0" borderId="26" xfId="0" quotePrefix="1" applyBorder="1" applyAlignment="1">
      <alignment horizontal="center"/>
    </xf>
    <xf numFmtId="3" fontId="10" fillId="5" borderId="21" xfId="0" applyNumberFormat="1" applyFont="1" applyFill="1" applyBorder="1" applyAlignment="1">
      <alignment horizontal="center" vertical="center" wrapText="1"/>
    </xf>
    <xf numFmtId="3" fontId="0" fillId="0" borderId="25" xfId="0" applyNumberFormat="1" applyBorder="1" applyAlignment="1">
      <alignment horizontal="center"/>
    </xf>
    <xf numFmtId="0" fontId="0" fillId="0" borderId="30" xfId="0" quotePrefix="1" applyBorder="1"/>
    <xf numFmtId="3" fontId="0" fillId="0" borderId="0" xfId="0" quotePrefix="1" applyNumberFormat="1" applyAlignment="1">
      <alignment horizontal="center"/>
    </xf>
    <xf numFmtId="3" fontId="0" fillId="10" borderId="0" xfId="0" applyNumberFormat="1" applyFill="1"/>
    <xf numFmtId="3" fontId="0" fillId="10" borderId="0" xfId="0" applyNumberFormat="1" applyFill="1" applyAlignment="1">
      <alignment horizontal="center"/>
    </xf>
    <xf numFmtId="0" fontId="0" fillId="10" borderId="30" xfId="0" applyFill="1" applyBorder="1"/>
    <xf numFmtId="3" fontId="0" fillId="10" borderId="22" xfId="0" applyNumberFormat="1" applyFill="1" applyBorder="1" applyAlignment="1">
      <alignment horizontal="center"/>
    </xf>
    <xf numFmtId="0" fontId="0" fillId="10" borderId="21" xfId="0" applyFill="1" applyBorder="1"/>
    <xf numFmtId="3" fontId="0" fillId="10" borderId="21" xfId="0" applyNumberFormat="1" applyFill="1" applyBorder="1" applyAlignment="1">
      <alignment horizontal="center"/>
    </xf>
    <xf numFmtId="3" fontId="0" fillId="10" borderId="21" xfId="0" applyNumberFormat="1" applyFill="1" applyBorder="1"/>
    <xf numFmtId="0" fontId="1" fillId="0" borderId="23" xfId="0" applyFont="1" applyBorder="1"/>
    <xf numFmtId="0" fontId="0" fillId="0" borderId="22" xfId="0" applyBorder="1" applyAlignment="1">
      <alignment horizontal="center" vertical="top" wrapText="1"/>
    </xf>
    <xf numFmtId="3" fontId="0" fillId="2" borderId="21" xfId="0" applyNumberForma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1" fillId="0" borderId="26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11" fillId="0" borderId="26" xfId="0" applyFont="1" applyBorder="1" applyAlignment="1">
      <alignment horizontal="center" vertical="top" wrapText="1"/>
    </xf>
    <xf numFmtId="0" fontId="11" fillId="0" borderId="27" xfId="0" applyFont="1" applyBorder="1" applyAlignment="1">
      <alignment horizontal="center" vertical="top" wrapText="1"/>
    </xf>
    <xf numFmtId="0" fontId="0" fillId="0" borderId="28" xfId="0" applyBorder="1" applyAlignment="1">
      <alignment horizontal="left"/>
    </xf>
    <xf numFmtId="0" fontId="0" fillId="0" borderId="26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1" xfId="0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0" xfId="0" applyAlignment="1">
      <alignment horizontal="right" vertical="top"/>
    </xf>
    <xf numFmtId="0" fontId="0" fillId="0" borderId="21" xfId="0" applyBorder="1" applyAlignment="1">
      <alignment horizontal="right"/>
    </xf>
    <xf numFmtId="0" fontId="11" fillId="0" borderId="23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0" fillId="0" borderId="21" xfId="0" applyBorder="1" applyAlignment="1">
      <alignment horizontal="center" vertical="center" wrapText="1"/>
    </xf>
    <xf numFmtId="0" fontId="11" fillId="0" borderId="21" xfId="0" applyFont="1" applyBorder="1" applyAlignment="1">
      <alignment horizontal="center"/>
    </xf>
    <xf numFmtId="0" fontId="0" fillId="0" borderId="23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0" fillId="0" borderId="28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7" fillId="0" borderId="0" xfId="0" applyFont="1"/>
    <xf numFmtId="3" fontId="17" fillId="0" borderId="0" xfId="0" applyNumberFormat="1" applyFont="1" applyAlignment="1">
      <alignment horizontal="center"/>
    </xf>
    <xf numFmtId="3" fontId="16" fillId="13" borderId="21" xfId="0" applyNumberFormat="1" applyFont="1" applyFill="1" applyBorder="1" applyAlignment="1">
      <alignment horizontal="center"/>
    </xf>
    <xf numFmtId="1" fontId="16" fillId="13" borderId="21" xfId="0" applyNumberFormat="1" applyFont="1" applyFill="1" applyBorder="1" applyAlignment="1">
      <alignment horizontal="center"/>
    </xf>
    <xf numFmtId="3" fontId="16" fillId="13" borderId="0" xfId="0" applyNumberFormat="1" applyFont="1" applyFill="1" applyAlignment="1">
      <alignment horizontal="center"/>
    </xf>
    <xf numFmtId="1" fontId="16" fillId="13" borderId="0" xfId="0" applyNumberFormat="1" applyFont="1" applyFill="1" applyAlignment="1">
      <alignment horizontal="center"/>
    </xf>
    <xf numFmtId="4" fontId="16" fillId="13" borderId="0" xfId="0" applyNumberFormat="1" applyFont="1" applyFill="1" applyAlignment="1">
      <alignment horizontal="center"/>
    </xf>
    <xf numFmtId="3" fontId="16" fillId="13" borderId="21" xfId="0" applyNumberFormat="1" applyFont="1" applyFill="1" applyBorder="1" applyAlignment="1">
      <alignment horizontal="center" vertical="center"/>
    </xf>
    <xf numFmtId="3" fontId="19" fillId="13" borderId="21" xfId="0" applyNumberFormat="1" applyFont="1" applyFill="1" applyBorder="1" applyAlignment="1">
      <alignment horizontal="center" vertical="top" wrapText="1"/>
    </xf>
    <xf numFmtId="3" fontId="19" fillId="13" borderId="0" xfId="0" applyNumberFormat="1" applyFont="1" applyFill="1" applyAlignment="1">
      <alignment horizontal="center" vertical="center"/>
    </xf>
    <xf numFmtId="3" fontId="19" fillId="13" borderId="0" xfId="0" applyNumberFormat="1" applyFont="1" applyFill="1" applyAlignment="1">
      <alignment horizontal="center"/>
    </xf>
    <xf numFmtId="3" fontId="19" fillId="13" borderId="21" xfId="0" applyNumberFormat="1" applyFont="1" applyFill="1" applyBorder="1" applyAlignment="1">
      <alignment horizontal="center" vertical="center" wrapText="1"/>
    </xf>
    <xf numFmtId="3" fontId="19" fillId="13" borderId="21" xfId="0" applyNumberFormat="1" applyFont="1" applyFill="1" applyBorder="1" applyAlignment="1">
      <alignment horizontal="center"/>
    </xf>
    <xf numFmtId="0" fontId="0" fillId="0" borderId="21" xfId="0" applyBorder="1" applyAlignment="1"/>
    <xf numFmtId="0" fontId="0" fillId="0" borderId="21" xfId="0" applyBorder="1" applyAlignment="1">
      <alignment horizontal="center" vertical="top" wrapText="1"/>
    </xf>
    <xf numFmtId="3" fontId="4" fillId="2" borderId="21" xfId="0" applyNumberFormat="1" applyFont="1" applyFill="1" applyBorder="1" applyAlignment="1">
      <alignment horizontal="center"/>
    </xf>
    <xf numFmtId="3" fontId="18" fillId="13" borderId="2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2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3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4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colors5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9E5E35E9-EDC8-45CF-89FE-D0F4D68CB23B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9149E072-A208-4D2A-AA17-0F73F5EB45BF}">
      <dgm:prSet phldrT="[Text]"/>
      <dgm:spPr/>
      <dgm:t>
        <a:bodyPr/>
        <a:lstStyle/>
        <a:p>
          <a:r>
            <a:rPr lang="en-US"/>
            <a:t>LEGALITAS</a:t>
          </a:r>
        </a:p>
      </dgm:t>
    </dgm:pt>
    <dgm:pt modelId="{B30A9F46-5354-4B32-8714-0E5B42424441}" type="parTrans" cxnId="{44C6AC76-881A-474D-91C8-C65A0A3FAAAF}">
      <dgm:prSet/>
      <dgm:spPr/>
      <dgm:t>
        <a:bodyPr/>
        <a:lstStyle/>
        <a:p>
          <a:endParaRPr lang="en-US"/>
        </a:p>
      </dgm:t>
    </dgm:pt>
    <dgm:pt modelId="{AFDAE1A7-B6C3-4F6D-A438-426D4C1D1A4D}" type="sibTrans" cxnId="{44C6AC76-881A-474D-91C8-C65A0A3FAAAF}">
      <dgm:prSet/>
      <dgm:spPr/>
      <dgm:t>
        <a:bodyPr/>
        <a:lstStyle/>
        <a:p>
          <a:endParaRPr lang="en-US"/>
        </a:p>
      </dgm:t>
    </dgm:pt>
    <dgm:pt modelId="{CF46CEFE-744F-4EC8-B5D7-074A27957BAF}">
      <dgm:prSet phldrT="[Text]"/>
      <dgm:spPr/>
      <dgm:t>
        <a:bodyPr/>
        <a:lstStyle/>
        <a:p>
          <a:r>
            <a:rPr lang="en-US"/>
            <a:t>DEWAN SYURO</a:t>
          </a:r>
        </a:p>
      </dgm:t>
    </dgm:pt>
    <dgm:pt modelId="{E159457D-C458-4A80-A060-3704B76AD5C2}" type="parTrans" cxnId="{5C418B41-E99D-4374-B6CE-B6D826ED8DDC}">
      <dgm:prSet/>
      <dgm:spPr/>
      <dgm:t>
        <a:bodyPr/>
        <a:lstStyle/>
        <a:p>
          <a:endParaRPr lang="en-US"/>
        </a:p>
      </dgm:t>
    </dgm:pt>
    <dgm:pt modelId="{5B6CB87D-3E69-412C-A149-E8BA13A7A07A}" type="sibTrans" cxnId="{5C418B41-E99D-4374-B6CE-B6D826ED8DDC}">
      <dgm:prSet/>
      <dgm:spPr/>
      <dgm:t>
        <a:bodyPr/>
        <a:lstStyle/>
        <a:p>
          <a:endParaRPr lang="en-US"/>
        </a:p>
      </dgm:t>
    </dgm:pt>
    <dgm:pt modelId="{66EFA8CF-8412-4F5D-BB77-28A4FB7E4B7D}" type="pres">
      <dgm:prSet presAssocID="{9E5E35E9-EDC8-45CF-89FE-D0F4D68CB23B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77B78213-C0C0-4423-8EAB-3469FA94CC95}" type="pres">
      <dgm:prSet presAssocID="{9149E072-A208-4D2A-AA17-0F73F5EB45BF}" presName="hierRoot1" presStyleCnt="0">
        <dgm:presLayoutVars>
          <dgm:hierBranch val="init"/>
        </dgm:presLayoutVars>
      </dgm:prSet>
      <dgm:spPr/>
    </dgm:pt>
    <dgm:pt modelId="{1B567669-21BB-4058-A2FC-6EDEC893C5E3}" type="pres">
      <dgm:prSet presAssocID="{9149E072-A208-4D2A-AA17-0F73F5EB45BF}" presName="rootComposite1" presStyleCnt="0"/>
      <dgm:spPr/>
    </dgm:pt>
    <dgm:pt modelId="{8F1D3FC6-CC27-42B5-AB72-2A5E09025009}" type="pres">
      <dgm:prSet presAssocID="{9149E072-A208-4D2A-AA17-0F73F5EB45BF}" presName="rootText1" presStyleLbl="alignAcc1" presStyleIdx="0" presStyleCnt="0">
        <dgm:presLayoutVars>
          <dgm:chPref val="3"/>
        </dgm:presLayoutVars>
      </dgm:prSet>
      <dgm:spPr/>
    </dgm:pt>
    <dgm:pt modelId="{23E3536E-CF87-425F-8BD7-9D321EB748F3}" type="pres">
      <dgm:prSet presAssocID="{9149E072-A208-4D2A-AA17-0F73F5EB45BF}" presName="topArc1" presStyleLbl="parChTrans1D1" presStyleIdx="0" presStyleCnt="4"/>
      <dgm:spPr/>
    </dgm:pt>
    <dgm:pt modelId="{88F93D66-9E75-4FE8-A5CB-4937DF37FFF0}" type="pres">
      <dgm:prSet presAssocID="{9149E072-A208-4D2A-AA17-0F73F5EB45BF}" presName="bottomArc1" presStyleLbl="parChTrans1D1" presStyleIdx="1" presStyleCnt="4"/>
      <dgm:spPr/>
    </dgm:pt>
    <dgm:pt modelId="{B751F669-6F10-436D-ABAF-1FDF736AF15C}" type="pres">
      <dgm:prSet presAssocID="{9149E072-A208-4D2A-AA17-0F73F5EB45BF}" presName="topConnNode1" presStyleLbl="node1" presStyleIdx="0" presStyleCnt="0"/>
      <dgm:spPr/>
    </dgm:pt>
    <dgm:pt modelId="{1FAFC928-40DA-42A9-B141-B52C682253B3}" type="pres">
      <dgm:prSet presAssocID="{9149E072-A208-4D2A-AA17-0F73F5EB45BF}" presName="hierChild2" presStyleCnt="0"/>
      <dgm:spPr/>
    </dgm:pt>
    <dgm:pt modelId="{B5CDD8D2-CFDB-4BB3-B885-42BB66337AD0}" type="pres">
      <dgm:prSet presAssocID="{E159457D-C458-4A80-A060-3704B76AD5C2}" presName="Name28" presStyleLbl="parChTrans1D2" presStyleIdx="0" presStyleCnt="1"/>
      <dgm:spPr/>
    </dgm:pt>
    <dgm:pt modelId="{FBFA64E9-E5D0-426C-854D-53C6ED525952}" type="pres">
      <dgm:prSet presAssocID="{CF46CEFE-744F-4EC8-B5D7-074A27957BAF}" presName="hierRoot2" presStyleCnt="0">
        <dgm:presLayoutVars>
          <dgm:hierBranch val="init"/>
        </dgm:presLayoutVars>
      </dgm:prSet>
      <dgm:spPr/>
    </dgm:pt>
    <dgm:pt modelId="{28434293-717B-4CB1-A338-0DE8D835AABA}" type="pres">
      <dgm:prSet presAssocID="{CF46CEFE-744F-4EC8-B5D7-074A27957BAF}" presName="rootComposite2" presStyleCnt="0"/>
      <dgm:spPr/>
    </dgm:pt>
    <dgm:pt modelId="{1E03D380-370C-4B16-8045-D059A06022B6}" type="pres">
      <dgm:prSet presAssocID="{CF46CEFE-744F-4EC8-B5D7-074A27957BAF}" presName="rootText2" presStyleLbl="alignAcc1" presStyleIdx="0" presStyleCnt="0">
        <dgm:presLayoutVars>
          <dgm:chPref val="3"/>
        </dgm:presLayoutVars>
      </dgm:prSet>
      <dgm:spPr/>
    </dgm:pt>
    <dgm:pt modelId="{DEC9CFAC-4FC4-4227-83D6-178C6FD5C627}" type="pres">
      <dgm:prSet presAssocID="{CF46CEFE-744F-4EC8-B5D7-074A27957BAF}" presName="topArc2" presStyleLbl="parChTrans1D1" presStyleIdx="2" presStyleCnt="4"/>
      <dgm:spPr/>
    </dgm:pt>
    <dgm:pt modelId="{C0B53C78-3AF3-4CFE-B2FF-7A344CAACAEA}" type="pres">
      <dgm:prSet presAssocID="{CF46CEFE-744F-4EC8-B5D7-074A27957BAF}" presName="bottomArc2" presStyleLbl="parChTrans1D1" presStyleIdx="3" presStyleCnt="4"/>
      <dgm:spPr/>
    </dgm:pt>
    <dgm:pt modelId="{6878AE82-AF3F-4FE5-9A6F-EF87E5A5BA3F}" type="pres">
      <dgm:prSet presAssocID="{CF46CEFE-744F-4EC8-B5D7-074A27957BAF}" presName="topConnNode2" presStyleLbl="node2" presStyleIdx="0" presStyleCnt="0"/>
      <dgm:spPr/>
    </dgm:pt>
    <dgm:pt modelId="{4EE662A2-74EE-4A73-B8CA-ED77760A691D}" type="pres">
      <dgm:prSet presAssocID="{CF46CEFE-744F-4EC8-B5D7-074A27957BAF}" presName="hierChild4" presStyleCnt="0"/>
      <dgm:spPr/>
    </dgm:pt>
    <dgm:pt modelId="{86EC0C45-CA27-49DE-8369-B18C613778D3}" type="pres">
      <dgm:prSet presAssocID="{CF46CEFE-744F-4EC8-B5D7-074A27957BAF}" presName="hierChild5" presStyleCnt="0"/>
      <dgm:spPr/>
    </dgm:pt>
    <dgm:pt modelId="{861F3FA9-CD22-4DDB-8BAD-A1D3722E52F1}" type="pres">
      <dgm:prSet presAssocID="{9149E072-A208-4D2A-AA17-0F73F5EB45BF}" presName="hierChild3" presStyleCnt="0"/>
      <dgm:spPr/>
    </dgm:pt>
  </dgm:ptLst>
  <dgm:cxnLst>
    <dgm:cxn modelId="{E68F0C17-D412-47BC-B192-34E35DF7608B}" type="presOf" srcId="{9149E072-A208-4D2A-AA17-0F73F5EB45BF}" destId="{8F1D3FC6-CC27-42B5-AB72-2A5E09025009}" srcOrd="0" destOrd="0" presId="urn:microsoft.com/office/officeart/2008/layout/HalfCircleOrganizationChart"/>
    <dgm:cxn modelId="{FCDF6E3B-5986-4F14-98D5-45E31E7633F1}" type="presOf" srcId="{CF46CEFE-744F-4EC8-B5D7-074A27957BAF}" destId="{6878AE82-AF3F-4FE5-9A6F-EF87E5A5BA3F}" srcOrd="1" destOrd="0" presId="urn:microsoft.com/office/officeart/2008/layout/HalfCircleOrganizationChart"/>
    <dgm:cxn modelId="{5C418B41-E99D-4374-B6CE-B6D826ED8DDC}" srcId="{9149E072-A208-4D2A-AA17-0F73F5EB45BF}" destId="{CF46CEFE-744F-4EC8-B5D7-074A27957BAF}" srcOrd="0" destOrd="0" parTransId="{E159457D-C458-4A80-A060-3704B76AD5C2}" sibTransId="{5B6CB87D-3E69-412C-A149-E8BA13A7A07A}"/>
    <dgm:cxn modelId="{423AC84E-F231-4995-A88A-1FDE1EA8BDF8}" type="presOf" srcId="{9E5E35E9-EDC8-45CF-89FE-D0F4D68CB23B}" destId="{66EFA8CF-8412-4F5D-BB77-28A4FB7E4B7D}" srcOrd="0" destOrd="0" presId="urn:microsoft.com/office/officeart/2008/layout/HalfCircleOrganizationChart"/>
    <dgm:cxn modelId="{44C6AC76-881A-474D-91C8-C65A0A3FAAAF}" srcId="{9E5E35E9-EDC8-45CF-89FE-D0F4D68CB23B}" destId="{9149E072-A208-4D2A-AA17-0F73F5EB45BF}" srcOrd="0" destOrd="0" parTransId="{B30A9F46-5354-4B32-8714-0E5B42424441}" sibTransId="{AFDAE1A7-B6C3-4F6D-A438-426D4C1D1A4D}"/>
    <dgm:cxn modelId="{73C55E57-E8E2-40B5-A33C-E3878DDA9DB1}" type="presOf" srcId="{CF46CEFE-744F-4EC8-B5D7-074A27957BAF}" destId="{1E03D380-370C-4B16-8045-D059A06022B6}" srcOrd="0" destOrd="0" presId="urn:microsoft.com/office/officeart/2008/layout/HalfCircleOrganizationChart"/>
    <dgm:cxn modelId="{8E80E292-BA65-4224-84F7-77A73AE25ECD}" type="presOf" srcId="{E159457D-C458-4A80-A060-3704B76AD5C2}" destId="{B5CDD8D2-CFDB-4BB3-B885-42BB66337AD0}" srcOrd="0" destOrd="0" presId="urn:microsoft.com/office/officeart/2008/layout/HalfCircleOrganizationChart"/>
    <dgm:cxn modelId="{963A37AA-8EDA-4FDB-BA76-96D632A4C539}" type="presOf" srcId="{9149E072-A208-4D2A-AA17-0F73F5EB45BF}" destId="{B751F669-6F10-436D-ABAF-1FDF736AF15C}" srcOrd="1" destOrd="0" presId="urn:microsoft.com/office/officeart/2008/layout/HalfCircleOrganizationChart"/>
    <dgm:cxn modelId="{67D835DF-B89A-4A38-A473-45D7F7A2341D}" type="presParOf" srcId="{66EFA8CF-8412-4F5D-BB77-28A4FB7E4B7D}" destId="{77B78213-C0C0-4423-8EAB-3469FA94CC95}" srcOrd="0" destOrd="0" presId="urn:microsoft.com/office/officeart/2008/layout/HalfCircleOrganizationChart"/>
    <dgm:cxn modelId="{75EC8C25-ACF7-4444-943E-A152444A77E2}" type="presParOf" srcId="{77B78213-C0C0-4423-8EAB-3469FA94CC95}" destId="{1B567669-21BB-4058-A2FC-6EDEC893C5E3}" srcOrd="0" destOrd="0" presId="urn:microsoft.com/office/officeart/2008/layout/HalfCircleOrganizationChart"/>
    <dgm:cxn modelId="{0C1131A0-C79B-4AF3-B3EA-867331DEE6FE}" type="presParOf" srcId="{1B567669-21BB-4058-A2FC-6EDEC893C5E3}" destId="{8F1D3FC6-CC27-42B5-AB72-2A5E09025009}" srcOrd="0" destOrd="0" presId="urn:microsoft.com/office/officeart/2008/layout/HalfCircleOrganizationChart"/>
    <dgm:cxn modelId="{564C9325-ACC5-4EA6-8C72-7444BB3619BE}" type="presParOf" srcId="{1B567669-21BB-4058-A2FC-6EDEC893C5E3}" destId="{23E3536E-CF87-425F-8BD7-9D321EB748F3}" srcOrd="1" destOrd="0" presId="urn:microsoft.com/office/officeart/2008/layout/HalfCircleOrganizationChart"/>
    <dgm:cxn modelId="{291B61BB-0945-48A7-87A6-E2DFD2998D2A}" type="presParOf" srcId="{1B567669-21BB-4058-A2FC-6EDEC893C5E3}" destId="{88F93D66-9E75-4FE8-A5CB-4937DF37FFF0}" srcOrd="2" destOrd="0" presId="urn:microsoft.com/office/officeart/2008/layout/HalfCircleOrganizationChart"/>
    <dgm:cxn modelId="{C41A2DD9-DD3F-4B22-85E5-F41254457A9A}" type="presParOf" srcId="{1B567669-21BB-4058-A2FC-6EDEC893C5E3}" destId="{B751F669-6F10-436D-ABAF-1FDF736AF15C}" srcOrd="3" destOrd="0" presId="urn:microsoft.com/office/officeart/2008/layout/HalfCircleOrganizationChart"/>
    <dgm:cxn modelId="{C2BD8F7B-8789-4BF6-A051-6AA70127A1F8}" type="presParOf" srcId="{77B78213-C0C0-4423-8EAB-3469FA94CC95}" destId="{1FAFC928-40DA-42A9-B141-B52C682253B3}" srcOrd="1" destOrd="0" presId="urn:microsoft.com/office/officeart/2008/layout/HalfCircleOrganizationChart"/>
    <dgm:cxn modelId="{5AABA56B-A670-4866-9128-725E1754688C}" type="presParOf" srcId="{1FAFC928-40DA-42A9-B141-B52C682253B3}" destId="{B5CDD8D2-CFDB-4BB3-B885-42BB66337AD0}" srcOrd="0" destOrd="0" presId="urn:microsoft.com/office/officeart/2008/layout/HalfCircleOrganizationChart"/>
    <dgm:cxn modelId="{2E2AA604-271B-452B-AB9D-771675F3D75D}" type="presParOf" srcId="{1FAFC928-40DA-42A9-B141-B52C682253B3}" destId="{FBFA64E9-E5D0-426C-854D-53C6ED525952}" srcOrd="1" destOrd="0" presId="urn:microsoft.com/office/officeart/2008/layout/HalfCircleOrganizationChart"/>
    <dgm:cxn modelId="{055E0C5C-F65F-4FFA-BE21-4A750E21D5D1}" type="presParOf" srcId="{FBFA64E9-E5D0-426C-854D-53C6ED525952}" destId="{28434293-717B-4CB1-A338-0DE8D835AABA}" srcOrd="0" destOrd="0" presId="urn:microsoft.com/office/officeart/2008/layout/HalfCircleOrganizationChart"/>
    <dgm:cxn modelId="{CA509753-101C-464A-9954-FB8E152C0F45}" type="presParOf" srcId="{28434293-717B-4CB1-A338-0DE8D835AABA}" destId="{1E03D380-370C-4B16-8045-D059A06022B6}" srcOrd="0" destOrd="0" presId="urn:microsoft.com/office/officeart/2008/layout/HalfCircleOrganizationChart"/>
    <dgm:cxn modelId="{CD25AE59-A530-4ADB-953F-CB2AA502750B}" type="presParOf" srcId="{28434293-717B-4CB1-A338-0DE8D835AABA}" destId="{DEC9CFAC-4FC4-4227-83D6-178C6FD5C627}" srcOrd="1" destOrd="0" presId="urn:microsoft.com/office/officeart/2008/layout/HalfCircleOrganizationChart"/>
    <dgm:cxn modelId="{EA20124E-FD6C-4916-B705-CC73E07A02E3}" type="presParOf" srcId="{28434293-717B-4CB1-A338-0DE8D835AABA}" destId="{C0B53C78-3AF3-4CFE-B2FF-7A344CAACAEA}" srcOrd="2" destOrd="0" presId="urn:microsoft.com/office/officeart/2008/layout/HalfCircleOrganizationChart"/>
    <dgm:cxn modelId="{955386A0-A67A-4202-81B5-9CADB51CA8FA}" type="presParOf" srcId="{28434293-717B-4CB1-A338-0DE8D835AABA}" destId="{6878AE82-AF3F-4FE5-9A6F-EF87E5A5BA3F}" srcOrd="3" destOrd="0" presId="urn:microsoft.com/office/officeart/2008/layout/HalfCircleOrganizationChart"/>
    <dgm:cxn modelId="{FC25EF17-10D0-477B-AC8B-20820E1E8C19}" type="presParOf" srcId="{FBFA64E9-E5D0-426C-854D-53C6ED525952}" destId="{4EE662A2-74EE-4A73-B8CA-ED77760A691D}" srcOrd="1" destOrd="0" presId="urn:microsoft.com/office/officeart/2008/layout/HalfCircleOrganizationChart"/>
    <dgm:cxn modelId="{7A91CA6B-521D-4D15-9F7E-B3FF2D59A8BE}" type="presParOf" srcId="{FBFA64E9-E5D0-426C-854D-53C6ED525952}" destId="{86EC0C45-CA27-49DE-8369-B18C613778D3}" srcOrd="2" destOrd="0" presId="urn:microsoft.com/office/officeart/2008/layout/HalfCircleOrganizationChart"/>
    <dgm:cxn modelId="{342A9B02-0324-4AEA-8F15-183423DCCC3E}" type="presParOf" srcId="{77B78213-C0C0-4423-8EAB-3469FA94CC95}" destId="{861F3FA9-CD22-4DDB-8BAD-A1D3722E52F1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ata2.xml><?xml version="1.0" encoding="utf-8"?>
<dgm:dataModel xmlns:dgm="http://schemas.openxmlformats.org/drawingml/2006/diagram" xmlns:a="http://schemas.openxmlformats.org/drawingml/2006/main">
  <dgm:ptLst>
    <dgm:pt modelId="{CB0CA9CD-908E-4269-A3B2-1DC2F683132D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n-US"/>
        </a:p>
      </dgm:t>
    </dgm:pt>
    <dgm:pt modelId="{CCB12927-5DD4-4A67-8646-6DBE79BFB124}">
      <dgm:prSet phldrT="[Text]" phldr="1"/>
      <dgm:spPr/>
      <dgm:t>
        <a:bodyPr/>
        <a:lstStyle/>
        <a:p>
          <a:endParaRPr lang="en-US"/>
        </a:p>
      </dgm:t>
    </dgm:pt>
    <dgm:pt modelId="{15399D90-F29E-4022-ACB4-22203F5E9881}" type="parTrans" cxnId="{09FD24A5-5FC9-4B7E-8E24-7B2D69C1269F}">
      <dgm:prSet/>
      <dgm:spPr/>
      <dgm:t>
        <a:bodyPr/>
        <a:lstStyle/>
        <a:p>
          <a:endParaRPr lang="en-US"/>
        </a:p>
      </dgm:t>
    </dgm:pt>
    <dgm:pt modelId="{EE79F97B-DDFF-4388-8DC6-D7F171CC05CE}" type="sibTrans" cxnId="{09FD24A5-5FC9-4B7E-8E24-7B2D69C1269F}">
      <dgm:prSet/>
      <dgm:spPr/>
      <dgm:t>
        <a:bodyPr/>
        <a:lstStyle/>
        <a:p>
          <a:endParaRPr lang="en-US"/>
        </a:p>
      </dgm:t>
    </dgm:pt>
    <dgm:pt modelId="{7DAE5CFB-72D8-47A7-A084-6FE2CF466A72}" type="asst">
      <dgm:prSet phldrT="[Text]" phldr="1"/>
      <dgm:spPr/>
      <dgm:t>
        <a:bodyPr/>
        <a:lstStyle/>
        <a:p>
          <a:endParaRPr lang="en-US"/>
        </a:p>
      </dgm:t>
    </dgm:pt>
    <dgm:pt modelId="{790C4973-D109-44E7-94A7-06BD610BCFD4}" type="parTrans" cxnId="{E75C4154-7C11-4992-8ACD-85D5BBC6C705}">
      <dgm:prSet/>
      <dgm:spPr/>
      <dgm:t>
        <a:bodyPr/>
        <a:lstStyle/>
        <a:p>
          <a:endParaRPr lang="en-US"/>
        </a:p>
      </dgm:t>
    </dgm:pt>
    <dgm:pt modelId="{00C3D405-E8AB-46F2-A41E-2C4165D62BE1}" type="sibTrans" cxnId="{E75C4154-7C11-4992-8ACD-85D5BBC6C705}">
      <dgm:prSet/>
      <dgm:spPr/>
      <dgm:t>
        <a:bodyPr/>
        <a:lstStyle/>
        <a:p>
          <a:endParaRPr lang="en-US"/>
        </a:p>
      </dgm:t>
    </dgm:pt>
    <dgm:pt modelId="{3D8C8DBF-6197-4B35-9A07-3457CC5EAA77}">
      <dgm:prSet phldrT="[Text]" phldr="1"/>
      <dgm:spPr/>
      <dgm:t>
        <a:bodyPr/>
        <a:lstStyle/>
        <a:p>
          <a:endParaRPr lang="en-US"/>
        </a:p>
      </dgm:t>
    </dgm:pt>
    <dgm:pt modelId="{00C2F282-6844-4721-A66B-E33359CA2364}" type="parTrans" cxnId="{5F25442D-06E0-453E-B5C6-B2AA3AC1FC1F}">
      <dgm:prSet/>
      <dgm:spPr/>
      <dgm:t>
        <a:bodyPr/>
        <a:lstStyle/>
        <a:p>
          <a:endParaRPr lang="en-US"/>
        </a:p>
      </dgm:t>
    </dgm:pt>
    <dgm:pt modelId="{6709F9CB-8E89-4982-A524-78B465163D25}" type="sibTrans" cxnId="{5F25442D-06E0-453E-B5C6-B2AA3AC1FC1F}">
      <dgm:prSet/>
      <dgm:spPr/>
      <dgm:t>
        <a:bodyPr/>
        <a:lstStyle/>
        <a:p>
          <a:endParaRPr lang="en-US"/>
        </a:p>
      </dgm:t>
    </dgm:pt>
    <dgm:pt modelId="{8ACEB92A-E66D-4B74-9117-3DA4C6E065AB}">
      <dgm:prSet phldrT="[Text]" phldr="1"/>
      <dgm:spPr/>
      <dgm:t>
        <a:bodyPr/>
        <a:lstStyle/>
        <a:p>
          <a:endParaRPr lang="en-US"/>
        </a:p>
      </dgm:t>
    </dgm:pt>
    <dgm:pt modelId="{FD9F0B59-A930-4501-A1FF-3F24DADD600E}" type="parTrans" cxnId="{FDFC7FCE-5B77-4C7F-8DC0-FBBB1D4263C4}">
      <dgm:prSet/>
      <dgm:spPr/>
      <dgm:t>
        <a:bodyPr/>
        <a:lstStyle/>
        <a:p>
          <a:endParaRPr lang="en-US"/>
        </a:p>
      </dgm:t>
    </dgm:pt>
    <dgm:pt modelId="{910F2E76-76DE-441C-A0A1-7EE7CB9BA4CF}" type="sibTrans" cxnId="{FDFC7FCE-5B77-4C7F-8DC0-FBBB1D4263C4}">
      <dgm:prSet/>
      <dgm:spPr/>
      <dgm:t>
        <a:bodyPr/>
        <a:lstStyle/>
        <a:p>
          <a:endParaRPr lang="en-US"/>
        </a:p>
      </dgm:t>
    </dgm:pt>
    <dgm:pt modelId="{5DBB6FA3-FDB8-4015-8F20-86D09F351D60}">
      <dgm:prSet phldrT="[Text]" phldr="1"/>
      <dgm:spPr/>
      <dgm:t>
        <a:bodyPr/>
        <a:lstStyle/>
        <a:p>
          <a:endParaRPr lang="en-US"/>
        </a:p>
      </dgm:t>
    </dgm:pt>
    <dgm:pt modelId="{4810B588-6527-4517-B611-329D8D2C6329}" type="parTrans" cxnId="{42DC6C36-D913-4A0E-A19B-BB777D93D2EA}">
      <dgm:prSet/>
      <dgm:spPr/>
      <dgm:t>
        <a:bodyPr/>
        <a:lstStyle/>
        <a:p>
          <a:endParaRPr lang="en-US"/>
        </a:p>
      </dgm:t>
    </dgm:pt>
    <dgm:pt modelId="{85F0A74A-1195-4378-A433-462A9CEBF7F3}" type="sibTrans" cxnId="{42DC6C36-D913-4A0E-A19B-BB777D93D2EA}">
      <dgm:prSet/>
      <dgm:spPr/>
      <dgm:t>
        <a:bodyPr/>
        <a:lstStyle/>
        <a:p>
          <a:endParaRPr lang="en-US"/>
        </a:p>
      </dgm:t>
    </dgm:pt>
    <dgm:pt modelId="{E772805C-7EF9-4E79-B5B1-AE55B5CD422A}" type="pres">
      <dgm:prSet presAssocID="{CB0CA9CD-908E-4269-A3B2-1DC2F683132D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FE8DBD18-2A60-480D-BB0C-E952198389A2}" type="pres">
      <dgm:prSet presAssocID="{CCB12927-5DD4-4A67-8646-6DBE79BFB124}" presName="hierRoot1" presStyleCnt="0">
        <dgm:presLayoutVars>
          <dgm:hierBranch val="init"/>
        </dgm:presLayoutVars>
      </dgm:prSet>
      <dgm:spPr/>
    </dgm:pt>
    <dgm:pt modelId="{4FD60023-6010-44A1-BFC9-34FFB4A4B011}" type="pres">
      <dgm:prSet presAssocID="{CCB12927-5DD4-4A67-8646-6DBE79BFB124}" presName="rootComposite1" presStyleCnt="0"/>
      <dgm:spPr/>
    </dgm:pt>
    <dgm:pt modelId="{42EE5D6F-4F09-4DF2-877A-F21C7F3BA072}" type="pres">
      <dgm:prSet presAssocID="{CCB12927-5DD4-4A67-8646-6DBE79BFB124}" presName="rootText1" presStyleLbl="alignAcc1" presStyleIdx="0" presStyleCnt="0">
        <dgm:presLayoutVars>
          <dgm:chPref val="3"/>
        </dgm:presLayoutVars>
      </dgm:prSet>
      <dgm:spPr/>
    </dgm:pt>
    <dgm:pt modelId="{DBE99EF7-708B-4A25-9FB2-3F95F3EA22A8}" type="pres">
      <dgm:prSet presAssocID="{CCB12927-5DD4-4A67-8646-6DBE79BFB124}" presName="topArc1" presStyleLbl="parChTrans1D1" presStyleIdx="0" presStyleCnt="10"/>
      <dgm:spPr/>
    </dgm:pt>
    <dgm:pt modelId="{6ACE148B-2EDB-4862-B790-782D3A72B6CD}" type="pres">
      <dgm:prSet presAssocID="{CCB12927-5DD4-4A67-8646-6DBE79BFB124}" presName="bottomArc1" presStyleLbl="parChTrans1D1" presStyleIdx="1" presStyleCnt="10"/>
      <dgm:spPr/>
    </dgm:pt>
    <dgm:pt modelId="{2C644294-B529-47C3-BD3F-40CF6694079B}" type="pres">
      <dgm:prSet presAssocID="{CCB12927-5DD4-4A67-8646-6DBE79BFB124}" presName="topConnNode1" presStyleLbl="node1" presStyleIdx="0" presStyleCnt="0"/>
      <dgm:spPr/>
    </dgm:pt>
    <dgm:pt modelId="{91E46D43-A587-415D-93F0-CDFF7286B7EB}" type="pres">
      <dgm:prSet presAssocID="{CCB12927-5DD4-4A67-8646-6DBE79BFB124}" presName="hierChild2" presStyleCnt="0"/>
      <dgm:spPr/>
    </dgm:pt>
    <dgm:pt modelId="{E3B1389F-7D39-44F0-B462-97D66E1CC466}" type="pres">
      <dgm:prSet presAssocID="{00C2F282-6844-4721-A66B-E33359CA2364}" presName="Name28" presStyleLbl="parChTrans1D2" presStyleIdx="0" presStyleCnt="4"/>
      <dgm:spPr/>
    </dgm:pt>
    <dgm:pt modelId="{B4052FC7-B7B3-4AA3-9B5C-678A31AFE97A}" type="pres">
      <dgm:prSet presAssocID="{3D8C8DBF-6197-4B35-9A07-3457CC5EAA77}" presName="hierRoot2" presStyleCnt="0">
        <dgm:presLayoutVars>
          <dgm:hierBranch val="init"/>
        </dgm:presLayoutVars>
      </dgm:prSet>
      <dgm:spPr/>
    </dgm:pt>
    <dgm:pt modelId="{2662CDDF-5412-430C-8B1E-C6511AEE8348}" type="pres">
      <dgm:prSet presAssocID="{3D8C8DBF-6197-4B35-9A07-3457CC5EAA77}" presName="rootComposite2" presStyleCnt="0"/>
      <dgm:spPr/>
    </dgm:pt>
    <dgm:pt modelId="{F2B785E9-B4A9-4D15-A42A-353ED39A63AB}" type="pres">
      <dgm:prSet presAssocID="{3D8C8DBF-6197-4B35-9A07-3457CC5EAA77}" presName="rootText2" presStyleLbl="alignAcc1" presStyleIdx="0" presStyleCnt="0">
        <dgm:presLayoutVars>
          <dgm:chPref val="3"/>
        </dgm:presLayoutVars>
      </dgm:prSet>
      <dgm:spPr/>
    </dgm:pt>
    <dgm:pt modelId="{A6F25F0A-17E3-4513-866A-923A8D6C2923}" type="pres">
      <dgm:prSet presAssocID="{3D8C8DBF-6197-4B35-9A07-3457CC5EAA77}" presName="topArc2" presStyleLbl="parChTrans1D1" presStyleIdx="2" presStyleCnt="10"/>
      <dgm:spPr/>
    </dgm:pt>
    <dgm:pt modelId="{F7E275C1-BE03-4E2B-BD69-ECE64F831B17}" type="pres">
      <dgm:prSet presAssocID="{3D8C8DBF-6197-4B35-9A07-3457CC5EAA77}" presName="bottomArc2" presStyleLbl="parChTrans1D1" presStyleIdx="3" presStyleCnt="10"/>
      <dgm:spPr/>
    </dgm:pt>
    <dgm:pt modelId="{6FC4D9A9-0C99-4DE3-B536-7E6A5737396E}" type="pres">
      <dgm:prSet presAssocID="{3D8C8DBF-6197-4B35-9A07-3457CC5EAA77}" presName="topConnNode2" presStyleLbl="node2" presStyleIdx="0" presStyleCnt="0"/>
      <dgm:spPr/>
    </dgm:pt>
    <dgm:pt modelId="{31FB1FF7-8023-41C1-8E1F-B80D5785E9DB}" type="pres">
      <dgm:prSet presAssocID="{3D8C8DBF-6197-4B35-9A07-3457CC5EAA77}" presName="hierChild4" presStyleCnt="0"/>
      <dgm:spPr/>
    </dgm:pt>
    <dgm:pt modelId="{12D36E21-F667-48A3-8DA7-3624A197AA17}" type="pres">
      <dgm:prSet presAssocID="{3D8C8DBF-6197-4B35-9A07-3457CC5EAA77}" presName="hierChild5" presStyleCnt="0"/>
      <dgm:spPr/>
    </dgm:pt>
    <dgm:pt modelId="{8CACA3BC-B9B8-418D-8C6D-30A4047A21D0}" type="pres">
      <dgm:prSet presAssocID="{FD9F0B59-A930-4501-A1FF-3F24DADD600E}" presName="Name28" presStyleLbl="parChTrans1D2" presStyleIdx="1" presStyleCnt="4"/>
      <dgm:spPr/>
    </dgm:pt>
    <dgm:pt modelId="{A391A4C0-41B9-4650-AF83-5C30B76830FB}" type="pres">
      <dgm:prSet presAssocID="{8ACEB92A-E66D-4B74-9117-3DA4C6E065AB}" presName="hierRoot2" presStyleCnt="0">
        <dgm:presLayoutVars>
          <dgm:hierBranch val="init"/>
        </dgm:presLayoutVars>
      </dgm:prSet>
      <dgm:spPr/>
    </dgm:pt>
    <dgm:pt modelId="{378308E5-2881-4423-8BD6-12859C4D275E}" type="pres">
      <dgm:prSet presAssocID="{8ACEB92A-E66D-4B74-9117-3DA4C6E065AB}" presName="rootComposite2" presStyleCnt="0"/>
      <dgm:spPr/>
    </dgm:pt>
    <dgm:pt modelId="{1EA9564B-7AF7-4E5F-A983-5D2594F8F462}" type="pres">
      <dgm:prSet presAssocID="{8ACEB92A-E66D-4B74-9117-3DA4C6E065AB}" presName="rootText2" presStyleLbl="alignAcc1" presStyleIdx="0" presStyleCnt="0" custScaleY="96587">
        <dgm:presLayoutVars>
          <dgm:chPref val="3"/>
        </dgm:presLayoutVars>
      </dgm:prSet>
      <dgm:spPr/>
    </dgm:pt>
    <dgm:pt modelId="{EC811AFB-0543-4C9F-BB4B-2784D2737501}" type="pres">
      <dgm:prSet presAssocID="{8ACEB92A-E66D-4B74-9117-3DA4C6E065AB}" presName="topArc2" presStyleLbl="parChTrans1D1" presStyleIdx="4" presStyleCnt="10"/>
      <dgm:spPr/>
    </dgm:pt>
    <dgm:pt modelId="{FE290D92-83C8-49D3-8066-D74A4782EBF3}" type="pres">
      <dgm:prSet presAssocID="{8ACEB92A-E66D-4B74-9117-3DA4C6E065AB}" presName="bottomArc2" presStyleLbl="parChTrans1D1" presStyleIdx="5" presStyleCnt="10"/>
      <dgm:spPr/>
    </dgm:pt>
    <dgm:pt modelId="{0C417EA9-538C-4D8D-801E-EB9BBEF5F2C9}" type="pres">
      <dgm:prSet presAssocID="{8ACEB92A-E66D-4B74-9117-3DA4C6E065AB}" presName="topConnNode2" presStyleLbl="node2" presStyleIdx="0" presStyleCnt="0"/>
      <dgm:spPr/>
    </dgm:pt>
    <dgm:pt modelId="{0FDE063F-903A-4C5C-A552-4263F5418230}" type="pres">
      <dgm:prSet presAssocID="{8ACEB92A-E66D-4B74-9117-3DA4C6E065AB}" presName="hierChild4" presStyleCnt="0"/>
      <dgm:spPr/>
    </dgm:pt>
    <dgm:pt modelId="{5129F583-9950-4E19-9746-DEAF45D6696D}" type="pres">
      <dgm:prSet presAssocID="{8ACEB92A-E66D-4B74-9117-3DA4C6E065AB}" presName="hierChild5" presStyleCnt="0"/>
      <dgm:spPr/>
    </dgm:pt>
    <dgm:pt modelId="{CD7194A2-0387-42DC-B558-7A2F50699B93}" type="pres">
      <dgm:prSet presAssocID="{4810B588-6527-4517-B611-329D8D2C6329}" presName="Name28" presStyleLbl="parChTrans1D2" presStyleIdx="2" presStyleCnt="4"/>
      <dgm:spPr/>
    </dgm:pt>
    <dgm:pt modelId="{2914E69F-FC09-4DD4-819B-AF0A38F4400D}" type="pres">
      <dgm:prSet presAssocID="{5DBB6FA3-FDB8-4015-8F20-86D09F351D60}" presName="hierRoot2" presStyleCnt="0">
        <dgm:presLayoutVars>
          <dgm:hierBranch val="init"/>
        </dgm:presLayoutVars>
      </dgm:prSet>
      <dgm:spPr/>
    </dgm:pt>
    <dgm:pt modelId="{C35B2B73-28B1-4353-A32A-8FFD18B561F0}" type="pres">
      <dgm:prSet presAssocID="{5DBB6FA3-FDB8-4015-8F20-86D09F351D60}" presName="rootComposite2" presStyleCnt="0"/>
      <dgm:spPr/>
    </dgm:pt>
    <dgm:pt modelId="{05DE5058-029E-4B83-88B7-17FE4104F076}" type="pres">
      <dgm:prSet presAssocID="{5DBB6FA3-FDB8-4015-8F20-86D09F351D60}" presName="rootText2" presStyleLbl="alignAcc1" presStyleIdx="0" presStyleCnt="0">
        <dgm:presLayoutVars>
          <dgm:chPref val="3"/>
        </dgm:presLayoutVars>
      </dgm:prSet>
      <dgm:spPr/>
    </dgm:pt>
    <dgm:pt modelId="{DEE4F947-BC2A-418C-9DC7-E6D7036EC1DB}" type="pres">
      <dgm:prSet presAssocID="{5DBB6FA3-FDB8-4015-8F20-86D09F351D60}" presName="topArc2" presStyleLbl="parChTrans1D1" presStyleIdx="6" presStyleCnt="10"/>
      <dgm:spPr/>
    </dgm:pt>
    <dgm:pt modelId="{9100E97A-3416-4F5E-912E-4E9455B462E3}" type="pres">
      <dgm:prSet presAssocID="{5DBB6FA3-FDB8-4015-8F20-86D09F351D60}" presName="bottomArc2" presStyleLbl="parChTrans1D1" presStyleIdx="7" presStyleCnt="10"/>
      <dgm:spPr/>
    </dgm:pt>
    <dgm:pt modelId="{0C79E619-B55A-44E3-855D-858489724870}" type="pres">
      <dgm:prSet presAssocID="{5DBB6FA3-FDB8-4015-8F20-86D09F351D60}" presName="topConnNode2" presStyleLbl="node2" presStyleIdx="0" presStyleCnt="0"/>
      <dgm:spPr/>
    </dgm:pt>
    <dgm:pt modelId="{D68B581D-6C6A-4B26-967F-9FEC4E534E96}" type="pres">
      <dgm:prSet presAssocID="{5DBB6FA3-FDB8-4015-8F20-86D09F351D60}" presName="hierChild4" presStyleCnt="0"/>
      <dgm:spPr/>
    </dgm:pt>
    <dgm:pt modelId="{3E73DF5E-8391-427A-82D5-1696FB5A5F59}" type="pres">
      <dgm:prSet presAssocID="{5DBB6FA3-FDB8-4015-8F20-86D09F351D60}" presName="hierChild5" presStyleCnt="0"/>
      <dgm:spPr/>
    </dgm:pt>
    <dgm:pt modelId="{2FC9DF81-B039-4197-B7BC-EA76E5664E6B}" type="pres">
      <dgm:prSet presAssocID="{CCB12927-5DD4-4A67-8646-6DBE79BFB124}" presName="hierChild3" presStyleCnt="0"/>
      <dgm:spPr/>
    </dgm:pt>
    <dgm:pt modelId="{E8572DC4-1E6D-4EF9-8721-55EF6F3A451F}" type="pres">
      <dgm:prSet presAssocID="{790C4973-D109-44E7-94A7-06BD610BCFD4}" presName="Name101" presStyleLbl="parChTrans1D2" presStyleIdx="3" presStyleCnt="4"/>
      <dgm:spPr/>
    </dgm:pt>
    <dgm:pt modelId="{B9BEFE6B-BF8D-4E04-88EF-EB7F4F8FB8CA}" type="pres">
      <dgm:prSet presAssocID="{7DAE5CFB-72D8-47A7-A084-6FE2CF466A72}" presName="hierRoot3" presStyleCnt="0">
        <dgm:presLayoutVars>
          <dgm:hierBranch val="init"/>
        </dgm:presLayoutVars>
      </dgm:prSet>
      <dgm:spPr/>
    </dgm:pt>
    <dgm:pt modelId="{A8AD92CB-9533-4CE0-8D10-7A31108F87B1}" type="pres">
      <dgm:prSet presAssocID="{7DAE5CFB-72D8-47A7-A084-6FE2CF466A72}" presName="rootComposite3" presStyleCnt="0"/>
      <dgm:spPr/>
    </dgm:pt>
    <dgm:pt modelId="{8CCF55D8-6793-4DC6-8B7E-5EA8636CEC7A}" type="pres">
      <dgm:prSet presAssocID="{7DAE5CFB-72D8-47A7-A084-6FE2CF466A72}" presName="rootText3" presStyleLbl="alignAcc1" presStyleIdx="0" presStyleCnt="0">
        <dgm:presLayoutVars>
          <dgm:chPref val="3"/>
        </dgm:presLayoutVars>
      </dgm:prSet>
      <dgm:spPr/>
    </dgm:pt>
    <dgm:pt modelId="{32418B1D-A4D8-4254-95D7-9E173572CD44}" type="pres">
      <dgm:prSet presAssocID="{7DAE5CFB-72D8-47A7-A084-6FE2CF466A72}" presName="topArc3" presStyleLbl="parChTrans1D1" presStyleIdx="8" presStyleCnt="10"/>
      <dgm:spPr/>
    </dgm:pt>
    <dgm:pt modelId="{5712368F-E6FE-4266-9953-7D9F01BF1D18}" type="pres">
      <dgm:prSet presAssocID="{7DAE5CFB-72D8-47A7-A084-6FE2CF466A72}" presName="bottomArc3" presStyleLbl="parChTrans1D1" presStyleIdx="9" presStyleCnt="10"/>
      <dgm:spPr/>
    </dgm:pt>
    <dgm:pt modelId="{ECD2D90D-500F-4EE4-860F-FA9968585790}" type="pres">
      <dgm:prSet presAssocID="{7DAE5CFB-72D8-47A7-A084-6FE2CF466A72}" presName="topConnNode3" presStyleLbl="asst1" presStyleIdx="0" presStyleCnt="0"/>
      <dgm:spPr/>
    </dgm:pt>
    <dgm:pt modelId="{F1237579-FADF-45A0-B4C0-24ECA6893CB8}" type="pres">
      <dgm:prSet presAssocID="{7DAE5CFB-72D8-47A7-A084-6FE2CF466A72}" presName="hierChild6" presStyleCnt="0"/>
      <dgm:spPr/>
    </dgm:pt>
    <dgm:pt modelId="{1BC9BDB8-FD3F-48A7-A074-B2289FDD21A9}" type="pres">
      <dgm:prSet presAssocID="{7DAE5CFB-72D8-47A7-A084-6FE2CF466A72}" presName="hierChild7" presStyleCnt="0"/>
      <dgm:spPr/>
    </dgm:pt>
  </dgm:ptLst>
  <dgm:cxnLst>
    <dgm:cxn modelId="{BF68C200-1189-4AD0-8801-5391235B5B10}" type="presOf" srcId="{CCB12927-5DD4-4A67-8646-6DBE79BFB124}" destId="{42EE5D6F-4F09-4DF2-877A-F21C7F3BA072}" srcOrd="0" destOrd="0" presId="urn:microsoft.com/office/officeart/2008/layout/HalfCircleOrganizationChart"/>
    <dgm:cxn modelId="{5F25442D-06E0-453E-B5C6-B2AA3AC1FC1F}" srcId="{CCB12927-5DD4-4A67-8646-6DBE79BFB124}" destId="{3D8C8DBF-6197-4B35-9A07-3457CC5EAA77}" srcOrd="1" destOrd="0" parTransId="{00C2F282-6844-4721-A66B-E33359CA2364}" sibTransId="{6709F9CB-8E89-4982-A524-78B465163D25}"/>
    <dgm:cxn modelId="{0979CF2E-C465-4C06-90E6-2F06BF01D645}" type="presOf" srcId="{3D8C8DBF-6197-4B35-9A07-3457CC5EAA77}" destId="{F2B785E9-B4A9-4D15-A42A-353ED39A63AB}" srcOrd="0" destOrd="0" presId="urn:microsoft.com/office/officeart/2008/layout/HalfCircleOrganizationChart"/>
    <dgm:cxn modelId="{A9808232-8945-4C47-B003-65127BAC1576}" type="presOf" srcId="{5DBB6FA3-FDB8-4015-8F20-86D09F351D60}" destId="{05DE5058-029E-4B83-88B7-17FE4104F076}" srcOrd="0" destOrd="0" presId="urn:microsoft.com/office/officeart/2008/layout/HalfCircleOrganizationChart"/>
    <dgm:cxn modelId="{42DC6C36-D913-4A0E-A19B-BB777D93D2EA}" srcId="{CCB12927-5DD4-4A67-8646-6DBE79BFB124}" destId="{5DBB6FA3-FDB8-4015-8F20-86D09F351D60}" srcOrd="3" destOrd="0" parTransId="{4810B588-6527-4517-B611-329D8D2C6329}" sibTransId="{85F0A74A-1195-4378-A433-462A9CEBF7F3}"/>
    <dgm:cxn modelId="{E1881465-40F0-4EF2-8A46-4DDB64B55D6B}" type="presOf" srcId="{4810B588-6527-4517-B611-329D8D2C6329}" destId="{CD7194A2-0387-42DC-B558-7A2F50699B93}" srcOrd="0" destOrd="0" presId="urn:microsoft.com/office/officeart/2008/layout/HalfCircleOrganizationChart"/>
    <dgm:cxn modelId="{9B644B6D-4237-4639-8E0A-C6E2BF985512}" type="presOf" srcId="{790C4973-D109-44E7-94A7-06BD610BCFD4}" destId="{E8572DC4-1E6D-4EF9-8721-55EF6F3A451F}" srcOrd="0" destOrd="0" presId="urn:microsoft.com/office/officeart/2008/layout/HalfCircleOrganizationChart"/>
    <dgm:cxn modelId="{E75C4154-7C11-4992-8ACD-85D5BBC6C705}" srcId="{CCB12927-5DD4-4A67-8646-6DBE79BFB124}" destId="{7DAE5CFB-72D8-47A7-A084-6FE2CF466A72}" srcOrd="0" destOrd="0" parTransId="{790C4973-D109-44E7-94A7-06BD610BCFD4}" sibTransId="{00C3D405-E8AB-46F2-A41E-2C4165D62BE1}"/>
    <dgm:cxn modelId="{4FD1F47B-A58D-4EA7-9740-EC25B55D0839}" type="presOf" srcId="{7DAE5CFB-72D8-47A7-A084-6FE2CF466A72}" destId="{ECD2D90D-500F-4EE4-860F-FA9968585790}" srcOrd="1" destOrd="0" presId="urn:microsoft.com/office/officeart/2008/layout/HalfCircleOrganizationChart"/>
    <dgm:cxn modelId="{E85EDF7D-2BD4-424A-9F46-B911A4CBC98F}" type="presOf" srcId="{3D8C8DBF-6197-4B35-9A07-3457CC5EAA77}" destId="{6FC4D9A9-0C99-4DE3-B536-7E6A5737396E}" srcOrd="1" destOrd="0" presId="urn:microsoft.com/office/officeart/2008/layout/HalfCircleOrganizationChart"/>
    <dgm:cxn modelId="{648D647F-2995-4CA6-9CE1-5456FE3FE290}" type="presOf" srcId="{FD9F0B59-A930-4501-A1FF-3F24DADD600E}" destId="{8CACA3BC-B9B8-418D-8C6D-30A4047A21D0}" srcOrd="0" destOrd="0" presId="urn:microsoft.com/office/officeart/2008/layout/HalfCircleOrganizationChart"/>
    <dgm:cxn modelId="{DBF99795-441B-4A75-81ED-313E27F40D8E}" type="presOf" srcId="{CB0CA9CD-908E-4269-A3B2-1DC2F683132D}" destId="{E772805C-7EF9-4E79-B5B1-AE55B5CD422A}" srcOrd="0" destOrd="0" presId="urn:microsoft.com/office/officeart/2008/layout/HalfCircleOrganizationChart"/>
    <dgm:cxn modelId="{962765A3-0BF5-481D-B9EE-719CE1D90181}" type="presOf" srcId="{7DAE5CFB-72D8-47A7-A084-6FE2CF466A72}" destId="{8CCF55D8-6793-4DC6-8B7E-5EA8636CEC7A}" srcOrd="0" destOrd="0" presId="urn:microsoft.com/office/officeart/2008/layout/HalfCircleOrganizationChart"/>
    <dgm:cxn modelId="{09FD24A5-5FC9-4B7E-8E24-7B2D69C1269F}" srcId="{CB0CA9CD-908E-4269-A3B2-1DC2F683132D}" destId="{CCB12927-5DD4-4A67-8646-6DBE79BFB124}" srcOrd="0" destOrd="0" parTransId="{15399D90-F29E-4022-ACB4-22203F5E9881}" sibTransId="{EE79F97B-DDFF-4388-8DC6-D7F171CC05CE}"/>
    <dgm:cxn modelId="{B624D5A8-3035-4EAE-832F-5E86C7EF5275}" type="presOf" srcId="{CCB12927-5DD4-4A67-8646-6DBE79BFB124}" destId="{2C644294-B529-47C3-BD3F-40CF6694079B}" srcOrd="1" destOrd="0" presId="urn:microsoft.com/office/officeart/2008/layout/HalfCircleOrganizationChart"/>
    <dgm:cxn modelId="{2E3B8CB5-1308-43FF-B7E7-609F44D5C2F2}" type="presOf" srcId="{00C2F282-6844-4721-A66B-E33359CA2364}" destId="{E3B1389F-7D39-44F0-B462-97D66E1CC466}" srcOrd="0" destOrd="0" presId="urn:microsoft.com/office/officeart/2008/layout/HalfCircleOrganizationChart"/>
    <dgm:cxn modelId="{D166B7C4-6D16-448A-AB61-D32B51723140}" type="presOf" srcId="{8ACEB92A-E66D-4B74-9117-3DA4C6E065AB}" destId="{1EA9564B-7AF7-4E5F-A983-5D2594F8F462}" srcOrd="0" destOrd="0" presId="urn:microsoft.com/office/officeart/2008/layout/HalfCircleOrganizationChart"/>
    <dgm:cxn modelId="{FDFC7FCE-5B77-4C7F-8DC0-FBBB1D4263C4}" srcId="{CCB12927-5DD4-4A67-8646-6DBE79BFB124}" destId="{8ACEB92A-E66D-4B74-9117-3DA4C6E065AB}" srcOrd="2" destOrd="0" parTransId="{FD9F0B59-A930-4501-A1FF-3F24DADD600E}" sibTransId="{910F2E76-76DE-441C-A0A1-7EE7CB9BA4CF}"/>
    <dgm:cxn modelId="{62715AD5-FA60-4C09-9540-062C261EBD11}" type="presOf" srcId="{5DBB6FA3-FDB8-4015-8F20-86D09F351D60}" destId="{0C79E619-B55A-44E3-855D-858489724870}" srcOrd="1" destOrd="0" presId="urn:microsoft.com/office/officeart/2008/layout/HalfCircleOrganizationChart"/>
    <dgm:cxn modelId="{2B1C23DD-C1C8-4691-A793-179423741ACC}" type="presOf" srcId="{8ACEB92A-E66D-4B74-9117-3DA4C6E065AB}" destId="{0C417EA9-538C-4D8D-801E-EB9BBEF5F2C9}" srcOrd="1" destOrd="0" presId="urn:microsoft.com/office/officeart/2008/layout/HalfCircleOrganizationChart"/>
    <dgm:cxn modelId="{FE074AFC-F671-445E-ADAA-7A7BFE70CA0F}" type="presParOf" srcId="{E772805C-7EF9-4E79-B5B1-AE55B5CD422A}" destId="{FE8DBD18-2A60-480D-BB0C-E952198389A2}" srcOrd="0" destOrd="0" presId="urn:microsoft.com/office/officeart/2008/layout/HalfCircleOrganizationChart"/>
    <dgm:cxn modelId="{2DD26E36-6122-494D-8859-F214AA383D49}" type="presParOf" srcId="{FE8DBD18-2A60-480D-BB0C-E952198389A2}" destId="{4FD60023-6010-44A1-BFC9-34FFB4A4B011}" srcOrd="0" destOrd="0" presId="urn:microsoft.com/office/officeart/2008/layout/HalfCircleOrganizationChart"/>
    <dgm:cxn modelId="{2574F5ED-5880-41A0-8B25-A98CE528A707}" type="presParOf" srcId="{4FD60023-6010-44A1-BFC9-34FFB4A4B011}" destId="{42EE5D6F-4F09-4DF2-877A-F21C7F3BA072}" srcOrd="0" destOrd="0" presId="urn:microsoft.com/office/officeart/2008/layout/HalfCircleOrganizationChart"/>
    <dgm:cxn modelId="{1531FDE7-D40D-47A5-A653-3390FA3C185F}" type="presParOf" srcId="{4FD60023-6010-44A1-BFC9-34FFB4A4B011}" destId="{DBE99EF7-708B-4A25-9FB2-3F95F3EA22A8}" srcOrd="1" destOrd="0" presId="urn:microsoft.com/office/officeart/2008/layout/HalfCircleOrganizationChart"/>
    <dgm:cxn modelId="{41310BEA-5D9E-4327-BA61-A032C38343C6}" type="presParOf" srcId="{4FD60023-6010-44A1-BFC9-34FFB4A4B011}" destId="{6ACE148B-2EDB-4862-B790-782D3A72B6CD}" srcOrd="2" destOrd="0" presId="urn:microsoft.com/office/officeart/2008/layout/HalfCircleOrganizationChart"/>
    <dgm:cxn modelId="{656EE166-CCF9-4F89-9FBB-4115DCA4D778}" type="presParOf" srcId="{4FD60023-6010-44A1-BFC9-34FFB4A4B011}" destId="{2C644294-B529-47C3-BD3F-40CF6694079B}" srcOrd="3" destOrd="0" presId="urn:microsoft.com/office/officeart/2008/layout/HalfCircleOrganizationChart"/>
    <dgm:cxn modelId="{913FCDC2-C543-422D-B707-91EB91F320C6}" type="presParOf" srcId="{FE8DBD18-2A60-480D-BB0C-E952198389A2}" destId="{91E46D43-A587-415D-93F0-CDFF7286B7EB}" srcOrd="1" destOrd="0" presId="urn:microsoft.com/office/officeart/2008/layout/HalfCircleOrganizationChart"/>
    <dgm:cxn modelId="{7633330C-F0DA-471C-A3E0-20A8FA1FC18D}" type="presParOf" srcId="{91E46D43-A587-415D-93F0-CDFF7286B7EB}" destId="{E3B1389F-7D39-44F0-B462-97D66E1CC466}" srcOrd="0" destOrd="0" presId="urn:microsoft.com/office/officeart/2008/layout/HalfCircleOrganizationChart"/>
    <dgm:cxn modelId="{CE5D8896-B2A0-4499-8D19-14176C707E5B}" type="presParOf" srcId="{91E46D43-A587-415D-93F0-CDFF7286B7EB}" destId="{B4052FC7-B7B3-4AA3-9B5C-678A31AFE97A}" srcOrd="1" destOrd="0" presId="urn:microsoft.com/office/officeart/2008/layout/HalfCircleOrganizationChart"/>
    <dgm:cxn modelId="{A499C963-05B1-40BC-BCC6-F29292D34E1C}" type="presParOf" srcId="{B4052FC7-B7B3-4AA3-9B5C-678A31AFE97A}" destId="{2662CDDF-5412-430C-8B1E-C6511AEE8348}" srcOrd="0" destOrd="0" presId="urn:microsoft.com/office/officeart/2008/layout/HalfCircleOrganizationChart"/>
    <dgm:cxn modelId="{E8DBD6B3-099A-4ED7-9846-441C3D26D580}" type="presParOf" srcId="{2662CDDF-5412-430C-8B1E-C6511AEE8348}" destId="{F2B785E9-B4A9-4D15-A42A-353ED39A63AB}" srcOrd="0" destOrd="0" presId="urn:microsoft.com/office/officeart/2008/layout/HalfCircleOrganizationChart"/>
    <dgm:cxn modelId="{A5790146-8780-4DA9-8F5A-A4F8D2264FBF}" type="presParOf" srcId="{2662CDDF-5412-430C-8B1E-C6511AEE8348}" destId="{A6F25F0A-17E3-4513-866A-923A8D6C2923}" srcOrd="1" destOrd="0" presId="urn:microsoft.com/office/officeart/2008/layout/HalfCircleOrganizationChart"/>
    <dgm:cxn modelId="{FD019B99-3618-4C63-8DE9-4419B4984F8B}" type="presParOf" srcId="{2662CDDF-5412-430C-8B1E-C6511AEE8348}" destId="{F7E275C1-BE03-4E2B-BD69-ECE64F831B17}" srcOrd="2" destOrd="0" presId="urn:microsoft.com/office/officeart/2008/layout/HalfCircleOrganizationChart"/>
    <dgm:cxn modelId="{AEBC63F1-515B-406F-88D0-65E69CC8E6D1}" type="presParOf" srcId="{2662CDDF-5412-430C-8B1E-C6511AEE8348}" destId="{6FC4D9A9-0C99-4DE3-B536-7E6A5737396E}" srcOrd="3" destOrd="0" presId="urn:microsoft.com/office/officeart/2008/layout/HalfCircleOrganizationChart"/>
    <dgm:cxn modelId="{13E7F1CB-5F6C-447F-A2A8-33CBEFF16D9D}" type="presParOf" srcId="{B4052FC7-B7B3-4AA3-9B5C-678A31AFE97A}" destId="{31FB1FF7-8023-41C1-8E1F-B80D5785E9DB}" srcOrd="1" destOrd="0" presId="urn:microsoft.com/office/officeart/2008/layout/HalfCircleOrganizationChart"/>
    <dgm:cxn modelId="{552B8CA0-4B1F-4AF4-B084-96BCA335A6B1}" type="presParOf" srcId="{B4052FC7-B7B3-4AA3-9B5C-678A31AFE97A}" destId="{12D36E21-F667-48A3-8DA7-3624A197AA17}" srcOrd="2" destOrd="0" presId="urn:microsoft.com/office/officeart/2008/layout/HalfCircleOrganizationChart"/>
    <dgm:cxn modelId="{7643E520-5913-4720-9333-B8B3E373E8C0}" type="presParOf" srcId="{91E46D43-A587-415D-93F0-CDFF7286B7EB}" destId="{8CACA3BC-B9B8-418D-8C6D-30A4047A21D0}" srcOrd="2" destOrd="0" presId="urn:microsoft.com/office/officeart/2008/layout/HalfCircleOrganizationChart"/>
    <dgm:cxn modelId="{47796985-948D-4BC2-9093-783EC66BF084}" type="presParOf" srcId="{91E46D43-A587-415D-93F0-CDFF7286B7EB}" destId="{A391A4C0-41B9-4650-AF83-5C30B76830FB}" srcOrd="3" destOrd="0" presId="urn:microsoft.com/office/officeart/2008/layout/HalfCircleOrganizationChart"/>
    <dgm:cxn modelId="{CAB03FB1-A509-434B-9CF9-109B9AB52311}" type="presParOf" srcId="{A391A4C0-41B9-4650-AF83-5C30B76830FB}" destId="{378308E5-2881-4423-8BD6-12859C4D275E}" srcOrd="0" destOrd="0" presId="urn:microsoft.com/office/officeart/2008/layout/HalfCircleOrganizationChart"/>
    <dgm:cxn modelId="{3F3DEDA5-D0D4-454B-B35A-2DF50958A81E}" type="presParOf" srcId="{378308E5-2881-4423-8BD6-12859C4D275E}" destId="{1EA9564B-7AF7-4E5F-A983-5D2594F8F462}" srcOrd="0" destOrd="0" presId="urn:microsoft.com/office/officeart/2008/layout/HalfCircleOrganizationChart"/>
    <dgm:cxn modelId="{84D0DFD3-7EB8-4514-BBE0-522C69BF2DCF}" type="presParOf" srcId="{378308E5-2881-4423-8BD6-12859C4D275E}" destId="{EC811AFB-0543-4C9F-BB4B-2784D2737501}" srcOrd="1" destOrd="0" presId="urn:microsoft.com/office/officeart/2008/layout/HalfCircleOrganizationChart"/>
    <dgm:cxn modelId="{7ADC2304-1CFA-470A-B456-265F35CA95CC}" type="presParOf" srcId="{378308E5-2881-4423-8BD6-12859C4D275E}" destId="{FE290D92-83C8-49D3-8066-D74A4782EBF3}" srcOrd="2" destOrd="0" presId="urn:microsoft.com/office/officeart/2008/layout/HalfCircleOrganizationChart"/>
    <dgm:cxn modelId="{08DF4062-886B-42B8-947A-2CD5924EE510}" type="presParOf" srcId="{378308E5-2881-4423-8BD6-12859C4D275E}" destId="{0C417EA9-538C-4D8D-801E-EB9BBEF5F2C9}" srcOrd="3" destOrd="0" presId="urn:microsoft.com/office/officeart/2008/layout/HalfCircleOrganizationChart"/>
    <dgm:cxn modelId="{2BCE65C8-859B-471F-B8BC-B61E650FE870}" type="presParOf" srcId="{A391A4C0-41B9-4650-AF83-5C30B76830FB}" destId="{0FDE063F-903A-4C5C-A552-4263F5418230}" srcOrd="1" destOrd="0" presId="urn:microsoft.com/office/officeart/2008/layout/HalfCircleOrganizationChart"/>
    <dgm:cxn modelId="{68873B61-0F43-4978-A26E-63454E458F32}" type="presParOf" srcId="{A391A4C0-41B9-4650-AF83-5C30B76830FB}" destId="{5129F583-9950-4E19-9746-DEAF45D6696D}" srcOrd="2" destOrd="0" presId="urn:microsoft.com/office/officeart/2008/layout/HalfCircleOrganizationChart"/>
    <dgm:cxn modelId="{BA379BD2-6A4C-4ED0-BF3A-E9ACAB94B7CA}" type="presParOf" srcId="{91E46D43-A587-415D-93F0-CDFF7286B7EB}" destId="{CD7194A2-0387-42DC-B558-7A2F50699B93}" srcOrd="4" destOrd="0" presId="urn:microsoft.com/office/officeart/2008/layout/HalfCircleOrganizationChart"/>
    <dgm:cxn modelId="{52975C28-1329-4AFB-9378-1F1321DCAA58}" type="presParOf" srcId="{91E46D43-A587-415D-93F0-CDFF7286B7EB}" destId="{2914E69F-FC09-4DD4-819B-AF0A38F4400D}" srcOrd="5" destOrd="0" presId="urn:microsoft.com/office/officeart/2008/layout/HalfCircleOrganizationChart"/>
    <dgm:cxn modelId="{8211296C-EFF0-4F8D-82EF-55A98FE23D62}" type="presParOf" srcId="{2914E69F-FC09-4DD4-819B-AF0A38F4400D}" destId="{C35B2B73-28B1-4353-A32A-8FFD18B561F0}" srcOrd="0" destOrd="0" presId="urn:microsoft.com/office/officeart/2008/layout/HalfCircleOrganizationChart"/>
    <dgm:cxn modelId="{19BC0C96-2EA9-4A7C-A255-B981E6765BD0}" type="presParOf" srcId="{C35B2B73-28B1-4353-A32A-8FFD18B561F0}" destId="{05DE5058-029E-4B83-88B7-17FE4104F076}" srcOrd="0" destOrd="0" presId="urn:microsoft.com/office/officeart/2008/layout/HalfCircleOrganizationChart"/>
    <dgm:cxn modelId="{9C8E1BCA-2852-4E59-902A-15E79AD82783}" type="presParOf" srcId="{C35B2B73-28B1-4353-A32A-8FFD18B561F0}" destId="{DEE4F947-BC2A-418C-9DC7-E6D7036EC1DB}" srcOrd="1" destOrd="0" presId="urn:microsoft.com/office/officeart/2008/layout/HalfCircleOrganizationChart"/>
    <dgm:cxn modelId="{139A4237-73D9-4226-BB84-D80F40A28132}" type="presParOf" srcId="{C35B2B73-28B1-4353-A32A-8FFD18B561F0}" destId="{9100E97A-3416-4F5E-912E-4E9455B462E3}" srcOrd="2" destOrd="0" presId="urn:microsoft.com/office/officeart/2008/layout/HalfCircleOrganizationChart"/>
    <dgm:cxn modelId="{93B45767-E899-4C08-9DDE-00DA40A800DC}" type="presParOf" srcId="{C35B2B73-28B1-4353-A32A-8FFD18B561F0}" destId="{0C79E619-B55A-44E3-855D-858489724870}" srcOrd="3" destOrd="0" presId="urn:microsoft.com/office/officeart/2008/layout/HalfCircleOrganizationChart"/>
    <dgm:cxn modelId="{218A872E-8794-4A3E-9038-417E2BA4529F}" type="presParOf" srcId="{2914E69F-FC09-4DD4-819B-AF0A38F4400D}" destId="{D68B581D-6C6A-4B26-967F-9FEC4E534E96}" srcOrd="1" destOrd="0" presId="urn:microsoft.com/office/officeart/2008/layout/HalfCircleOrganizationChart"/>
    <dgm:cxn modelId="{E0BFFE79-8876-4DBA-9A5C-0598B63781FF}" type="presParOf" srcId="{2914E69F-FC09-4DD4-819B-AF0A38F4400D}" destId="{3E73DF5E-8391-427A-82D5-1696FB5A5F59}" srcOrd="2" destOrd="0" presId="urn:microsoft.com/office/officeart/2008/layout/HalfCircleOrganizationChart"/>
    <dgm:cxn modelId="{4EBDBEE6-474E-4DF0-BCF7-A7542918C3BB}" type="presParOf" srcId="{FE8DBD18-2A60-480D-BB0C-E952198389A2}" destId="{2FC9DF81-B039-4197-B7BC-EA76E5664E6B}" srcOrd="2" destOrd="0" presId="urn:microsoft.com/office/officeart/2008/layout/HalfCircleOrganizationChart"/>
    <dgm:cxn modelId="{5E7DAC76-A894-4ECC-801F-B3DF28B3F95B}" type="presParOf" srcId="{2FC9DF81-B039-4197-B7BC-EA76E5664E6B}" destId="{E8572DC4-1E6D-4EF9-8721-55EF6F3A451F}" srcOrd="0" destOrd="0" presId="urn:microsoft.com/office/officeart/2008/layout/HalfCircleOrganizationChart"/>
    <dgm:cxn modelId="{66C9C1BB-EF69-4464-9DB4-7F840BCF0085}" type="presParOf" srcId="{2FC9DF81-B039-4197-B7BC-EA76E5664E6B}" destId="{B9BEFE6B-BF8D-4E04-88EF-EB7F4F8FB8CA}" srcOrd="1" destOrd="0" presId="urn:microsoft.com/office/officeart/2008/layout/HalfCircleOrganizationChart"/>
    <dgm:cxn modelId="{F8DF3DFE-E2FF-4CBC-AEBA-2ECDA67E48ED}" type="presParOf" srcId="{B9BEFE6B-BF8D-4E04-88EF-EB7F4F8FB8CA}" destId="{A8AD92CB-9533-4CE0-8D10-7A31108F87B1}" srcOrd="0" destOrd="0" presId="urn:microsoft.com/office/officeart/2008/layout/HalfCircleOrganizationChart"/>
    <dgm:cxn modelId="{12D31C15-BB09-47BD-88B3-DA0048D13BFE}" type="presParOf" srcId="{A8AD92CB-9533-4CE0-8D10-7A31108F87B1}" destId="{8CCF55D8-6793-4DC6-8B7E-5EA8636CEC7A}" srcOrd="0" destOrd="0" presId="urn:microsoft.com/office/officeart/2008/layout/HalfCircleOrganizationChart"/>
    <dgm:cxn modelId="{F93A2B01-C5AD-45FF-980B-37D60922DBB0}" type="presParOf" srcId="{A8AD92CB-9533-4CE0-8D10-7A31108F87B1}" destId="{32418B1D-A4D8-4254-95D7-9E173572CD44}" srcOrd="1" destOrd="0" presId="urn:microsoft.com/office/officeart/2008/layout/HalfCircleOrganizationChart"/>
    <dgm:cxn modelId="{E20FDFAB-F136-4E6D-AF57-4E64C0EE7B4D}" type="presParOf" srcId="{A8AD92CB-9533-4CE0-8D10-7A31108F87B1}" destId="{5712368F-E6FE-4266-9953-7D9F01BF1D18}" srcOrd="2" destOrd="0" presId="urn:microsoft.com/office/officeart/2008/layout/HalfCircleOrganizationChart"/>
    <dgm:cxn modelId="{23663591-5FC0-4B27-8350-5D7316A16178}" type="presParOf" srcId="{A8AD92CB-9533-4CE0-8D10-7A31108F87B1}" destId="{ECD2D90D-500F-4EE4-860F-FA9968585790}" srcOrd="3" destOrd="0" presId="urn:microsoft.com/office/officeart/2008/layout/HalfCircleOrganizationChart"/>
    <dgm:cxn modelId="{681600DD-47A8-41E1-8FA4-2DA205982402}" type="presParOf" srcId="{B9BEFE6B-BF8D-4E04-88EF-EB7F4F8FB8CA}" destId="{F1237579-FADF-45A0-B4C0-24ECA6893CB8}" srcOrd="1" destOrd="0" presId="urn:microsoft.com/office/officeart/2008/layout/HalfCircleOrganizationChart"/>
    <dgm:cxn modelId="{AF8FCC2F-1F78-4624-A89A-ECC0DDEDF7E5}" type="presParOf" srcId="{B9BEFE6B-BF8D-4E04-88EF-EB7F4F8FB8CA}" destId="{1BC9BDB8-FD3F-48A7-A074-B2289FDD21A9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10" minVer="http://schemas.openxmlformats.org/drawingml/2006/diagram"/>
    </a:ext>
  </dgm:extLst>
</dgm:dataModel>
</file>

<file path=xl/diagrams/data3.xml><?xml version="1.0" encoding="utf-8"?>
<dgm:dataModel xmlns:dgm="http://schemas.openxmlformats.org/drawingml/2006/diagram" xmlns:a="http://schemas.openxmlformats.org/drawingml/2006/main">
  <dgm:ptLst>
    <dgm:pt modelId="{7E32225C-D6C4-4B81-B796-AAA94E6B49A6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C51071E0-212F-4206-8420-69C38BE3DFA3}">
      <dgm:prSet phldrT="[Text]" phldr="1"/>
      <dgm:spPr/>
      <dgm:t>
        <a:bodyPr/>
        <a:lstStyle/>
        <a:p>
          <a:endParaRPr lang="en-US"/>
        </a:p>
      </dgm:t>
    </dgm:pt>
    <dgm:pt modelId="{5D0E8BCA-0C8F-4BBE-B842-5638B3D0826E}" type="parTrans" cxnId="{7EF92DC6-9BF7-48D6-B910-8E53D770DE55}">
      <dgm:prSet/>
      <dgm:spPr/>
      <dgm:t>
        <a:bodyPr/>
        <a:lstStyle/>
        <a:p>
          <a:endParaRPr lang="en-US"/>
        </a:p>
      </dgm:t>
    </dgm:pt>
    <dgm:pt modelId="{5D40D7F9-E8A8-4217-92F9-5414CDA57EAF}" type="sibTrans" cxnId="{7EF92DC6-9BF7-48D6-B910-8E53D770DE55}">
      <dgm:prSet/>
      <dgm:spPr/>
      <dgm:t>
        <a:bodyPr/>
        <a:lstStyle/>
        <a:p>
          <a:endParaRPr lang="en-US"/>
        </a:p>
      </dgm:t>
    </dgm:pt>
    <dgm:pt modelId="{F1E57A3F-5E5B-4A3F-AA10-E681C75A8CA2}" type="asst">
      <dgm:prSet phldrT="[Text]" phldr="1"/>
      <dgm:spPr/>
      <dgm:t>
        <a:bodyPr/>
        <a:lstStyle/>
        <a:p>
          <a:endParaRPr lang="en-US"/>
        </a:p>
      </dgm:t>
    </dgm:pt>
    <dgm:pt modelId="{58E123C1-09D1-44C6-A1D1-883D87D85582}" type="parTrans" cxnId="{2F2A1443-6D24-4474-A29C-23C966F60FFB}">
      <dgm:prSet/>
      <dgm:spPr/>
      <dgm:t>
        <a:bodyPr/>
        <a:lstStyle/>
        <a:p>
          <a:endParaRPr lang="en-US"/>
        </a:p>
      </dgm:t>
    </dgm:pt>
    <dgm:pt modelId="{4DD6649C-8C32-4D74-9C62-A9A7932AFEC7}" type="sibTrans" cxnId="{2F2A1443-6D24-4474-A29C-23C966F60FFB}">
      <dgm:prSet/>
      <dgm:spPr/>
      <dgm:t>
        <a:bodyPr/>
        <a:lstStyle/>
        <a:p>
          <a:endParaRPr lang="en-US"/>
        </a:p>
      </dgm:t>
    </dgm:pt>
    <dgm:pt modelId="{570201E2-F66D-48F3-8188-115D6C00B2B4}">
      <dgm:prSet phldrT="[Text]" phldr="1"/>
      <dgm:spPr/>
      <dgm:t>
        <a:bodyPr/>
        <a:lstStyle/>
        <a:p>
          <a:endParaRPr lang="en-US"/>
        </a:p>
      </dgm:t>
    </dgm:pt>
    <dgm:pt modelId="{22DC6D37-E43B-4AE6-AC3D-9883EB37D05F}" type="parTrans" cxnId="{C9555DC5-F7D5-4D8E-8B4E-14C55E122F2D}">
      <dgm:prSet/>
      <dgm:spPr/>
      <dgm:t>
        <a:bodyPr/>
        <a:lstStyle/>
        <a:p>
          <a:endParaRPr lang="en-US"/>
        </a:p>
      </dgm:t>
    </dgm:pt>
    <dgm:pt modelId="{261EDE8C-EF2D-4D9D-8486-59FFD58C1E8F}" type="sibTrans" cxnId="{C9555DC5-F7D5-4D8E-8B4E-14C55E122F2D}">
      <dgm:prSet/>
      <dgm:spPr/>
      <dgm:t>
        <a:bodyPr/>
        <a:lstStyle/>
        <a:p>
          <a:endParaRPr lang="en-US"/>
        </a:p>
      </dgm:t>
    </dgm:pt>
    <dgm:pt modelId="{72D4C830-9455-4670-801E-9B47ACD7E951}">
      <dgm:prSet phldrT="[Text]" phldr="1"/>
      <dgm:spPr/>
      <dgm:t>
        <a:bodyPr/>
        <a:lstStyle/>
        <a:p>
          <a:endParaRPr lang="en-US"/>
        </a:p>
      </dgm:t>
    </dgm:pt>
    <dgm:pt modelId="{F86AC920-D635-4ABF-AEA1-0BBF556D3188}" type="parTrans" cxnId="{3588E7C3-02EA-4260-B702-021EB95B3283}">
      <dgm:prSet/>
      <dgm:spPr/>
      <dgm:t>
        <a:bodyPr/>
        <a:lstStyle/>
        <a:p>
          <a:endParaRPr lang="en-US"/>
        </a:p>
      </dgm:t>
    </dgm:pt>
    <dgm:pt modelId="{66928B0E-9C41-4255-A5A2-34C7B5076E0E}" type="sibTrans" cxnId="{3588E7C3-02EA-4260-B702-021EB95B3283}">
      <dgm:prSet/>
      <dgm:spPr/>
      <dgm:t>
        <a:bodyPr/>
        <a:lstStyle/>
        <a:p>
          <a:endParaRPr lang="en-US"/>
        </a:p>
      </dgm:t>
    </dgm:pt>
    <dgm:pt modelId="{9E797FD2-7DBE-4FDE-86E8-350E073420B8}">
      <dgm:prSet phldrT="[Text]" phldr="1"/>
      <dgm:spPr/>
      <dgm:t>
        <a:bodyPr/>
        <a:lstStyle/>
        <a:p>
          <a:endParaRPr lang="en-US"/>
        </a:p>
      </dgm:t>
    </dgm:pt>
    <dgm:pt modelId="{DD15A367-58C0-4025-B119-767116D1F997}" type="parTrans" cxnId="{CA187E14-E618-4CE5-8957-4B5914B9C3E5}">
      <dgm:prSet/>
      <dgm:spPr/>
      <dgm:t>
        <a:bodyPr/>
        <a:lstStyle/>
        <a:p>
          <a:endParaRPr lang="en-US"/>
        </a:p>
      </dgm:t>
    </dgm:pt>
    <dgm:pt modelId="{EFF22398-F183-4270-91A4-A51C4A259471}" type="sibTrans" cxnId="{CA187E14-E618-4CE5-8957-4B5914B9C3E5}">
      <dgm:prSet/>
      <dgm:spPr/>
      <dgm:t>
        <a:bodyPr/>
        <a:lstStyle/>
        <a:p>
          <a:endParaRPr lang="en-US"/>
        </a:p>
      </dgm:t>
    </dgm:pt>
    <dgm:pt modelId="{B2A9268A-D856-4B87-AD35-913FD2C42BF2}" type="pres">
      <dgm:prSet presAssocID="{7E32225C-D6C4-4B81-B796-AAA94E6B49A6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2071CA27-4F16-4EAF-B288-8F24892D3DB2}" type="pres">
      <dgm:prSet presAssocID="{C51071E0-212F-4206-8420-69C38BE3DFA3}" presName="hierRoot1" presStyleCnt="0">
        <dgm:presLayoutVars>
          <dgm:hierBranch val="init"/>
        </dgm:presLayoutVars>
      </dgm:prSet>
      <dgm:spPr/>
    </dgm:pt>
    <dgm:pt modelId="{E0B6414D-1A33-4BD1-97CF-9813B386EF63}" type="pres">
      <dgm:prSet presAssocID="{C51071E0-212F-4206-8420-69C38BE3DFA3}" presName="rootComposite1" presStyleCnt="0"/>
      <dgm:spPr/>
    </dgm:pt>
    <dgm:pt modelId="{64001655-8752-4A33-BA08-4F8EBD64CF59}" type="pres">
      <dgm:prSet presAssocID="{C51071E0-212F-4206-8420-69C38BE3DFA3}" presName="rootText1" presStyleLbl="alignAcc1" presStyleIdx="0" presStyleCnt="0">
        <dgm:presLayoutVars>
          <dgm:chPref val="3"/>
        </dgm:presLayoutVars>
      </dgm:prSet>
      <dgm:spPr/>
    </dgm:pt>
    <dgm:pt modelId="{7ADF7A32-4652-4BE6-AF16-6CEC275F8EB0}" type="pres">
      <dgm:prSet presAssocID="{C51071E0-212F-4206-8420-69C38BE3DFA3}" presName="topArc1" presStyleLbl="parChTrans1D1" presStyleIdx="0" presStyleCnt="10"/>
      <dgm:spPr/>
    </dgm:pt>
    <dgm:pt modelId="{E576697D-8F25-476D-9E68-CFEC7EECC6CB}" type="pres">
      <dgm:prSet presAssocID="{C51071E0-212F-4206-8420-69C38BE3DFA3}" presName="bottomArc1" presStyleLbl="parChTrans1D1" presStyleIdx="1" presStyleCnt="10"/>
      <dgm:spPr/>
    </dgm:pt>
    <dgm:pt modelId="{C8E1DC47-81F9-4DEA-8BAC-C174E7CBC741}" type="pres">
      <dgm:prSet presAssocID="{C51071E0-212F-4206-8420-69C38BE3DFA3}" presName="topConnNode1" presStyleLbl="node1" presStyleIdx="0" presStyleCnt="0"/>
      <dgm:spPr/>
    </dgm:pt>
    <dgm:pt modelId="{E74EF390-9796-4E6D-A874-C8BED90CA91E}" type="pres">
      <dgm:prSet presAssocID="{C51071E0-212F-4206-8420-69C38BE3DFA3}" presName="hierChild2" presStyleCnt="0"/>
      <dgm:spPr/>
    </dgm:pt>
    <dgm:pt modelId="{5EB75FCF-5D3A-4D32-8018-1B3694D73515}" type="pres">
      <dgm:prSet presAssocID="{22DC6D37-E43B-4AE6-AC3D-9883EB37D05F}" presName="Name28" presStyleLbl="parChTrans1D2" presStyleIdx="0" presStyleCnt="4"/>
      <dgm:spPr/>
    </dgm:pt>
    <dgm:pt modelId="{BBAD30B2-0761-46BC-BBC1-E9CE5260C10C}" type="pres">
      <dgm:prSet presAssocID="{570201E2-F66D-48F3-8188-115D6C00B2B4}" presName="hierRoot2" presStyleCnt="0">
        <dgm:presLayoutVars>
          <dgm:hierBranch val="init"/>
        </dgm:presLayoutVars>
      </dgm:prSet>
      <dgm:spPr/>
    </dgm:pt>
    <dgm:pt modelId="{5E9C7496-36BC-4186-B532-2E77DCFE85EA}" type="pres">
      <dgm:prSet presAssocID="{570201E2-F66D-48F3-8188-115D6C00B2B4}" presName="rootComposite2" presStyleCnt="0"/>
      <dgm:spPr/>
    </dgm:pt>
    <dgm:pt modelId="{14A9C3AD-848F-4BCF-B576-14E125286FFB}" type="pres">
      <dgm:prSet presAssocID="{570201E2-F66D-48F3-8188-115D6C00B2B4}" presName="rootText2" presStyleLbl="alignAcc1" presStyleIdx="0" presStyleCnt="0">
        <dgm:presLayoutVars>
          <dgm:chPref val="3"/>
        </dgm:presLayoutVars>
      </dgm:prSet>
      <dgm:spPr/>
    </dgm:pt>
    <dgm:pt modelId="{B80481CF-4056-4279-BB33-6FAB204924E6}" type="pres">
      <dgm:prSet presAssocID="{570201E2-F66D-48F3-8188-115D6C00B2B4}" presName="topArc2" presStyleLbl="parChTrans1D1" presStyleIdx="2" presStyleCnt="10"/>
      <dgm:spPr/>
    </dgm:pt>
    <dgm:pt modelId="{778E65E8-53BB-4621-8842-71CFC56A369C}" type="pres">
      <dgm:prSet presAssocID="{570201E2-F66D-48F3-8188-115D6C00B2B4}" presName="bottomArc2" presStyleLbl="parChTrans1D1" presStyleIdx="3" presStyleCnt="10"/>
      <dgm:spPr/>
    </dgm:pt>
    <dgm:pt modelId="{EE41B648-0AB4-4A55-976D-5ABE3824E410}" type="pres">
      <dgm:prSet presAssocID="{570201E2-F66D-48F3-8188-115D6C00B2B4}" presName="topConnNode2" presStyleLbl="node2" presStyleIdx="0" presStyleCnt="0"/>
      <dgm:spPr/>
    </dgm:pt>
    <dgm:pt modelId="{5CCFEA76-CAB2-4742-951C-1F01959A03AA}" type="pres">
      <dgm:prSet presAssocID="{570201E2-F66D-48F3-8188-115D6C00B2B4}" presName="hierChild4" presStyleCnt="0"/>
      <dgm:spPr/>
    </dgm:pt>
    <dgm:pt modelId="{3CF8ADFE-C751-4530-ACAC-D0A0F82BAB20}" type="pres">
      <dgm:prSet presAssocID="{570201E2-F66D-48F3-8188-115D6C00B2B4}" presName="hierChild5" presStyleCnt="0"/>
      <dgm:spPr/>
    </dgm:pt>
    <dgm:pt modelId="{BB8792AF-8610-4ACA-8212-DBE99B5BE633}" type="pres">
      <dgm:prSet presAssocID="{F86AC920-D635-4ABF-AEA1-0BBF556D3188}" presName="Name28" presStyleLbl="parChTrans1D2" presStyleIdx="1" presStyleCnt="4"/>
      <dgm:spPr/>
    </dgm:pt>
    <dgm:pt modelId="{546E0608-BA30-4E1E-BCAD-E9BCBE38B401}" type="pres">
      <dgm:prSet presAssocID="{72D4C830-9455-4670-801E-9B47ACD7E951}" presName="hierRoot2" presStyleCnt="0">
        <dgm:presLayoutVars>
          <dgm:hierBranch val="init"/>
        </dgm:presLayoutVars>
      </dgm:prSet>
      <dgm:spPr/>
    </dgm:pt>
    <dgm:pt modelId="{1BD583D4-21D1-41AF-BD38-D23C17774056}" type="pres">
      <dgm:prSet presAssocID="{72D4C830-9455-4670-801E-9B47ACD7E951}" presName="rootComposite2" presStyleCnt="0"/>
      <dgm:spPr/>
    </dgm:pt>
    <dgm:pt modelId="{2035F298-D801-4CB0-A2E7-E3CE0D9300E0}" type="pres">
      <dgm:prSet presAssocID="{72D4C830-9455-4670-801E-9B47ACD7E951}" presName="rootText2" presStyleLbl="alignAcc1" presStyleIdx="0" presStyleCnt="0">
        <dgm:presLayoutVars>
          <dgm:chPref val="3"/>
        </dgm:presLayoutVars>
      </dgm:prSet>
      <dgm:spPr/>
    </dgm:pt>
    <dgm:pt modelId="{6012DB64-0E95-41ED-AFD0-942CCD95E16D}" type="pres">
      <dgm:prSet presAssocID="{72D4C830-9455-4670-801E-9B47ACD7E951}" presName="topArc2" presStyleLbl="parChTrans1D1" presStyleIdx="4" presStyleCnt="10"/>
      <dgm:spPr/>
    </dgm:pt>
    <dgm:pt modelId="{7BF300E5-789D-464E-9764-8B1E77AD8C73}" type="pres">
      <dgm:prSet presAssocID="{72D4C830-9455-4670-801E-9B47ACD7E951}" presName="bottomArc2" presStyleLbl="parChTrans1D1" presStyleIdx="5" presStyleCnt="10"/>
      <dgm:spPr/>
    </dgm:pt>
    <dgm:pt modelId="{010783BA-6250-482B-8B60-64E154213C21}" type="pres">
      <dgm:prSet presAssocID="{72D4C830-9455-4670-801E-9B47ACD7E951}" presName="topConnNode2" presStyleLbl="node2" presStyleIdx="0" presStyleCnt="0"/>
      <dgm:spPr/>
    </dgm:pt>
    <dgm:pt modelId="{A86DCD4A-CE23-4ECF-A94D-C829568744C6}" type="pres">
      <dgm:prSet presAssocID="{72D4C830-9455-4670-801E-9B47ACD7E951}" presName="hierChild4" presStyleCnt="0"/>
      <dgm:spPr/>
    </dgm:pt>
    <dgm:pt modelId="{37DEB134-53DC-4367-8317-306B7D0ED771}" type="pres">
      <dgm:prSet presAssocID="{72D4C830-9455-4670-801E-9B47ACD7E951}" presName="hierChild5" presStyleCnt="0"/>
      <dgm:spPr/>
    </dgm:pt>
    <dgm:pt modelId="{50CA55EF-387C-433D-A8F7-91D8C9178568}" type="pres">
      <dgm:prSet presAssocID="{DD15A367-58C0-4025-B119-767116D1F997}" presName="Name28" presStyleLbl="parChTrans1D2" presStyleIdx="2" presStyleCnt="4"/>
      <dgm:spPr/>
    </dgm:pt>
    <dgm:pt modelId="{AA600BB1-9EAA-44CE-AABB-17F56DFEC78C}" type="pres">
      <dgm:prSet presAssocID="{9E797FD2-7DBE-4FDE-86E8-350E073420B8}" presName="hierRoot2" presStyleCnt="0">
        <dgm:presLayoutVars>
          <dgm:hierBranch val="init"/>
        </dgm:presLayoutVars>
      </dgm:prSet>
      <dgm:spPr/>
    </dgm:pt>
    <dgm:pt modelId="{EB330FB2-225E-40C6-B5E7-D820985F5355}" type="pres">
      <dgm:prSet presAssocID="{9E797FD2-7DBE-4FDE-86E8-350E073420B8}" presName="rootComposite2" presStyleCnt="0"/>
      <dgm:spPr/>
    </dgm:pt>
    <dgm:pt modelId="{4E5657E7-0638-4F8A-9E24-05EB204E5710}" type="pres">
      <dgm:prSet presAssocID="{9E797FD2-7DBE-4FDE-86E8-350E073420B8}" presName="rootText2" presStyleLbl="alignAcc1" presStyleIdx="0" presStyleCnt="0">
        <dgm:presLayoutVars>
          <dgm:chPref val="3"/>
        </dgm:presLayoutVars>
      </dgm:prSet>
      <dgm:spPr/>
    </dgm:pt>
    <dgm:pt modelId="{153FFED3-14C2-4BD0-8806-B0A1FAA22787}" type="pres">
      <dgm:prSet presAssocID="{9E797FD2-7DBE-4FDE-86E8-350E073420B8}" presName="topArc2" presStyleLbl="parChTrans1D1" presStyleIdx="6" presStyleCnt="10"/>
      <dgm:spPr/>
    </dgm:pt>
    <dgm:pt modelId="{F7BF53D6-C3E7-42BA-A272-59F792350A98}" type="pres">
      <dgm:prSet presAssocID="{9E797FD2-7DBE-4FDE-86E8-350E073420B8}" presName="bottomArc2" presStyleLbl="parChTrans1D1" presStyleIdx="7" presStyleCnt="10"/>
      <dgm:spPr/>
    </dgm:pt>
    <dgm:pt modelId="{65F6B4FE-DB73-4D6B-8ACB-44D4826EB329}" type="pres">
      <dgm:prSet presAssocID="{9E797FD2-7DBE-4FDE-86E8-350E073420B8}" presName="topConnNode2" presStyleLbl="node2" presStyleIdx="0" presStyleCnt="0"/>
      <dgm:spPr/>
    </dgm:pt>
    <dgm:pt modelId="{E92F85B4-693A-4266-BF7A-A5BA7CC27A50}" type="pres">
      <dgm:prSet presAssocID="{9E797FD2-7DBE-4FDE-86E8-350E073420B8}" presName="hierChild4" presStyleCnt="0"/>
      <dgm:spPr/>
    </dgm:pt>
    <dgm:pt modelId="{5EFFBADE-A076-4C8C-9CE9-DEE6D873CA4B}" type="pres">
      <dgm:prSet presAssocID="{9E797FD2-7DBE-4FDE-86E8-350E073420B8}" presName="hierChild5" presStyleCnt="0"/>
      <dgm:spPr/>
    </dgm:pt>
    <dgm:pt modelId="{3D672193-89B1-4387-84B1-865CD28B9D55}" type="pres">
      <dgm:prSet presAssocID="{C51071E0-212F-4206-8420-69C38BE3DFA3}" presName="hierChild3" presStyleCnt="0"/>
      <dgm:spPr/>
    </dgm:pt>
    <dgm:pt modelId="{08EFCC6B-1104-4BDB-ADF7-682553C53418}" type="pres">
      <dgm:prSet presAssocID="{58E123C1-09D1-44C6-A1D1-883D87D85582}" presName="Name101" presStyleLbl="parChTrans1D2" presStyleIdx="3" presStyleCnt="4"/>
      <dgm:spPr/>
    </dgm:pt>
    <dgm:pt modelId="{FB834E28-B74E-4C75-A134-AF9B93A5766F}" type="pres">
      <dgm:prSet presAssocID="{F1E57A3F-5E5B-4A3F-AA10-E681C75A8CA2}" presName="hierRoot3" presStyleCnt="0">
        <dgm:presLayoutVars>
          <dgm:hierBranch val="init"/>
        </dgm:presLayoutVars>
      </dgm:prSet>
      <dgm:spPr/>
    </dgm:pt>
    <dgm:pt modelId="{9D7F50E0-D123-448D-A160-7C6041C1AA7D}" type="pres">
      <dgm:prSet presAssocID="{F1E57A3F-5E5B-4A3F-AA10-E681C75A8CA2}" presName="rootComposite3" presStyleCnt="0"/>
      <dgm:spPr/>
    </dgm:pt>
    <dgm:pt modelId="{B771EA74-3A56-4747-8D8D-0D1B59924A5E}" type="pres">
      <dgm:prSet presAssocID="{F1E57A3F-5E5B-4A3F-AA10-E681C75A8CA2}" presName="rootText3" presStyleLbl="alignAcc1" presStyleIdx="0" presStyleCnt="0">
        <dgm:presLayoutVars>
          <dgm:chPref val="3"/>
        </dgm:presLayoutVars>
      </dgm:prSet>
      <dgm:spPr/>
    </dgm:pt>
    <dgm:pt modelId="{2E7E9D4E-F126-4009-A96E-7081314E5F80}" type="pres">
      <dgm:prSet presAssocID="{F1E57A3F-5E5B-4A3F-AA10-E681C75A8CA2}" presName="topArc3" presStyleLbl="parChTrans1D1" presStyleIdx="8" presStyleCnt="10"/>
      <dgm:spPr/>
    </dgm:pt>
    <dgm:pt modelId="{E30EE757-CEB2-4A12-A79A-C6E16A6B4BE6}" type="pres">
      <dgm:prSet presAssocID="{F1E57A3F-5E5B-4A3F-AA10-E681C75A8CA2}" presName="bottomArc3" presStyleLbl="parChTrans1D1" presStyleIdx="9" presStyleCnt="10"/>
      <dgm:spPr/>
    </dgm:pt>
    <dgm:pt modelId="{8CBC59BC-E1ED-4EE5-B96A-32EBB8EBCDD4}" type="pres">
      <dgm:prSet presAssocID="{F1E57A3F-5E5B-4A3F-AA10-E681C75A8CA2}" presName="topConnNode3" presStyleLbl="asst1" presStyleIdx="0" presStyleCnt="0"/>
      <dgm:spPr/>
    </dgm:pt>
    <dgm:pt modelId="{927445B5-D8D8-4564-9CEB-94F1C64EA102}" type="pres">
      <dgm:prSet presAssocID="{F1E57A3F-5E5B-4A3F-AA10-E681C75A8CA2}" presName="hierChild6" presStyleCnt="0"/>
      <dgm:spPr/>
    </dgm:pt>
    <dgm:pt modelId="{D8A4186A-093B-4C87-AE3F-CF33AF1E94EC}" type="pres">
      <dgm:prSet presAssocID="{F1E57A3F-5E5B-4A3F-AA10-E681C75A8CA2}" presName="hierChild7" presStyleCnt="0"/>
      <dgm:spPr/>
    </dgm:pt>
  </dgm:ptLst>
  <dgm:cxnLst>
    <dgm:cxn modelId="{CA187E14-E618-4CE5-8957-4B5914B9C3E5}" srcId="{C51071E0-212F-4206-8420-69C38BE3DFA3}" destId="{9E797FD2-7DBE-4FDE-86E8-350E073420B8}" srcOrd="3" destOrd="0" parTransId="{DD15A367-58C0-4025-B119-767116D1F997}" sibTransId="{EFF22398-F183-4270-91A4-A51C4A259471}"/>
    <dgm:cxn modelId="{37C1BA14-E999-49CA-AF8F-E5B024DB4336}" type="presOf" srcId="{72D4C830-9455-4670-801E-9B47ACD7E951}" destId="{010783BA-6250-482B-8B60-64E154213C21}" srcOrd="1" destOrd="0" presId="urn:microsoft.com/office/officeart/2008/layout/HalfCircleOrganizationChart"/>
    <dgm:cxn modelId="{1D1B972D-CD73-4FEA-8B56-BB8D6A870627}" type="presOf" srcId="{9E797FD2-7DBE-4FDE-86E8-350E073420B8}" destId="{4E5657E7-0638-4F8A-9E24-05EB204E5710}" srcOrd="0" destOrd="0" presId="urn:microsoft.com/office/officeart/2008/layout/HalfCircleOrganizationChart"/>
    <dgm:cxn modelId="{F3131836-42EE-420B-9AE6-4E6E70285F6C}" type="presOf" srcId="{DD15A367-58C0-4025-B119-767116D1F997}" destId="{50CA55EF-387C-433D-A8F7-91D8C9178568}" srcOrd="0" destOrd="0" presId="urn:microsoft.com/office/officeart/2008/layout/HalfCircleOrganizationChart"/>
    <dgm:cxn modelId="{9978C137-AB41-417A-92F8-561D3E7192D2}" type="presOf" srcId="{C51071E0-212F-4206-8420-69C38BE3DFA3}" destId="{64001655-8752-4A33-BA08-4F8EBD64CF59}" srcOrd="0" destOrd="0" presId="urn:microsoft.com/office/officeart/2008/layout/HalfCircleOrganizationChart"/>
    <dgm:cxn modelId="{2F2A1443-6D24-4474-A29C-23C966F60FFB}" srcId="{C51071E0-212F-4206-8420-69C38BE3DFA3}" destId="{F1E57A3F-5E5B-4A3F-AA10-E681C75A8CA2}" srcOrd="0" destOrd="0" parTransId="{58E123C1-09D1-44C6-A1D1-883D87D85582}" sibTransId="{4DD6649C-8C32-4D74-9C62-A9A7932AFEC7}"/>
    <dgm:cxn modelId="{86FF2A44-3CC2-41EF-A251-626E49004AE4}" type="presOf" srcId="{72D4C830-9455-4670-801E-9B47ACD7E951}" destId="{2035F298-D801-4CB0-A2E7-E3CE0D9300E0}" srcOrd="0" destOrd="0" presId="urn:microsoft.com/office/officeart/2008/layout/HalfCircleOrganizationChart"/>
    <dgm:cxn modelId="{12E27557-EFEE-44D9-9396-2F14780084E0}" type="presOf" srcId="{C51071E0-212F-4206-8420-69C38BE3DFA3}" destId="{C8E1DC47-81F9-4DEA-8BAC-C174E7CBC741}" srcOrd="1" destOrd="0" presId="urn:microsoft.com/office/officeart/2008/layout/HalfCircleOrganizationChart"/>
    <dgm:cxn modelId="{7DE9B083-912B-4055-85D5-73B6B4CD1350}" type="presOf" srcId="{9E797FD2-7DBE-4FDE-86E8-350E073420B8}" destId="{65F6B4FE-DB73-4D6B-8ACB-44D4826EB329}" srcOrd="1" destOrd="0" presId="urn:microsoft.com/office/officeart/2008/layout/HalfCircleOrganizationChart"/>
    <dgm:cxn modelId="{B04C50A6-8016-4275-BD6D-C8CCF6C00BA3}" type="presOf" srcId="{58E123C1-09D1-44C6-A1D1-883D87D85582}" destId="{08EFCC6B-1104-4BDB-ADF7-682553C53418}" srcOrd="0" destOrd="0" presId="urn:microsoft.com/office/officeart/2008/layout/HalfCircleOrganizationChart"/>
    <dgm:cxn modelId="{E36DCCB4-E04B-4AD1-9288-3CEF419A73C3}" type="presOf" srcId="{570201E2-F66D-48F3-8188-115D6C00B2B4}" destId="{EE41B648-0AB4-4A55-976D-5ABE3824E410}" srcOrd="1" destOrd="0" presId="urn:microsoft.com/office/officeart/2008/layout/HalfCircleOrganizationChart"/>
    <dgm:cxn modelId="{52E9C1BF-EF7B-45D0-8F51-A66ECD59CEEB}" type="presOf" srcId="{F1E57A3F-5E5B-4A3F-AA10-E681C75A8CA2}" destId="{B771EA74-3A56-4747-8D8D-0D1B59924A5E}" srcOrd="0" destOrd="0" presId="urn:microsoft.com/office/officeart/2008/layout/HalfCircleOrganizationChart"/>
    <dgm:cxn modelId="{3588E7C3-02EA-4260-B702-021EB95B3283}" srcId="{C51071E0-212F-4206-8420-69C38BE3DFA3}" destId="{72D4C830-9455-4670-801E-9B47ACD7E951}" srcOrd="2" destOrd="0" parTransId="{F86AC920-D635-4ABF-AEA1-0BBF556D3188}" sibTransId="{66928B0E-9C41-4255-A5A2-34C7B5076E0E}"/>
    <dgm:cxn modelId="{C9555DC5-F7D5-4D8E-8B4E-14C55E122F2D}" srcId="{C51071E0-212F-4206-8420-69C38BE3DFA3}" destId="{570201E2-F66D-48F3-8188-115D6C00B2B4}" srcOrd="1" destOrd="0" parTransId="{22DC6D37-E43B-4AE6-AC3D-9883EB37D05F}" sibTransId="{261EDE8C-EF2D-4D9D-8486-59FFD58C1E8F}"/>
    <dgm:cxn modelId="{7EF92DC6-9BF7-48D6-B910-8E53D770DE55}" srcId="{7E32225C-D6C4-4B81-B796-AAA94E6B49A6}" destId="{C51071E0-212F-4206-8420-69C38BE3DFA3}" srcOrd="0" destOrd="0" parTransId="{5D0E8BCA-0C8F-4BBE-B842-5638B3D0826E}" sibTransId="{5D40D7F9-E8A8-4217-92F9-5414CDA57EAF}"/>
    <dgm:cxn modelId="{1FA846C7-520B-4E1C-B76D-531844128A24}" type="presOf" srcId="{F86AC920-D635-4ABF-AEA1-0BBF556D3188}" destId="{BB8792AF-8610-4ACA-8212-DBE99B5BE633}" srcOrd="0" destOrd="0" presId="urn:microsoft.com/office/officeart/2008/layout/HalfCircleOrganizationChart"/>
    <dgm:cxn modelId="{1AE3DCD8-A9EF-4FCA-9035-960CA9E159FD}" type="presOf" srcId="{7E32225C-D6C4-4B81-B796-AAA94E6B49A6}" destId="{B2A9268A-D856-4B87-AD35-913FD2C42BF2}" srcOrd="0" destOrd="0" presId="urn:microsoft.com/office/officeart/2008/layout/HalfCircleOrganizationChart"/>
    <dgm:cxn modelId="{57B2BEDA-90DA-4049-BCA4-0707E993E9A0}" type="presOf" srcId="{F1E57A3F-5E5B-4A3F-AA10-E681C75A8CA2}" destId="{8CBC59BC-E1ED-4EE5-B96A-32EBB8EBCDD4}" srcOrd="1" destOrd="0" presId="urn:microsoft.com/office/officeart/2008/layout/HalfCircleOrganizationChart"/>
    <dgm:cxn modelId="{E56984E3-F314-4415-90DA-ECBB277A6658}" type="presOf" srcId="{570201E2-F66D-48F3-8188-115D6C00B2B4}" destId="{14A9C3AD-848F-4BCF-B576-14E125286FFB}" srcOrd="0" destOrd="0" presId="urn:microsoft.com/office/officeart/2008/layout/HalfCircleOrganizationChart"/>
    <dgm:cxn modelId="{24986EFB-3385-4363-A77B-8156873C4C66}" type="presOf" srcId="{22DC6D37-E43B-4AE6-AC3D-9883EB37D05F}" destId="{5EB75FCF-5D3A-4D32-8018-1B3694D73515}" srcOrd="0" destOrd="0" presId="urn:microsoft.com/office/officeart/2008/layout/HalfCircleOrganizationChart"/>
    <dgm:cxn modelId="{97B0815C-D18D-4C17-AF30-1E906C18C266}" type="presParOf" srcId="{B2A9268A-D856-4B87-AD35-913FD2C42BF2}" destId="{2071CA27-4F16-4EAF-B288-8F24892D3DB2}" srcOrd="0" destOrd="0" presId="urn:microsoft.com/office/officeart/2008/layout/HalfCircleOrganizationChart"/>
    <dgm:cxn modelId="{0B1D340B-0B3D-466F-8F45-042258177E50}" type="presParOf" srcId="{2071CA27-4F16-4EAF-B288-8F24892D3DB2}" destId="{E0B6414D-1A33-4BD1-97CF-9813B386EF63}" srcOrd="0" destOrd="0" presId="urn:microsoft.com/office/officeart/2008/layout/HalfCircleOrganizationChart"/>
    <dgm:cxn modelId="{46D08832-0A29-43CC-AE01-8365A628FBF8}" type="presParOf" srcId="{E0B6414D-1A33-4BD1-97CF-9813B386EF63}" destId="{64001655-8752-4A33-BA08-4F8EBD64CF59}" srcOrd="0" destOrd="0" presId="urn:microsoft.com/office/officeart/2008/layout/HalfCircleOrganizationChart"/>
    <dgm:cxn modelId="{3A16DAFB-A1A5-4662-B38F-B839A4BC5497}" type="presParOf" srcId="{E0B6414D-1A33-4BD1-97CF-9813B386EF63}" destId="{7ADF7A32-4652-4BE6-AF16-6CEC275F8EB0}" srcOrd="1" destOrd="0" presId="urn:microsoft.com/office/officeart/2008/layout/HalfCircleOrganizationChart"/>
    <dgm:cxn modelId="{3369DEF9-41FB-42DF-A9DE-9FB57B061508}" type="presParOf" srcId="{E0B6414D-1A33-4BD1-97CF-9813B386EF63}" destId="{E576697D-8F25-476D-9E68-CFEC7EECC6CB}" srcOrd="2" destOrd="0" presId="urn:microsoft.com/office/officeart/2008/layout/HalfCircleOrganizationChart"/>
    <dgm:cxn modelId="{0ED9349D-2631-488F-917C-B878D407B1AF}" type="presParOf" srcId="{E0B6414D-1A33-4BD1-97CF-9813B386EF63}" destId="{C8E1DC47-81F9-4DEA-8BAC-C174E7CBC741}" srcOrd="3" destOrd="0" presId="urn:microsoft.com/office/officeart/2008/layout/HalfCircleOrganizationChart"/>
    <dgm:cxn modelId="{F3ACC1AC-FAB2-4E02-8CA3-BFE35417F209}" type="presParOf" srcId="{2071CA27-4F16-4EAF-B288-8F24892D3DB2}" destId="{E74EF390-9796-4E6D-A874-C8BED90CA91E}" srcOrd="1" destOrd="0" presId="urn:microsoft.com/office/officeart/2008/layout/HalfCircleOrganizationChart"/>
    <dgm:cxn modelId="{8BD7E794-5F22-4A15-9962-01FFC8538C1B}" type="presParOf" srcId="{E74EF390-9796-4E6D-A874-C8BED90CA91E}" destId="{5EB75FCF-5D3A-4D32-8018-1B3694D73515}" srcOrd="0" destOrd="0" presId="urn:microsoft.com/office/officeart/2008/layout/HalfCircleOrganizationChart"/>
    <dgm:cxn modelId="{3E986389-8F7E-47AE-B850-3017343306B2}" type="presParOf" srcId="{E74EF390-9796-4E6D-A874-C8BED90CA91E}" destId="{BBAD30B2-0761-46BC-BBC1-E9CE5260C10C}" srcOrd="1" destOrd="0" presId="urn:microsoft.com/office/officeart/2008/layout/HalfCircleOrganizationChart"/>
    <dgm:cxn modelId="{C29BFE21-00A5-4436-AF2F-F1907654F4A0}" type="presParOf" srcId="{BBAD30B2-0761-46BC-BBC1-E9CE5260C10C}" destId="{5E9C7496-36BC-4186-B532-2E77DCFE85EA}" srcOrd="0" destOrd="0" presId="urn:microsoft.com/office/officeart/2008/layout/HalfCircleOrganizationChart"/>
    <dgm:cxn modelId="{3D64642A-9176-48DF-A0EC-1035F7CF9CA4}" type="presParOf" srcId="{5E9C7496-36BC-4186-B532-2E77DCFE85EA}" destId="{14A9C3AD-848F-4BCF-B576-14E125286FFB}" srcOrd="0" destOrd="0" presId="urn:microsoft.com/office/officeart/2008/layout/HalfCircleOrganizationChart"/>
    <dgm:cxn modelId="{D512A0DB-D27C-4E3A-B72C-A9EC854C0706}" type="presParOf" srcId="{5E9C7496-36BC-4186-B532-2E77DCFE85EA}" destId="{B80481CF-4056-4279-BB33-6FAB204924E6}" srcOrd="1" destOrd="0" presId="urn:microsoft.com/office/officeart/2008/layout/HalfCircleOrganizationChart"/>
    <dgm:cxn modelId="{5CE6371E-8794-46EB-B8E4-553B04668F96}" type="presParOf" srcId="{5E9C7496-36BC-4186-B532-2E77DCFE85EA}" destId="{778E65E8-53BB-4621-8842-71CFC56A369C}" srcOrd="2" destOrd="0" presId="urn:microsoft.com/office/officeart/2008/layout/HalfCircleOrganizationChart"/>
    <dgm:cxn modelId="{EFCCC965-D39E-47B8-ACCA-B1BA9F485455}" type="presParOf" srcId="{5E9C7496-36BC-4186-B532-2E77DCFE85EA}" destId="{EE41B648-0AB4-4A55-976D-5ABE3824E410}" srcOrd="3" destOrd="0" presId="urn:microsoft.com/office/officeart/2008/layout/HalfCircleOrganizationChart"/>
    <dgm:cxn modelId="{0C4B3594-D98D-44DF-87C2-B39C00DFF814}" type="presParOf" srcId="{BBAD30B2-0761-46BC-BBC1-E9CE5260C10C}" destId="{5CCFEA76-CAB2-4742-951C-1F01959A03AA}" srcOrd="1" destOrd="0" presId="urn:microsoft.com/office/officeart/2008/layout/HalfCircleOrganizationChart"/>
    <dgm:cxn modelId="{A17346D5-1868-4A9D-9A4E-D72693FDDE84}" type="presParOf" srcId="{BBAD30B2-0761-46BC-BBC1-E9CE5260C10C}" destId="{3CF8ADFE-C751-4530-ACAC-D0A0F82BAB20}" srcOrd="2" destOrd="0" presId="urn:microsoft.com/office/officeart/2008/layout/HalfCircleOrganizationChart"/>
    <dgm:cxn modelId="{7836364F-6DAA-471B-8657-685644663E26}" type="presParOf" srcId="{E74EF390-9796-4E6D-A874-C8BED90CA91E}" destId="{BB8792AF-8610-4ACA-8212-DBE99B5BE633}" srcOrd="2" destOrd="0" presId="urn:microsoft.com/office/officeart/2008/layout/HalfCircleOrganizationChart"/>
    <dgm:cxn modelId="{579F704D-A206-4D88-AB7F-E7BD4634D4C1}" type="presParOf" srcId="{E74EF390-9796-4E6D-A874-C8BED90CA91E}" destId="{546E0608-BA30-4E1E-BCAD-E9BCBE38B401}" srcOrd="3" destOrd="0" presId="urn:microsoft.com/office/officeart/2008/layout/HalfCircleOrganizationChart"/>
    <dgm:cxn modelId="{F5D735AF-300D-4F5C-8AAE-85774DBE4916}" type="presParOf" srcId="{546E0608-BA30-4E1E-BCAD-E9BCBE38B401}" destId="{1BD583D4-21D1-41AF-BD38-D23C17774056}" srcOrd="0" destOrd="0" presId="urn:microsoft.com/office/officeart/2008/layout/HalfCircleOrganizationChart"/>
    <dgm:cxn modelId="{3E575FFE-9677-47B7-ACDB-4C09D622C740}" type="presParOf" srcId="{1BD583D4-21D1-41AF-BD38-D23C17774056}" destId="{2035F298-D801-4CB0-A2E7-E3CE0D9300E0}" srcOrd="0" destOrd="0" presId="urn:microsoft.com/office/officeart/2008/layout/HalfCircleOrganizationChart"/>
    <dgm:cxn modelId="{4E5BF96A-80A0-4816-BC1F-3D889A3B48D6}" type="presParOf" srcId="{1BD583D4-21D1-41AF-BD38-D23C17774056}" destId="{6012DB64-0E95-41ED-AFD0-942CCD95E16D}" srcOrd="1" destOrd="0" presId="urn:microsoft.com/office/officeart/2008/layout/HalfCircleOrganizationChart"/>
    <dgm:cxn modelId="{24D41D1D-403C-407E-8F6C-D3284ABD32C4}" type="presParOf" srcId="{1BD583D4-21D1-41AF-BD38-D23C17774056}" destId="{7BF300E5-789D-464E-9764-8B1E77AD8C73}" srcOrd="2" destOrd="0" presId="urn:microsoft.com/office/officeart/2008/layout/HalfCircleOrganizationChart"/>
    <dgm:cxn modelId="{748B2E31-8036-4331-BDA1-A5286D98A8F4}" type="presParOf" srcId="{1BD583D4-21D1-41AF-BD38-D23C17774056}" destId="{010783BA-6250-482B-8B60-64E154213C21}" srcOrd="3" destOrd="0" presId="urn:microsoft.com/office/officeart/2008/layout/HalfCircleOrganizationChart"/>
    <dgm:cxn modelId="{8B084D53-5352-45DB-AB04-3E033037EBDE}" type="presParOf" srcId="{546E0608-BA30-4E1E-BCAD-E9BCBE38B401}" destId="{A86DCD4A-CE23-4ECF-A94D-C829568744C6}" srcOrd="1" destOrd="0" presId="urn:microsoft.com/office/officeart/2008/layout/HalfCircleOrganizationChart"/>
    <dgm:cxn modelId="{5FC4ACA3-5E99-400E-8BA6-CEA88F27B52F}" type="presParOf" srcId="{546E0608-BA30-4E1E-BCAD-E9BCBE38B401}" destId="{37DEB134-53DC-4367-8317-306B7D0ED771}" srcOrd="2" destOrd="0" presId="urn:microsoft.com/office/officeart/2008/layout/HalfCircleOrganizationChart"/>
    <dgm:cxn modelId="{3B3DF76D-3B70-4E87-8601-CEB4DCF78313}" type="presParOf" srcId="{E74EF390-9796-4E6D-A874-C8BED90CA91E}" destId="{50CA55EF-387C-433D-A8F7-91D8C9178568}" srcOrd="4" destOrd="0" presId="urn:microsoft.com/office/officeart/2008/layout/HalfCircleOrganizationChart"/>
    <dgm:cxn modelId="{3BDAB927-28B3-4704-966C-F655A58C1642}" type="presParOf" srcId="{E74EF390-9796-4E6D-A874-C8BED90CA91E}" destId="{AA600BB1-9EAA-44CE-AABB-17F56DFEC78C}" srcOrd="5" destOrd="0" presId="urn:microsoft.com/office/officeart/2008/layout/HalfCircleOrganizationChart"/>
    <dgm:cxn modelId="{6B327FB7-41AD-47D6-A107-7414707E752E}" type="presParOf" srcId="{AA600BB1-9EAA-44CE-AABB-17F56DFEC78C}" destId="{EB330FB2-225E-40C6-B5E7-D820985F5355}" srcOrd="0" destOrd="0" presId="urn:microsoft.com/office/officeart/2008/layout/HalfCircleOrganizationChart"/>
    <dgm:cxn modelId="{2791F12E-EDEA-4233-9DEF-CB5E4EB37269}" type="presParOf" srcId="{EB330FB2-225E-40C6-B5E7-D820985F5355}" destId="{4E5657E7-0638-4F8A-9E24-05EB204E5710}" srcOrd="0" destOrd="0" presId="urn:microsoft.com/office/officeart/2008/layout/HalfCircleOrganizationChart"/>
    <dgm:cxn modelId="{9D1FF434-6619-4173-A182-9504DD1655AD}" type="presParOf" srcId="{EB330FB2-225E-40C6-B5E7-D820985F5355}" destId="{153FFED3-14C2-4BD0-8806-B0A1FAA22787}" srcOrd="1" destOrd="0" presId="urn:microsoft.com/office/officeart/2008/layout/HalfCircleOrganizationChart"/>
    <dgm:cxn modelId="{BF1F60F8-275E-457D-848E-A967E02EBA6C}" type="presParOf" srcId="{EB330FB2-225E-40C6-B5E7-D820985F5355}" destId="{F7BF53D6-C3E7-42BA-A272-59F792350A98}" srcOrd="2" destOrd="0" presId="urn:microsoft.com/office/officeart/2008/layout/HalfCircleOrganizationChart"/>
    <dgm:cxn modelId="{20885DA5-C52D-4E39-8251-3136ACB2DDAE}" type="presParOf" srcId="{EB330FB2-225E-40C6-B5E7-D820985F5355}" destId="{65F6B4FE-DB73-4D6B-8ACB-44D4826EB329}" srcOrd="3" destOrd="0" presId="urn:microsoft.com/office/officeart/2008/layout/HalfCircleOrganizationChart"/>
    <dgm:cxn modelId="{441688B6-4172-466F-B215-5574A56097A9}" type="presParOf" srcId="{AA600BB1-9EAA-44CE-AABB-17F56DFEC78C}" destId="{E92F85B4-693A-4266-BF7A-A5BA7CC27A50}" srcOrd="1" destOrd="0" presId="urn:microsoft.com/office/officeart/2008/layout/HalfCircleOrganizationChart"/>
    <dgm:cxn modelId="{82122F58-D6C4-44CB-BF69-5E1733C78414}" type="presParOf" srcId="{AA600BB1-9EAA-44CE-AABB-17F56DFEC78C}" destId="{5EFFBADE-A076-4C8C-9CE9-DEE6D873CA4B}" srcOrd="2" destOrd="0" presId="urn:microsoft.com/office/officeart/2008/layout/HalfCircleOrganizationChart"/>
    <dgm:cxn modelId="{330CEDB2-01D5-42F7-BDC1-6DD9E7067FC8}" type="presParOf" srcId="{2071CA27-4F16-4EAF-B288-8F24892D3DB2}" destId="{3D672193-89B1-4387-84B1-865CD28B9D55}" srcOrd="2" destOrd="0" presId="urn:microsoft.com/office/officeart/2008/layout/HalfCircleOrganizationChart"/>
    <dgm:cxn modelId="{D1C4E692-82E3-4FF5-A3AA-DC1C154450E9}" type="presParOf" srcId="{3D672193-89B1-4387-84B1-865CD28B9D55}" destId="{08EFCC6B-1104-4BDB-ADF7-682553C53418}" srcOrd="0" destOrd="0" presId="urn:microsoft.com/office/officeart/2008/layout/HalfCircleOrganizationChart"/>
    <dgm:cxn modelId="{966FAE3A-0980-4B53-8887-C6A24F5451DD}" type="presParOf" srcId="{3D672193-89B1-4387-84B1-865CD28B9D55}" destId="{FB834E28-B74E-4C75-A134-AF9B93A5766F}" srcOrd="1" destOrd="0" presId="urn:microsoft.com/office/officeart/2008/layout/HalfCircleOrganizationChart"/>
    <dgm:cxn modelId="{FE7EF1EA-DA7F-48E2-ADA6-68DE22A3C40E}" type="presParOf" srcId="{FB834E28-B74E-4C75-A134-AF9B93A5766F}" destId="{9D7F50E0-D123-448D-A160-7C6041C1AA7D}" srcOrd="0" destOrd="0" presId="urn:microsoft.com/office/officeart/2008/layout/HalfCircleOrganizationChart"/>
    <dgm:cxn modelId="{2BA76BFB-B369-4C45-93D6-847F8D0ED417}" type="presParOf" srcId="{9D7F50E0-D123-448D-A160-7C6041C1AA7D}" destId="{B771EA74-3A56-4747-8D8D-0D1B59924A5E}" srcOrd="0" destOrd="0" presId="urn:microsoft.com/office/officeart/2008/layout/HalfCircleOrganizationChart"/>
    <dgm:cxn modelId="{5F95FF1E-A584-418F-A422-B3272DDBB85F}" type="presParOf" srcId="{9D7F50E0-D123-448D-A160-7C6041C1AA7D}" destId="{2E7E9D4E-F126-4009-A96E-7081314E5F80}" srcOrd="1" destOrd="0" presId="urn:microsoft.com/office/officeart/2008/layout/HalfCircleOrganizationChart"/>
    <dgm:cxn modelId="{49FD04A1-BAF7-4272-ADBE-655BDE0AC29D}" type="presParOf" srcId="{9D7F50E0-D123-448D-A160-7C6041C1AA7D}" destId="{E30EE757-CEB2-4A12-A79A-C6E16A6B4BE6}" srcOrd="2" destOrd="0" presId="urn:microsoft.com/office/officeart/2008/layout/HalfCircleOrganizationChart"/>
    <dgm:cxn modelId="{BFBBE253-6052-4290-AE34-71FD758DD00D}" type="presParOf" srcId="{9D7F50E0-D123-448D-A160-7C6041C1AA7D}" destId="{8CBC59BC-E1ED-4EE5-B96A-32EBB8EBCDD4}" srcOrd="3" destOrd="0" presId="urn:microsoft.com/office/officeart/2008/layout/HalfCircleOrganizationChart"/>
    <dgm:cxn modelId="{E6572AC1-CBB7-4420-A24D-8D99B1BD0C93}" type="presParOf" srcId="{FB834E28-B74E-4C75-A134-AF9B93A5766F}" destId="{927445B5-D8D8-4564-9CEB-94F1C64EA102}" srcOrd="1" destOrd="0" presId="urn:microsoft.com/office/officeart/2008/layout/HalfCircleOrganizationChart"/>
    <dgm:cxn modelId="{26C58126-80D3-4161-96DA-C2ECA64B8D09}" type="presParOf" srcId="{FB834E28-B74E-4C75-A134-AF9B93A5766F}" destId="{D8A4186A-093B-4C87-AE3F-CF33AF1E94EC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15" minVer="http://schemas.openxmlformats.org/drawingml/2006/diagram"/>
    </a:ext>
  </dgm:extLst>
</dgm:dataModel>
</file>

<file path=xl/diagrams/data4.xml><?xml version="1.0" encoding="utf-8"?>
<dgm:dataModel xmlns:dgm="http://schemas.openxmlformats.org/drawingml/2006/diagram" xmlns:a="http://schemas.openxmlformats.org/drawingml/2006/main">
  <dgm:ptLst>
    <dgm:pt modelId="{7ABDC2F3-7CFA-49A4-9DFA-0746732A9549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7805A9B5-0EEB-4AB7-AAB1-D600FBF43BB1}">
      <dgm:prSet phldrT="[Text]" phldr="1"/>
      <dgm:spPr/>
      <dgm:t>
        <a:bodyPr/>
        <a:lstStyle/>
        <a:p>
          <a:endParaRPr lang="en-US"/>
        </a:p>
      </dgm:t>
    </dgm:pt>
    <dgm:pt modelId="{17FBB5E1-D894-419A-9360-994753C9DFB6}" type="parTrans" cxnId="{994A9C67-4DDD-4ACC-9E63-1156B908C3F3}">
      <dgm:prSet/>
      <dgm:spPr/>
      <dgm:t>
        <a:bodyPr/>
        <a:lstStyle/>
        <a:p>
          <a:endParaRPr lang="en-US"/>
        </a:p>
      </dgm:t>
    </dgm:pt>
    <dgm:pt modelId="{8D54874A-F3C2-40D1-91EA-F70781429B4D}" type="sibTrans" cxnId="{994A9C67-4DDD-4ACC-9E63-1156B908C3F3}">
      <dgm:prSet/>
      <dgm:spPr/>
      <dgm:t>
        <a:bodyPr/>
        <a:lstStyle/>
        <a:p>
          <a:endParaRPr lang="en-US"/>
        </a:p>
      </dgm:t>
    </dgm:pt>
    <dgm:pt modelId="{74D9CF08-4B9D-4C46-A337-5DBDB2EE2418}">
      <dgm:prSet phldrT="[Text]" phldr="1"/>
      <dgm:spPr/>
      <dgm:t>
        <a:bodyPr/>
        <a:lstStyle/>
        <a:p>
          <a:endParaRPr lang="en-US"/>
        </a:p>
      </dgm:t>
    </dgm:pt>
    <dgm:pt modelId="{4B0B8446-7863-4D45-8433-019FA8E06085}" type="parTrans" cxnId="{49A69D1C-C7DD-4B1D-A41C-8EB301646D8D}">
      <dgm:prSet/>
      <dgm:spPr/>
      <dgm:t>
        <a:bodyPr/>
        <a:lstStyle/>
        <a:p>
          <a:endParaRPr lang="en-US"/>
        </a:p>
      </dgm:t>
    </dgm:pt>
    <dgm:pt modelId="{50B5F893-079E-4321-ABA8-35A167C0DC4F}" type="sibTrans" cxnId="{49A69D1C-C7DD-4B1D-A41C-8EB301646D8D}">
      <dgm:prSet/>
      <dgm:spPr/>
      <dgm:t>
        <a:bodyPr/>
        <a:lstStyle/>
        <a:p>
          <a:endParaRPr lang="en-US"/>
        </a:p>
      </dgm:t>
    </dgm:pt>
    <dgm:pt modelId="{F8C06627-2DE6-40EA-BC80-FCF36B09855D}">
      <dgm:prSet phldrT="[Text]" phldr="1"/>
      <dgm:spPr/>
      <dgm:t>
        <a:bodyPr/>
        <a:lstStyle/>
        <a:p>
          <a:endParaRPr lang="en-US"/>
        </a:p>
      </dgm:t>
    </dgm:pt>
    <dgm:pt modelId="{17E98A68-70ED-4511-B0A5-7F599F51AF1E}" type="parTrans" cxnId="{09842A9D-EDAA-40D9-9068-80A955E4DD2B}">
      <dgm:prSet/>
      <dgm:spPr/>
      <dgm:t>
        <a:bodyPr/>
        <a:lstStyle/>
        <a:p>
          <a:endParaRPr lang="en-US"/>
        </a:p>
      </dgm:t>
    </dgm:pt>
    <dgm:pt modelId="{0E5270BE-2D4B-4ED5-B08D-59831058650F}" type="sibTrans" cxnId="{09842A9D-EDAA-40D9-9068-80A955E4DD2B}">
      <dgm:prSet/>
      <dgm:spPr/>
      <dgm:t>
        <a:bodyPr/>
        <a:lstStyle/>
        <a:p>
          <a:endParaRPr lang="en-US"/>
        </a:p>
      </dgm:t>
    </dgm:pt>
    <dgm:pt modelId="{E642255A-28C5-413C-A056-C6259BB66E22}">
      <dgm:prSet phldrT="[Text]" phldr="1"/>
      <dgm:spPr/>
      <dgm:t>
        <a:bodyPr/>
        <a:lstStyle/>
        <a:p>
          <a:endParaRPr lang="en-US"/>
        </a:p>
      </dgm:t>
    </dgm:pt>
    <dgm:pt modelId="{2DCFCE37-0166-4085-8C3E-2F45D07738B1}" type="parTrans" cxnId="{8F97E0C6-7BA0-44FF-ACB9-900C8C91B686}">
      <dgm:prSet/>
      <dgm:spPr/>
      <dgm:t>
        <a:bodyPr/>
        <a:lstStyle/>
        <a:p>
          <a:endParaRPr lang="en-US"/>
        </a:p>
      </dgm:t>
    </dgm:pt>
    <dgm:pt modelId="{7FE77773-E527-431A-9F8D-23E04A982C34}" type="sibTrans" cxnId="{8F97E0C6-7BA0-44FF-ACB9-900C8C91B686}">
      <dgm:prSet/>
      <dgm:spPr/>
      <dgm:t>
        <a:bodyPr/>
        <a:lstStyle/>
        <a:p>
          <a:endParaRPr lang="en-US"/>
        </a:p>
      </dgm:t>
    </dgm:pt>
    <dgm:pt modelId="{0104E65E-E53E-4008-BDA3-55283A3F647D}" type="asst">
      <dgm:prSet phldrT="[Text]" phldr="1"/>
      <dgm:spPr/>
      <dgm:t>
        <a:bodyPr/>
        <a:lstStyle/>
        <a:p>
          <a:endParaRPr lang="en-US"/>
        </a:p>
      </dgm:t>
    </dgm:pt>
    <dgm:pt modelId="{07961E87-D852-4E47-92FB-06843F500DD3}" type="sibTrans" cxnId="{E415856F-10B3-448B-B261-C2A6B73707A7}">
      <dgm:prSet/>
      <dgm:spPr/>
      <dgm:t>
        <a:bodyPr/>
        <a:lstStyle/>
        <a:p>
          <a:endParaRPr lang="en-US"/>
        </a:p>
      </dgm:t>
    </dgm:pt>
    <dgm:pt modelId="{27D7B946-DCDA-4653-9A8D-7B206D1D95E2}" type="parTrans" cxnId="{E415856F-10B3-448B-B261-C2A6B73707A7}">
      <dgm:prSet/>
      <dgm:spPr/>
      <dgm:t>
        <a:bodyPr/>
        <a:lstStyle/>
        <a:p>
          <a:endParaRPr lang="en-US"/>
        </a:p>
      </dgm:t>
    </dgm:pt>
    <dgm:pt modelId="{A9821FF0-9D25-4297-AF87-87643EBC1013}" type="pres">
      <dgm:prSet presAssocID="{7ABDC2F3-7CFA-49A4-9DFA-0746732A9549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5DF3DCFA-AD16-498D-9BF8-D8A47A32BC22}" type="pres">
      <dgm:prSet presAssocID="{7805A9B5-0EEB-4AB7-AAB1-D600FBF43BB1}" presName="hierRoot1" presStyleCnt="0">
        <dgm:presLayoutVars>
          <dgm:hierBranch val="init"/>
        </dgm:presLayoutVars>
      </dgm:prSet>
      <dgm:spPr/>
    </dgm:pt>
    <dgm:pt modelId="{FA2FCBCA-B333-4264-AF1D-485D8A606439}" type="pres">
      <dgm:prSet presAssocID="{7805A9B5-0EEB-4AB7-AAB1-D600FBF43BB1}" presName="rootComposite1" presStyleCnt="0"/>
      <dgm:spPr/>
    </dgm:pt>
    <dgm:pt modelId="{372D7F8C-AB7A-4A64-86F5-2B979838B75F}" type="pres">
      <dgm:prSet presAssocID="{7805A9B5-0EEB-4AB7-AAB1-D600FBF43BB1}" presName="rootText1" presStyleLbl="alignAcc1" presStyleIdx="0" presStyleCnt="0">
        <dgm:presLayoutVars>
          <dgm:chPref val="3"/>
        </dgm:presLayoutVars>
      </dgm:prSet>
      <dgm:spPr/>
    </dgm:pt>
    <dgm:pt modelId="{A732F487-CB14-4006-8555-B9A2EFCDA775}" type="pres">
      <dgm:prSet presAssocID="{7805A9B5-0EEB-4AB7-AAB1-D600FBF43BB1}" presName="topArc1" presStyleLbl="parChTrans1D1" presStyleIdx="0" presStyleCnt="10"/>
      <dgm:spPr/>
    </dgm:pt>
    <dgm:pt modelId="{BEA03906-9B19-4F4F-82AE-DD753BF766D8}" type="pres">
      <dgm:prSet presAssocID="{7805A9B5-0EEB-4AB7-AAB1-D600FBF43BB1}" presName="bottomArc1" presStyleLbl="parChTrans1D1" presStyleIdx="1" presStyleCnt="10"/>
      <dgm:spPr/>
    </dgm:pt>
    <dgm:pt modelId="{6D16345A-423E-44B4-8D5C-631DA3B31500}" type="pres">
      <dgm:prSet presAssocID="{7805A9B5-0EEB-4AB7-AAB1-D600FBF43BB1}" presName="topConnNode1" presStyleLbl="node1" presStyleIdx="0" presStyleCnt="0"/>
      <dgm:spPr/>
    </dgm:pt>
    <dgm:pt modelId="{5015897F-0791-4720-A543-F68A6EAF83A1}" type="pres">
      <dgm:prSet presAssocID="{7805A9B5-0EEB-4AB7-AAB1-D600FBF43BB1}" presName="hierChild2" presStyleCnt="0"/>
      <dgm:spPr/>
    </dgm:pt>
    <dgm:pt modelId="{D3D38033-778A-4A37-8FD3-B0F11CA55344}" type="pres">
      <dgm:prSet presAssocID="{4B0B8446-7863-4D45-8433-019FA8E06085}" presName="Name28" presStyleLbl="parChTrans1D2" presStyleIdx="0" presStyleCnt="4"/>
      <dgm:spPr/>
    </dgm:pt>
    <dgm:pt modelId="{D4309D05-0BCF-45EC-99A3-E2CC7AC75C88}" type="pres">
      <dgm:prSet presAssocID="{74D9CF08-4B9D-4C46-A337-5DBDB2EE2418}" presName="hierRoot2" presStyleCnt="0">
        <dgm:presLayoutVars>
          <dgm:hierBranch val="init"/>
        </dgm:presLayoutVars>
      </dgm:prSet>
      <dgm:spPr/>
    </dgm:pt>
    <dgm:pt modelId="{AFF72D3E-24D8-4DD9-B267-898F8A8CB4F8}" type="pres">
      <dgm:prSet presAssocID="{74D9CF08-4B9D-4C46-A337-5DBDB2EE2418}" presName="rootComposite2" presStyleCnt="0"/>
      <dgm:spPr/>
    </dgm:pt>
    <dgm:pt modelId="{FB0284CB-8D3C-4856-93DB-7A1B0839A87F}" type="pres">
      <dgm:prSet presAssocID="{74D9CF08-4B9D-4C46-A337-5DBDB2EE2418}" presName="rootText2" presStyleLbl="alignAcc1" presStyleIdx="0" presStyleCnt="0">
        <dgm:presLayoutVars>
          <dgm:chPref val="3"/>
        </dgm:presLayoutVars>
      </dgm:prSet>
      <dgm:spPr/>
    </dgm:pt>
    <dgm:pt modelId="{8BD87AF2-E9A2-42EE-8921-431BE2BA8F7C}" type="pres">
      <dgm:prSet presAssocID="{74D9CF08-4B9D-4C46-A337-5DBDB2EE2418}" presName="topArc2" presStyleLbl="parChTrans1D1" presStyleIdx="2" presStyleCnt="10"/>
      <dgm:spPr/>
    </dgm:pt>
    <dgm:pt modelId="{B667599A-651F-4FDC-9B2C-813C14DB68C3}" type="pres">
      <dgm:prSet presAssocID="{74D9CF08-4B9D-4C46-A337-5DBDB2EE2418}" presName="bottomArc2" presStyleLbl="parChTrans1D1" presStyleIdx="3" presStyleCnt="10"/>
      <dgm:spPr/>
    </dgm:pt>
    <dgm:pt modelId="{3FDF900C-9030-4A6B-B942-5726C21C01BB}" type="pres">
      <dgm:prSet presAssocID="{74D9CF08-4B9D-4C46-A337-5DBDB2EE2418}" presName="topConnNode2" presStyleLbl="node2" presStyleIdx="0" presStyleCnt="0"/>
      <dgm:spPr/>
    </dgm:pt>
    <dgm:pt modelId="{AE1D907B-4F53-41DB-96D9-759632BE62F0}" type="pres">
      <dgm:prSet presAssocID="{74D9CF08-4B9D-4C46-A337-5DBDB2EE2418}" presName="hierChild4" presStyleCnt="0"/>
      <dgm:spPr/>
    </dgm:pt>
    <dgm:pt modelId="{E509F8A4-99F7-4549-9592-687CE8CB88DF}" type="pres">
      <dgm:prSet presAssocID="{74D9CF08-4B9D-4C46-A337-5DBDB2EE2418}" presName="hierChild5" presStyleCnt="0"/>
      <dgm:spPr/>
    </dgm:pt>
    <dgm:pt modelId="{7EB4FB15-E4F7-4443-9749-28EDF97AABEC}" type="pres">
      <dgm:prSet presAssocID="{17E98A68-70ED-4511-B0A5-7F599F51AF1E}" presName="Name28" presStyleLbl="parChTrans1D2" presStyleIdx="1" presStyleCnt="4"/>
      <dgm:spPr/>
    </dgm:pt>
    <dgm:pt modelId="{70DCCC6F-0AA2-4CE4-924E-F71A47532270}" type="pres">
      <dgm:prSet presAssocID="{F8C06627-2DE6-40EA-BC80-FCF36B09855D}" presName="hierRoot2" presStyleCnt="0">
        <dgm:presLayoutVars>
          <dgm:hierBranch val="init"/>
        </dgm:presLayoutVars>
      </dgm:prSet>
      <dgm:spPr/>
    </dgm:pt>
    <dgm:pt modelId="{7BFDD4F2-A815-4196-B57D-0423E0B6BE1E}" type="pres">
      <dgm:prSet presAssocID="{F8C06627-2DE6-40EA-BC80-FCF36B09855D}" presName="rootComposite2" presStyleCnt="0"/>
      <dgm:spPr/>
    </dgm:pt>
    <dgm:pt modelId="{CAA0C2CD-15C1-4ABB-846D-05C66D7ECD91}" type="pres">
      <dgm:prSet presAssocID="{F8C06627-2DE6-40EA-BC80-FCF36B09855D}" presName="rootText2" presStyleLbl="alignAcc1" presStyleIdx="0" presStyleCnt="0">
        <dgm:presLayoutVars>
          <dgm:chPref val="3"/>
        </dgm:presLayoutVars>
      </dgm:prSet>
      <dgm:spPr/>
    </dgm:pt>
    <dgm:pt modelId="{E12417C5-8A71-430E-BC66-6A690759275F}" type="pres">
      <dgm:prSet presAssocID="{F8C06627-2DE6-40EA-BC80-FCF36B09855D}" presName="topArc2" presStyleLbl="parChTrans1D1" presStyleIdx="4" presStyleCnt="10"/>
      <dgm:spPr/>
    </dgm:pt>
    <dgm:pt modelId="{09985B15-F498-4F8F-83BB-23BFDC1094A9}" type="pres">
      <dgm:prSet presAssocID="{F8C06627-2DE6-40EA-BC80-FCF36B09855D}" presName="bottomArc2" presStyleLbl="parChTrans1D1" presStyleIdx="5" presStyleCnt="10"/>
      <dgm:spPr/>
    </dgm:pt>
    <dgm:pt modelId="{432819E6-76E8-4EAB-9B8D-9CB3F0915338}" type="pres">
      <dgm:prSet presAssocID="{F8C06627-2DE6-40EA-BC80-FCF36B09855D}" presName="topConnNode2" presStyleLbl="node2" presStyleIdx="0" presStyleCnt="0"/>
      <dgm:spPr/>
    </dgm:pt>
    <dgm:pt modelId="{B251E75A-24F4-445E-A764-8A3E7589D64D}" type="pres">
      <dgm:prSet presAssocID="{F8C06627-2DE6-40EA-BC80-FCF36B09855D}" presName="hierChild4" presStyleCnt="0"/>
      <dgm:spPr/>
    </dgm:pt>
    <dgm:pt modelId="{A2B78A7A-9D52-4879-8778-B350D802A9B8}" type="pres">
      <dgm:prSet presAssocID="{F8C06627-2DE6-40EA-BC80-FCF36B09855D}" presName="hierChild5" presStyleCnt="0"/>
      <dgm:spPr/>
    </dgm:pt>
    <dgm:pt modelId="{E724AAE8-3667-4FE6-B650-42549A2E6067}" type="pres">
      <dgm:prSet presAssocID="{2DCFCE37-0166-4085-8C3E-2F45D07738B1}" presName="Name28" presStyleLbl="parChTrans1D2" presStyleIdx="2" presStyleCnt="4"/>
      <dgm:spPr/>
    </dgm:pt>
    <dgm:pt modelId="{ABF57193-4895-4E3C-BDA8-7489B522FF45}" type="pres">
      <dgm:prSet presAssocID="{E642255A-28C5-413C-A056-C6259BB66E22}" presName="hierRoot2" presStyleCnt="0">
        <dgm:presLayoutVars>
          <dgm:hierBranch val="init"/>
        </dgm:presLayoutVars>
      </dgm:prSet>
      <dgm:spPr/>
    </dgm:pt>
    <dgm:pt modelId="{9D0CA224-2507-410F-A942-6E2F7BCE977B}" type="pres">
      <dgm:prSet presAssocID="{E642255A-28C5-413C-A056-C6259BB66E22}" presName="rootComposite2" presStyleCnt="0"/>
      <dgm:spPr/>
    </dgm:pt>
    <dgm:pt modelId="{42A8DBBA-DA81-4F02-BED8-7B8C6C567FCC}" type="pres">
      <dgm:prSet presAssocID="{E642255A-28C5-413C-A056-C6259BB66E22}" presName="rootText2" presStyleLbl="alignAcc1" presStyleIdx="0" presStyleCnt="0">
        <dgm:presLayoutVars>
          <dgm:chPref val="3"/>
        </dgm:presLayoutVars>
      </dgm:prSet>
      <dgm:spPr/>
    </dgm:pt>
    <dgm:pt modelId="{8676F970-1115-463C-9CBF-1ACF241F0FB5}" type="pres">
      <dgm:prSet presAssocID="{E642255A-28C5-413C-A056-C6259BB66E22}" presName="topArc2" presStyleLbl="parChTrans1D1" presStyleIdx="6" presStyleCnt="10"/>
      <dgm:spPr/>
    </dgm:pt>
    <dgm:pt modelId="{20BCD17D-0B60-4FBD-BA71-80F4C6E60E10}" type="pres">
      <dgm:prSet presAssocID="{E642255A-28C5-413C-A056-C6259BB66E22}" presName="bottomArc2" presStyleLbl="parChTrans1D1" presStyleIdx="7" presStyleCnt="10"/>
      <dgm:spPr/>
    </dgm:pt>
    <dgm:pt modelId="{E2D6DFAF-BED9-43AB-A24A-F201F70ACFF2}" type="pres">
      <dgm:prSet presAssocID="{E642255A-28C5-413C-A056-C6259BB66E22}" presName="topConnNode2" presStyleLbl="node2" presStyleIdx="0" presStyleCnt="0"/>
      <dgm:spPr/>
    </dgm:pt>
    <dgm:pt modelId="{635CAF24-0BA9-40D2-97AD-232EED7AAA8A}" type="pres">
      <dgm:prSet presAssocID="{E642255A-28C5-413C-A056-C6259BB66E22}" presName="hierChild4" presStyleCnt="0"/>
      <dgm:spPr/>
    </dgm:pt>
    <dgm:pt modelId="{74399BE0-B7E6-45C9-8E65-0B02C7C6885C}" type="pres">
      <dgm:prSet presAssocID="{E642255A-28C5-413C-A056-C6259BB66E22}" presName="hierChild5" presStyleCnt="0"/>
      <dgm:spPr/>
    </dgm:pt>
    <dgm:pt modelId="{3224847B-48DC-43FB-86C9-DBE613412B13}" type="pres">
      <dgm:prSet presAssocID="{7805A9B5-0EEB-4AB7-AAB1-D600FBF43BB1}" presName="hierChild3" presStyleCnt="0"/>
      <dgm:spPr/>
    </dgm:pt>
    <dgm:pt modelId="{2227C4E2-BB3A-4DCF-9C3E-7F7FDB7833FD}" type="pres">
      <dgm:prSet presAssocID="{27D7B946-DCDA-4653-9A8D-7B206D1D95E2}" presName="Name101" presStyleLbl="parChTrans1D2" presStyleIdx="3" presStyleCnt="4"/>
      <dgm:spPr/>
    </dgm:pt>
    <dgm:pt modelId="{7D9B06C1-019A-4C8F-89B7-6046F84C21F9}" type="pres">
      <dgm:prSet presAssocID="{0104E65E-E53E-4008-BDA3-55283A3F647D}" presName="hierRoot3" presStyleCnt="0">
        <dgm:presLayoutVars>
          <dgm:hierBranch val="init"/>
        </dgm:presLayoutVars>
      </dgm:prSet>
      <dgm:spPr/>
    </dgm:pt>
    <dgm:pt modelId="{7A2B1E25-2FC9-461A-B114-FFB3FD857EC6}" type="pres">
      <dgm:prSet presAssocID="{0104E65E-E53E-4008-BDA3-55283A3F647D}" presName="rootComposite3" presStyleCnt="0"/>
      <dgm:spPr/>
    </dgm:pt>
    <dgm:pt modelId="{DE3F913D-53A2-42A2-A919-A66EC1C7B68D}" type="pres">
      <dgm:prSet presAssocID="{0104E65E-E53E-4008-BDA3-55283A3F647D}" presName="rootText3" presStyleLbl="alignAcc1" presStyleIdx="0" presStyleCnt="0">
        <dgm:presLayoutVars>
          <dgm:chPref val="3"/>
        </dgm:presLayoutVars>
      </dgm:prSet>
      <dgm:spPr/>
    </dgm:pt>
    <dgm:pt modelId="{9EBE5741-0E29-4E93-9078-E9A682B3B78E}" type="pres">
      <dgm:prSet presAssocID="{0104E65E-E53E-4008-BDA3-55283A3F647D}" presName="topArc3" presStyleLbl="parChTrans1D1" presStyleIdx="8" presStyleCnt="10"/>
      <dgm:spPr/>
    </dgm:pt>
    <dgm:pt modelId="{9EE38CD5-1199-42C8-B0DD-CFCACC66B4B2}" type="pres">
      <dgm:prSet presAssocID="{0104E65E-E53E-4008-BDA3-55283A3F647D}" presName="bottomArc3" presStyleLbl="parChTrans1D1" presStyleIdx="9" presStyleCnt="10"/>
      <dgm:spPr/>
    </dgm:pt>
    <dgm:pt modelId="{BA472C5F-4AA0-4F79-B024-8CB13DD10149}" type="pres">
      <dgm:prSet presAssocID="{0104E65E-E53E-4008-BDA3-55283A3F647D}" presName="topConnNode3" presStyleLbl="asst1" presStyleIdx="0" presStyleCnt="0"/>
      <dgm:spPr/>
    </dgm:pt>
    <dgm:pt modelId="{58388067-63B6-403A-9CEC-1C33EBE64D77}" type="pres">
      <dgm:prSet presAssocID="{0104E65E-E53E-4008-BDA3-55283A3F647D}" presName="hierChild6" presStyleCnt="0"/>
      <dgm:spPr/>
    </dgm:pt>
    <dgm:pt modelId="{0EC53983-9DCA-484A-8669-E56810B90FCE}" type="pres">
      <dgm:prSet presAssocID="{0104E65E-E53E-4008-BDA3-55283A3F647D}" presName="hierChild7" presStyleCnt="0"/>
      <dgm:spPr/>
    </dgm:pt>
  </dgm:ptLst>
  <dgm:cxnLst>
    <dgm:cxn modelId="{4A501B12-4E36-4FEB-A0B4-CCB8A79A945A}" type="presOf" srcId="{4B0B8446-7863-4D45-8433-019FA8E06085}" destId="{D3D38033-778A-4A37-8FD3-B0F11CA55344}" srcOrd="0" destOrd="0" presId="urn:microsoft.com/office/officeart/2008/layout/HalfCircleOrganizationChart"/>
    <dgm:cxn modelId="{49A69D1C-C7DD-4B1D-A41C-8EB301646D8D}" srcId="{7805A9B5-0EEB-4AB7-AAB1-D600FBF43BB1}" destId="{74D9CF08-4B9D-4C46-A337-5DBDB2EE2418}" srcOrd="1" destOrd="0" parTransId="{4B0B8446-7863-4D45-8433-019FA8E06085}" sibTransId="{50B5F893-079E-4321-ABA8-35A167C0DC4F}"/>
    <dgm:cxn modelId="{5EF3CD21-24EC-49BC-B173-9C0BDA984D25}" type="presOf" srcId="{7ABDC2F3-7CFA-49A4-9DFA-0746732A9549}" destId="{A9821FF0-9D25-4297-AF87-87643EBC1013}" srcOrd="0" destOrd="0" presId="urn:microsoft.com/office/officeart/2008/layout/HalfCircleOrganizationChart"/>
    <dgm:cxn modelId="{C19D6363-0438-4F99-8B0A-650965A02919}" type="presOf" srcId="{F8C06627-2DE6-40EA-BC80-FCF36B09855D}" destId="{CAA0C2CD-15C1-4ABB-846D-05C66D7ECD91}" srcOrd="0" destOrd="0" presId="urn:microsoft.com/office/officeart/2008/layout/HalfCircleOrganizationChart"/>
    <dgm:cxn modelId="{BEE44667-3443-44A8-AA1C-5F9EF31BBCAA}" type="presOf" srcId="{E642255A-28C5-413C-A056-C6259BB66E22}" destId="{42A8DBBA-DA81-4F02-BED8-7B8C6C567FCC}" srcOrd="0" destOrd="0" presId="urn:microsoft.com/office/officeart/2008/layout/HalfCircleOrganizationChart"/>
    <dgm:cxn modelId="{994A9C67-4DDD-4ACC-9E63-1156B908C3F3}" srcId="{7ABDC2F3-7CFA-49A4-9DFA-0746732A9549}" destId="{7805A9B5-0EEB-4AB7-AAB1-D600FBF43BB1}" srcOrd="0" destOrd="0" parTransId="{17FBB5E1-D894-419A-9360-994753C9DFB6}" sibTransId="{8D54874A-F3C2-40D1-91EA-F70781429B4D}"/>
    <dgm:cxn modelId="{D2895468-EFB4-4509-9C8C-D85F6DE6614A}" type="presOf" srcId="{27D7B946-DCDA-4653-9A8D-7B206D1D95E2}" destId="{2227C4E2-BB3A-4DCF-9C3E-7F7FDB7833FD}" srcOrd="0" destOrd="0" presId="urn:microsoft.com/office/officeart/2008/layout/HalfCircleOrganizationChart"/>
    <dgm:cxn modelId="{59D1584D-5ADA-412C-B641-2A3B054D8284}" type="presOf" srcId="{E642255A-28C5-413C-A056-C6259BB66E22}" destId="{E2D6DFAF-BED9-43AB-A24A-F201F70ACFF2}" srcOrd="1" destOrd="0" presId="urn:microsoft.com/office/officeart/2008/layout/HalfCircleOrganizationChart"/>
    <dgm:cxn modelId="{E415856F-10B3-448B-B261-C2A6B73707A7}" srcId="{7805A9B5-0EEB-4AB7-AAB1-D600FBF43BB1}" destId="{0104E65E-E53E-4008-BDA3-55283A3F647D}" srcOrd="0" destOrd="0" parTransId="{27D7B946-DCDA-4653-9A8D-7B206D1D95E2}" sibTransId="{07961E87-D852-4E47-92FB-06843F500DD3}"/>
    <dgm:cxn modelId="{7E7ABB74-90A5-4BF8-933C-5B56B907A709}" type="presOf" srcId="{2DCFCE37-0166-4085-8C3E-2F45D07738B1}" destId="{E724AAE8-3667-4FE6-B650-42549A2E6067}" srcOrd="0" destOrd="0" presId="urn:microsoft.com/office/officeart/2008/layout/HalfCircleOrganizationChart"/>
    <dgm:cxn modelId="{03A0F67A-2DA5-4C93-BEC8-57A044683DA0}" type="presOf" srcId="{7805A9B5-0EEB-4AB7-AAB1-D600FBF43BB1}" destId="{372D7F8C-AB7A-4A64-86F5-2B979838B75F}" srcOrd="0" destOrd="0" presId="urn:microsoft.com/office/officeart/2008/layout/HalfCircleOrganizationChart"/>
    <dgm:cxn modelId="{ED28F886-6A1C-472B-8902-6D1201343463}" type="presOf" srcId="{0104E65E-E53E-4008-BDA3-55283A3F647D}" destId="{DE3F913D-53A2-42A2-A919-A66EC1C7B68D}" srcOrd="0" destOrd="0" presId="urn:microsoft.com/office/officeart/2008/layout/HalfCircleOrganizationChart"/>
    <dgm:cxn modelId="{E7153D87-50DC-44F2-BC38-CC48EBD070AB}" type="presOf" srcId="{74D9CF08-4B9D-4C46-A337-5DBDB2EE2418}" destId="{FB0284CB-8D3C-4856-93DB-7A1B0839A87F}" srcOrd="0" destOrd="0" presId="urn:microsoft.com/office/officeart/2008/layout/HalfCircleOrganizationChart"/>
    <dgm:cxn modelId="{09842A9D-EDAA-40D9-9068-80A955E4DD2B}" srcId="{7805A9B5-0EEB-4AB7-AAB1-D600FBF43BB1}" destId="{F8C06627-2DE6-40EA-BC80-FCF36B09855D}" srcOrd="2" destOrd="0" parTransId="{17E98A68-70ED-4511-B0A5-7F599F51AF1E}" sibTransId="{0E5270BE-2D4B-4ED5-B08D-59831058650F}"/>
    <dgm:cxn modelId="{8F97E0C6-7BA0-44FF-ACB9-900C8C91B686}" srcId="{7805A9B5-0EEB-4AB7-AAB1-D600FBF43BB1}" destId="{E642255A-28C5-413C-A056-C6259BB66E22}" srcOrd="3" destOrd="0" parTransId="{2DCFCE37-0166-4085-8C3E-2F45D07738B1}" sibTransId="{7FE77773-E527-431A-9F8D-23E04A982C34}"/>
    <dgm:cxn modelId="{28A88FC8-2294-4EAE-B519-325076E33B2E}" type="presOf" srcId="{74D9CF08-4B9D-4C46-A337-5DBDB2EE2418}" destId="{3FDF900C-9030-4A6B-B942-5726C21C01BB}" srcOrd="1" destOrd="0" presId="urn:microsoft.com/office/officeart/2008/layout/HalfCircleOrganizationChart"/>
    <dgm:cxn modelId="{253444DA-AACA-4119-ABB9-1419197A9200}" type="presOf" srcId="{0104E65E-E53E-4008-BDA3-55283A3F647D}" destId="{BA472C5F-4AA0-4F79-B024-8CB13DD10149}" srcOrd="1" destOrd="0" presId="urn:microsoft.com/office/officeart/2008/layout/HalfCircleOrganizationChart"/>
    <dgm:cxn modelId="{7BB142DC-BD57-4796-95C5-25E297CB9A48}" type="presOf" srcId="{F8C06627-2DE6-40EA-BC80-FCF36B09855D}" destId="{432819E6-76E8-4EAB-9B8D-9CB3F0915338}" srcOrd="1" destOrd="0" presId="urn:microsoft.com/office/officeart/2008/layout/HalfCircleOrganizationChart"/>
    <dgm:cxn modelId="{01AE87DF-3CF6-4EB0-819B-065CDDD32DBD}" type="presOf" srcId="{17E98A68-70ED-4511-B0A5-7F599F51AF1E}" destId="{7EB4FB15-E4F7-4443-9749-28EDF97AABEC}" srcOrd="0" destOrd="0" presId="urn:microsoft.com/office/officeart/2008/layout/HalfCircleOrganizationChart"/>
    <dgm:cxn modelId="{E40CC7F0-0A38-470D-AF44-2CB52DF0AD25}" type="presOf" srcId="{7805A9B5-0EEB-4AB7-AAB1-D600FBF43BB1}" destId="{6D16345A-423E-44B4-8D5C-631DA3B31500}" srcOrd="1" destOrd="0" presId="urn:microsoft.com/office/officeart/2008/layout/HalfCircleOrganizationChart"/>
    <dgm:cxn modelId="{65F78746-0697-411B-888D-6D43428C6E7F}" type="presParOf" srcId="{A9821FF0-9D25-4297-AF87-87643EBC1013}" destId="{5DF3DCFA-AD16-498D-9BF8-D8A47A32BC22}" srcOrd="0" destOrd="0" presId="urn:microsoft.com/office/officeart/2008/layout/HalfCircleOrganizationChart"/>
    <dgm:cxn modelId="{B329F466-2872-4058-9903-27ACB287D6EC}" type="presParOf" srcId="{5DF3DCFA-AD16-498D-9BF8-D8A47A32BC22}" destId="{FA2FCBCA-B333-4264-AF1D-485D8A606439}" srcOrd="0" destOrd="0" presId="urn:microsoft.com/office/officeart/2008/layout/HalfCircleOrganizationChart"/>
    <dgm:cxn modelId="{C1CACC98-3C24-440A-A80D-DBF215427E2D}" type="presParOf" srcId="{FA2FCBCA-B333-4264-AF1D-485D8A606439}" destId="{372D7F8C-AB7A-4A64-86F5-2B979838B75F}" srcOrd="0" destOrd="0" presId="urn:microsoft.com/office/officeart/2008/layout/HalfCircleOrganizationChart"/>
    <dgm:cxn modelId="{E7191A45-3623-46CB-AA2D-B5D26FA0207F}" type="presParOf" srcId="{FA2FCBCA-B333-4264-AF1D-485D8A606439}" destId="{A732F487-CB14-4006-8555-B9A2EFCDA775}" srcOrd="1" destOrd="0" presId="urn:microsoft.com/office/officeart/2008/layout/HalfCircleOrganizationChart"/>
    <dgm:cxn modelId="{5D660E84-2F73-4AD9-B592-E6B59BE4B4DA}" type="presParOf" srcId="{FA2FCBCA-B333-4264-AF1D-485D8A606439}" destId="{BEA03906-9B19-4F4F-82AE-DD753BF766D8}" srcOrd="2" destOrd="0" presId="urn:microsoft.com/office/officeart/2008/layout/HalfCircleOrganizationChart"/>
    <dgm:cxn modelId="{648BCFDA-F3AC-4EF4-8083-7B996E3FCC7D}" type="presParOf" srcId="{FA2FCBCA-B333-4264-AF1D-485D8A606439}" destId="{6D16345A-423E-44B4-8D5C-631DA3B31500}" srcOrd="3" destOrd="0" presId="urn:microsoft.com/office/officeart/2008/layout/HalfCircleOrganizationChart"/>
    <dgm:cxn modelId="{26DCE432-9928-44BA-BA97-28B033BC019C}" type="presParOf" srcId="{5DF3DCFA-AD16-498D-9BF8-D8A47A32BC22}" destId="{5015897F-0791-4720-A543-F68A6EAF83A1}" srcOrd="1" destOrd="0" presId="urn:microsoft.com/office/officeart/2008/layout/HalfCircleOrganizationChart"/>
    <dgm:cxn modelId="{39A64BDB-80E1-4F42-A9D3-10BCBF93ABBB}" type="presParOf" srcId="{5015897F-0791-4720-A543-F68A6EAF83A1}" destId="{D3D38033-778A-4A37-8FD3-B0F11CA55344}" srcOrd="0" destOrd="0" presId="urn:microsoft.com/office/officeart/2008/layout/HalfCircleOrganizationChart"/>
    <dgm:cxn modelId="{CDDB6BB4-98C6-44AA-8A25-85580804C0FA}" type="presParOf" srcId="{5015897F-0791-4720-A543-F68A6EAF83A1}" destId="{D4309D05-0BCF-45EC-99A3-E2CC7AC75C88}" srcOrd="1" destOrd="0" presId="urn:microsoft.com/office/officeart/2008/layout/HalfCircleOrganizationChart"/>
    <dgm:cxn modelId="{2610A05E-6ABD-4AD8-851B-C84537E8F857}" type="presParOf" srcId="{D4309D05-0BCF-45EC-99A3-E2CC7AC75C88}" destId="{AFF72D3E-24D8-4DD9-B267-898F8A8CB4F8}" srcOrd="0" destOrd="0" presId="urn:microsoft.com/office/officeart/2008/layout/HalfCircleOrganizationChart"/>
    <dgm:cxn modelId="{778E4759-DA04-4BF6-9DC3-AD7B9BC0BDBA}" type="presParOf" srcId="{AFF72D3E-24D8-4DD9-B267-898F8A8CB4F8}" destId="{FB0284CB-8D3C-4856-93DB-7A1B0839A87F}" srcOrd="0" destOrd="0" presId="urn:microsoft.com/office/officeart/2008/layout/HalfCircleOrganizationChart"/>
    <dgm:cxn modelId="{E799F331-F8DE-415F-B3E4-DFE90250F234}" type="presParOf" srcId="{AFF72D3E-24D8-4DD9-B267-898F8A8CB4F8}" destId="{8BD87AF2-E9A2-42EE-8921-431BE2BA8F7C}" srcOrd="1" destOrd="0" presId="urn:microsoft.com/office/officeart/2008/layout/HalfCircleOrganizationChart"/>
    <dgm:cxn modelId="{0FD64B1F-3A7B-442D-9BDB-0D314AB5A5C5}" type="presParOf" srcId="{AFF72D3E-24D8-4DD9-B267-898F8A8CB4F8}" destId="{B667599A-651F-4FDC-9B2C-813C14DB68C3}" srcOrd="2" destOrd="0" presId="urn:microsoft.com/office/officeart/2008/layout/HalfCircleOrganizationChart"/>
    <dgm:cxn modelId="{56902964-86CC-4B9D-9DAE-91E9D947C6EA}" type="presParOf" srcId="{AFF72D3E-24D8-4DD9-B267-898F8A8CB4F8}" destId="{3FDF900C-9030-4A6B-B942-5726C21C01BB}" srcOrd="3" destOrd="0" presId="urn:microsoft.com/office/officeart/2008/layout/HalfCircleOrganizationChart"/>
    <dgm:cxn modelId="{29E66A0F-517A-47B7-811C-791CDE762B49}" type="presParOf" srcId="{D4309D05-0BCF-45EC-99A3-E2CC7AC75C88}" destId="{AE1D907B-4F53-41DB-96D9-759632BE62F0}" srcOrd="1" destOrd="0" presId="urn:microsoft.com/office/officeart/2008/layout/HalfCircleOrganizationChart"/>
    <dgm:cxn modelId="{79570471-AF34-4F2C-92B5-F8BF3B4009FC}" type="presParOf" srcId="{D4309D05-0BCF-45EC-99A3-E2CC7AC75C88}" destId="{E509F8A4-99F7-4549-9592-687CE8CB88DF}" srcOrd="2" destOrd="0" presId="urn:microsoft.com/office/officeart/2008/layout/HalfCircleOrganizationChart"/>
    <dgm:cxn modelId="{BC88198E-5D91-4461-BD4A-F288B851ED5D}" type="presParOf" srcId="{5015897F-0791-4720-A543-F68A6EAF83A1}" destId="{7EB4FB15-E4F7-4443-9749-28EDF97AABEC}" srcOrd="2" destOrd="0" presId="urn:microsoft.com/office/officeart/2008/layout/HalfCircleOrganizationChart"/>
    <dgm:cxn modelId="{BE935261-7E63-4A2C-B071-898D492D7981}" type="presParOf" srcId="{5015897F-0791-4720-A543-F68A6EAF83A1}" destId="{70DCCC6F-0AA2-4CE4-924E-F71A47532270}" srcOrd="3" destOrd="0" presId="urn:microsoft.com/office/officeart/2008/layout/HalfCircleOrganizationChart"/>
    <dgm:cxn modelId="{874CF67A-B264-479B-87DE-44963EE92409}" type="presParOf" srcId="{70DCCC6F-0AA2-4CE4-924E-F71A47532270}" destId="{7BFDD4F2-A815-4196-B57D-0423E0B6BE1E}" srcOrd="0" destOrd="0" presId="urn:microsoft.com/office/officeart/2008/layout/HalfCircleOrganizationChart"/>
    <dgm:cxn modelId="{0E80D38C-0275-47CF-9269-1FC6D041245B}" type="presParOf" srcId="{7BFDD4F2-A815-4196-B57D-0423E0B6BE1E}" destId="{CAA0C2CD-15C1-4ABB-846D-05C66D7ECD91}" srcOrd="0" destOrd="0" presId="urn:microsoft.com/office/officeart/2008/layout/HalfCircleOrganizationChart"/>
    <dgm:cxn modelId="{C226DFF2-7C32-4822-A5FA-40E23022498A}" type="presParOf" srcId="{7BFDD4F2-A815-4196-B57D-0423E0B6BE1E}" destId="{E12417C5-8A71-430E-BC66-6A690759275F}" srcOrd="1" destOrd="0" presId="urn:microsoft.com/office/officeart/2008/layout/HalfCircleOrganizationChart"/>
    <dgm:cxn modelId="{E3ED4D2A-C984-4D7F-9F82-A58E30EF9F5C}" type="presParOf" srcId="{7BFDD4F2-A815-4196-B57D-0423E0B6BE1E}" destId="{09985B15-F498-4F8F-83BB-23BFDC1094A9}" srcOrd="2" destOrd="0" presId="urn:microsoft.com/office/officeart/2008/layout/HalfCircleOrganizationChart"/>
    <dgm:cxn modelId="{738B94C7-629A-441A-AE1C-6D12B5041B54}" type="presParOf" srcId="{7BFDD4F2-A815-4196-B57D-0423E0B6BE1E}" destId="{432819E6-76E8-4EAB-9B8D-9CB3F0915338}" srcOrd="3" destOrd="0" presId="urn:microsoft.com/office/officeart/2008/layout/HalfCircleOrganizationChart"/>
    <dgm:cxn modelId="{DA7A6B52-0A9C-4C5F-88FD-17C7A71F91C4}" type="presParOf" srcId="{70DCCC6F-0AA2-4CE4-924E-F71A47532270}" destId="{B251E75A-24F4-445E-A764-8A3E7589D64D}" srcOrd="1" destOrd="0" presId="urn:microsoft.com/office/officeart/2008/layout/HalfCircleOrganizationChart"/>
    <dgm:cxn modelId="{C58326ED-376A-40BB-90CF-82667AE9C8D8}" type="presParOf" srcId="{70DCCC6F-0AA2-4CE4-924E-F71A47532270}" destId="{A2B78A7A-9D52-4879-8778-B350D802A9B8}" srcOrd="2" destOrd="0" presId="urn:microsoft.com/office/officeart/2008/layout/HalfCircleOrganizationChart"/>
    <dgm:cxn modelId="{3BEF5D2D-C1C6-4BE6-8A19-30A8A963EAA0}" type="presParOf" srcId="{5015897F-0791-4720-A543-F68A6EAF83A1}" destId="{E724AAE8-3667-4FE6-B650-42549A2E6067}" srcOrd="4" destOrd="0" presId="urn:microsoft.com/office/officeart/2008/layout/HalfCircleOrganizationChart"/>
    <dgm:cxn modelId="{C67806BE-4249-4F06-9EE3-D021D3671D84}" type="presParOf" srcId="{5015897F-0791-4720-A543-F68A6EAF83A1}" destId="{ABF57193-4895-4E3C-BDA8-7489B522FF45}" srcOrd="5" destOrd="0" presId="urn:microsoft.com/office/officeart/2008/layout/HalfCircleOrganizationChart"/>
    <dgm:cxn modelId="{9805D377-AED1-41D1-B07F-0DBBB2921E66}" type="presParOf" srcId="{ABF57193-4895-4E3C-BDA8-7489B522FF45}" destId="{9D0CA224-2507-410F-A942-6E2F7BCE977B}" srcOrd="0" destOrd="0" presId="urn:microsoft.com/office/officeart/2008/layout/HalfCircleOrganizationChart"/>
    <dgm:cxn modelId="{F0F14EA9-5203-43BE-88A4-E2A6B1EBC052}" type="presParOf" srcId="{9D0CA224-2507-410F-A942-6E2F7BCE977B}" destId="{42A8DBBA-DA81-4F02-BED8-7B8C6C567FCC}" srcOrd="0" destOrd="0" presId="urn:microsoft.com/office/officeart/2008/layout/HalfCircleOrganizationChart"/>
    <dgm:cxn modelId="{27A2B702-E034-4506-9274-ACDAD4356572}" type="presParOf" srcId="{9D0CA224-2507-410F-A942-6E2F7BCE977B}" destId="{8676F970-1115-463C-9CBF-1ACF241F0FB5}" srcOrd="1" destOrd="0" presId="urn:microsoft.com/office/officeart/2008/layout/HalfCircleOrganizationChart"/>
    <dgm:cxn modelId="{DFB9E468-6484-4DDF-93E8-5410DB0568D1}" type="presParOf" srcId="{9D0CA224-2507-410F-A942-6E2F7BCE977B}" destId="{20BCD17D-0B60-4FBD-BA71-80F4C6E60E10}" srcOrd="2" destOrd="0" presId="urn:microsoft.com/office/officeart/2008/layout/HalfCircleOrganizationChart"/>
    <dgm:cxn modelId="{B9EEC532-9F60-43B8-ABCC-7482C3E60E3D}" type="presParOf" srcId="{9D0CA224-2507-410F-A942-6E2F7BCE977B}" destId="{E2D6DFAF-BED9-43AB-A24A-F201F70ACFF2}" srcOrd="3" destOrd="0" presId="urn:microsoft.com/office/officeart/2008/layout/HalfCircleOrganizationChart"/>
    <dgm:cxn modelId="{18F775D5-65B6-44AE-94C1-FF47DDAD11FC}" type="presParOf" srcId="{ABF57193-4895-4E3C-BDA8-7489B522FF45}" destId="{635CAF24-0BA9-40D2-97AD-232EED7AAA8A}" srcOrd="1" destOrd="0" presId="urn:microsoft.com/office/officeart/2008/layout/HalfCircleOrganizationChart"/>
    <dgm:cxn modelId="{9FAF5B76-0180-44A7-87FA-4583915D62BA}" type="presParOf" srcId="{ABF57193-4895-4E3C-BDA8-7489B522FF45}" destId="{74399BE0-B7E6-45C9-8E65-0B02C7C6885C}" srcOrd="2" destOrd="0" presId="urn:microsoft.com/office/officeart/2008/layout/HalfCircleOrganizationChart"/>
    <dgm:cxn modelId="{B6D59844-AA79-4262-8641-C2E9E43B4D7F}" type="presParOf" srcId="{5DF3DCFA-AD16-498D-9BF8-D8A47A32BC22}" destId="{3224847B-48DC-43FB-86C9-DBE613412B13}" srcOrd="2" destOrd="0" presId="urn:microsoft.com/office/officeart/2008/layout/HalfCircleOrganizationChart"/>
    <dgm:cxn modelId="{5059148C-3C8A-4157-8358-2E51D74CBEAE}" type="presParOf" srcId="{3224847B-48DC-43FB-86C9-DBE613412B13}" destId="{2227C4E2-BB3A-4DCF-9C3E-7F7FDB7833FD}" srcOrd="0" destOrd="0" presId="urn:microsoft.com/office/officeart/2008/layout/HalfCircleOrganizationChart"/>
    <dgm:cxn modelId="{9723BA7C-1511-466A-BFE0-A89324F0A86C}" type="presParOf" srcId="{3224847B-48DC-43FB-86C9-DBE613412B13}" destId="{7D9B06C1-019A-4C8F-89B7-6046F84C21F9}" srcOrd="1" destOrd="0" presId="urn:microsoft.com/office/officeart/2008/layout/HalfCircleOrganizationChart"/>
    <dgm:cxn modelId="{546000A7-8998-47A1-B423-525C201C394B}" type="presParOf" srcId="{7D9B06C1-019A-4C8F-89B7-6046F84C21F9}" destId="{7A2B1E25-2FC9-461A-B114-FFB3FD857EC6}" srcOrd="0" destOrd="0" presId="urn:microsoft.com/office/officeart/2008/layout/HalfCircleOrganizationChart"/>
    <dgm:cxn modelId="{4DA2EC8E-9E3C-445F-A60E-E5D9CC798ACF}" type="presParOf" srcId="{7A2B1E25-2FC9-461A-B114-FFB3FD857EC6}" destId="{DE3F913D-53A2-42A2-A919-A66EC1C7B68D}" srcOrd="0" destOrd="0" presId="urn:microsoft.com/office/officeart/2008/layout/HalfCircleOrganizationChart"/>
    <dgm:cxn modelId="{8D597FC6-26F0-44F2-B3FB-F2FD9527C458}" type="presParOf" srcId="{7A2B1E25-2FC9-461A-B114-FFB3FD857EC6}" destId="{9EBE5741-0E29-4E93-9078-E9A682B3B78E}" srcOrd="1" destOrd="0" presId="urn:microsoft.com/office/officeart/2008/layout/HalfCircleOrganizationChart"/>
    <dgm:cxn modelId="{0BE4A4F1-DA4D-4294-A4BC-0A0B14DAFD14}" type="presParOf" srcId="{7A2B1E25-2FC9-461A-B114-FFB3FD857EC6}" destId="{9EE38CD5-1199-42C8-B0DD-CFCACC66B4B2}" srcOrd="2" destOrd="0" presId="urn:microsoft.com/office/officeart/2008/layout/HalfCircleOrganizationChart"/>
    <dgm:cxn modelId="{13B84FCA-5DE9-4A56-81FF-A6CA2A6E2EF4}" type="presParOf" srcId="{7A2B1E25-2FC9-461A-B114-FFB3FD857EC6}" destId="{BA472C5F-4AA0-4F79-B024-8CB13DD10149}" srcOrd="3" destOrd="0" presId="urn:microsoft.com/office/officeart/2008/layout/HalfCircleOrganizationChart"/>
    <dgm:cxn modelId="{4898C55A-8F9B-422F-A95D-83624F5B7CDD}" type="presParOf" srcId="{7D9B06C1-019A-4C8F-89B7-6046F84C21F9}" destId="{58388067-63B6-403A-9CEC-1C33EBE64D77}" srcOrd="1" destOrd="0" presId="urn:microsoft.com/office/officeart/2008/layout/HalfCircleOrganizationChart"/>
    <dgm:cxn modelId="{CC0BAF17-6BC0-4D55-8024-2A2CC20F0BFB}" type="presParOf" srcId="{7D9B06C1-019A-4C8F-89B7-6046F84C21F9}" destId="{0EC53983-9DCA-484A-8669-E56810B90FCE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20" minVer="http://schemas.openxmlformats.org/drawingml/2006/diagram"/>
    </a:ext>
  </dgm:extLst>
</dgm:dataModel>
</file>

<file path=xl/diagrams/data5.xml><?xml version="1.0" encoding="utf-8"?>
<dgm:dataModel xmlns:dgm="http://schemas.openxmlformats.org/drawingml/2006/diagram" xmlns:a="http://schemas.openxmlformats.org/drawingml/2006/main">
  <dgm:ptLst>
    <dgm:pt modelId="{7ABDC2F3-7CFA-49A4-9DFA-0746732A9549}" type="doc">
      <dgm:prSet loTypeId="urn:microsoft.com/office/officeart/2008/layout/HalfCircleOrganizationChart" loCatId="hierarchy" qsTypeId="urn:microsoft.com/office/officeart/2005/8/quickstyle/simple1" qsCatId="simple" csTypeId="urn:microsoft.com/office/officeart/2005/8/colors/accent1_2" csCatId="accent1" phldr="0"/>
      <dgm:spPr/>
      <dgm:t>
        <a:bodyPr/>
        <a:lstStyle/>
        <a:p>
          <a:endParaRPr lang="en-US"/>
        </a:p>
      </dgm:t>
    </dgm:pt>
    <dgm:pt modelId="{7805A9B5-0EEB-4AB7-AAB1-D600FBF43BB1}">
      <dgm:prSet phldrT="[Text]" phldr="1"/>
      <dgm:spPr/>
      <dgm:t>
        <a:bodyPr/>
        <a:lstStyle/>
        <a:p>
          <a:endParaRPr lang="en-US"/>
        </a:p>
      </dgm:t>
    </dgm:pt>
    <dgm:pt modelId="{17FBB5E1-D894-419A-9360-994753C9DFB6}" type="parTrans" cxnId="{994A9C67-4DDD-4ACC-9E63-1156B908C3F3}">
      <dgm:prSet/>
      <dgm:spPr/>
      <dgm:t>
        <a:bodyPr/>
        <a:lstStyle/>
        <a:p>
          <a:endParaRPr lang="en-US"/>
        </a:p>
      </dgm:t>
    </dgm:pt>
    <dgm:pt modelId="{8D54874A-F3C2-40D1-91EA-F70781429B4D}" type="sibTrans" cxnId="{994A9C67-4DDD-4ACC-9E63-1156B908C3F3}">
      <dgm:prSet/>
      <dgm:spPr/>
      <dgm:t>
        <a:bodyPr/>
        <a:lstStyle/>
        <a:p>
          <a:endParaRPr lang="en-US"/>
        </a:p>
      </dgm:t>
    </dgm:pt>
    <dgm:pt modelId="{0104E65E-E53E-4008-BDA3-55283A3F647D}" type="asst">
      <dgm:prSet phldrT="[Text]" phldr="1"/>
      <dgm:spPr/>
      <dgm:t>
        <a:bodyPr/>
        <a:lstStyle/>
        <a:p>
          <a:endParaRPr lang="en-US"/>
        </a:p>
      </dgm:t>
    </dgm:pt>
    <dgm:pt modelId="{27D7B946-DCDA-4653-9A8D-7B206D1D95E2}" type="parTrans" cxnId="{E415856F-10B3-448B-B261-C2A6B73707A7}">
      <dgm:prSet/>
      <dgm:spPr/>
      <dgm:t>
        <a:bodyPr/>
        <a:lstStyle/>
        <a:p>
          <a:endParaRPr lang="en-US"/>
        </a:p>
      </dgm:t>
    </dgm:pt>
    <dgm:pt modelId="{07961E87-D852-4E47-92FB-06843F500DD3}" type="sibTrans" cxnId="{E415856F-10B3-448B-B261-C2A6B73707A7}">
      <dgm:prSet/>
      <dgm:spPr/>
      <dgm:t>
        <a:bodyPr/>
        <a:lstStyle/>
        <a:p>
          <a:endParaRPr lang="en-US"/>
        </a:p>
      </dgm:t>
    </dgm:pt>
    <dgm:pt modelId="{74D9CF08-4B9D-4C46-A337-5DBDB2EE2418}">
      <dgm:prSet phldrT="[Text]" phldr="1"/>
      <dgm:spPr/>
      <dgm:t>
        <a:bodyPr/>
        <a:lstStyle/>
        <a:p>
          <a:endParaRPr lang="en-US"/>
        </a:p>
      </dgm:t>
    </dgm:pt>
    <dgm:pt modelId="{4B0B8446-7863-4D45-8433-019FA8E06085}" type="parTrans" cxnId="{49A69D1C-C7DD-4B1D-A41C-8EB301646D8D}">
      <dgm:prSet/>
      <dgm:spPr/>
      <dgm:t>
        <a:bodyPr/>
        <a:lstStyle/>
        <a:p>
          <a:endParaRPr lang="en-US"/>
        </a:p>
      </dgm:t>
    </dgm:pt>
    <dgm:pt modelId="{50B5F893-079E-4321-ABA8-35A167C0DC4F}" type="sibTrans" cxnId="{49A69D1C-C7DD-4B1D-A41C-8EB301646D8D}">
      <dgm:prSet/>
      <dgm:spPr/>
      <dgm:t>
        <a:bodyPr/>
        <a:lstStyle/>
        <a:p>
          <a:endParaRPr lang="en-US"/>
        </a:p>
      </dgm:t>
    </dgm:pt>
    <dgm:pt modelId="{F8C06627-2DE6-40EA-BC80-FCF36B09855D}">
      <dgm:prSet phldrT="[Text]" phldr="1"/>
      <dgm:spPr/>
      <dgm:t>
        <a:bodyPr/>
        <a:lstStyle/>
        <a:p>
          <a:endParaRPr lang="en-US"/>
        </a:p>
      </dgm:t>
    </dgm:pt>
    <dgm:pt modelId="{17E98A68-70ED-4511-B0A5-7F599F51AF1E}" type="parTrans" cxnId="{09842A9D-EDAA-40D9-9068-80A955E4DD2B}">
      <dgm:prSet/>
      <dgm:spPr/>
      <dgm:t>
        <a:bodyPr/>
        <a:lstStyle/>
        <a:p>
          <a:endParaRPr lang="en-US"/>
        </a:p>
      </dgm:t>
    </dgm:pt>
    <dgm:pt modelId="{0E5270BE-2D4B-4ED5-B08D-59831058650F}" type="sibTrans" cxnId="{09842A9D-EDAA-40D9-9068-80A955E4DD2B}">
      <dgm:prSet/>
      <dgm:spPr/>
      <dgm:t>
        <a:bodyPr/>
        <a:lstStyle/>
        <a:p>
          <a:endParaRPr lang="en-US"/>
        </a:p>
      </dgm:t>
    </dgm:pt>
    <dgm:pt modelId="{E642255A-28C5-413C-A056-C6259BB66E22}">
      <dgm:prSet phldrT="[Text]" phldr="1"/>
      <dgm:spPr/>
      <dgm:t>
        <a:bodyPr/>
        <a:lstStyle/>
        <a:p>
          <a:endParaRPr lang="en-US"/>
        </a:p>
      </dgm:t>
    </dgm:pt>
    <dgm:pt modelId="{2DCFCE37-0166-4085-8C3E-2F45D07738B1}" type="parTrans" cxnId="{8F97E0C6-7BA0-44FF-ACB9-900C8C91B686}">
      <dgm:prSet/>
      <dgm:spPr/>
      <dgm:t>
        <a:bodyPr/>
        <a:lstStyle/>
        <a:p>
          <a:endParaRPr lang="en-US"/>
        </a:p>
      </dgm:t>
    </dgm:pt>
    <dgm:pt modelId="{7FE77773-E527-431A-9F8D-23E04A982C34}" type="sibTrans" cxnId="{8F97E0C6-7BA0-44FF-ACB9-900C8C91B686}">
      <dgm:prSet/>
      <dgm:spPr/>
      <dgm:t>
        <a:bodyPr/>
        <a:lstStyle/>
        <a:p>
          <a:endParaRPr lang="en-US"/>
        </a:p>
      </dgm:t>
    </dgm:pt>
    <dgm:pt modelId="{A9821FF0-9D25-4297-AF87-87643EBC1013}" type="pres">
      <dgm:prSet presAssocID="{7ABDC2F3-7CFA-49A4-9DFA-0746732A9549}" presName="Name0" presStyleCnt="0">
        <dgm:presLayoutVars>
          <dgm:orgChart val="1"/>
          <dgm:chPref val="1"/>
          <dgm:dir/>
          <dgm:animOne val="branch"/>
          <dgm:animLvl val="lvl"/>
          <dgm:resizeHandles/>
        </dgm:presLayoutVars>
      </dgm:prSet>
      <dgm:spPr/>
    </dgm:pt>
    <dgm:pt modelId="{5DF3DCFA-AD16-498D-9BF8-D8A47A32BC22}" type="pres">
      <dgm:prSet presAssocID="{7805A9B5-0EEB-4AB7-AAB1-D600FBF43BB1}" presName="hierRoot1" presStyleCnt="0">
        <dgm:presLayoutVars>
          <dgm:hierBranch val="init"/>
        </dgm:presLayoutVars>
      </dgm:prSet>
      <dgm:spPr/>
    </dgm:pt>
    <dgm:pt modelId="{FA2FCBCA-B333-4264-AF1D-485D8A606439}" type="pres">
      <dgm:prSet presAssocID="{7805A9B5-0EEB-4AB7-AAB1-D600FBF43BB1}" presName="rootComposite1" presStyleCnt="0"/>
      <dgm:spPr/>
    </dgm:pt>
    <dgm:pt modelId="{372D7F8C-AB7A-4A64-86F5-2B979838B75F}" type="pres">
      <dgm:prSet presAssocID="{7805A9B5-0EEB-4AB7-AAB1-D600FBF43BB1}" presName="rootText1" presStyleLbl="alignAcc1" presStyleIdx="0" presStyleCnt="0">
        <dgm:presLayoutVars>
          <dgm:chPref val="3"/>
        </dgm:presLayoutVars>
      </dgm:prSet>
      <dgm:spPr/>
    </dgm:pt>
    <dgm:pt modelId="{A732F487-CB14-4006-8555-B9A2EFCDA775}" type="pres">
      <dgm:prSet presAssocID="{7805A9B5-0EEB-4AB7-AAB1-D600FBF43BB1}" presName="topArc1" presStyleLbl="parChTrans1D1" presStyleIdx="0" presStyleCnt="10"/>
      <dgm:spPr/>
    </dgm:pt>
    <dgm:pt modelId="{BEA03906-9B19-4F4F-82AE-DD753BF766D8}" type="pres">
      <dgm:prSet presAssocID="{7805A9B5-0EEB-4AB7-AAB1-D600FBF43BB1}" presName="bottomArc1" presStyleLbl="parChTrans1D1" presStyleIdx="1" presStyleCnt="10"/>
      <dgm:spPr/>
    </dgm:pt>
    <dgm:pt modelId="{6D16345A-423E-44B4-8D5C-631DA3B31500}" type="pres">
      <dgm:prSet presAssocID="{7805A9B5-0EEB-4AB7-AAB1-D600FBF43BB1}" presName="topConnNode1" presStyleLbl="node1" presStyleIdx="0" presStyleCnt="0"/>
      <dgm:spPr/>
    </dgm:pt>
    <dgm:pt modelId="{5015897F-0791-4720-A543-F68A6EAF83A1}" type="pres">
      <dgm:prSet presAssocID="{7805A9B5-0EEB-4AB7-AAB1-D600FBF43BB1}" presName="hierChild2" presStyleCnt="0"/>
      <dgm:spPr/>
    </dgm:pt>
    <dgm:pt modelId="{D3D38033-778A-4A37-8FD3-B0F11CA55344}" type="pres">
      <dgm:prSet presAssocID="{4B0B8446-7863-4D45-8433-019FA8E06085}" presName="Name28" presStyleLbl="parChTrans1D2" presStyleIdx="0" presStyleCnt="4"/>
      <dgm:spPr/>
    </dgm:pt>
    <dgm:pt modelId="{D4309D05-0BCF-45EC-99A3-E2CC7AC75C88}" type="pres">
      <dgm:prSet presAssocID="{74D9CF08-4B9D-4C46-A337-5DBDB2EE2418}" presName="hierRoot2" presStyleCnt="0">
        <dgm:presLayoutVars>
          <dgm:hierBranch val="init"/>
        </dgm:presLayoutVars>
      </dgm:prSet>
      <dgm:spPr/>
    </dgm:pt>
    <dgm:pt modelId="{AFF72D3E-24D8-4DD9-B267-898F8A8CB4F8}" type="pres">
      <dgm:prSet presAssocID="{74D9CF08-4B9D-4C46-A337-5DBDB2EE2418}" presName="rootComposite2" presStyleCnt="0"/>
      <dgm:spPr/>
    </dgm:pt>
    <dgm:pt modelId="{FB0284CB-8D3C-4856-93DB-7A1B0839A87F}" type="pres">
      <dgm:prSet presAssocID="{74D9CF08-4B9D-4C46-A337-5DBDB2EE2418}" presName="rootText2" presStyleLbl="alignAcc1" presStyleIdx="0" presStyleCnt="0">
        <dgm:presLayoutVars>
          <dgm:chPref val="3"/>
        </dgm:presLayoutVars>
      </dgm:prSet>
      <dgm:spPr/>
    </dgm:pt>
    <dgm:pt modelId="{8BD87AF2-E9A2-42EE-8921-431BE2BA8F7C}" type="pres">
      <dgm:prSet presAssocID="{74D9CF08-4B9D-4C46-A337-5DBDB2EE2418}" presName="topArc2" presStyleLbl="parChTrans1D1" presStyleIdx="2" presStyleCnt="10"/>
      <dgm:spPr/>
    </dgm:pt>
    <dgm:pt modelId="{B667599A-651F-4FDC-9B2C-813C14DB68C3}" type="pres">
      <dgm:prSet presAssocID="{74D9CF08-4B9D-4C46-A337-5DBDB2EE2418}" presName="bottomArc2" presStyleLbl="parChTrans1D1" presStyleIdx="3" presStyleCnt="10"/>
      <dgm:spPr/>
    </dgm:pt>
    <dgm:pt modelId="{3FDF900C-9030-4A6B-B942-5726C21C01BB}" type="pres">
      <dgm:prSet presAssocID="{74D9CF08-4B9D-4C46-A337-5DBDB2EE2418}" presName="topConnNode2" presStyleLbl="node2" presStyleIdx="0" presStyleCnt="0"/>
      <dgm:spPr/>
    </dgm:pt>
    <dgm:pt modelId="{AE1D907B-4F53-41DB-96D9-759632BE62F0}" type="pres">
      <dgm:prSet presAssocID="{74D9CF08-4B9D-4C46-A337-5DBDB2EE2418}" presName="hierChild4" presStyleCnt="0"/>
      <dgm:spPr/>
    </dgm:pt>
    <dgm:pt modelId="{E509F8A4-99F7-4549-9592-687CE8CB88DF}" type="pres">
      <dgm:prSet presAssocID="{74D9CF08-4B9D-4C46-A337-5DBDB2EE2418}" presName="hierChild5" presStyleCnt="0"/>
      <dgm:spPr/>
    </dgm:pt>
    <dgm:pt modelId="{7EB4FB15-E4F7-4443-9749-28EDF97AABEC}" type="pres">
      <dgm:prSet presAssocID="{17E98A68-70ED-4511-B0A5-7F599F51AF1E}" presName="Name28" presStyleLbl="parChTrans1D2" presStyleIdx="1" presStyleCnt="4"/>
      <dgm:spPr/>
    </dgm:pt>
    <dgm:pt modelId="{70DCCC6F-0AA2-4CE4-924E-F71A47532270}" type="pres">
      <dgm:prSet presAssocID="{F8C06627-2DE6-40EA-BC80-FCF36B09855D}" presName="hierRoot2" presStyleCnt="0">
        <dgm:presLayoutVars>
          <dgm:hierBranch val="init"/>
        </dgm:presLayoutVars>
      </dgm:prSet>
      <dgm:spPr/>
    </dgm:pt>
    <dgm:pt modelId="{7BFDD4F2-A815-4196-B57D-0423E0B6BE1E}" type="pres">
      <dgm:prSet presAssocID="{F8C06627-2DE6-40EA-BC80-FCF36B09855D}" presName="rootComposite2" presStyleCnt="0"/>
      <dgm:spPr/>
    </dgm:pt>
    <dgm:pt modelId="{CAA0C2CD-15C1-4ABB-846D-05C66D7ECD91}" type="pres">
      <dgm:prSet presAssocID="{F8C06627-2DE6-40EA-BC80-FCF36B09855D}" presName="rootText2" presStyleLbl="alignAcc1" presStyleIdx="0" presStyleCnt="0">
        <dgm:presLayoutVars>
          <dgm:chPref val="3"/>
        </dgm:presLayoutVars>
      </dgm:prSet>
      <dgm:spPr/>
    </dgm:pt>
    <dgm:pt modelId="{E12417C5-8A71-430E-BC66-6A690759275F}" type="pres">
      <dgm:prSet presAssocID="{F8C06627-2DE6-40EA-BC80-FCF36B09855D}" presName="topArc2" presStyleLbl="parChTrans1D1" presStyleIdx="4" presStyleCnt="10"/>
      <dgm:spPr/>
    </dgm:pt>
    <dgm:pt modelId="{09985B15-F498-4F8F-83BB-23BFDC1094A9}" type="pres">
      <dgm:prSet presAssocID="{F8C06627-2DE6-40EA-BC80-FCF36B09855D}" presName="bottomArc2" presStyleLbl="parChTrans1D1" presStyleIdx="5" presStyleCnt="10"/>
      <dgm:spPr/>
    </dgm:pt>
    <dgm:pt modelId="{432819E6-76E8-4EAB-9B8D-9CB3F0915338}" type="pres">
      <dgm:prSet presAssocID="{F8C06627-2DE6-40EA-BC80-FCF36B09855D}" presName="topConnNode2" presStyleLbl="node2" presStyleIdx="0" presStyleCnt="0"/>
      <dgm:spPr/>
    </dgm:pt>
    <dgm:pt modelId="{B251E75A-24F4-445E-A764-8A3E7589D64D}" type="pres">
      <dgm:prSet presAssocID="{F8C06627-2DE6-40EA-BC80-FCF36B09855D}" presName="hierChild4" presStyleCnt="0"/>
      <dgm:spPr/>
    </dgm:pt>
    <dgm:pt modelId="{A2B78A7A-9D52-4879-8778-B350D802A9B8}" type="pres">
      <dgm:prSet presAssocID="{F8C06627-2DE6-40EA-BC80-FCF36B09855D}" presName="hierChild5" presStyleCnt="0"/>
      <dgm:spPr/>
    </dgm:pt>
    <dgm:pt modelId="{E724AAE8-3667-4FE6-B650-42549A2E6067}" type="pres">
      <dgm:prSet presAssocID="{2DCFCE37-0166-4085-8C3E-2F45D07738B1}" presName="Name28" presStyleLbl="parChTrans1D2" presStyleIdx="2" presStyleCnt="4"/>
      <dgm:spPr/>
    </dgm:pt>
    <dgm:pt modelId="{ABF57193-4895-4E3C-BDA8-7489B522FF45}" type="pres">
      <dgm:prSet presAssocID="{E642255A-28C5-413C-A056-C6259BB66E22}" presName="hierRoot2" presStyleCnt="0">
        <dgm:presLayoutVars>
          <dgm:hierBranch val="init"/>
        </dgm:presLayoutVars>
      </dgm:prSet>
      <dgm:spPr/>
    </dgm:pt>
    <dgm:pt modelId="{9D0CA224-2507-410F-A942-6E2F7BCE977B}" type="pres">
      <dgm:prSet presAssocID="{E642255A-28C5-413C-A056-C6259BB66E22}" presName="rootComposite2" presStyleCnt="0"/>
      <dgm:spPr/>
    </dgm:pt>
    <dgm:pt modelId="{42A8DBBA-DA81-4F02-BED8-7B8C6C567FCC}" type="pres">
      <dgm:prSet presAssocID="{E642255A-28C5-413C-A056-C6259BB66E22}" presName="rootText2" presStyleLbl="alignAcc1" presStyleIdx="0" presStyleCnt="0">
        <dgm:presLayoutVars>
          <dgm:chPref val="3"/>
        </dgm:presLayoutVars>
      </dgm:prSet>
      <dgm:spPr/>
    </dgm:pt>
    <dgm:pt modelId="{8676F970-1115-463C-9CBF-1ACF241F0FB5}" type="pres">
      <dgm:prSet presAssocID="{E642255A-28C5-413C-A056-C6259BB66E22}" presName="topArc2" presStyleLbl="parChTrans1D1" presStyleIdx="6" presStyleCnt="10"/>
      <dgm:spPr/>
    </dgm:pt>
    <dgm:pt modelId="{20BCD17D-0B60-4FBD-BA71-80F4C6E60E10}" type="pres">
      <dgm:prSet presAssocID="{E642255A-28C5-413C-A056-C6259BB66E22}" presName="bottomArc2" presStyleLbl="parChTrans1D1" presStyleIdx="7" presStyleCnt="10"/>
      <dgm:spPr/>
    </dgm:pt>
    <dgm:pt modelId="{E2D6DFAF-BED9-43AB-A24A-F201F70ACFF2}" type="pres">
      <dgm:prSet presAssocID="{E642255A-28C5-413C-A056-C6259BB66E22}" presName="topConnNode2" presStyleLbl="node2" presStyleIdx="0" presStyleCnt="0"/>
      <dgm:spPr/>
    </dgm:pt>
    <dgm:pt modelId="{635CAF24-0BA9-40D2-97AD-232EED7AAA8A}" type="pres">
      <dgm:prSet presAssocID="{E642255A-28C5-413C-A056-C6259BB66E22}" presName="hierChild4" presStyleCnt="0"/>
      <dgm:spPr/>
    </dgm:pt>
    <dgm:pt modelId="{74399BE0-B7E6-45C9-8E65-0B02C7C6885C}" type="pres">
      <dgm:prSet presAssocID="{E642255A-28C5-413C-A056-C6259BB66E22}" presName="hierChild5" presStyleCnt="0"/>
      <dgm:spPr/>
    </dgm:pt>
    <dgm:pt modelId="{3224847B-48DC-43FB-86C9-DBE613412B13}" type="pres">
      <dgm:prSet presAssocID="{7805A9B5-0EEB-4AB7-AAB1-D600FBF43BB1}" presName="hierChild3" presStyleCnt="0"/>
      <dgm:spPr/>
    </dgm:pt>
    <dgm:pt modelId="{2227C4E2-BB3A-4DCF-9C3E-7F7FDB7833FD}" type="pres">
      <dgm:prSet presAssocID="{27D7B946-DCDA-4653-9A8D-7B206D1D95E2}" presName="Name101" presStyleLbl="parChTrans1D2" presStyleIdx="3" presStyleCnt="4"/>
      <dgm:spPr/>
    </dgm:pt>
    <dgm:pt modelId="{7D9B06C1-019A-4C8F-89B7-6046F84C21F9}" type="pres">
      <dgm:prSet presAssocID="{0104E65E-E53E-4008-BDA3-55283A3F647D}" presName="hierRoot3" presStyleCnt="0">
        <dgm:presLayoutVars>
          <dgm:hierBranch val="init"/>
        </dgm:presLayoutVars>
      </dgm:prSet>
      <dgm:spPr/>
    </dgm:pt>
    <dgm:pt modelId="{7A2B1E25-2FC9-461A-B114-FFB3FD857EC6}" type="pres">
      <dgm:prSet presAssocID="{0104E65E-E53E-4008-BDA3-55283A3F647D}" presName="rootComposite3" presStyleCnt="0"/>
      <dgm:spPr/>
    </dgm:pt>
    <dgm:pt modelId="{DE3F913D-53A2-42A2-A919-A66EC1C7B68D}" type="pres">
      <dgm:prSet presAssocID="{0104E65E-E53E-4008-BDA3-55283A3F647D}" presName="rootText3" presStyleLbl="alignAcc1" presStyleIdx="0" presStyleCnt="0">
        <dgm:presLayoutVars>
          <dgm:chPref val="3"/>
        </dgm:presLayoutVars>
      </dgm:prSet>
      <dgm:spPr/>
    </dgm:pt>
    <dgm:pt modelId="{9EBE5741-0E29-4E93-9078-E9A682B3B78E}" type="pres">
      <dgm:prSet presAssocID="{0104E65E-E53E-4008-BDA3-55283A3F647D}" presName="topArc3" presStyleLbl="parChTrans1D1" presStyleIdx="8" presStyleCnt="10"/>
      <dgm:spPr/>
    </dgm:pt>
    <dgm:pt modelId="{9EE38CD5-1199-42C8-B0DD-CFCACC66B4B2}" type="pres">
      <dgm:prSet presAssocID="{0104E65E-E53E-4008-BDA3-55283A3F647D}" presName="bottomArc3" presStyleLbl="parChTrans1D1" presStyleIdx="9" presStyleCnt="10"/>
      <dgm:spPr/>
    </dgm:pt>
    <dgm:pt modelId="{BA472C5F-4AA0-4F79-B024-8CB13DD10149}" type="pres">
      <dgm:prSet presAssocID="{0104E65E-E53E-4008-BDA3-55283A3F647D}" presName="topConnNode3" presStyleLbl="asst1" presStyleIdx="0" presStyleCnt="0"/>
      <dgm:spPr/>
    </dgm:pt>
    <dgm:pt modelId="{58388067-63B6-403A-9CEC-1C33EBE64D77}" type="pres">
      <dgm:prSet presAssocID="{0104E65E-E53E-4008-BDA3-55283A3F647D}" presName="hierChild6" presStyleCnt="0"/>
      <dgm:spPr/>
    </dgm:pt>
    <dgm:pt modelId="{0EC53983-9DCA-484A-8669-E56810B90FCE}" type="pres">
      <dgm:prSet presAssocID="{0104E65E-E53E-4008-BDA3-55283A3F647D}" presName="hierChild7" presStyleCnt="0"/>
      <dgm:spPr/>
    </dgm:pt>
  </dgm:ptLst>
  <dgm:cxnLst>
    <dgm:cxn modelId="{4A501B12-4E36-4FEB-A0B4-CCB8A79A945A}" type="presOf" srcId="{4B0B8446-7863-4D45-8433-019FA8E06085}" destId="{D3D38033-778A-4A37-8FD3-B0F11CA55344}" srcOrd="0" destOrd="0" presId="urn:microsoft.com/office/officeart/2008/layout/HalfCircleOrganizationChart"/>
    <dgm:cxn modelId="{49A69D1C-C7DD-4B1D-A41C-8EB301646D8D}" srcId="{7805A9B5-0EEB-4AB7-AAB1-D600FBF43BB1}" destId="{74D9CF08-4B9D-4C46-A337-5DBDB2EE2418}" srcOrd="1" destOrd="0" parTransId="{4B0B8446-7863-4D45-8433-019FA8E06085}" sibTransId="{50B5F893-079E-4321-ABA8-35A167C0DC4F}"/>
    <dgm:cxn modelId="{5EF3CD21-24EC-49BC-B173-9C0BDA984D25}" type="presOf" srcId="{7ABDC2F3-7CFA-49A4-9DFA-0746732A9549}" destId="{A9821FF0-9D25-4297-AF87-87643EBC1013}" srcOrd="0" destOrd="0" presId="urn:microsoft.com/office/officeart/2008/layout/HalfCircleOrganizationChart"/>
    <dgm:cxn modelId="{C19D6363-0438-4F99-8B0A-650965A02919}" type="presOf" srcId="{F8C06627-2DE6-40EA-BC80-FCF36B09855D}" destId="{CAA0C2CD-15C1-4ABB-846D-05C66D7ECD91}" srcOrd="0" destOrd="0" presId="urn:microsoft.com/office/officeart/2008/layout/HalfCircleOrganizationChart"/>
    <dgm:cxn modelId="{BEE44667-3443-44A8-AA1C-5F9EF31BBCAA}" type="presOf" srcId="{E642255A-28C5-413C-A056-C6259BB66E22}" destId="{42A8DBBA-DA81-4F02-BED8-7B8C6C567FCC}" srcOrd="0" destOrd="0" presId="urn:microsoft.com/office/officeart/2008/layout/HalfCircleOrganizationChart"/>
    <dgm:cxn modelId="{994A9C67-4DDD-4ACC-9E63-1156B908C3F3}" srcId="{7ABDC2F3-7CFA-49A4-9DFA-0746732A9549}" destId="{7805A9B5-0EEB-4AB7-AAB1-D600FBF43BB1}" srcOrd="0" destOrd="0" parTransId="{17FBB5E1-D894-419A-9360-994753C9DFB6}" sibTransId="{8D54874A-F3C2-40D1-91EA-F70781429B4D}"/>
    <dgm:cxn modelId="{D2895468-EFB4-4509-9C8C-D85F6DE6614A}" type="presOf" srcId="{27D7B946-DCDA-4653-9A8D-7B206D1D95E2}" destId="{2227C4E2-BB3A-4DCF-9C3E-7F7FDB7833FD}" srcOrd="0" destOrd="0" presId="urn:microsoft.com/office/officeart/2008/layout/HalfCircleOrganizationChart"/>
    <dgm:cxn modelId="{59D1584D-5ADA-412C-B641-2A3B054D8284}" type="presOf" srcId="{E642255A-28C5-413C-A056-C6259BB66E22}" destId="{E2D6DFAF-BED9-43AB-A24A-F201F70ACFF2}" srcOrd="1" destOrd="0" presId="urn:microsoft.com/office/officeart/2008/layout/HalfCircleOrganizationChart"/>
    <dgm:cxn modelId="{E415856F-10B3-448B-B261-C2A6B73707A7}" srcId="{7805A9B5-0EEB-4AB7-AAB1-D600FBF43BB1}" destId="{0104E65E-E53E-4008-BDA3-55283A3F647D}" srcOrd="0" destOrd="0" parTransId="{27D7B946-DCDA-4653-9A8D-7B206D1D95E2}" sibTransId="{07961E87-D852-4E47-92FB-06843F500DD3}"/>
    <dgm:cxn modelId="{7E7ABB74-90A5-4BF8-933C-5B56B907A709}" type="presOf" srcId="{2DCFCE37-0166-4085-8C3E-2F45D07738B1}" destId="{E724AAE8-3667-4FE6-B650-42549A2E6067}" srcOrd="0" destOrd="0" presId="urn:microsoft.com/office/officeart/2008/layout/HalfCircleOrganizationChart"/>
    <dgm:cxn modelId="{03A0F67A-2DA5-4C93-BEC8-57A044683DA0}" type="presOf" srcId="{7805A9B5-0EEB-4AB7-AAB1-D600FBF43BB1}" destId="{372D7F8C-AB7A-4A64-86F5-2B979838B75F}" srcOrd="0" destOrd="0" presId="urn:microsoft.com/office/officeart/2008/layout/HalfCircleOrganizationChart"/>
    <dgm:cxn modelId="{ED28F886-6A1C-472B-8902-6D1201343463}" type="presOf" srcId="{0104E65E-E53E-4008-BDA3-55283A3F647D}" destId="{DE3F913D-53A2-42A2-A919-A66EC1C7B68D}" srcOrd="0" destOrd="0" presId="urn:microsoft.com/office/officeart/2008/layout/HalfCircleOrganizationChart"/>
    <dgm:cxn modelId="{E7153D87-50DC-44F2-BC38-CC48EBD070AB}" type="presOf" srcId="{74D9CF08-4B9D-4C46-A337-5DBDB2EE2418}" destId="{FB0284CB-8D3C-4856-93DB-7A1B0839A87F}" srcOrd="0" destOrd="0" presId="urn:microsoft.com/office/officeart/2008/layout/HalfCircleOrganizationChart"/>
    <dgm:cxn modelId="{09842A9D-EDAA-40D9-9068-80A955E4DD2B}" srcId="{7805A9B5-0EEB-4AB7-AAB1-D600FBF43BB1}" destId="{F8C06627-2DE6-40EA-BC80-FCF36B09855D}" srcOrd="2" destOrd="0" parTransId="{17E98A68-70ED-4511-B0A5-7F599F51AF1E}" sibTransId="{0E5270BE-2D4B-4ED5-B08D-59831058650F}"/>
    <dgm:cxn modelId="{8F97E0C6-7BA0-44FF-ACB9-900C8C91B686}" srcId="{7805A9B5-0EEB-4AB7-AAB1-D600FBF43BB1}" destId="{E642255A-28C5-413C-A056-C6259BB66E22}" srcOrd="3" destOrd="0" parTransId="{2DCFCE37-0166-4085-8C3E-2F45D07738B1}" sibTransId="{7FE77773-E527-431A-9F8D-23E04A982C34}"/>
    <dgm:cxn modelId="{28A88FC8-2294-4EAE-B519-325076E33B2E}" type="presOf" srcId="{74D9CF08-4B9D-4C46-A337-5DBDB2EE2418}" destId="{3FDF900C-9030-4A6B-B942-5726C21C01BB}" srcOrd="1" destOrd="0" presId="urn:microsoft.com/office/officeart/2008/layout/HalfCircleOrganizationChart"/>
    <dgm:cxn modelId="{253444DA-AACA-4119-ABB9-1419197A9200}" type="presOf" srcId="{0104E65E-E53E-4008-BDA3-55283A3F647D}" destId="{BA472C5F-4AA0-4F79-B024-8CB13DD10149}" srcOrd="1" destOrd="0" presId="urn:microsoft.com/office/officeart/2008/layout/HalfCircleOrganizationChart"/>
    <dgm:cxn modelId="{7BB142DC-BD57-4796-95C5-25E297CB9A48}" type="presOf" srcId="{F8C06627-2DE6-40EA-BC80-FCF36B09855D}" destId="{432819E6-76E8-4EAB-9B8D-9CB3F0915338}" srcOrd="1" destOrd="0" presId="urn:microsoft.com/office/officeart/2008/layout/HalfCircleOrganizationChart"/>
    <dgm:cxn modelId="{01AE87DF-3CF6-4EB0-819B-065CDDD32DBD}" type="presOf" srcId="{17E98A68-70ED-4511-B0A5-7F599F51AF1E}" destId="{7EB4FB15-E4F7-4443-9749-28EDF97AABEC}" srcOrd="0" destOrd="0" presId="urn:microsoft.com/office/officeart/2008/layout/HalfCircleOrganizationChart"/>
    <dgm:cxn modelId="{E40CC7F0-0A38-470D-AF44-2CB52DF0AD25}" type="presOf" srcId="{7805A9B5-0EEB-4AB7-AAB1-D600FBF43BB1}" destId="{6D16345A-423E-44B4-8D5C-631DA3B31500}" srcOrd="1" destOrd="0" presId="urn:microsoft.com/office/officeart/2008/layout/HalfCircleOrganizationChart"/>
    <dgm:cxn modelId="{65F78746-0697-411B-888D-6D43428C6E7F}" type="presParOf" srcId="{A9821FF0-9D25-4297-AF87-87643EBC1013}" destId="{5DF3DCFA-AD16-498D-9BF8-D8A47A32BC22}" srcOrd="0" destOrd="0" presId="urn:microsoft.com/office/officeart/2008/layout/HalfCircleOrganizationChart"/>
    <dgm:cxn modelId="{B329F466-2872-4058-9903-27ACB287D6EC}" type="presParOf" srcId="{5DF3DCFA-AD16-498D-9BF8-D8A47A32BC22}" destId="{FA2FCBCA-B333-4264-AF1D-485D8A606439}" srcOrd="0" destOrd="0" presId="urn:microsoft.com/office/officeart/2008/layout/HalfCircleOrganizationChart"/>
    <dgm:cxn modelId="{C1CACC98-3C24-440A-A80D-DBF215427E2D}" type="presParOf" srcId="{FA2FCBCA-B333-4264-AF1D-485D8A606439}" destId="{372D7F8C-AB7A-4A64-86F5-2B979838B75F}" srcOrd="0" destOrd="0" presId="urn:microsoft.com/office/officeart/2008/layout/HalfCircleOrganizationChart"/>
    <dgm:cxn modelId="{E7191A45-3623-46CB-AA2D-B5D26FA0207F}" type="presParOf" srcId="{FA2FCBCA-B333-4264-AF1D-485D8A606439}" destId="{A732F487-CB14-4006-8555-B9A2EFCDA775}" srcOrd="1" destOrd="0" presId="urn:microsoft.com/office/officeart/2008/layout/HalfCircleOrganizationChart"/>
    <dgm:cxn modelId="{5D660E84-2F73-4AD9-B592-E6B59BE4B4DA}" type="presParOf" srcId="{FA2FCBCA-B333-4264-AF1D-485D8A606439}" destId="{BEA03906-9B19-4F4F-82AE-DD753BF766D8}" srcOrd="2" destOrd="0" presId="urn:microsoft.com/office/officeart/2008/layout/HalfCircleOrganizationChart"/>
    <dgm:cxn modelId="{648BCFDA-F3AC-4EF4-8083-7B996E3FCC7D}" type="presParOf" srcId="{FA2FCBCA-B333-4264-AF1D-485D8A606439}" destId="{6D16345A-423E-44B4-8D5C-631DA3B31500}" srcOrd="3" destOrd="0" presId="urn:microsoft.com/office/officeart/2008/layout/HalfCircleOrganizationChart"/>
    <dgm:cxn modelId="{26DCE432-9928-44BA-BA97-28B033BC019C}" type="presParOf" srcId="{5DF3DCFA-AD16-498D-9BF8-D8A47A32BC22}" destId="{5015897F-0791-4720-A543-F68A6EAF83A1}" srcOrd="1" destOrd="0" presId="urn:microsoft.com/office/officeart/2008/layout/HalfCircleOrganizationChart"/>
    <dgm:cxn modelId="{39A64BDB-80E1-4F42-A9D3-10BCBF93ABBB}" type="presParOf" srcId="{5015897F-0791-4720-A543-F68A6EAF83A1}" destId="{D3D38033-778A-4A37-8FD3-B0F11CA55344}" srcOrd="0" destOrd="0" presId="urn:microsoft.com/office/officeart/2008/layout/HalfCircleOrganizationChart"/>
    <dgm:cxn modelId="{CDDB6BB4-98C6-44AA-8A25-85580804C0FA}" type="presParOf" srcId="{5015897F-0791-4720-A543-F68A6EAF83A1}" destId="{D4309D05-0BCF-45EC-99A3-E2CC7AC75C88}" srcOrd="1" destOrd="0" presId="urn:microsoft.com/office/officeart/2008/layout/HalfCircleOrganizationChart"/>
    <dgm:cxn modelId="{2610A05E-6ABD-4AD8-851B-C84537E8F857}" type="presParOf" srcId="{D4309D05-0BCF-45EC-99A3-E2CC7AC75C88}" destId="{AFF72D3E-24D8-4DD9-B267-898F8A8CB4F8}" srcOrd="0" destOrd="0" presId="urn:microsoft.com/office/officeart/2008/layout/HalfCircleOrganizationChart"/>
    <dgm:cxn modelId="{778E4759-DA04-4BF6-9DC3-AD7B9BC0BDBA}" type="presParOf" srcId="{AFF72D3E-24D8-4DD9-B267-898F8A8CB4F8}" destId="{FB0284CB-8D3C-4856-93DB-7A1B0839A87F}" srcOrd="0" destOrd="0" presId="urn:microsoft.com/office/officeart/2008/layout/HalfCircleOrganizationChart"/>
    <dgm:cxn modelId="{E799F331-F8DE-415F-B3E4-DFE90250F234}" type="presParOf" srcId="{AFF72D3E-24D8-4DD9-B267-898F8A8CB4F8}" destId="{8BD87AF2-E9A2-42EE-8921-431BE2BA8F7C}" srcOrd="1" destOrd="0" presId="urn:microsoft.com/office/officeart/2008/layout/HalfCircleOrganizationChart"/>
    <dgm:cxn modelId="{0FD64B1F-3A7B-442D-9BDB-0D314AB5A5C5}" type="presParOf" srcId="{AFF72D3E-24D8-4DD9-B267-898F8A8CB4F8}" destId="{B667599A-651F-4FDC-9B2C-813C14DB68C3}" srcOrd="2" destOrd="0" presId="urn:microsoft.com/office/officeart/2008/layout/HalfCircleOrganizationChart"/>
    <dgm:cxn modelId="{56902964-86CC-4B9D-9DAE-91E9D947C6EA}" type="presParOf" srcId="{AFF72D3E-24D8-4DD9-B267-898F8A8CB4F8}" destId="{3FDF900C-9030-4A6B-B942-5726C21C01BB}" srcOrd="3" destOrd="0" presId="urn:microsoft.com/office/officeart/2008/layout/HalfCircleOrganizationChart"/>
    <dgm:cxn modelId="{29E66A0F-517A-47B7-811C-791CDE762B49}" type="presParOf" srcId="{D4309D05-0BCF-45EC-99A3-E2CC7AC75C88}" destId="{AE1D907B-4F53-41DB-96D9-759632BE62F0}" srcOrd="1" destOrd="0" presId="urn:microsoft.com/office/officeart/2008/layout/HalfCircleOrganizationChart"/>
    <dgm:cxn modelId="{79570471-AF34-4F2C-92B5-F8BF3B4009FC}" type="presParOf" srcId="{D4309D05-0BCF-45EC-99A3-E2CC7AC75C88}" destId="{E509F8A4-99F7-4549-9592-687CE8CB88DF}" srcOrd="2" destOrd="0" presId="urn:microsoft.com/office/officeart/2008/layout/HalfCircleOrganizationChart"/>
    <dgm:cxn modelId="{BC88198E-5D91-4461-BD4A-F288B851ED5D}" type="presParOf" srcId="{5015897F-0791-4720-A543-F68A6EAF83A1}" destId="{7EB4FB15-E4F7-4443-9749-28EDF97AABEC}" srcOrd="2" destOrd="0" presId="urn:microsoft.com/office/officeart/2008/layout/HalfCircleOrganizationChart"/>
    <dgm:cxn modelId="{BE935261-7E63-4A2C-B071-898D492D7981}" type="presParOf" srcId="{5015897F-0791-4720-A543-F68A6EAF83A1}" destId="{70DCCC6F-0AA2-4CE4-924E-F71A47532270}" srcOrd="3" destOrd="0" presId="urn:microsoft.com/office/officeart/2008/layout/HalfCircleOrganizationChart"/>
    <dgm:cxn modelId="{874CF67A-B264-479B-87DE-44963EE92409}" type="presParOf" srcId="{70DCCC6F-0AA2-4CE4-924E-F71A47532270}" destId="{7BFDD4F2-A815-4196-B57D-0423E0B6BE1E}" srcOrd="0" destOrd="0" presId="urn:microsoft.com/office/officeart/2008/layout/HalfCircleOrganizationChart"/>
    <dgm:cxn modelId="{0E80D38C-0275-47CF-9269-1FC6D041245B}" type="presParOf" srcId="{7BFDD4F2-A815-4196-B57D-0423E0B6BE1E}" destId="{CAA0C2CD-15C1-4ABB-846D-05C66D7ECD91}" srcOrd="0" destOrd="0" presId="urn:microsoft.com/office/officeart/2008/layout/HalfCircleOrganizationChart"/>
    <dgm:cxn modelId="{C226DFF2-7C32-4822-A5FA-40E23022498A}" type="presParOf" srcId="{7BFDD4F2-A815-4196-B57D-0423E0B6BE1E}" destId="{E12417C5-8A71-430E-BC66-6A690759275F}" srcOrd="1" destOrd="0" presId="urn:microsoft.com/office/officeart/2008/layout/HalfCircleOrganizationChart"/>
    <dgm:cxn modelId="{E3ED4D2A-C984-4D7F-9F82-A58E30EF9F5C}" type="presParOf" srcId="{7BFDD4F2-A815-4196-B57D-0423E0B6BE1E}" destId="{09985B15-F498-4F8F-83BB-23BFDC1094A9}" srcOrd="2" destOrd="0" presId="urn:microsoft.com/office/officeart/2008/layout/HalfCircleOrganizationChart"/>
    <dgm:cxn modelId="{738B94C7-629A-441A-AE1C-6D12B5041B54}" type="presParOf" srcId="{7BFDD4F2-A815-4196-B57D-0423E0B6BE1E}" destId="{432819E6-76E8-4EAB-9B8D-9CB3F0915338}" srcOrd="3" destOrd="0" presId="urn:microsoft.com/office/officeart/2008/layout/HalfCircleOrganizationChart"/>
    <dgm:cxn modelId="{DA7A6B52-0A9C-4C5F-88FD-17C7A71F91C4}" type="presParOf" srcId="{70DCCC6F-0AA2-4CE4-924E-F71A47532270}" destId="{B251E75A-24F4-445E-A764-8A3E7589D64D}" srcOrd="1" destOrd="0" presId="urn:microsoft.com/office/officeart/2008/layout/HalfCircleOrganizationChart"/>
    <dgm:cxn modelId="{C58326ED-376A-40BB-90CF-82667AE9C8D8}" type="presParOf" srcId="{70DCCC6F-0AA2-4CE4-924E-F71A47532270}" destId="{A2B78A7A-9D52-4879-8778-B350D802A9B8}" srcOrd="2" destOrd="0" presId="urn:microsoft.com/office/officeart/2008/layout/HalfCircleOrganizationChart"/>
    <dgm:cxn modelId="{3BEF5D2D-C1C6-4BE6-8A19-30A8A963EAA0}" type="presParOf" srcId="{5015897F-0791-4720-A543-F68A6EAF83A1}" destId="{E724AAE8-3667-4FE6-B650-42549A2E6067}" srcOrd="4" destOrd="0" presId="urn:microsoft.com/office/officeart/2008/layout/HalfCircleOrganizationChart"/>
    <dgm:cxn modelId="{C67806BE-4249-4F06-9EE3-D021D3671D84}" type="presParOf" srcId="{5015897F-0791-4720-A543-F68A6EAF83A1}" destId="{ABF57193-4895-4E3C-BDA8-7489B522FF45}" srcOrd="5" destOrd="0" presId="urn:microsoft.com/office/officeart/2008/layout/HalfCircleOrganizationChart"/>
    <dgm:cxn modelId="{9805D377-AED1-41D1-B07F-0DBBB2921E66}" type="presParOf" srcId="{ABF57193-4895-4E3C-BDA8-7489B522FF45}" destId="{9D0CA224-2507-410F-A942-6E2F7BCE977B}" srcOrd="0" destOrd="0" presId="urn:microsoft.com/office/officeart/2008/layout/HalfCircleOrganizationChart"/>
    <dgm:cxn modelId="{F0F14EA9-5203-43BE-88A4-E2A6B1EBC052}" type="presParOf" srcId="{9D0CA224-2507-410F-A942-6E2F7BCE977B}" destId="{42A8DBBA-DA81-4F02-BED8-7B8C6C567FCC}" srcOrd="0" destOrd="0" presId="urn:microsoft.com/office/officeart/2008/layout/HalfCircleOrganizationChart"/>
    <dgm:cxn modelId="{27A2B702-E034-4506-9274-ACDAD4356572}" type="presParOf" srcId="{9D0CA224-2507-410F-A942-6E2F7BCE977B}" destId="{8676F970-1115-463C-9CBF-1ACF241F0FB5}" srcOrd="1" destOrd="0" presId="urn:microsoft.com/office/officeart/2008/layout/HalfCircleOrganizationChart"/>
    <dgm:cxn modelId="{DFB9E468-6484-4DDF-93E8-5410DB0568D1}" type="presParOf" srcId="{9D0CA224-2507-410F-A942-6E2F7BCE977B}" destId="{20BCD17D-0B60-4FBD-BA71-80F4C6E60E10}" srcOrd="2" destOrd="0" presId="urn:microsoft.com/office/officeart/2008/layout/HalfCircleOrganizationChart"/>
    <dgm:cxn modelId="{B9EEC532-9F60-43B8-ABCC-7482C3E60E3D}" type="presParOf" srcId="{9D0CA224-2507-410F-A942-6E2F7BCE977B}" destId="{E2D6DFAF-BED9-43AB-A24A-F201F70ACFF2}" srcOrd="3" destOrd="0" presId="urn:microsoft.com/office/officeart/2008/layout/HalfCircleOrganizationChart"/>
    <dgm:cxn modelId="{18F775D5-65B6-44AE-94C1-FF47DDAD11FC}" type="presParOf" srcId="{ABF57193-4895-4E3C-BDA8-7489B522FF45}" destId="{635CAF24-0BA9-40D2-97AD-232EED7AAA8A}" srcOrd="1" destOrd="0" presId="urn:microsoft.com/office/officeart/2008/layout/HalfCircleOrganizationChart"/>
    <dgm:cxn modelId="{9FAF5B76-0180-44A7-87FA-4583915D62BA}" type="presParOf" srcId="{ABF57193-4895-4E3C-BDA8-7489B522FF45}" destId="{74399BE0-B7E6-45C9-8E65-0B02C7C6885C}" srcOrd="2" destOrd="0" presId="urn:microsoft.com/office/officeart/2008/layout/HalfCircleOrganizationChart"/>
    <dgm:cxn modelId="{B6D59844-AA79-4262-8641-C2E9E43B4D7F}" type="presParOf" srcId="{5DF3DCFA-AD16-498D-9BF8-D8A47A32BC22}" destId="{3224847B-48DC-43FB-86C9-DBE613412B13}" srcOrd="2" destOrd="0" presId="urn:microsoft.com/office/officeart/2008/layout/HalfCircleOrganizationChart"/>
    <dgm:cxn modelId="{5059148C-3C8A-4157-8358-2E51D74CBEAE}" type="presParOf" srcId="{3224847B-48DC-43FB-86C9-DBE613412B13}" destId="{2227C4E2-BB3A-4DCF-9C3E-7F7FDB7833FD}" srcOrd="0" destOrd="0" presId="urn:microsoft.com/office/officeart/2008/layout/HalfCircleOrganizationChart"/>
    <dgm:cxn modelId="{9723BA7C-1511-466A-BFE0-A89324F0A86C}" type="presParOf" srcId="{3224847B-48DC-43FB-86C9-DBE613412B13}" destId="{7D9B06C1-019A-4C8F-89B7-6046F84C21F9}" srcOrd="1" destOrd="0" presId="urn:microsoft.com/office/officeart/2008/layout/HalfCircleOrganizationChart"/>
    <dgm:cxn modelId="{546000A7-8998-47A1-B423-525C201C394B}" type="presParOf" srcId="{7D9B06C1-019A-4C8F-89B7-6046F84C21F9}" destId="{7A2B1E25-2FC9-461A-B114-FFB3FD857EC6}" srcOrd="0" destOrd="0" presId="urn:microsoft.com/office/officeart/2008/layout/HalfCircleOrganizationChart"/>
    <dgm:cxn modelId="{4DA2EC8E-9E3C-445F-A60E-E5D9CC798ACF}" type="presParOf" srcId="{7A2B1E25-2FC9-461A-B114-FFB3FD857EC6}" destId="{DE3F913D-53A2-42A2-A919-A66EC1C7B68D}" srcOrd="0" destOrd="0" presId="urn:microsoft.com/office/officeart/2008/layout/HalfCircleOrganizationChart"/>
    <dgm:cxn modelId="{8D597FC6-26F0-44F2-B3FB-F2FD9527C458}" type="presParOf" srcId="{7A2B1E25-2FC9-461A-B114-FFB3FD857EC6}" destId="{9EBE5741-0E29-4E93-9078-E9A682B3B78E}" srcOrd="1" destOrd="0" presId="urn:microsoft.com/office/officeart/2008/layout/HalfCircleOrganizationChart"/>
    <dgm:cxn modelId="{0BE4A4F1-DA4D-4294-A4BC-0A0B14DAFD14}" type="presParOf" srcId="{7A2B1E25-2FC9-461A-B114-FFB3FD857EC6}" destId="{9EE38CD5-1199-42C8-B0DD-CFCACC66B4B2}" srcOrd="2" destOrd="0" presId="urn:microsoft.com/office/officeart/2008/layout/HalfCircleOrganizationChart"/>
    <dgm:cxn modelId="{13B84FCA-5DE9-4A56-81FF-A6CA2A6E2EF4}" type="presParOf" srcId="{7A2B1E25-2FC9-461A-B114-FFB3FD857EC6}" destId="{BA472C5F-4AA0-4F79-B024-8CB13DD10149}" srcOrd="3" destOrd="0" presId="urn:microsoft.com/office/officeart/2008/layout/HalfCircleOrganizationChart"/>
    <dgm:cxn modelId="{4898C55A-8F9B-422F-A95D-83624F5B7CDD}" type="presParOf" srcId="{7D9B06C1-019A-4C8F-89B7-6046F84C21F9}" destId="{58388067-63B6-403A-9CEC-1C33EBE64D77}" srcOrd="1" destOrd="0" presId="urn:microsoft.com/office/officeart/2008/layout/HalfCircleOrganizationChart"/>
    <dgm:cxn modelId="{CC0BAF17-6BC0-4D55-8024-2A2CC20F0BFB}" type="presParOf" srcId="{7D9B06C1-019A-4C8F-89B7-6046F84C21F9}" destId="{0EC53983-9DCA-484A-8669-E56810B90FCE}" srcOrd="2" destOrd="0" presId="urn:microsoft.com/office/officeart/2008/layout/HalfCircleOrganizationChart"/>
  </dgm:cxnLst>
  <dgm:bg/>
  <dgm:whole/>
  <dgm:extLst>
    <a:ext uri="http://schemas.microsoft.com/office/drawing/2008/diagram">
      <dsp:dataModelExt xmlns:dsp="http://schemas.microsoft.com/office/drawing/2008/diagram" relId="rId2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B5CDD8D2-CFDB-4BB3-B885-42BB66337AD0}">
      <dsp:nvSpPr>
        <dsp:cNvPr id="0" name=""/>
        <dsp:cNvSpPr/>
      </dsp:nvSpPr>
      <dsp:spPr>
        <a:xfrm>
          <a:off x="2240280" y="1133679"/>
          <a:ext cx="91440" cy="475840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475840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3E3536E-CF87-425F-8BD7-9D321EB748F3}">
      <dsp:nvSpPr>
        <dsp:cNvPr id="0" name=""/>
        <dsp:cNvSpPr/>
      </dsp:nvSpPr>
      <dsp:spPr>
        <a:xfrm>
          <a:off x="1719522" y="725"/>
          <a:ext cx="1132954" cy="113295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8F93D66-9E75-4FE8-A5CB-4937DF37FFF0}">
      <dsp:nvSpPr>
        <dsp:cNvPr id="0" name=""/>
        <dsp:cNvSpPr/>
      </dsp:nvSpPr>
      <dsp:spPr>
        <a:xfrm>
          <a:off x="1719522" y="725"/>
          <a:ext cx="1132954" cy="113295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F1D3FC6-CC27-42B5-AB72-2A5E09025009}">
      <dsp:nvSpPr>
        <dsp:cNvPr id="0" name=""/>
        <dsp:cNvSpPr/>
      </dsp:nvSpPr>
      <dsp:spPr>
        <a:xfrm>
          <a:off x="1153045" y="204657"/>
          <a:ext cx="2265908" cy="7250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/>
            <a:t>LEGALITAS</a:t>
          </a:r>
        </a:p>
      </dsp:txBody>
      <dsp:txXfrm>
        <a:off x="1153045" y="204657"/>
        <a:ext cx="2265908" cy="725090"/>
      </dsp:txXfrm>
    </dsp:sp>
    <dsp:sp modelId="{DEC9CFAC-4FC4-4227-83D6-178C6FD5C627}">
      <dsp:nvSpPr>
        <dsp:cNvPr id="0" name=""/>
        <dsp:cNvSpPr/>
      </dsp:nvSpPr>
      <dsp:spPr>
        <a:xfrm>
          <a:off x="1719522" y="1609520"/>
          <a:ext cx="1132954" cy="1132954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0B53C78-3AF3-4CFE-B2FF-7A344CAACAEA}">
      <dsp:nvSpPr>
        <dsp:cNvPr id="0" name=""/>
        <dsp:cNvSpPr/>
      </dsp:nvSpPr>
      <dsp:spPr>
        <a:xfrm>
          <a:off x="1719522" y="1609520"/>
          <a:ext cx="1132954" cy="1132954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03D380-370C-4B16-8045-D059A06022B6}">
      <dsp:nvSpPr>
        <dsp:cNvPr id="0" name=""/>
        <dsp:cNvSpPr/>
      </dsp:nvSpPr>
      <dsp:spPr>
        <a:xfrm>
          <a:off x="1153045" y="1813452"/>
          <a:ext cx="2265908" cy="725090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n-US" sz="2800" kern="1200"/>
            <a:t>DEWAN SYURO</a:t>
          </a:r>
        </a:p>
      </dsp:txBody>
      <dsp:txXfrm>
        <a:off x="1153045" y="1813452"/>
        <a:ext cx="2265908" cy="725090"/>
      </dsp:txXfrm>
    </dsp:sp>
  </dsp:spTree>
</dsp:drawing>
</file>

<file path=xl/diagrams/drawing2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E8572DC4-1E6D-4EF9-8721-55EF6F3A451F}">
      <dsp:nvSpPr>
        <dsp:cNvPr id="0" name=""/>
        <dsp:cNvSpPr/>
      </dsp:nvSpPr>
      <dsp:spPr>
        <a:xfrm>
          <a:off x="1731285" y="1192504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D7194A2-0387-42DC-B558-7A2F50699B93}">
      <dsp:nvSpPr>
        <dsp:cNvPr id="0" name=""/>
        <dsp:cNvSpPr/>
      </dsp:nvSpPr>
      <dsp:spPr>
        <a:xfrm>
          <a:off x="2286000" y="1192504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ACA3BC-B9B8-418D-8C6D-30A4047A21D0}">
      <dsp:nvSpPr>
        <dsp:cNvPr id="0" name=""/>
        <dsp:cNvSpPr/>
      </dsp:nvSpPr>
      <dsp:spPr>
        <a:xfrm>
          <a:off x="2240280" y="1192504"/>
          <a:ext cx="91440" cy="1239081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39081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B1389F-7D39-44F0-B462-97D66E1CC466}">
      <dsp:nvSpPr>
        <dsp:cNvPr id="0" name=""/>
        <dsp:cNvSpPr/>
      </dsp:nvSpPr>
      <dsp:spPr>
        <a:xfrm>
          <a:off x="668638" y="1192504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BE99EF7-708B-4A25-9FB2-3F95F3EA22A8}">
      <dsp:nvSpPr>
        <dsp:cNvPr id="0" name=""/>
        <dsp:cNvSpPr/>
      </dsp:nvSpPr>
      <dsp:spPr>
        <a:xfrm>
          <a:off x="1951834" y="524172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ACE148B-2EDB-4862-B790-782D3A72B6CD}">
      <dsp:nvSpPr>
        <dsp:cNvPr id="0" name=""/>
        <dsp:cNvSpPr/>
      </dsp:nvSpPr>
      <dsp:spPr>
        <a:xfrm>
          <a:off x="1951834" y="524172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EE5D6F-4F09-4DF2-877A-F21C7F3BA072}">
      <dsp:nvSpPr>
        <dsp:cNvPr id="0" name=""/>
        <dsp:cNvSpPr/>
      </dsp:nvSpPr>
      <dsp:spPr>
        <a:xfrm>
          <a:off x="1617668" y="644472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644472"/>
        <a:ext cx="1336662" cy="427732"/>
      </dsp:txXfrm>
    </dsp:sp>
    <dsp:sp modelId="{A6F25F0A-17E3-4513-866A-923A8D6C2923}">
      <dsp:nvSpPr>
        <dsp:cNvPr id="0" name=""/>
        <dsp:cNvSpPr/>
      </dsp:nvSpPr>
      <dsp:spPr>
        <a:xfrm>
          <a:off x="334472" y="242223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7E275C1-BE03-4E2B-BD69-ECE64F831B17}">
      <dsp:nvSpPr>
        <dsp:cNvPr id="0" name=""/>
        <dsp:cNvSpPr/>
      </dsp:nvSpPr>
      <dsp:spPr>
        <a:xfrm>
          <a:off x="334472" y="242223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2B785E9-B4A9-4D15-A42A-353ED39A63AB}">
      <dsp:nvSpPr>
        <dsp:cNvPr id="0" name=""/>
        <dsp:cNvSpPr/>
      </dsp:nvSpPr>
      <dsp:spPr>
        <a:xfrm>
          <a:off x="306" y="25425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542533"/>
        <a:ext cx="1336662" cy="427732"/>
      </dsp:txXfrm>
    </dsp:sp>
    <dsp:sp modelId="{EC811AFB-0543-4C9F-BB4B-2784D2737501}">
      <dsp:nvSpPr>
        <dsp:cNvPr id="0" name=""/>
        <dsp:cNvSpPr/>
      </dsp:nvSpPr>
      <dsp:spPr>
        <a:xfrm>
          <a:off x="1951834" y="2431585"/>
          <a:ext cx="668331" cy="64552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E290D92-83C8-49D3-8066-D74A4782EBF3}">
      <dsp:nvSpPr>
        <dsp:cNvPr id="0" name=""/>
        <dsp:cNvSpPr/>
      </dsp:nvSpPr>
      <dsp:spPr>
        <a:xfrm>
          <a:off x="1951834" y="2431585"/>
          <a:ext cx="668331" cy="64552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EA9564B-7AF7-4E5F-A983-5D2594F8F462}">
      <dsp:nvSpPr>
        <dsp:cNvPr id="0" name=""/>
        <dsp:cNvSpPr/>
      </dsp:nvSpPr>
      <dsp:spPr>
        <a:xfrm>
          <a:off x="1617668" y="2547779"/>
          <a:ext cx="1336662" cy="413133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145" tIns="17145" rIns="17145" bIns="17145" numCol="1" spcCol="1270" anchor="ctr" anchorCtr="0">
          <a:noAutofit/>
        </a:bodyPr>
        <a:lstStyle/>
        <a:p>
          <a:pPr marL="0" lvl="0" indent="0" algn="ctr" defTabSz="12001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700" kern="1200"/>
        </a:p>
      </dsp:txBody>
      <dsp:txXfrm>
        <a:off x="1617668" y="2547779"/>
        <a:ext cx="1336662" cy="413133"/>
      </dsp:txXfrm>
    </dsp:sp>
    <dsp:sp modelId="{DEE4F947-BC2A-418C-9DC7-E6D7036EC1DB}">
      <dsp:nvSpPr>
        <dsp:cNvPr id="0" name=""/>
        <dsp:cNvSpPr/>
      </dsp:nvSpPr>
      <dsp:spPr>
        <a:xfrm>
          <a:off x="3569196" y="242223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100E97A-3416-4F5E-912E-4E9455B462E3}">
      <dsp:nvSpPr>
        <dsp:cNvPr id="0" name=""/>
        <dsp:cNvSpPr/>
      </dsp:nvSpPr>
      <dsp:spPr>
        <a:xfrm>
          <a:off x="3569196" y="242223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5DE5058-029E-4B83-88B7-17FE4104F076}">
      <dsp:nvSpPr>
        <dsp:cNvPr id="0" name=""/>
        <dsp:cNvSpPr/>
      </dsp:nvSpPr>
      <dsp:spPr>
        <a:xfrm>
          <a:off x="3235030" y="25425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542533"/>
        <a:ext cx="1336662" cy="427732"/>
      </dsp:txXfrm>
    </dsp:sp>
    <dsp:sp modelId="{32418B1D-A4D8-4254-95D7-9E173572CD44}">
      <dsp:nvSpPr>
        <dsp:cNvPr id="0" name=""/>
        <dsp:cNvSpPr/>
      </dsp:nvSpPr>
      <dsp:spPr>
        <a:xfrm>
          <a:off x="1143153" y="14732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712368F-E6FE-4266-9953-7D9F01BF1D18}">
      <dsp:nvSpPr>
        <dsp:cNvPr id="0" name=""/>
        <dsp:cNvSpPr/>
      </dsp:nvSpPr>
      <dsp:spPr>
        <a:xfrm>
          <a:off x="1143153" y="14732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8CCF55D8-6793-4DC6-8B7E-5EA8636CEC7A}">
      <dsp:nvSpPr>
        <dsp:cNvPr id="0" name=""/>
        <dsp:cNvSpPr/>
      </dsp:nvSpPr>
      <dsp:spPr>
        <a:xfrm>
          <a:off x="808987" y="1593502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593502"/>
        <a:ext cx="1336662" cy="427732"/>
      </dsp:txXfrm>
    </dsp:sp>
  </dsp:spTree>
</dsp:drawing>
</file>

<file path=xl/diagrams/drawing3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08EFCC6B-1104-4BDB-ADF7-682553C53418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0CA55EF-387C-433D-A8F7-91D8C9178568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B8792AF-8610-4ACA-8212-DBE99B5BE633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5EB75FCF-5D3A-4D32-8018-1B3694D73515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ADF7A32-4652-4BE6-AF16-6CEC275F8EB0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576697D-8F25-476D-9E68-CFEC7EECC6CB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64001655-8752-4A33-BA08-4F8EBD64CF59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B80481CF-4056-4279-BB33-6FAB204924E6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78E65E8-53BB-4621-8842-71CFC56A369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14A9C3AD-848F-4BCF-B576-14E125286FFB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6012DB64-0E95-41ED-AFD0-942CCD95E16D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BF300E5-789D-464E-9764-8B1E77AD8C73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35F298-D801-4CB0-A2E7-E3CE0D9300E0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153FFED3-14C2-4BD0-8806-B0A1FAA22787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7BF53D6-C3E7-42BA-A272-59F792350A98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E5657E7-0638-4F8A-9E24-05EB204E5710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2E7E9D4E-F126-4009-A96E-7081314E5F80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30EE757-CEB2-4A12-A79A-C6E16A6B4BE6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771EA74-3A56-4747-8D8D-0D1B59924A5E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drawing4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27C4E2-BB3A-4DCF-9C3E-7F7FDB7833FD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24AAE8-3667-4FE6-B650-42549A2E6067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B4FB15-E4F7-4443-9749-28EDF97AABEC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D38033-778A-4A37-8FD3-B0F11CA55344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32F487-CB14-4006-8555-B9A2EFCDA775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A03906-9B19-4F4F-82AE-DD753BF766D8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2D7F8C-AB7A-4A64-86F5-2B979838B75F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8BD87AF2-E9A2-42EE-8921-431BE2BA8F7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67599A-651F-4FDC-9B2C-813C14DB68C3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0284CB-8D3C-4856-93DB-7A1B0839A87F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E12417C5-8A71-430E-BC66-6A690759275F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985B15-F498-4F8F-83BB-23BFDC1094A9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A0C2CD-15C1-4ABB-846D-05C66D7ECD91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8676F970-1115-463C-9CBF-1ACF241F0FB5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BCD17D-0B60-4FBD-BA71-80F4C6E60E10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8DBBA-DA81-4F02-BED8-7B8C6C567FCC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9EBE5741-0E29-4E93-9078-E9A682B3B78E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E38CD5-1199-42C8-B0DD-CFCACC66B4B2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3F913D-53A2-42A2-A919-A66EC1C7B68D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drawing5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2227C4E2-BB3A-4DCF-9C3E-7F7FDB7833FD}">
      <dsp:nvSpPr>
        <dsp:cNvPr id="0" name=""/>
        <dsp:cNvSpPr/>
      </dsp:nvSpPr>
      <dsp:spPr>
        <a:xfrm>
          <a:off x="1731285" y="756735"/>
          <a:ext cx="554714" cy="400998"/>
        </a:xfrm>
        <a:custGeom>
          <a:avLst/>
          <a:gdLst/>
          <a:ahLst/>
          <a:cxnLst/>
          <a:rect l="0" t="0" r="0" b="0"/>
          <a:pathLst>
            <a:path>
              <a:moveTo>
                <a:pt x="554714" y="0"/>
              </a:moveTo>
              <a:lnTo>
                <a:pt x="554714" y="400998"/>
              </a:lnTo>
              <a:lnTo>
                <a:pt x="0" y="400998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E724AAE8-3667-4FE6-B650-42549A2E6067}">
      <dsp:nvSpPr>
        <dsp:cNvPr id="0" name=""/>
        <dsp:cNvSpPr/>
      </dsp:nvSpPr>
      <dsp:spPr>
        <a:xfrm>
          <a:off x="2286000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0" y="0"/>
              </a:moveTo>
              <a:lnTo>
                <a:pt x="0" y="1089380"/>
              </a:lnTo>
              <a:lnTo>
                <a:pt x="1617361" y="1089380"/>
              </a:lnTo>
              <a:lnTo>
                <a:pt x="1617361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7EB4FB15-E4F7-4443-9749-28EDF97AABEC}">
      <dsp:nvSpPr>
        <dsp:cNvPr id="0" name=""/>
        <dsp:cNvSpPr/>
      </dsp:nvSpPr>
      <dsp:spPr>
        <a:xfrm>
          <a:off x="2240280" y="756735"/>
          <a:ext cx="91440" cy="1229729"/>
        </a:xfrm>
        <a:custGeom>
          <a:avLst/>
          <a:gdLst/>
          <a:ahLst/>
          <a:cxnLst/>
          <a:rect l="0" t="0" r="0" b="0"/>
          <a:pathLst>
            <a:path>
              <a:moveTo>
                <a:pt x="45720" y="0"/>
              </a:moveTo>
              <a:lnTo>
                <a:pt x="4572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3D38033-778A-4A37-8FD3-B0F11CA55344}">
      <dsp:nvSpPr>
        <dsp:cNvPr id="0" name=""/>
        <dsp:cNvSpPr/>
      </dsp:nvSpPr>
      <dsp:spPr>
        <a:xfrm>
          <a:off x="668638" y="756735"/>
          <a:ext cx="1617361" cy="1229729"/>
        </a:xfrm>
        <a:custGeom>
          <a:avLst/>
          <a:gdLst/>
          <a:ahLst/>
          <a:cxnLst/>
          <a:rect l="0" t="0" r="0" b="0"/>
          <a:pathLst>
            <a:path>
              <a:moveTo>
                <a:pt x="1617361" y="0"/>
              </a:moveTo>
              <a:lnTo>
                <a:pt x="1617361" y="1089380"/>
              </a:lnTo>
              <a:lnTo>
                <a:pt x="0" y="1089380"/>
              </a:lnTo>
              <a:lnTo>
                <a:pt x="0" y="1229729"/>
              </a:lnTo>
            </a:path>
          </a:pathLst>
        </a:cu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A732F487-CB14-4006-8555-B9A2EFCDA775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EA03906-9B19-4F4F-82AE-DD753BF766D8}">
      <dsp:nvSpPr>
        <dsp:cNvPr id="0" name=""/>
        <dsp:cNvSpPr/>
      </dsp:nvSpPr>
      <dsp:spPr>
        <a:xfrm>
          <a:off x="1951834" y="88403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372D7F8C-AB7A-4A64-86F5-2B979838B75F}">
      <dsp:nvSpPr>
        <dsp:cNvPr id="0" name=""/>
        <dsp:cNvSpPr/>
      </dsp:nvSpPr>
      <dsp:spPr>
        <a:xfrm>
          <a:off x="1617668" y="20870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08703"/>
        <a:ext cx="1336662" cy="427732"/>
      </dsp:txXfrm>
    </dsp:sp>
    <dsp:sp modelId="{8BD87AF2-E9A2-42EE-8921-431BE2BA8F7C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B667599A-651F-4FDC-9B2C-813C14DB68C3}">
      <dsp:nvSpPr>
        <dsp:cNvPr id="0" name=""/>
        <dsp:cNvSpPr/>
      </dsp:nvSpPr>
      <dsp:spPr>
        <a:xfrm>
          <a:off x="334472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FB0284CB-8D3C-4856-93DB-7A1B0839A87F}">
      <dsp:nvSpPr>
        <dsp:cNvPr id="0" name=""/>
        <dsp:cNvSpPr/>
      </dsp:nvSpPr>
      <dsp:spPr>
        <a:xfrm>
          <a:off x="306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06" y="2106764"/>
        <a:ext cx="1336662" cy="427732"/>
      </dsp:txXfrm>
    </dsp:sp>
    <dsp:sp modelId="{E12417C5-8A71-430E-BC66-6A690759275F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09985B15-F498-4F8F-83BB-23BFDC1094A9}">
      <dsp:nvSpPr>
        <dsp:cNvPr id="0" name=""/>
        <dsp:cNvSpPr/>
      </dsp:nvSpPr>
      <dsp:spPr>
        <a:xfrm>
          <a:off x="1951834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CAA0C2CD-15C1-4ABB-846D-05C66D7ECD91}">
      <dsp:nvSpPr>
        <dsp:cNvPr id="0" name=""/>
        <dsp:cNvSpPr/>
      </dsp:nvSpPr>
      <dsp:spPr>
        <a:xfrm>
          <a:off x="1617668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1617668" y="2106764"/>
        <a:ext cx="1336662" cy="427732"/>
      </dsp:txXfrm>
    </dsp:sp>
    <dsp:sp modelId="{8676F970-1115-463C-9CBF-1ACF241F0FB5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20BCD17D-0B60-4FBD-BA71-80F4C6E60E10}">
      <dsp:nvSpPr>
        <dsp:cNvPr id="0" name=""/>
        <dsp:cNvSpPr/>
      </dsp:nvSpPr>
      <dsp:spPr>
        <a:xfrm>
          <a:off x="3569196" y="198646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42A8DBBA-DA81-4F02-BED8-7B8C6C567FCC}">
      <dsp:nvSpPr>
        <dsp:cNvPr id="0" name=""/>
        <dsp:cNvSpPr/>
      </dsp:nvSpPr>
      <dsp:spPr>
        <a:xfrm>
          <a:off x="3235030" y="2106764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3235030" y="2106764"/>
        <a:ext cx="1336662" cy="427732"/>
      </dsp:txXfrm>
    </dsp:sp>
    <dsp:sp modelId="{9EBE5741-0E29-4E93-9078-E9A682B3B78E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13200000"/>
            <a:gd name="adj2" fmla="val 192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9EE38CD5-1199-42C8-B0DD-CFCACC66B4B2}">
      <dsp:nvSpPr>
        <dsp:cNvPr id="0" name=""/>
        <dsp:cNvSpPr/>
      </dsp:nvSpPr>
      <dsp:spPr>
        <a:xfrm>
          <a:off x="1143153" y="1037434"/>
          <a:ext cx="668331" cy="668331"/>
        </a:xfrm>
        <a:prstGeom prst="arc">
          <a:avLst>
            <a:gd name="adj1" fmla="val 2400000"/>
            <a:gd name="adj2" fmla="val 8400000"/>
          </a:avLst>
        </a:prstGeom>
        <a:noFill/>
        <a:ln w="12700" cap="flat" cmpd="sng" algn="ctr">
          <a:solidFill>
            <a:schemeClr val="accent1">
              <a:shade val="60000"/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</dsp:sp>
    <dsp:sp modelId="{DE3F913D-53A2-42A2-A919-A66EC1C7B68D}">
      <dsp:nvSpPr>
        <dsp:cNvPr id="0" name=""/>
        <dsp:cNvSpPr/>
      </dsp:nvSpPr>
      <dsp:spPr>
        <a:xfrm>
          <a:off x="808987" y="1157733"/>
          <a:ext cx="1336662" cy="427732"/>
        </a:xfrm>
        <a:prstGeom prst="rect">
          <a:avLst/>
        </a:prstGeom>
        <a:noFill/>
        <a:ln w="12700" cap="flat" cmpd="sng" algn="ctr">
          <a:noFill/>
          <a:prstDash val="solid"/>
          <a:miter lim="800000"/>
        </a:ln>
        <a:effectLst/>
        <a:sp3d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17780" tIns="17780" rIns="17780" bIns="17780" numCol="1" spcCol="1270" anchor="ctr" anchorCtr="0">
          <a:noAutofit/>
        </a:bodyPr>
        <a:lstStyle/>
        <a:p>
          <a:pPr marL="0" lvl="0" indent="0" algn="ctr" defTabSz="12446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endParaRPr lang="en-US" sz="2800" kern="1200"/>
        </a:p>
      </dsp:txBody>
      <dsp:txXfrm>
        <a:off x="808987" y="1157733"/>
        <a:ext cx="1336662" cy="427732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2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3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4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layout5.xml><?xml version="1.0" encoding="utf-8"?>
<dgm:layoutDef xmlns:dgm="http://schemas.openxmlformats.org/drawingml/2006/diagram" xmlns:a="http://schemas.openxmlformats.org/drawingml/2006/main" uniqueId="urn:microsoft.com/office/officeart/2008/layout/HalfCircleOrganizationChart">
  <dgm:title val=""/>
  <dgm:desc val=""/>
  <dgm:catLst>
    <dgm:cat type="hierarchy" pri="1500"/>
  </dgm:catLst>
  <dgm:samp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</dgm:ptLst>
      <dgm:cxnLst>
        <dgm:cxn modelId="2" srcId="0" destId="1" srcOrd="0" destOrd="0"/>
        <dgm:cxn modelId="3" srcId="1" destId="11" srcOrd="0" destOrd="0"/>
        <dgm:cxn modelId="4" srcId="1" destId="12" srcOrd="1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 type="asst">
          <dgm:prSet phldr="1"/>
        </dgm:pt>
        <dgm:pt modelId="12">
          <dgm:prSet phldr="1"/>
        </dgm:pt>
        <dgm:pt modelId="13">
          <dgm:prSet phldr="1"/>
        </dgm:pt>
        <dgm:pt modelId="14">
          <dgm:prSet phldr="1"/>
        </dgm:pt>
      </dgm:ptLst>
      <dgm:cxnLst>
        <dgm:cxn modelId="2" srcId="0" destId="1" srcOrd="0" destOrd="0"/>
        <dgm:cxn modelId="15" srcId="1" destId="11" srcOrd="0" destOrd="0"/>
        <dgm:cxn modelId="16" srcId="1" destId="12" srcOrd="1" destOrd="0"/>
        <dgm:cxn modelId="17" srcId="1" destId="13" srcOrd="2" destOrd="0"/>
        <dgm:cxn modelId="18" srcId="1" destId="14" srcOrd="2" destOrd="0"/>
      </dgm:cxnLst>
      <dgm:bg/>
      <dgm:whole/>
    </dgm:dataModel>
  </dgm:clrData>
  <dgm:layoutNode name="Name0">
    <dgm:varLst>
      <dgm:orgChart val="1"/>
      <dgm:chPref val="1"/>
      <dgm:dir/>
      <dgm:animOne val="branch"/>
      <dgm:animLvl val="lvl"/>
      <dgm:resizeHandles/>
    </dgm:varLst>
    <dgm:choose name="Name1">
      <dgm:if name="Name2" func="var" arg="dir" op="equ" val="norm">
        <dgm:alg type="hierChild">
          <dgm:param type="linDir" val="fromL"/>
        </dgm:alg>
      </dgm:if>
      <dgm:else name="Name3">
        <dgm:alg type="hierChild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des" forName="rootComposite1" refType="w" fact="10"/>
      <dgm:constr type="h" for="des" forName="rootComposite1" refType="w" refFor="des" refForName="rootComposite1" fact="0.5"/>
      <dgm:constr type="w" for="des" forName="rootComposite2" refType="w" fact="10"/>
      <dgm:constr type="h" for="des" forName="rootComposite2" refType="w" refFor="des" refForName="rootComposite1" fact="0.5"/>
      <dgm:constr type="w" for="des" forName="rootComposite3" refType="w" fact="10"/>
      <dgm:constr type="h" for="des" forName="rootComposite3" refType="w" refFor="des" refForName="rootComposite1" fact="0.5"/>
      <dgm:constr type="primFontSz" for="des" ptType="node" op="equ"/>
      <dgm:constr type="sp" for="des" op="equ"/>
      <dgm:constr type="sp" for="des" forName="hierRoot1" refType="w" refFor="des" refForName="rootComposite1" fact="0.21"/>
      <dgm:constr type="sp" for="des" forName="hierRoot2" refType="sp" refFor="des" refForName="hierRoot1"/>
      <dgm:constr type="sp" for="des" forName="hierRoot3" refType="sp" refFor="des" refForName="hierRoot1"/>
      <dgm:constr type="sibSp" refType="w" refFor="des" refForName="rootComposite1" fact="0.21"/>
      <dgm:constr type="sibSp" for="des" forName="hierChild2" refType="sibSp"/>
      <dgm:constr type="sibSp" for="des" forName="hierChild3" refType="sibSp"/>
      <dgm:constr type="sibSp" for="des" forName="hierChild4" refType="sibSp"/>
      <dgm:constr type="sibSp" for="des" forName="hierChild5" refType="sibSp"/>
      <dgm:constr type="sibSp" for="des" forName="hierChild6" refType="sibSp"/>
      <dgm:constr type="sibSp" for="des" forName="hierChild7" refType="sibSp"/>
      <dgm:constr type="secSibSp" refType="w" refFor="des" refForName="rootComposite1" fact="0.21"/>
      <dgm:constr type="secSibSp" for="des" forName="hierChild2" refType="secSibSp"/>
      <dgm:constr type="secSibSp" for="des" forName="hierChild3" refType="secSibSp"/>
      <dgm:constr type="secSibSp" for="des" forName="hierChild4" refType="secSibSp"/>
      <dgm:constr type="secSibSp" for="des" forName="hierChild5" refType="secSibSp"/>
      <dgm:constr type="secSibSp" for="des" forName="hierChild6" refType="secSibSp"/>
      <dgm:constr type="secSibSp" for="des" forName="hierChild7" refType="secSibSp"/>
    </dgm:constrLst>
    <dgm:forEach name="Name4" axis="ch">
      <dgm:forEach name="Name5" axis="self" ptType="node">
        <dgm:layoutNode name="hierRoot1">
          <dgm:varLst>
            <dgm:hierBranch val="init"/>
          </dgm:varLst>
          <dgm:choose name="Name6">
            <dgm:if name="Name7" func="var" arg="hierBranch" op="equ" val="l">
              <dgm:alg type="hierRoot">
                <dgm:param type="hierAlign" val="tR"/>
              </dgm:alg>
              <dgm:constrLst>
                <dgm:constr type="alignOff" val="0.65"/>
              </dgm:constrLst>
            </dgm:if>
            <dgm:if name="Name8" func="var" arg="hierBranch" op="equ" val="r">
              <dgm:alg type="hierRoot">
                <dgm:param type="hierAlign" val="tL"/>
              </dgm:alg>
              <dgm:constrLst>
                <dgm:constr type="alignOff" val="0.65"/>
              </dgm:constrLst>
            </dgm:if>
            <dgm:if name="Name9" func="var" arg="hierBranch" op="equ" val="hang">
              <dgm:alg type="hierRoot"/>
              <dgm:constrLst>
                <dgm:constr type="alignOff" val="0.65"/>
              </dgm:constrLst>
            </dgm:if>
            <dgm:else name="Name10">
              <dgm:alg type="hierRoot"/>
              <dgm:constrLst>
                <dgm:constr type="alignOff"/>
                <dgm:constr type="bendDist" for="des" ptType="parTrans" refType="sp" fact="0.5"/>
              </dgm:constrLst>
            </dgm:else>
          </dgm:choose>
          <dgm:shape xmlns:r="http://schemas.openxmlformats.org/officeDocument/2006/relationships" r:blip="">
            <dgm:adjLst/>
          </dgm:shape>
          <dgm:presOf/>
          <dgm:layoutNode name="rootComposite1">
            <dgm:alg type="composite"/>
            <dgm:shape xmlns:r="http://schemas.openxmlformats.org/officeDocument/2006/relationships" r:blip="">
              <dgm:adjLst/>
            </dgm:shape>
            <dgm:presOf axis="self" ptType="node" cnt="1"/>
            <dgm:choose name="Name11">
              <dgm:if name="Name12" func="var" arg="hierBranch" op="equ" val="init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3" func="var" arg="hierBranch" op="equ" val="l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if name="Name14" func="var" arg="hierBranch" op="equ" val="r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if>
              <dgm:else name="Name15">
                <dgm:constrLst>
                  <dgm:constr type="l" for="ch" forName="rootText1"/>
                  <dgm:constr type="t" for="ch" forName="rootText1" refType="h" fact="0.18"/>
                  <dgm:constr type="w" for="ch" forName="rootText1" refType="w"/>
                  <dgm:constr type="h" for="ch" forName="rootText1" refType="h" fact="0.64"/>
                  <dgm:constr type="l" for="ch" forName="topArc1" refType="w" fact="0.25"/>
                  <dgm:constr type="t" for="ch" forName="topArc1"/>
                  <dgm:constr type="w" for="ch" forName="topArc1" refType="h" refFor="ch" refForName="topArc1"/>
                  <dgm:constr type="h" for="ch" forName="topArc1" refType="h"/>
                  <dgm:constr type="l" for="ch" forName="bottomArc1" refType="w" fact="0.25"/>
                  <dgm:constr type="t" for="ch" forName="bottomArc1"/>
                  <dgm:constr type="w" for="ch" forName="bottomArc1" refType="h" refFor="ch" refForName="bottomArc1"/>
                  <dgm:constr type="h" for="ch" forName="bottomArc1" refType="h"/>
                  <dgm:constr type="ctrX" for="ch" forName="topConnNode1" refType="w" fact="0.5"/>
                  <dgm:constr type="t" for="ch" forName="topConnNode1"/>
                  <dgm:constr type="w" for="ch" forName="topConnNode1" refType="h" fact="0.76"/>
                  <dgm:constr type="b" for="ch" forName="topConnNode1" refType="t" refFor="ch" refForName="rootText1"/>
                </dgm:constrLst>
              </dgm:else>
            </dgm:choose>
            <dgm:layoutNode name="rootText1" styleLbl="alignAcc1">
              <dgm:varLst>
                <dgm:chPref val="3"/>
              </dgm:varLst>
              <dgm:alg type="tx"/>
              <dgm:shape xmlns:r="http://schemas.openxmlformats.org/officeDocument/2006/relationships" type="rect" r:blip="" hideGeom="1">
                <dgm:adjLst/>
              </dgm:shape>
              <dgm:presOf axis="self" ptType="node" cnt="1"/>
              <dgm:constrLst>
                <dgm:constr type="primFontSz" val="65"/>
                <dgm:constr type="lMarg" refType="primFontSz" fact="0.05"/>
                <dgm:constr type="rMarg" refType="primFontSz" fact="0.05"/>
                <dgm:constr type="tMarg" refType="primFontSz" fact="0.05"/>
                <dgm:constr type="bMarg" refType="primFontSz" fact="0.05"/>
              </dgm:constrLst>
              <dgm:ruleLst>
                <dgm:rule type="primFontSz" val="5" fact="NaN" max="NaN"/>
              </dgm:ruleLst>
            </dgm:layoutNode>
            <dgm:layoutNode name="top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-140"/>
                  <dgm:adj idx="2" val="-40"/>
                </dgm:adjLst>
              </dgm:shape>
              <dgm:presOf/>
            </dgm:layoutNode>
            <dgm:layoutNode name="bottomArc1" styleLbl="parChTrans1D1" moveWith="rootText1">
              <dgm:alg type="sp"/>
              <dgm:shape xmlns:r="http://schemas.openxmlformats.org/officeDocument/2006/relationships" type="arc" r:blip="" zOrderOff="-2">
                <dgm:adjLst>
                  <dgm:adj idx="1" val="40"/>
                  <dgm:adj idx="2" val="140"/>
                </dgm:adjLst>
              </dgm:shape>
              <dgm:presOf/>
            </dgm:layoutNode>
            <dgm:layoutNode name="topConnNode1" moveWith="rootText1">
              <dgm:alg type="sp"/>
              <dgm:shape xmlns:r="http://schemas.openxmlformats.org/officeDocument/2006/relationships" type="rect" r:blip="" hideGeom="1">
                <dgm:adjLst/>
              </dgm:shape>
              <dgm:presOf axis="self" ptType="node" cnt="1"/>
            </dgm:layoutNode>
          </dgm:layoutNode>
          <dgm:layoutNode name="hierChild2">
            <dgm:choose name="Name16">
              <dgm:if name="Name17" func="var" arg="hierBranch" op="equ" val="l">
                <dgm:alg type="hierChild">
                  <dgm:param type="chAlign" val="r"/>
                  <dgm:param type="linDir" val="fromT"/>
                </dgm:alg>
              </dgm:if>
              <dgm:if name="Name18" func="var" arg="hierBranch" op="equ" val="r">
                <dgm:alg type="hierChild">
                  <dgm:param type="chAlign" val="l"/>
                  <dgm:param type="linDir" val="fromT"/>
                </dgm:alg>
              </dgm:if>
              <dgm:if name="Name19" func="var" arg="hierBranch" op="equ" val="hang">
                <dgm:choose name="Name20">
                  <dgm:if name="Name21" func="var" arg="dir" op="equ" val="norm">
                    <dgm:alg type="hierChild">
                      <dgm:param type="chAlign" val="l"/>
                      <dgm:param type="linDir" val="fromL"/>
                      <dgm:param type="secChAlign" val="t"/>
                      <dgm:param type="secLinDir" val="fromT"/>
                    </dgm:alg>
                  </dgm:if>
                  <dgm:else name="Name22">
                    <dgm:alg type="hierChild">
                      <dgm:param type="chAlign" val="l"/>
                      <dgm:param type="linDir" val="fromR"/>
                      <dgm:param type="secChAlign" val="t"/>
                      <dgm:param type="secLinDir" val="fromT"/>
                    </dgm:alg>
                  </dgm:else>
                </dgm:choose>
              </dgm:if>
              <dgm:else name="Name23">
                <dgm:choose name="Name24">
                  <dgm:if name="Name25" func="var" arg="dir" op="equ" val="norm">
                    <dgm:alg type="hierChild"/>
                  </dgm:if>
                  <dgm:else name="Name26">
                    <dgm:alg type="hierChild">
                      <dgm:param type="linDir" val="fromR"/>
                    </dgm:alg>
                  </dgm:else>
                </dgm:choose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a" axis="ch" ptType="nonAsst">
              <dgm:forEach name="Name27" axis="precedSib" ptType="parTrans" st="-1" cnt="1">
                <dgm:layoutNode name="Name28">
                  <dgm:choose name="Name29">
                    <dgm:if name="Name30" func="var" arg="hierBranch" op="equ" val="std">
                      <dgm:choose name="Name31">
                        <dgm:if name="Name32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1"/>
                            <dgm:param type="dstNode" val="topArc2"/>
                          </dgm:alg>
                        </dgm:if>
                        <dgm:if name="Name33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3"/>
                            <dgm:param type="dstNode" val="topArc2"/>
                          </dgm:alg>
                        </dgm:if>
                        <dgm:else name="Name34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tCtr"/>
                            <dgm:param type="bendPt" val="end"/>
                            <dgm:param type="srcNode" val="bottomArc2"/>
                            <dgm:param type="dstNode" val="topArc2"/>
                          </dgm:alg>
                        </dgm:else>
                      </dgm:choose>
                    </dgm:if>
                    <dgm:if name="Name35" func="var" arg="hierBranch" op="equ" val="init">
                      <dgm:choose name="Name36">
                        <dgm:if name="Name37" axis="self" func="depth" op="lte" val="2">
                          <dgm:choose name="Name38">
                            <dgm:if name="Name39" axis="self" func="depth" op="lte" val="2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1"/>
                                <dgm:param type="dstNode" val="topArc2"/>
                              </dgm:alg>
                            </dgm:if>
                            <dgm:if name="Name40" axis="par" ptType="asst" func="cnt" op="equ" val="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3"/>
                                <dgm:param type="dstNode" val="topArc2"/>
                              </dgm:alg>
                            </dgm:if>
                            <dgm:else name="Name41">
                              <dgm:alg type="conn">
                                <dgm:param type="connRout" val="bend"/>
                                <dgm:param type="dim" val="1D"/>
                                <dgm:param type="endSty" val="noArr"/>
                                <dgm:param type="begPts" val="bCtr"/>
                                <dgm:param type="endPts" val="tCtr"/>
                                <dgm:param type="bendPt" val="end"/>
                                <dgm:param type="srcNode" val="bottomArc2"/>
                                <dgm:param type="dstNode" val="topArc2"/>
                              </dgm:alg>
                            </dgm:else>
                          </dgm:choose>
                        </dgm:if>
                        <dgm:else name="Name42">
                          <dgm:choose name="Name43">
                            <dgm:if name="Name44" axis="par des" func="maxDepth" op="lte" val="1">
                              <dgm:choose name="Name45">
                                <dgm:if name="Name46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1"/>
                                    <dgm:param type="dstNode" val="topConnNode2"/>
                                  </dgm:alg>
                                </dgm:if>
                                <dgm:if name="Name47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3"/>
                                    <dgm:param type="dstNode" val="topConnNode2"/>
                                  </dgm:alg>
                                </dgm:if>
                                <dgm:else name="Name48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bL bR"/>
                                    <dgm:param type="srcNode" val="bottomArc2"/>
                                    <dgm:param type="dstNode" val="topConnNode2"/>
                                  </dgm:alg>
                                </dgm:else>
                              </dgm:choose>
                            </dgm:if>
                            <dgm:else name="Name49">
                              <dgm:choose name="Name50">
                                <dgm:if name="Name51" axis="self" func="depth" op="lte" val="2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1"/>
                                    <dgm:param type="dstNode" val="topArc2"/>
                                  </dgm:alg>
                                </dgm:if>
                                <dgm:if name="Name52" axis="par" ptType="asst" func="cnt" op="equ" val="1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3"/>
                                    <dgm:param type="dstNode" val="topArc2"/>
                                  </dgm:alg>
                                </dgm:if>
                                <dgm:else name="Name53">
                                  <dgm:alg type="conn">
                                    <dgm:param type="connRout" val="bend"/>
                                    <dgm:param type="dim" val="1D"/>
                                    <dgm:param type="endSty" val="noArr"/>
                                    <dgm:param type="begPts" val="bCtr"/>
                                    <dgm:param type="endPts" val="tCtr"/>
                                    <dgm:param type="bendPt" val="end"/>
                                    <dgm:param type="srcNode" val="bottomArc2"/>
                                    <dgm:param type="dstNode" val="topArc2"/>
                                  </dgm:alg>
                                </dgm:else>
                              </dgm:choose>
                            </dgm:else>
                          </dgm:choose>
                        </dgm:else>
                      </dgm:choose>
                    </dgm:if>
                    <dgm:else name="Name54">
                      <dgm:choose name="Name55">
                        <dgm:if name="Name56" axis="self" func="depth" op="lte" val="2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1"/>
                            <dgm:param type="dstNode" val="topConnNode2"/>
                          </dgm:alg>
                        </dgm:if>
                        <dgm:if name="Name57" axis="par" ptType="asst" func="cnt" op="equ" val="1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3"/>
                            <dgm:param type="dstNode" val="topConnNode2"/>
                          </dgm:alg>
                        </dgm:if>
                        <dgm:else name="Name58">
                          <dgm:alg type="conn">
                            <dgm:param type="connRout" val="bend"/>
                            <dgm:param type="dim" val="1D"/>
                            <dgm:param type="endSty" val="noArr"/>
                            <dgm:param type="begPts" val="bCtr"/>
                            <dgm:param type="endPts" val="bL bR"/>
                            <dgm:param type="srcNode" val="bottomArc2"/>
                            <dgm:param type="dstNode" val="topConnNode2"/>
                          </dgm:alg>
                        </dgm:else>
                      </dgm:choose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2">
                <dgm:varLst>
                  <dgm:hierBranch val="init"/>
                </dgm:varLst>
                <dgm:choose name="Name59">
                  <dgm:if name="Name60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1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62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63" func="var" arg="hierBranch" op="equ" val="init">
                    <dgm:choose name="Name64">
                      <dgm:if name="Name65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66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67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else>
                </dgm:choose>
                <dgm:layoutNode name="rootComposite2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68">
                    <dgm:if name="Name69" func="var" arg="hierBranch" op="equ" val="init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0" func="var" arg="hierBranch" op="equ" val="l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if name="Name71" func="var" arg="hierBranch" op="equ" val="r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if>
                    <dgm:else name="Name72">
                      <dgm:constrLst>
                        <dgm:constr type="l" for="ch" forName="rootText2"/>
                        <dgm:constr type="t" for="ch" forName="rootText2" refType="h" fact="0.18"/>
                        <dgm:constr type="w" for="ch" forName="rootText2" refType="w"/>
                        <dgm:constr type="h" for="ch" forName="rootText2" refType="h" fact="0.64"/>
                        <dgm:constr type="l" for="ch" forName="topArc2" refType="w" fact="0.25"/>
                        <dgm:constr type="t" for="ch" forName="topArc2"/>
                        <dgm:constr type="w" for="ch" forName="topArc2" refType="h" refFor="ch" refForName="topArc2"/>
                        <dgm:constr type="h" for="ch" forName="topArc2" refType="h"/>
                        <dgm:constr type="l" for="ch" forName="bottomArc2" refType="w" fact="0.25"/>
                        <dgm:constr type="t" for="ch" forName="bottomArc2"/>
                        <dgm:constr type="w" for="ch" forName="bottomArc2" refType="h" refFor="ch" refForName="bottomArc2"/>
                        <dgm:constr type="h" for="ch" forName="bottomArc2" refType="h"/>
                        <dgm:constr type="ctrX" for="ch" forName="topConnNode2" refType="w" fact="0.5"/>
                        <dgm:constr type="t" for="ch" forName="topConnNode2"/>
                        <dgm:constr type="w" for="ch" forName="topConnNode2" refType="h" fact="0.76"/>
                        <dgm:constr type="b" for="ch" forName="topConnNode2" refType="t" refFor="ch" refForName="rootText2"/>
                      </dgm:constrLst>
                    </dgm:else>
                  </dgm:choose>
                  <dgm:layoutNode name="rootText2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2" styleLbl="parChTrans1D1" moveWith="rootText2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2" moveWith="rootText2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4">
                  <dgm:choose name="Name73">
                    <dgm:if name="Name74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75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76" func="var" arg="hierBranch" op="equ" val="hang">
                      <dgm:choose name="Name77">
                        <dgm:if name="Name78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79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80" func="var" arg="hierBranch" op="equ" val="std">
                      <dgm:choose name="Name81">
                        <dgm:if name="Name82" func="var" arg="dir" op="equ" val="norm">
                          <dgm:alg type="hierChild"/>
                        </dgm:if>
                        <dgm:else name="Name83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84" func="var" arg="hierBranch" op="equ" val="init">
                      <dgm:choose name="Name85">
                        <dgm:if name="Name86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87">
                          <dgm:choose name="Name88">
                            <dgm:if name="Name89" func="var" arg="dir" op="equ" val="norm">
                              <dgm:alg type="hierChild"/>
                            </dgm:if>
                            <dgm:else name="Name90">
                              <dgm:alg type="hierChild">
                                <dgm:param type="linDir" val="fromR"/>
                              </dgm:alg>
                            </dgm:else>
                          </dgm:choose>
                        </dgm:else>
                      </dgm:choose>
                    </dgm:if>
                    <dgm:else name="Name91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2" ref="rep2a"/>
                </dgm:layoutNode>
                <dgm:layoutNode name="hierChild5">
                  <dgm:choose name="Name93">
                    <dgm:if name="Name94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95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96" ref="rep2b"/>
                </dgm:layoutNode>
              </dgm:layoutNode>
            </dgm:forEach>
          </dgm:layoutNode>
          <dgm:layoutNode name="hierChild3">
            <dgm:choose name="Name97">
              <dgm:if name="Name98" func="var" arg="dir" op="equ" val="norm">
                <dgm:alg type="hierChild">
                  <dgm:param type="chAlign" val="l"/>
                  <dgm:param type="linDir" val="fromL"/>
                  <dgm:param type="secChAlign" val="t"/>
                  <dgm:param type="secLinDir" val="fromT"/>
                </dgm:alg>
              </dgm:if>
              <dgm:else name="Name99">
                <dgm:alg type="hierChild">
                  <dgm:param type="chAlign" val="l"/>
                  <dgm:param type="linDir" val="fromR"/>
                  <dgm:param type="secChAlign" val="t"/>
                  <dgm:param type="secLinDir" val="fromT"/>
                </dgm:alg>
              </dgm:else>
            </dgm:choose>
            <dgm:shape xmlns:r="http://schemas.openxmlformats.org/officeDocument/2006/relationships" r:blip="">
              <dgm:adjLst/>
            </dgm:shape>
            <dgm:presOf/>
            <dgm:forEach name="rep2b" axis="ch" ptType="asst">
              <dgm:forEach name="Name100" axis="precedSib" ptType="parTrans" st="-1" cnt="1">
                <dgm:layoutNode name="Name101">
                  <dgm:choose name="Name102">
                    <dgm:if name="Name103" axis="self" func="depth" op="lte" val="2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1"/>
                        <dgm:param type="dstNode" val="topConnNode3"/>
                      </dgm:alg>
                    </dgm:if>
                    <dgm:if name="Name104" axis="par" ptType="asst" func="cnt" op="equ" val="1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3"/>
                        <dgm:param type="dstNode" val="topConnNode3"/>
                      </dgm:alg>
                    </dgm:if>
                    <dgm:else name="Name105">
                      <dgm:alg type="conn">
                        <dgm:param type="connRout" val="bend"/>
                        <dgm:param type="dim" val="1D"/>
                        <dgm:param type="endSty" val="noArr"/>
                        <dgm:param type="begPts" val="bCtr"/>
                        <dgm:param type="endPts" val="bL bR"/>
                        <dgm:param type="srcNode" val="bottomArc2"/>
                        <dgm:param type="dstNode" val="topConnNode3"/>
                      </dgm:alg>
                    </dgm:else>
                  </dgm:choose>
                  <dgm:shape xmlns:r="http://schemas.openxmlformats.org/officeDocument/2006/relationships" type="conn" r:blip="" zOrderOff="-99999">
                    <dgm:adjLst/>
                  </dgm:shape>
                  <dgm:presOf axis="self"/>
                  <dgm:constrLst>
                    <dgm:constr type="begPad"/>
                    <dgm:constr type="endPad"/>
                  </dgm:constrLst>
                </dgm:layoutNode>
              </dgm:forEach>
              <dgm:layoutNode name="hierRoot3">
                <dgm:varLst>
                  <dgm:hierBranch val="init"/>
                </dgm:varLst>
                <dgm:choose name="Name106">
                  <dgm:if name="Name107" func="var" arg="hierBranch" op="equ" val="l">
                    <dgm:alg type="hierRoot">
                      <dgm:param type="hierAlign" val="tR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8" func="var" arg="hierBranch" op="equ" val="r">
                    <dgm:alg type="hierRoot">
                      <dgm:param type="hierAlign" val="tL"/>
                    </dgm:alg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09" func="var" arg="hierBranch" op="equ" val="hang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 val="0.65"/>
                    </dgm:constrLst>
                  </dgm:if>
                  <dgm:if name="Name110" func="var" arg="hierBranch" op="equ" val="std">
                    <dgm:alg type="hierRoot"/>
                    <dgm:shape xmlns:r="http://schemas.openxmlformats.org/officeDocument/2006/relationships" r:blip="">
                      <dgm:adjLst/>
                    </dgm:shape>
                    <dgm:presOf/>
                    <dgm:constrLst>
                      <dgm:constr type="alignOff"/>
                      <dgm:constr type="bendDist" for="des" ptType="parTrans" refType="sp" fact="0.5"/>
                    </dgm:constrLst>
                  </dgm:if>
                  <dgm:if name="Name111" func="var" arg="hierBranch" op="equ" val="init">
                    <dgm:choose name="Name112">
                      <dgm:if name="Name113" axis="des" func="maxDepth" op="lte" val="1">
                        <dgm:alg type="hierRoot">
                          <dgm:param type="hierAlign" val="tL"/>
                        </dgm:alg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 val="0.65"/>
                        </dgm:constrLst>
                      </dgm:if>
                      <dgm:else name="Name114">
                        <dgm:alg type="hierRoot"/>
                        <dgm:shape xmlns:r="http://schemas.openxmlformats.org/officeDocument/2006/relationships" r:blip="">
                          <dgm:adjLst/>
                        </dgm:shape>
                        <dgm:presOf/>
                        <dgm:constrLst>
                          <dgm:constr type="alignOff"/>
                          <dgm:constr type="bendDist" for="des" ptType="parTrans" refType="sp" fact="0.5"/>
                        </dgm:constrLst>
                      </dgm:else>
                    </dgm:choose>
                  </dgm:if>
                  <dgm:else name="Name115"/>
                </dgm:choose>
                <dgm:layoutNode name="rootComposite3">
                  <dgm:alg type="composite"/>
                  <dgm:shape xmlns:r="http://schemas.openxmlformats.org/officeDocument/2006/relationships" r:blip="">
                    <dgm:adjLst/>
                  </dgm:shape>
                  <dgm:presOf axis="self" ptType="node" cnt="1"/>
                  <dgm:choose name="Name116">
                    <dgm:if name="Name117" func="var" arg="hierBranch" op="equ" val="init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8" func="var" arg="hierBranch" op="equ" val="l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if name="Name119" func="var" arg="hierBranch" op="equ" val="r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if>
                    <dgm:else name="Name120">
                      <dgm:constrLst>
                        <dgm:constr type="l" for="ch" forName="rootText3"/>
                        <dgm:constr type="t" for="ch" forName="rootText3" refType="h" fact="0.18"/>
                        <dgm:constr type="w" for="ch" forName="rootText3" refType="w"/>
                        <dgm:constr type="h" for="ch" forName="rootText3" refType="h" fact="0.64"/>
                        <dgm:constr type="l" for="ch" forName="topArc3" refType="w" fact="0.25"/>
                        <dgm:constr type="t" for="ch" forName="topArc3"/>
                        <dgm:constr type="w" for="ch" forName="topArc3" refType="h" refFor="ch" refForName="topArc3"/>
                        <dgm:constr type="h" for="ch" forName="topArc3" refType="h"/>
                        <dgm:constr type="l" for="ch" forName="bottomArc3" refType="w" fact="0.25"/>
                        <dgm:constr type="t" for="ch" forName="bottomArc3"/>
                        <dgm:constr type="w" for="ch" forName="bottomArc3" refType="h" refFor="ch" refForName="bottomArc3"/>
                        <dgm:constr type="h" for="ch" forName="bottomArc3" refType="h"/>
                        <dgm:constr type="ctrX" for="ch" forName="topConnNode3" refType="w" fact="0.5"/>
                        <dgm:constr type="t" for="ch" forName="topConnNode3"/>
                        <dgm:constr type="w" for="ch" forName="topConnNode3" refType="h" fact="0.76"/>
                        <dgm:constr type="b" for="ch" forName="topConnNode3" refType="t" refFor="ch" refForName="rootText3"/>
                      </dgm:constrLst>
                    </dgm:else>
                  </dgm:choose>
                  <dgm:layoutNode name="rootText3" styleLbl="alignAcc1">
                    <dgm:varLst>
                      <dgm:chPref val="3"/>
                    </dgm:varLst>
                    <dgm:alg type="tx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  <dgm:constrLst>
                      <dgm:constr type="primFontSz" val="65"/>
                      <dgm:constr type="lMarg" refType="primFontSz" fact="0.05"/>
                      <dgm:constr type="rMarg" refType="primFontSz" fact="0.05"/>
                      <dgm:constr type="tMarg" refType="primFontSz" fact="0.05"/>
                      <dgm:constr type="bMarg" refType="primFontSz" fact="0.05"/>
                    </dgm:constrLst>
                    <dgm:ruleLst>
                      <dgm:rule type="primFontSz" val="5" fact="NaN" max="NaN"/>
                    </dgm:ruleLst>
                  </dgm:layoutNode>
                  <dgm:layoutNode name="top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-140"/>
                        <dgm:adj idx="2" val="-40"/>
                      </dgm:adjLst>
                    </dgm:shape>
                    <dgm:presOf/>
                  </dgm:layoutNode>
                  <dgm:layoutNode name="bottomArc3" styleLbl="parChTrans1D1" moveWith="rootText3">
                    <dgm:alg type="sp"/>
                    <dgm:shape xmlns:r="http://schemas.openxmlformats.org/officeDocument/2006/relationships" type="arc" r:blip="" zOrderOff="-2">
                      <dgm:adjLst>
                        <dgm:adj idx="1" val="40"/>
                        <dgm:adj idx="2" val="140"/>
                      </dgm:adjLst>
                    </dgm:shape>
                    <dgm:presOf/>
                  </dgm:layoutNode>
                  <dgm:layoutNode name="topConnNode3" moveWith="rootText3">
                    <dgm:alg type="sp"/>
                    <dgm:shape xmlns:r="http://schemas.openxmlformats.org/officeDocument/2006/relationships" type="rect" r:blip="" hideGeom="1">
                      <dgm:adjLst/>
                    </dgm:shape>
                    <dgm:presOf axis="self" ptType="node" cnt="1"/>
                  </dgm:layoutNode>
                </dgm:layoutNode>
                <dgm:layoutNode name="hierChild6">
                  <dgm:choose name="Name121">
                    <dgm:if name="Name122" func="var" arg="hierBranch" op="equ" val="l">
                      <dgm:alg type="hierChild">
                        <dgm:param type="chAlign" val="r"/>
                        <dgm:param type="linDir" val="fromT"/>
                      </dgm:alg>
                    </dgm:if>
                    <dgm:if name="Name123" func="var" arg="hierBranch" op="equ" val="r">
                      <dgm:alg type="hierChild">
                        <dgm:param type="chAlign" val="l"/>
                        <dgm:param type="linDir" val="fromT"/>
                      </dgm:alg>
                    </dgm:if>
                    <dgm:if name="Name124" func="var" arg="hierBranch" op="equ" val="hang">
                      <dgm:choose name="Name125">
                        <dgm:if name="Name126" func="var" arg="dir" op="equ" val="norm">
                          <dgm:alg type="hierChild">
                            <dgm:param type="chAlign" val="l"/>
                            <dgm:param type="linDir" val="fromL"/>
                            <dgm:param type="secChAlign" val="t"/>
                            <dgm:param type="secLinDir" val="fromT"/>
                          </dgm:alg>
                        </dgm:if>
                        <dgm:else name="Name127">
                          <dgm:alg type="hierChild">
                            <dgm:param type="chAlign" val="l"/>
                            <dgm:param type="linDir" val="fromR"/>
                            <dgm:param type="secChAlign" val="t"/>
                            <dgm:param type="secLinDir" val="fromT"/>
                          </dgm:alg>
                        </dgm:else>
                      </dgm:choose>
                    </dgm:if>
                    <dgm:if name="Name128" func="var" arg="hierBranch" op="equ" val="std">
                      <dgm:choose name="Name129">
                        <dgm:if name="Name130" func="var" arg="dir" op="equ" val="norm">
                          <dgm:alg type="hierChild"/>
                        </dgm:if>
                        <dgm:else name="Name131">
                          <dgm:alg type="hierChild">
                            <dgm:param type="linDir" val="fromR"/>
                          </dgm:alg>
                        </dgm:else>
                      </dgm:choose>
                    </dgm:if>
                    <dgm:if name="Name132" func="var" arg="hierBranch" op="equ" val="init">
                      <dgm:choose name="Name133">
                        <dgm:if name="Name134" axis="des" func="maxDepth" op="lte" val="1">
                          <dgm:alg type="hierChild">
                            <dgm:param type="chAlign" val="l"/>
                            <dgm:param type="linDir" val="fromT"/>
                          </dgm:alg>
                        </dgm:if>
                        <dgm:else name="Name135">
                          <dgm:alg type="hierChild"/>
                        </dgm:else>
                      </dgm:choose>
                    </dgm:if>
                    <dgm:else name="Name136"/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37" ref="rep2a"/>
                </dgm:layoutNode>
                <dgm:layoutNode name="hierChild7">
                  <dgm:choose name="Name138">
                    <dgm:if name="Name139" func="var" arg="dir" op="equ" val="norm">
                      <dgm:alg type="hierChild">
                        <dgm:param type="chAlign" val="l"/>
                        <dgm:param type="linDir" val="fromL"/>
                        <dgm:param type="secChAlign" val="t"/>
                        <dgm:param type="secLinDir" val="fromT"/>
                      </dgm:alg>
                    </dgm:if>
                    <dgm:else name="Name140">
                      <dgm:alg type="hierChild">
                        <dgm:param type="chAlign" val="l"/>
                        <dgm:param type="linDir" val="fromR"/>
                        <dgm:param type="secChAlign" val="t"/>
                        <dgm:param type="secLinDir" val="fromT"/>
                      </dgm:alg>
                    </dgm:else>
                  </dgm:choose>
                  <dgm:shape xmlns:r="http://schemas.openxmlformats.org/officeDocument/2006/relationships" r:blip="">
                    <dgm:adjLst/>
                  </dgm:shape>
                  <dgm:presOf/>
                  <dgm:forEach name="Name141" ref="rep2b"/>
                </dgm:layoutNode>
              </dgm:layoutNode>
            </dgm:forEach>
          </dgm:layoutNode>
        </dgm:layoutNode>
      </dgm:forEach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2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3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4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iagrams/quickStyle5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diagramQuickStyle" Target="../diagrams/quickStyle2.xml"/><Relationship Id="rId13" Type="http://schemas.openxmlformats.org/officeDocument/2006/relationships/diagramQuickStyle" Target="../diagrams/quickStyle3.xml"/><Relationship Id="rId18" Type="http://schemas.openxmlformats.org/officeDocument/2006/relationships/diagramQuickStyle" Target="../diagrams/quickStyle4.xml"/><Relationship Id="rId3" Type="http://schemas.openxmlformats.org/officeDocument/2006/relationships/diagramQuickStyle" Target="../diagrams/quickStyle1.xml"/><Relationship Id="rId21" Type="http://schemas.openxmlformats.org/officeDocument/2006/relationships/diagramData" Target="../diagrams/data5.xml"/><Relationship Id="rId7" Type="http://schemas.openxmlformats.org/officeDocument/2006/relationships/diagramLayout" Target="../diagrams/layout2.xml"/><Relationship Id="rId12" Type="http://schemas.openxmlformats.org/officeDocument/2006/relationships/diagramLayout" Target="../diagrams/layout3.xml"/><Relationship Id="rId17" Type="http://schemas.openxmlformats.org/officeDocument/2006/relationships/diagramLayout" Target="../diagrams/layout4.xml"/><Relationship Id="rId25" Type="http://schemas.microsoft.com/office/2007/relationships/diagramDrawing" Target="../diagrams/drawing5.xml"/><Relationship Id="rId2" Type="http://schemas.openxmlformats.org/officeDocument/2006/relationships/diagramLayout" Target="../diagrams/layout1.xml"/><Relationship Id="rId16" Type="http://schemas.openxmlformats.org/officeDocument/2006/relationships/diagramData" Target="../diagrams/data4.xml"/><Relationship Id="rId20" Type="http://schemas.microsoft.com/office/2007/relationships/diagramDrawing" Target="../diagrams/drawing4.xml"/><Relationship Id="rId1" Type="http://schemas.openxmlformats.org/officeDocument/2006/relationships/diagramData" Target="../diagrams/data1.xml"/><Relationship Id="rId6" Type="http://schemas.openxmlformats.org/officeDocument/2006/relationships/diagramData" Target="../diagrams/data2.xml"/><Relationship Id="rId11" Type="http://schemas.openxmlformats.org/officeDocument/2006/relationships/diagramData" Target="../diagrams/data3.xml"/><Relationship Id="rId24" Type="http://schemas.openxmlformats.org/officeDocument/2006/relationships/diagramColors" Target="../diagrams/colors5.xml"/><Relationship Id="rId5" Type="http://schemas.microsoft.com/office/2007/relationships/diagramDrawing" Target="../diagrams/drawing1.xml"/><Relationship Id="rId15" Type="http://schemas.microsoft.com/office/2007/relationships/diagramDrawing" Target="../diagrams/drawing3.xml"/><Relationship Id="rId23" Type="http://schemas.openxmlformats.org/officeDocument/2006/relationships/diagramQuickStyle" Target="../diagrams/quickStyle5.xml"/><Relationship Id="rId10" Type="http://schemas.microsoft.com/office/2007/relationships/diagramDrawing" Target="../diagrams/drawing2.xml"/><Relationship Id="rId19" Type="http://schemas.openxmlformats.org/officeDocument/2006/relationships/diagramColors" Target="../diagrams/colors4.xml"/><Relationship Id="rId4" Type="http://schemas.openxmlformats.org/officeDocument/2006/relationships/diagramColors" Target="../diagrams/colors1.xml"/><Relationship Id="rId9" Type="http://schemas.openxmlformats.org/officeDocument/2006/relationships/diagramColors" Target="../diagrams/colors2.xml"/><Relationship Id="rId14" Type="http://schemas.openxmlformats.org/officeDocument/2006/relationships/diagramColors" Target="../diagrams/colors3.xml"/><Relationship Id="rId22" Type="http://schemas.openxmlformats.org/officeDocument/2006/relationships/diagramLayout" Target="../diagrams/layou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228600</xdr:colOff>
      <xdr:row>9</xdr:row>
      <xdr:rowOff>147637</xdr:rowOff>
    </xdr:from>
    <xdr:to>
      <xdr:col>15</xdr:col>
      <xdr:colOff>533400</xdr:colOff>
      <xdr:row>24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C70EF4A-0839-41AA-A1D5-AC7851DDA4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>
    <xdr:from>
      <xdr:col>7</xdr:col>
      <xdr:colOff>600075</xdr:colOff>
      <xdr:row>26</xdr:row>
      <xdr:rowOff>9525</xdr:rowOff>
    </xdr:from>
    <xdr:to>
      <xdr:col>9</xdr:col>
      <xdr:colOff>390525</xdr:colOff>
      <xdr:row>28</xdr:row>
      <xdr:rowOff>180975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7D7F54F0-F871-40E0-97B9-37A964D9FFAD}"/>
            </a:ext>
          </a:extLst>
        </xdr:cNvPr>
        <xdr:cNvSpPr/>
      </xdr:nvSpPr>
      <xdr:spPr>
        <a:xfrm>
          <a:off x="5086350" y="4962525"/>
          <a:ext cx="10096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LEGALIATS</a:t>
          </a:r>
        </a:p>
      </xdr:txBody>
    </xdr:sp>
    <xdr:clientData/>
  </xdr:twoCellAnchor>
  <xdr:twoCellAnchor>
    <xdr:from>
      <xdr:col>7</xdr:col>
      <xdr:colOff>581025</xdr:colOff>
      <xdr:row>29</xdr:row>
      <xdr:rowOff>171450</xdr:rowOff>
    </xdr:from>
    <xdr:to>
      <xdr:col>9</xdr:col>
      <xdr:colOff>371475</xdr:colOff>
      <xdr:row>32</xdr:row>
      <xdr:rowOff>152400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38811ADB-609C-475C-886A-AF17845754CA}"/>
            </a:ext>
          </a:extLst>
        </xdr:cNvPr>
        <xdr:cNvSpPr/>
      </xdr:nvSpPr>
      <xdr:spPr>
        <a:xfrm>
          <a:off x="5067300" y="5695950"/>
          <a:ext cx="10096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7</xdr:col>
      <xdr:colOff>581025</xdr:colOff>
      <xdr:row>33</xdr:row>
      <xdr:rowOff>171450</xdr:rowOff>
    </xdr:from>
    <xdr:to>
      <xdr:col>9</xdr:col>
      <xdr:colOff>409575</xdr:colOff>
      <xdr:row>36</xdr:row>
      <xdr:rowOff>180975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AA335056-B066-45C5-9840-4CA0CD7E2696}"/>
            </a:ext>
          </a:extLst>
        </xdr:cNvPr>
        <xdr:cNvSpPr/>
      </xdr:nvSpPr>
      <xdr:spPr>
        <a:xfrm>
          <a:off x="5067300" y="6457950"/>
          <a:ext cx="1047750" cy="5810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DPP</a:t>
          </a:r>
        </a:p>
      </xdr:txBody>
    </xdr:sp>
    <xdr:clientData/>
  </xdr:twoCellAnchor>
  <xdr:twoCellAnchor>
    <xdr:from>
      <xdr:col>10</xdr:col>
      <xdr:colOff>152400</xdr:colOff>
      <xdr:row>37</xdr:row>
      <xdr:rowOff>180975</xdr:rowOff>
    </xdr:from>
    <xdr:to>
      <xdr:col>11</xdr:col>
      <xdr:colOff>552450</xdr:colOff>
      <xdr:row>41</xdr:row>
      <xdr:rowOff>38100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2824F90-7BD5-45DB-AD80-138CF318ED46}"/>
            </a:ext>
          </a:extLst>
        </xdr:cNvPr>
        <xdr:cNvSpPr/>
      </xdr:nvSpPr>
      <xdr:spPr>
        <a:xfrm>
          <a:off x="6467475" y="722947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</a:p>
        <a:p>
          <a:pPr algn="l"/>
          <a:r>
            <a:rPr lang="en-US" sz="1100"/>
            <a:t>SUAMATERA URA</a:t>
          </a:r>
        </a:p>
      </xdr:txBody>
    </xdr:sp>
    <xdr:clientData/>
  </xdr:twoCellAnchor>
  <xdr:twoCellAnchor>
    <xdr:from>
      <xdr:col>5</xdr:col>
      <xdr:colOff>180975</xdr:colOff>
      <xdr:row>37</xdr:row>
      <xdr:rowOff>161925</xdr:rowOff>
    </xdr:from>
    <xdr:to>
      <xdr:col>6</xdr:col>
      <xdr:colOff>581025</xdr:colOff>
      <xdr:row>41</xdr:row>
      <xdr:rowOff>19050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15DBF150-F4D2-4217-8B47-3D576BA0243A}"/>
            </a:ext>
          </a:extLst>
        </xdr:cNvPr>
        <xdr:cNvSpPr/>
      </xdr:nvSpPr>
      <xdr:spPr>
        <a:xfrm>
          <a:off x="3448050" y="72104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</a:p>
        <a:p>
          <a:pPr algn="l"/>
          <a:r>
            <a:rPr lang="en-US" sz="1100"/>
            <a:t>ACEH</a:t>
          </a:r>
        </a:p>
      </xdr:txBody>
    </xdr:sp>
    <xdr:clientData/>
  </xdr:twoCellAnchor>
  <xdr:twoCellAnchor>
    <xdr:from>
      <xdr:col>7</xdr:col>
      <xdr:colOff>561975</xdr:colOff>
      <xdr:row>38</xdr:row>
      <xdr:rowOff>9525</xdr:rowOff>
    </xdr:from>
    <xdr:to>
      <xdr:col>9</xdr:col>
      <xdr:colOff>352425</xdr:colOff>
      <xdr:row>41</xdr:row>
      <xdr:rowOff>133350</xdr:rowOff>
    </xdr:to>
    <xdr:sp macro="" textlink="">
      <xdr:nvSpPr>
        <xdr:cNvPr id="9" name="Flowchart: Multidocument 8">
          <a:extLst>
            <a:ext uri="{FF2B5EF4-FFF2-40B4-BE49-F238E27FC236}">
              <a16:creationId xmlns:a16="http://schemas.microsoft.com/office/drawing/2014/main" id="{01C4DC3E-8B74-4904-895F-7ECD792D05AE}"/>
            </a:ext>
          </a:extLst>
        </xdr:cNvPr>
        <xdr:cNvSpPr/>
      </xdr:nvSpPr>
      <xdr:spPr>
        <a:xfrm>
          <a:off x="5048250" y="7248525"/>
          <a:ext cx="1009650" cy="6953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 </a:t>
          </a:r>
        </a:p>
        <a:p>
          <a:pPr algn="l"/>
          <a:r>
            <a:rPr lang="en-US" sz="1100"/>
            <a:t>38 PRVINSI</a:t>
          </a:r>
        </a:p>
        <a:p>
          <a:pPr algn="l"/>
          <a:r>
            <a:rPr lang="en-US" sz="1100"/>
            <a:t>W</a:t>
          </a:r>
        </a:p>
      </xdr:txBody>
    </xdr:sp>
    <xdr:clientData/>
  </xdr:twoCellAnchor>
  <xdr:twoCellAnchor>
    <xdr:from>
      <xdr:col>7</xdr:col>
      <xdr:colOff>533400</xdr:colOff>
      <xdr:row>42</xdr:row>
      <xdr:rowOff>152400</xdr:rowOff>
    </xdr:from>
    <xdr:to>
      <xdr:col>9</xdr:col>
      <xdr:colOff>323850</xdr:colOff>
      <xdr:row>46</xdr:row>
      <xdr:rowOff>85725</xdr:rowOff>
    </xdr:to>
    <xdr:sp macro="" textlink="">
      <xdr:nvSpPr>
        <xdr:cNvPr id="10" name="Flowchart: Multidocument 9">
          <a:extLst>
            <a:ext uri="{FF2B5EF4-FFF2-40B4-BE49-F238E27FC236}">
              <a16:creationId xmlns:a16="http://schemas.microsoft.com/office/drawing/2014/main" id="{DC269D0E-D984-4F3B-9272-DD78C8EFC4A1}"/>
            </a:ext>
          </a:extLst>
        </xdr:cNvPr>
        <xdr:cNvSpPr/>
      </xdr:nvSpPr>
      <xdr:spPr>
        <a:xfrm>
          <a:off x="5019675" y="8153400"/>
          <a:ext cx="1009650" cy="6953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r>
            <a:rPr lang="en-US" sz="1100" baseline="0"/>
            <a:t> 415 KABKO</a:t>
          </a:r>
          <a:endParaRPr lang="en-US" sz="1100"/>
        </a:p>
      </xdr:txBody>
    </xdr:sp>
    <xdr:clientData/>
  </xdr:twoCellAnchor>
  <xdr:twoCellAnchor>
    <xdr:from>
      <xdr:col>13</xdr:col>
      <xdr:colOff>0</xdr:colOff>
      <xdr:row>38</xdr:row>
      <xdr:rowOff>9525</xdr:rowOff>
    </xdr:from>
    <xdr:to>
      <xdr:col>14</xdr:col>
      <xdr:colOff>400050</xdr:colOff>
      <xdr:row>41</xdr:row>
      <xdr:rowOff>57150</xdr:rowOff>
    </xdr:to>
    <xdr:sp macro="" textlink="">
      <xdr:nvSpPr>
        <xdr:cNvPr id="11" name="Rectangle 10">
          <a:extLst>
            <a:ext uri="{FF2B5EF4-FFF2-40B4-BE49-F238E27FC236}">
              <a16:creationId xmlns:a16="http://schemas.microsoft.com/office/drawing/2014/main" id="{AB99EADE-DC55-4B71-972C-F0A42AA60415}"/>
            </a:ext>
          </a:extLst>
        </xdr:cNvPr>
        <xdr:cNvSpPr/>
      </xdr:nvSpPr>
      <xdr:spPr>
        <a:xfrm>
          <a:off x="8143875" y="72485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DPW</a:t>
          </a:r>
          <a:r>
            <a:rPr lang="en-US" sz="1100" baseline="0"/>
            <a:t> </a:t>
          </a:r>
        </a:p>
        <a:p>
          <a:pPr algn="l"/>
          <a:r>
            <a:rPr lang="en-US" sz="1100" baseline="0"/>
            <a:t>PAPUA</a:t>
          </a:r>
          <a:endParaRPr lang="en-US" sz="1100"/>
        </a:p>
      </xdr:txBody>
    </xdr:sp>
    <xdr:clientData/>
  </xdr:twoCellAnchor>
  <xdr:twoCellAnchor>
    <xdr:from>
      <xdr:col>5</xdr:col>
      <xdr:colOff>142875</xdr:colOff>
      <xdr:row>43</xdr:row>
      <xdr:rowOff>0</xdr:rowOff>
    </xdr:from>
    <xdr:to>
      <xdr:col>6</xdr:col>
      <xdr:colOff>542925</xdr:colOff>
      <xdr:row>46</xdr:row>
      <xdr:rowOff>47625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16F721A3-3BB3-4D4A-8211-6BC7687DEE98}"/>
            </a:ext>
          </a:extLst>
        </xdr:cNvPr>
        <xdr:cNvSpPr/>
      </xdr:nvSpPr>
      <xdr:spPr>
        <a:xfrm>
          <a:off x="3409950" y="8191500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190500</xdr:colOff>
      <xdr:row>43</xdr:row>
      <xdr:rowOff>9525</xdr:rowOff>
    </xdr:from>
    <xdr:to>
      <xdr:col>11</xdr:col>
      <xdr:colOff>590550</xdr:colOff>
      <xdr:row>46</xdr:row>
      <xdr:rowOff>57150</xdr:rowOff>
    </xdr:to>
    <xdr:sp macro="" textlink="">
      <xdr:nvSpPr>
        <xdr:cNvPr id="13" name="Rectangle 12">
          <a:extLst>
            <a:ext uri="{FF2B5EF4-FFF2-40B4-BE49-F238E27FC236}">
              <a16:creationId xmlns:a16="http://schemas.microsoft.com/office/drawing/2014/main" id="{3366D081-3CCF-4311-89E8-F408F7F1B0CA}"/>
            </a:ext>
          </a:extLst>
        </xdr:cNvPr>
        <xdr:cNvSpPr/>
      </xdr:nvSpPr>
      <xdr:spPr>
        <a:xfrm>
          <a:off x="6505575" y="820102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590550</xdr:colOff>
      <xdr:row>42</xdr:row>
      <xdr:rowOff>180975</xdr:rowOff>
    </xdr:from>
    <xdr:to>
      <xdr:col>14</xdr:col>
      <xdr:colOff>381000</xdr:colOff>
      <xdr:row>46</xdr:row>
      <xdr:rowOff>38100</xdr:rowOff>
    </xdr:to>
    <xdr:sp macro="" textlink="">
      <xdr:nvSpPr>
        <xdr:cNvPr id="14" name="Rectangle 13">
          <a:extLst>
            <a:ext uri="{FF2B5EF4-FFF2-40B4-BE49-F238E27FC236}">
              <a16:creationId xmlns:a16="http://schemas.microsoft.com/office/drawing/2014/main" id="{48535E1A-B826-4A65-8CB7-ED14FC857232}"/>
            </a:ext>
          </a:extLst>
        </xdr:cNvPr>
        <xdr:cNvSpPr/>
      </xdr:nvSpPr>
      <xdr:spPr>
        <a:xfrm>
          <a:off x="8124825" y="8181975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8</xdr:col>
      <xdr:colOff>9525</xdr:colOff>
      <xdr:row>48</xdr:row>
      <xdr:rowOff>38100</xdr:rowOff>
    </xdr:from>
    <xdr:to>
      <xdr:col>9</xdr:col>
      <xdr:colOff>460629</xdr:colOff>
      <xdr:row>52</xdr:row>
      <xdr:rowOff>35052</xdr:rowOff>
    </xdr:to>
    <xdr:sp macro="" textlink="">
      <xdr:nvSpPr>
        <xdr:cNvPr id="18" name="Flowchart: Multidocument 17">
          <a:extLst>
            <a:ext uri="{FF2B5EF4-FFF2-40B4-BE49-F238E27FC236}">
              <a16:creationId xmlns:a16="http://schemas.microsoft.com/office/drawing/2014/main" id="{5A4A4DAB-7711-4203-8174-D6422041B287}"/>
            </a:ext>
          </a:extLst>
        </xdr:cNvPr>
        <xdr:cNvSpPr/>
      </xdr:nvSpPr>
      <xdr:spPr>
        <a:xfrm>
          <a:off x="5105400" y="9182100"/>
          <a:ext cx="1060704" cy="7589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DPC</a:t>
          </a:r>
        </a:p>
      </xdr:txBody>
    </xdr:sp>
    <xdr:clientData/>
  </xdr:twoCellAnchor>
  <xdr:twoCellAnchor>
    <xdr:from>
      <xdr:col>5</xdr:col>
      <xdr:colOff>142875</xdr:colOff>
      <xdr:row>48</xdr:row>
      <xdr:rowOff>38100</xdr:rowOff>
    </xdr:from>
    <xdr:to>
      <xdr:col>6</xdr:col>
      <xdr:colOff>542925</xdr:colOff>
      <xdr:row>51</xdr:row>
      <xdr:rowOff>85725</xdr:rowOff>
    </xdr:to>
    <xdr:sp macro="" textlink="">
      <xdr:nvSpPr>
        <xdr:cNvPr id="19" name="Rectangle 18">
          <a:extLst>
            <a:ext uri="{FF2B5EF4-FFF2-40B4-BE49-F238E27FC236}">
              <a16:creationId xmlns:a16="http://schemas.microsoft.com/office/drawing/2014/main" id="{95647CD6-8E09-4BFA-A076-F5F06A080948}"/>
            </a:ext>
          </a:extLst>
        </xdr:cNvPr>
        <xdr:cNvSpPr/>
      </xdr:nvSpPr>
      <xdr:spPr>
        <a:xfrm>
          <a:off x="3409950" y="9182100"/>
          <a:ext cx="1009650" cy="619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DPD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600075</xdr:colOff>
      <xdr:row>51</xdr:row>
      <xdr:rowOff>180975</xdr:rowOff>
    </xdr:from>
    <xdr:to>
      <xdr:col>14</xdr:col>
      <xdr:colOff>266700</xdr:colOff>
      <xdr:row>57</xdr:row>
      <xdr:rowOff>180975</xdr:rowOff>
    </xdr:to>
    <xdr:sp macro="" textlink="">
      <xdr:nvSpPr>
        <xdr:cNvPr id="20" name="Rectangle: Rounded Corners 19">
          <a:extLst>
            <a:ext uri="{FF2B5EF4-FFF2-40B4-BE49-F238E27FC236}">
              <a16:creationId xmlns:a16="http://schemas.microsoft.com/office/drawing/2014/main" id="{C85CDCDD-C942-48B4-B287-1E24BD131321}"/>
            </a:ext>
          </a:extLst>
        </xdr:cNvPr>
        <xdr:cNvSpPr/>
      </xdr:nvSpPr>
      <xdr:spPr>
        <a:xfrm>
          <a:off x="8134350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r>
            <a:rPr lang="en-US" sz="1100"/>
            <a:t>M.</a:t>
          </a:r>
          <a:r>
            <a:rPr lang="en-US" sz="1100" baseline="0"/>
            <a:t> SYURO</a:t>
          </a:r>
        </a:p>
        <a:p>
          <a:pPr algn="l"/>
          <a:r>
            <a:rPr lang="en-US" sz="1100" baseline="0"/>
            <a:t>DPP</a:t>
          </a:r>
        </a:p>
        <a:p>
          <a:pPr algn="l"/>
          <a:r>
            <a:rPr lang="en-US" sz="1100" baseline="0"/>
            <a:t>DPW</a:t>
          </a:r>
        </a:p>
        <a:p>
          <a:pPr algn="l"/>
          <a:r>
            <a:rPr lang="en-US" sz="1100" baseline="0"/>
            <a:t>DPD</a:t>
          </a:r>
        </a:p>
        <a:p>
          <a:pPr algn="l"/>
          <a:r>
            <a:rPr lang="en-US" sz="1100" baseline="0"/>
            <a:t>DPC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9525</xdr:colOff>
      <xdr:row>53</xdr:row>
      <xdr:rowOff>0</xdr:rowOff>
    </xdr:from>
    <xdr:to>
      <xdr:col>11</xdr:col>
      <xdr:colOff>600075</xdr:colOff>
      <xdr:row>56</xdr:row>
      <xdr:rowOff>187452</xdr:rowOff>
    </xdr:to>
    <xdr:sp macro="" textlink="">
      <xdr:nvSpPr>
        <xdr:cNvPr id="21" name="Flowchart: Multidocument 20">
          <a:extLst>
            <a:ext uri="{FF2B5EF4-FFF2-40B4-BE49-F238E27FC236}">
              <a16:creationId xmlns:a16="http://schemas.microsoft.com/office/drawing/2014/main" id="{20101C9F-713B-4DE3-BA4D-EAAB647E50CB}"/>
            </a:ext>
          </a:extLst>
        </xdr:cNvPr>
        <xdr:cNvSpPr/>
      </xdr:nvSpPr>
      <xdr:spPr>
        <a:xfrm>
          <a:off x="6324600" y="10096500"/>
          <a:ext cx="1200150" cy="7589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STRUKTUR</a:t>
          </a:r>
          <a:r>
            <a:rPr lang="en-US" sz="1100" baseline="0"/>
            <a:t> ORGANISASI</a:t>
          </a:r>
          <a:endParaRPr lang="en-US" sz="1100"/>
        </a:p>
      </xdr:txBody>
    </xdr:sp>
    <xdr:clientData/>
  </xdr:twoCellAnchor>
  <xdr:twoCellAnchor>
    <xdr:from>
      <xdr:col>9</xdr:col>
      <xdr:colOff>571500</xdr:colOff>
      <xdr:row>61</xdr:row>
      <xdr:rowOff>28575</xdr:rowOff>
    </xdr:from>
    <xdr:to>
      <xdr:col>12</xdr:col>
      <xdr:colOff>0</xdr:colOff>
      <xdr:row>65</xdr:row>
      <xdr:rowOff>38100</xdr:rowOff>
    </xdr:to>
    <xdr:sp macro="" textlink="">
      <xdr:nvSpPr>
        <xdr:cNvPr id="22" name="Flowchart: Multidocument 21">
          <a:extLst>
            <a:ext uri="{FF2B5EF4-FFF2-40B4-BE49-F238E27FC236}">
              <a16:creationId xmlns:a16="http://schemas.microsoft.com/office/drawing/2014/main" id="{44EB28C8-562F-4294-B5ED-FE9828CA5EFE}"/>
            </a:ext>
          </a:extLst>
        </xdr:cNvPr>
        <xdr:cNvSpPr/>
      </xdr:nvSpPr>
      <xdr:spPr>
        <a:xfrm>
          <a:off x="6276975" y="11458575"/>
          <a:ext cx="1257300" cy="77152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KEANGGOTAN</a:t>
          </a:r>
        </a:p>
        <a:p>
          <a:pPr algn="l"/>
          <a:endParaRPr lang="en-US" sz="1100"/>
        </a:p>
      </xdr:txBody>
    </xdr:sp>
    <xdr:clientData/>
  </xdr:twoCellAnchor>
  <xdr:twoCellAnchor>
    <xdr:from>
      <xdr:col>10</xdr:col>
      <xdr:colOff>47625</xdr:colOff>
      <xdr:row>68</xdr:row>
      <xdr:rowOff>28575</xdr:rowOff>
    </xdr:from>
    <xdr:to>
      <xdr:col>11</xdr:col>
      <xdr:colOff>600075</xdr:colOff>
      <xdr:row>72</xdr:row>
      <xdr:rowOff>139827</xdr:rowOff>
    </xdr:to>
    <xdr:sp macro="" textlink="">
      <xdr:nvSpPr>
        <xdr:cNvPr id="23" name="Flowchart: Multidocument 22">
          <a:extLst>
            <a:ext uri="{FF2B5EF4-FFF2-40B4-BE49-F238E27FC236}">
              <a16:creationId xmlns:a16="http://schemas.microsoft.com/office/drawing/2014/main" id="{2F15940C-4DEE-49BF-91FA-63125547AAC4}"/>
            </a:ext>
          </a:extLst>
        </xdr:cNvPr>
        <xdr:cNvSpPr/>
      </xdr:nvSpPr>
      <xdr:spPr>
        <a:xfrm>
          <a:off x="6362700" y="12792075"/>
          <a:ext cx="1162050" cy="873252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KOMUNIKASI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561975</xdr:colOff>
      <xdr:row>61</xdr:row>
      <xdr:rowOff>19050</xdr:rowOff>
    </xdr:from>
    <xdr:to>
      <xdr:col>14</xdr:col>
      <xdr:colOff>285750</xdr:colOff>
      <xdr:row>66</xdr:row>
      <xdr:rowOff>171450</xdr:rowOff>
    </xdr:to>
    <xdr:sp macro="" textlink="">
      <xdr:nvSpPr>
        <xdr:cNvPr id="25" name="Rectangle: Rounded Corners 24">
          <a:extLst>
            <a:ext uri="{FF2B5EF4-FFF2-40B4-BE49-F238E27FC236}">
              <a16:creationId xmlns:a16="http://schemas.microsoft.com/office/drawing/2014/main" id="{9E745DCB-0932-4D6E-B658-9BF25C4835F3}"/>
            </a:ext>
          </a:extLst>
        </xdr:cNvPr>
        <xdr:cNvSpPr/>
      </xdr:nvSpPr>
      <xdr:spPr>
        <a:xfrm>
          <a:off x="8096250" y="11449050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12</xdr:col>
      <xdr:colOff>561975</xdr:colOff>
      <xdr:row>68</xdr:row>
      <xdr:rowOff>95250</xdr:rowOff>
    </xdr:from>
    <xdr:to>
      <xdr:col>14</xdr:col>
      <xdr:colOff>152400</xdr:colOff>
      <xdr:row>72</xdr:row>
      <xdr:rowOff>161925</xdr:rowOff>
    </xdr:to>
    <xdr:sp macro="" textlink="">
      <xdr:nvSpPr>
        <xdr:cNvPr id="26" name="Rectangle: Rounded Corners 25">
          <a:extLst>
            <a:ext uri="{FF2B5EF4-FFF2-40B4-BE49-F238E27FC236}">
              <a16:creationId xmlns:a16="http://schemas.microsoft.com/office/drawing/2014/main" id="{5C220ACE-47F8-46B4-A674-0E46072E0318}"/>
            </a:ext>
          </a:extLst>
        </xdr:cNvPr>
        <xdr:cNvSpPr/>
      </xdr:nvSpPr>
      <xdr:spPr>
        <a:xfrm>
          <a:off x="8096250" y="12858750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13</xdr:col>
      <xdr:colOff>266700</xdr:colOff>
      <xdr:row>10</xdr:row>
      <xdr:rowOff>52387</xdr:rowOff>
    </xdr:from>
    <xdr:to>
      <xdr:col>20</xdr:col>
      <xdr:colOff>571500</xdr:colOff>
      <xdr:row>29</xdr:row>
      <xdr:rowOff>47625</xdr:rowOff>
    </xdr:to>
    <xdr:graphicFrame macro="">
      <xdr:nvGraphicFramePr>
        <xdr:cNvPr id="27" name="Diagram 26">
          <a:extLst>
            <a:ext uri="{FF2B5EF4-FFF2-40B4-BE49-F238E27FC236}">
              <a16:creationId xmlns:a16="http://schemas.microsoft.com/office/drawing/2014/main" id="{1459A8F4-2E9E-41CC-B49B-3277A45E0D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6" r:lo="rId7" r:qs="rId8" r:cs="rId9"/>
        </a:graphicData>
      </a:graphic>
    </xdr:graphicFrame>
    <xdr:clientData/>
  </xdr:twoCellAnchor>
  <xdr:twoCellAnchor>
    <xdr:from>
      <xdr:col>13</xdr:col>
      <xdr:colOff>385762</xdr:colOff>
      <xdr:row>27</xdr:row>
      <xdr:rowOff>71437</xdr:rowOff>
    </xdr:from>
    <xdr:to>
      <xdr:col>21</xdr:col>
      <xdr:colOff>80962</xdr:colOff>
      <xdr:row>41</xdr:row>
      <xdr:rowOff>147637</xdr:rowOff>
    </xdr:to>
    <xdr:graphicFrame macro="">
      <xdr:nvGraphicFramePr>
        <xdr:cNvPr id="28" name="Diagram 27">
          <a:extLst>
            <a:ext uri="{FF2B5EF4-FFF2-40B4-BE49-F238E27FC236}">
              <a16:creationId xmlns:a16="http://schemas.microsoft.com/office/drawing/2014/main" id="{1BA19520-0FF1-4608-AB72-5FE89C938C0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1" r:lo="rId12" r:qs="rId13" r:cs="rId14"/>
        </a:graphicData>
      </a:graphic>
    </xdr:graphicFrame>
    <xdr:clientData/>
  </xdr:twoCellAnchor>
  <xdr:twoCellAnchor>
    <xdr:from>
      <xdr:col>6</xdr:col>
      <xdr:colOff>242887</xdr:colOff>
      <xdr:row>111</xdr:row>
      <xdr:rowOff>90487</xdr:rowOff>
    </xdr:from>
    <xdr:to>
      <xdr:col>13</xdr:col>
      <xdr:colOff>547687</xdr:colOff>
      <xdr:row>125</xdr:row>
      <xdr:rowOff>166687</xdr:rowOff>
    </xdr:to>
    <xdr:graphicFrame macro="">
      <xdr:nvGraphicFramePr>
        <xdr:cNvPr id="30" name="Diagram 29">
          <a:extLst>
            <a:ext uri="{FF2B5EF4-FFF2-40B4-BE49-F238E27FC236}">
              <a16:creationId xmlns:a16="http://schemas.microsoft.com/office/drawing/2014/main" id="{11EA9666-1DE2-463E-A49E-ED4FE699F46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6" r:lo="rId17" r:qs="rId18" r:cs="rId19"/>
        </a:graphicData>
      </a:graphic>
    </xdr:graphicFrame>
    <xdr:clientData/>
  </xdr:twoCellAnchor>
  <xdr:twoCellAnchor>
    <xdr:from>
      <xdr:col>6</xdr:col>
      <xdr:colOff>214312</xdr:colOff>
      <xdr:row>114</xdr:row>
      <xdr:rowOff>100012</xdr:rowOff>
    </xdr:from>
    <xdr:to>
      <xdr:col>13</xdr:col>
      <xdr:colOff>519112</xdr:colOff>
      <xdr:row>128</xdr:row>
      <xdr:rowOff>176212</xdr:rowOff>
    </xdr:to>
    <xdr:graphicFrame macro="">
      <xdr:nvGraphicFramePr>
        <xdr:cNvPr id="31" name="Diagram 30">
          <a:extLst>
            <a:ext uri="{FF2B5EF4-FFF2-40B4-BE49-F238E27FC236}">
              <a16:creationId xmlns:a16="http://schemas.microsoft.com/office/drawing/2014/main" id="{E36F636D-FCF5-49B0-B27B-4861795094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21" r:lo="rId22" r:qs="rId23" r:cs="rId24"/>
        </a:graphicData>
      </a:graphic>
    </xdr:graphicFrame>
    <xdr:clientData/>
  </xdr:twoCellAnchor>
  <xdr:twoCellAnchor>
    <xdr:from>
      <xdr:col>15</xdr:col>
      <xdr:colOff>28575</xdr:colOff>
      <xdr:row>51</xdr:row>
      <xdr:rowOff>180975</xdr:rowOff>
    </xdr:from>
    <xdr:to>
      <xdr:col>16</xdr:col>
      <xdr:colOff>304800</xdr:colOff>
      <xdr:row>57</xdr:row>
      <xdr:rowOff>180975</xdr:rowOff>
    </xdr:to>
    <xdr:sp macro="" textlink="">
      <xdr:nvSpPr>
        <xdr:cNvPr id="36" name="Rectangle: Rounded Corners 35">
          <a:extLst>
            <a:ext uri="{FF2B5EF4-FFF2-40B4-BE49-F238E27FC236}">
              <a16:creationId xmlns:a16="http://schemas.microsoft.com/office/drawing/2014/main" id="{460EB51F-9B29-46B9-A854-F248D34F78A6}"/>
            </a:ext>
          </a:extLst>
        </xdr:cNvPr>
        <xdr:cNvSpPr/>
      </xdr:nvSpPr>
      <xdr:spPr>
        <a:xfrm>
          <a:off x="9391650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endParaRPr lang="en-US" sz="1100" baseline="0"/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600075</xdr:colOff>
      <xdr:row>51</xdr:row>
      <xdr:rowOff>171450</xdr:rowOff>
    </xdr:from>
    <xdr:to>
      <xdr:col>18</xdr:col>
      <xdr:colOff>266700</xdr:colOff>
      <xdr:row>57</xdr:row>
      <xdr:rowOff>171450</xdr:rowOff>
    </xdr:to>
    <xdr:sp macro="" textlink="">
      <xdr:nvSpPr>
        <xdr:cNvPr id="37" name="Rectangle: Rounded Corners 36">
          <a:extLst>
            <a:ext uri="{FF2B5EF4-FFF2-40B4-BE49-F238E27FC236}">
              <a16:creationId xmlns:a16="http://schemas.microsoft.com/office/drawing/2014/main" id="{EB6DE1F6-11FB-468B-8FE3-DBBC9C7E9768}"/>
            </a:ext>
          </a:extLst>
        </xdr:cNvPr>
        <xdr:cNvSpPr/>
      </xdr:nvSpPr>
      <xdr:spPr>
        <a:xfrm>
          <a:off x="10572750" y="988695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18</xdr:col>
      <xdr:colOff>552450</xdr:colOff>
      <xdr:row>51</xdr:row>
      <xdr:rowOff>180975</xdr:rowOff>
    </xdr:from>
    <xdr:to>
      <xdr:col>20</xdr:col>
      <xdr:colOff>219075</xdr:colOff>
      <xdr:row>57</xdr:row>
      <xdr:rowOff>180975</xdr:rowOff>
    </xdr:to>
    <xdr:sp macro="" textlink="">
      <xdr:nvSpPr>
        <xdr:cNvPr id="38" name="Rectangle: Rounded Corners 37">
          <a:extLst>
            <a:ext uri="{FF2B5EF4-FFF2-40B4-BE49-F238E27FC236}">
              <a16:creationId xmlns:a16="http://schemas.microsoft.com/office/drawing/2014/main" id="{A1F64AE0-FEF1-4FA6-A7B7-2022BBB87CA1}"/>
            </a:ext>
          </a:extLst>
        </xdr:cNvPr>
        <xdr:cNvSpPr/>
      </xdr:nvSpPr>
      <xdr:spPr>
        <a:xfrm>
          <a:off x="11744325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20</xdr:col>
      <xdr:colOff>419100</xdr:colOff>
      <xdr:row>51</xdr:row>
      <xdr:rowOff>171450</xdr:rowOff>
    </xdr:from>
    <xdr:to>
      <xdr:col>22</xdr:col>
      <xdr:colOff>85725</xdr:colOff>
      <xdr:row>57</xdr:row>
      <xdr:rowOff>171450</xdr:rowOff>
    </xdr:to>
    <xdr:sp macro="" textlink="">
      <xdr:nvSpPr>
        <xdr:cNvPr id="39" name="Rectangle: Rounded Corners 38">
          <a:extLst>
            <a:ext uri="{FF2B5EF4-FFF2-40B4-BE49-F238E27FC236}">
              <a16:creationId xmlns:a16="http://schemas.microsoft.com/office/drawing/2014/main" id="{F944A621-DA98-4EF0-ACDE-B6250697BEDF}"/>
            </a:ext>
          </a:extLst>
        </xdr:cNvPr>
        <xdr:cNvSpPr/>
      </xdr:nvSpPr>
      <xdr:spPr>
        <a:xfrm>
          <a:off x="12830175" y="988695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22</xdr:col>
      <xdr:colOff>371475</xdr:colOff>
      <xdr:row>51</xdr:row>
      <xdr:rowOff>152400</xdr:rowOff>
    </xdr:from>
    <xdr:to>
      <xdr:col>24</xdr:col>
      <xdr:colOff>38100</xdr:colOff>
      <xdr:row>57</xdr:row>
      <xdr:rowOff>152400</xdr:rowOff>
    </xdr:to>
    <xdr:sp macro="" textlink="">
      <xdr:nvSpPr>
        <xdr:cNvPr id="40" name="Rectangle: Rounded Corners 39">
          <a:extLst>
            <a:ext uri="{FF2B5EF4-FFF2-40B4-BE49-F238E27FC236}">
              <a16:creationId xmlns:a16="http://schemas.microsoft.com/office/drawing/2014/main" id="{FFD26215-5F72-4149-8B35-DBB103343DD7}"/>
            </a:ext>
          </a:extLst>
        </xdr:cNvPr>
        <xdr:cNvSpPr/>
      </xdr:nvSpPr>
      <xdr:spPr>
        <a:xfrm>
          <a:off x="14001750" y="9867900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24</xdr:col>
      <xdr:colOff>266700</xdr:colOff>
      <xdr:row>51</xdr:row>
      <xdr:rowOff>180975</xdr:rowOff>
    </xdr:from>
    <xdr:to>
      <xdr:col>25</xdr:col>
      <xdr:colOff>542925</xdr:colOff>
      <xdr:row>57</xdr:row>
      <xdr:rowOff>180975</xdr:rowOff>
    </xdr:to>
    <xdr:sp macro="" textlink="">
      <xdr:nvSpPr>
        <xdr:cNvPr id="41" name="Rectangle: Rounded Corners 40">
          <a:extLst>
            <a:ext uri="{FF2B5EF4-FFF2-40B4-BE49-F238E27FC236}">
              <a16:creationId xmlns:a16="http://schemas.microsoft.com/office/drawing/2014/main" id="{2207DF51-4503-4F82-96F7-842DA2CFE04E}"/>
            </a:ext>
          </a:extLst>
        </xdr:cNvPr>
        <xdr:cNvSpPr/>
      </xdr:nvSpPr>
      <xdr:spPr>
        <a:xfrm>
          <a:off x="15116175" y="9896475"/>
          <a:ext cx="885825" cy="11430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</a:t>
          </a:r>
          <a:r>
            <a:rPr lang="en-US" sz="1100" baseline="0"/>
            <a:t> SYURO</a:t>
          </a:r>
          <a:endParaRPr lang="en-US" sz="1100"/>
        </a:p>
      </xdr:txBody>
    </xdr:sp>
    <xdr:clientData/>
  </xdr:twoCellAnchor>
  <xdr:twoCellAnchor>
    <xdr:from>
      <xdr:col>15</xdr:col>
      <xdr:colOff>0</xdr:colOff>
      <xdr:row>60</xdr:row>
      <xdr:rowOff>180975</xdr:rowOff>
    </xdr:from>
    <xdr:to>
      <xdr:col>16</xdr:col>
      <xdr:colOff>333375</xdr:colOff>
      <xdr:row>66</xdr:row>
      <xdr:rowOff>142875</xdr:rowOff>
    </xdr:to>
    <xdr:sp macro="" textlink="">
      <xdr:nvSpPr>
        <xdr:cNvPr id="42" name="Rectangle: Rounded Corners 41">
          <a:extLst>
            <a:ext uri="{FF2B5EF4-FFF2-40B4-BE49-F238E27FC236}">
              <a16:creationId xmlns:a16="http://schemas.microsoft.com/office/drawing/2014/main" id="{A9EA893F-2252-4A57-8888-B2C7F0A960CA}"/>
            </a:ext>
          </a:extLst>
        </xdr:cNvPr>
        <xdr:cNvSpPr/>
      </xdr:nvSpPr>
      <xdr:spPr>
        <a:xfrm>
          <a:off x="9363075" y="1142047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17</xdr:col>
      <xdr:colOff>0</xdr:colOff>
      <xdr:row>61</xdr:row>
      <xdr:rowOff>9525</xdr:rowOff>
    </xdr:from>
    <xdr:to>
      <xdr:col>18</xdr:col>
      <xdr:colOff>333375</xdr:colOff>
      <xdr:row>66</xdr:row>
      <xdr:rowOff>161925</xdr:rowOff>
    </xdr:to>
    <xdr:sp macro="" textlink="">
      <xdr:nvSpPr>
        <xdr:cNvPr id="43" name="Rectangle: Rounded Corners 42">
          <a:extLst>
            <a:ext uri="{FF2B5EF4-FFF2-40B4-BE49-F238E27FC236}">
              <a16:creationId xmlns:a16="http://schemas.microsoft.com/office/drawing/2014/main" id="{A178AA3E-941E-4D39-A4D2-910110ED6A8F}"/>
            </a:ext>
          </a:extLst>
        </xdr:cNvPr>
        <xdr:cNvSpPr/>
      </xdr:nvSpPr>
      <xdr:spPr>
        <a:xfrm>
          <a:off x="10582275" y="1143952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18</xdr:col>
      <xdr:colOff>590550</xdr:colOff>
      <xdr:row>61</xdr:row>
      <xdr:rowOff>9525</xdr:rowOff>
    </xdr:from>
    <xdr:to>
      <xdr:col>20</xdr:col>
      <xdr:colOff>314325</xdr:colOff>
      <xdr:row>66</xdr:row>
      <xdr:rowOff>161925</xdr:rowOff>
    </xdr:to>
    <xdr:sp macro="" textlink="">
      <xdr:nvSpPr>
        <xdr:cNvPr id="44" name="Rectangle: Rounded Corners 43">
          <a:extLst>
            <a:ext uri="{FF2B5EF4-FFF2-40B4-BE49-F238E27FC236}">
              <a16:creationId xmlns:a16="http://schemas.microsoft.com/office/drawing/2014/main" id="{73D1AF3D-85A6-4455-8E97-56939F067B7C}"/>
            </a:ext>
          </a:extLst>
        </xdr:cNvPr>
        <xdr:cNvSpPr/>
      </xdr:nvSpPr>
      <xdr:spPr>
        <a:xfrm>
          <a:off x="11782425" y="11439525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20</xdr:col>
      <xdr:colOff>600075</xdr:colOff>
      <xdr:row>61</xdr:row>
      <xdr:rowOff>38100</xdr:rowOff>
    </xdr:from>
    <xdr:to>
      <xdr:col>22</xdr:col>
      <xdr:colOff>323850</xdr:colOff>
      <xdr:row>67</xdr:row>
      <xdr:rowOff>0</xdr:rowOff>
    </xdr:to>
    <xdr:sp macro="" textlink="">
      <xdr:nvSpPr>
        <xdr:cNvPr id="45" name="Rectangle: Rounded Corners 44">
          <a:extLst>
            <a:ext uri="{FF2B5EF4-FFF2-40B4-BE49-F238E27FC236}">
              <a16:creationId xmlns:a16="http://schemas.microsoft.com/office/drawing/2014/main" id="{99DEBC22-5364-439B-8F04-F1C483148837}"/>
            </a:ext>
          </a:extLst>
        </xdr:cNvPr>
        <xdr:cNvSpPr/>
      </xdr:nvSpPr>
      <xdr:spPr>
        <a:xfrm>
          <a:off x="13011150" y="11468100"/>
          <a:ext cx="942975" cy="1104900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NASIONAL</a:t>
          </a:r>
        </a:p>
        <a:p>
          <a:pPr algn="l"/>
          <a:r>
            <a:rPr lang="en-US" sz="1100"/>
            <a:t>PROVINSI</a:t>
          </a:r>
        </a:p>
        <a:p>
          <a:pPr algn="l"/>
          <a:r>
            <a:rPr lang="en-US" sz="1100"/>
            <a:t>KABKO</a:t>
          </a:r>
        </a:p>
        <a:p>
          <a:pPr algn="l"/>
          <a:r>
            <a:rPr lang="en-US" sz="1100"/>
            <a:t>KECAMATAN</a:t>
          </a:r>
        </a:p>
      </xdr:txBody>
    </xdr:sp>
    <xdr:clientData/>
  </xdr:twoCellAnchor>
  <xdr:twoCellAnchor>
    <xdr:from>
      <xdr:col>15</xdr:col>
      <xdr:colOff>57150</xdr:colOff>
      <xdr:row>68</xdr:row>
      <xdr:rowOff>104775</xdr:rowOff>
    </xdr:from>
    <xdr:to>
      <xdr:col>16</xdr:col>
      <xdr:colOff>257175</xdr:colOff>
      <xdr:row>72</xdr:row>
      <xdr:rowOff>171450</xdr:rowOff>
    </xdr:to>
    <xdr:sp macro="" textlink="">
      <xdr:nvSpPr>
        <xdr:cNvPr id="47" name="Rectangle: Rounded Corners 46">
          <a:extLst>
            <a:ext uri="{FF2B5EF4-FFF2-40B4-BE49-F238E27FC236}">
              <a16:creationId xmlns:a16="http://schemas.microsoft.com/office/drawing/2014/main" id="{F3875C64-EC38-467C-B2D0-408C24F53610}"/>
            </a:ext>
          </a:extLst>
        </xdr:cNvPr>
        <xdr:cNvSpPr/>
      </xdr:nvSpPr>
      <xdr:spPr>
        <a:xfrm>
          <a:off x="9420225" y="12868275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18</xdr:col>
      <xdr:colOff>409575</xdr:colOff>
      <xdr:row>68</xdr:row>
      <xdr:rowOff>133350</xdr:rowOff>
    </xdr:from>
    <xdr:to>
      <xdr:col>20</xdr:col>
      <xdr:colOff>0</xdr:colOff>
      <xdr:row>73</xdr:row>
      <xdr:rowOff>9525</xdr:rowOff>
    </xdr:to>
    <xdr:sp macro="" textlink="">
      <xdr:nvSpPr>
        <xdr:cNvPr id="48" name="Rectangle: Rounded Corners 47">
          <a:extLst>
            <a:ext uri="{FF2B5EF4-FFF2-40B4-BE49-F238E27FC236}">
              <a16:creationId xmlns:a16="http://schemas.microsoft.com/office/drawing/2014/main" id="{39EC4348-1777-4864-B3BA-8F0DEEAD2390}"/>
            </a:ext>
          </a:extLst>
        </xdr:cNvPr>
        <xdr:cNvSpPr/>
      </xdr:nvSpPr>
      <xdr:spPr>
        <a:xfrm>
          <a:off x="11601450" y="12896850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590550</xdr:colOff>
      <xdr:row>68</xdr:row>
      <xdr:rowOff>123825</xdr:rowOff>
    </xdr:from>
    <xdr:to>
      <xdr:col>18</xdr:col>
      <xdr:colOff>180975</xdr:colOff>
      <xdr:row>73</xdr:row>
      <xdr:rowOff>0</xdr:rowOff>
    </xdr:to>
    <xdr:sp macro="" textlink="">
      <xdr:nvSpPr>
        <xdr:cNvPr id="49" name="Rectangle: Rounded Corners 48">
          <a:extLst>
            <a:ext uri="{FF2B5EF4-FFF2-40B4-BE49-F238E27FC236}">
              <a16:creationId xmlns:a16="http://schemas.microsoft.com/office/drawing/2014/main" id="{ADB1C24E-8A68-432B-B41A-F2521A69EBB6}"/>
            </a:ext>
          </a:extLst>
        </xdr:cNvPr>
        <xdr:cNvSpPr/>
      </xdr:nvSpPr>
      <xdr:spPr>
        <a:xfrm>
          <a:off x="10563225" y="12887325"/>
          <a:ext cx="809625" cy="828675"/>
        </a:xfrm>
        <a:prstGeom prst="roundRect">
          <a:avLst>
            <a:gd name="adj" fmla="val 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PERSURATAN</a:t>
          </a:r>
        </a:p>
        <a:p>
          <a:pPr algn="l"/>
          <a:r>
            <a:rPr lang="en-US" sz="1100"/>
            <a:t>BERITA</a:t>
          </a:r>
        </a:p>
        <a:p>
          <a:pPr algn="l"/>
          <a:r>
            <a:rPr lang="en-US" sz="1100"/>
            <a:t>KEGIATAN</a:t>
          </a:r>
        </a:p>
        <a:p>
          <a:pPr algn="l"/>
          <a:r>
            <a:rPr lang="en-US" sz="1100"/>
            <a:t>DISKUSI/DIALOG</a:t>
          </a:r>
        </a:p>
        <a:p>
          <a:pPr algn="l"/>
          <a:endParaRPr lang="en-US" sz="1100"/>
        </a:p>
      </xdr:txBody>
    </xdr:sp>
    <xdr:clientData/>
  </xdr:twoCellAnchor>
  <xdr:twoCellAnchor>
    <xdr:from>
      <xdr:col>12</xdr:col>
      <xdr:colOff>0</xdr:colOff>
      <xdr:row>82</xdr:row>
      <xdr:rowOff>19050</xdr:rowOff>
    </xdr:from>
    <xdr:to>
      <xdr:col>13</xdr:col>
      <xdr:colOff>476250</xdr:colOff>
      <xdr:row>85</xdr:row>
      <xdr:rowOff>142875</xdr:rowOff>
    </xdr:to>
    <xdr:sp macro="" textlink="">
      <xdr:nvSpPr>
        <xdr:cNvPr id="6" name="Rectangle: Rounded Corners 5">
          <a:extLst>
            <a:ext uri="{FF2B5EF4-FFF2-40B4-BE49-F238E27FC236}">
              <a16:creationId xmlns:a16="http://schemas.microsoft.com/office/drawing/2014/main" id="{8D48B4AF-0DBE-4CFC-A1AF-3893FE2E9E75}"/>
            </a:ext>
          </a:extLst>
        </xdr:cNvPr>
        <xdr:cNvSpPr/>
      </xdr:nvSpPr>
      <xdr:spPr>
        <a:xfrm>
          <a:off x="8858250" y="15935325"/>
          <a:ext cx="1085850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LGALITAS</a:t>
          </a:r>
        </a:p>
        <a:p>
          <a:pPr algn="l"/>
          <a:r>
            <a:rPr lang="en-US" sz="1100"/>
            <a:t>KEMKUMHAM</a:t>
          </a:r>
        </a:p>
      </xdr:txBody>
    </xdr:sp>
    <xdr:clientData/>
  </xdr:twoCellAnchor>
  <xdr:twoCellAnchor>
    <xdr:from>
      <xdr:col>14</xdr:col>
      <xdr:colOff>85725</xdr:colOff>
      <xdr:row>81</xdr:row>
      <xdr:rowOff>161925</xdr:rowOff>
    </xdr:from>
    <xdr:to>
      <xdr:col>15</xdr:col>
      <xdr:colOff>495300</xdr:colOff>
      <xdr:row>85</xdr:row>
      <xdr:rowOff>95250</xdr:rowOff>
    </xdr:to>
    <xdr:sp macro="" textlink="">
      <xdr:nvSpPr>
        <xdr:cNvPr id="50" name="Rectangle: Rounded Corners 49">
          <a:extLst>
            <a:ext uri="{FF2B5EF4-FFF2-40B4-BE49-F238E27FC236}">
              <a16:creationId xmlns:a16="http://schemas.microsoft.com/office/drawing/2014/main" id="{80FC72CB-960D-4F71-97AD-91C437845FB3}"/>
            </a:ext>
          </a:extLst>
        </xdr:cNvPr>
        <xdr:cNvSpPr/>
      </xdr:nvSpPr>
      <xdr:spPr>
        <a:xfrm>
          <a:off x="10163175" y="15840075"/>
          <a:ext cx="101917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MAJELIS SYURO</a:t>
          </a:r>
        </a:p>
        <a:p>
          <a:pPr algn="l"/>
          <a:endParaRPr lang="en-US" sz="1100"/>
        </a:p>
      </xdr:txBody>
    </xdr:sp>
    <xdr:clientData/>
  </xdr:twoCellAnchor>
  <xdr:twoCellAnchor>
    <xdr:from>
      <xdr:col>16</xdr:col>
      <xdr:colOff>276225</xdr:colOff>
      <xdr:row>90</xdr:row>
      <xdr:rowOff>161926</xdr:rowOff>
    </xdr:from>
    <xdr:to>
      <xdr:col>17</xdr:col>
      <xdr:colOff>590550</xdr:colOff>
      <xdr:row>94</xdr:row>
      <xdr:rowOff>142876</xdr:rowOff>
    </xdr:to>
    <xdr:sp macro="" textlink="">
      <xdr:nvSpPr>
        <xdr:cNvPr id="51" name="Rectangle: Rounded Corners 50">
          <a:extLst>
            <a:ext uri="{FF2B5EF4-FFF2-40B4-BE49-F238E27FC236}">
              <a16:creationId xmlns:a16="http://schemas.microsoft.com/office/drawing/2014/main" id="{103CF4D8-13B2-47C5-B994-A218133EA70E}"/>
            </a:ext>
          </a:extLst>
        </xdr:cNvPr>
        <xdr:cNvSpPr/>
      </xdr:nvSpPr>
      <xdr:spPr>
        <a:xfrm>
          <a:off x="11572875" y="17554576"/>
          <a:ext cx="923925" cy="7429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DEWAN PIMPINAN WILAYAH</a:t>
          </a:r>
        </a:p>
        <a:p>
          <a:pPr algn="l"/>
          <a:r>
            <a:rPr lang="en-US" sz="800">
              <a:latin typeface="Arial" panose="020B0604020202020204" pitchFamily="34" charset="0"/>
              <a:cs typeface="Arial" panose="020B0604020202020204" pitchFamily="34" charset="0"/>
            </a:rPr>
            <a:t>PAPUA</a:t>
          </a:r>
        </a:p>
      </xdr:txBody>
    </xdr:sp>
    <xdr:clientData/>
  </xdr:twoCellAnchor>
  <xdr:twoCellAnchor>
    <xdr:from>
      <xdr:col>14</xdr:col>
      <xdr:colOff>104775</xdr:colOff>
      <xdr:row>87</xdr:row>
      <xdr:rowOff>47625</xdr:rowOff>
    </xdr:from>
    <xdr:to>
      <xdr:col>15</xdr:col>
      <xdr:colOff>514350</xdr:colOff>
      <xdr:row>90</xdr:row>
      <xdr:rowOff>171450</xdr:rowOff>
    </xdr:to>
    <xdr:sp macro="" textlink="">
      <xdr:nvSpPr>
        <xdr:cNvPr id="52" name="Rectangle: Rounded Corners 51">
          <a:extLst>
            <a:ext uri="{FF2B5EF4-FFF2-40B4-BE49-F238E27FC236}">
              <a16:creationId xmlns:a16="http://schemas.microsoft.com/office/drawing/2014/main" id="{DA148838-8850-4DC0-BD17-1F4A4DF300BE}"/>
            </a:ext>
          </a:extLst>
        </xdr:cNvPr>
        <xdr:cNvSpPr/>
      </xdr:nvSpPr>
      <xdr:spPr>
        <a:xfrm>
          <a:off x="10182225" y="16868775"/>
          <a:ext cx="101917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 PIMPINAN</a:t>
          </a:r>
          <a:r>
            <a:rPr lang="en-US" sz="1100" baseline="0"/>
            <a:t> PUSAT</a:t>
          </a:r>
          <a:endParaRPr lang="en-US" sz="1100"/>
        </a:p>
      </xdr:txBody>
    </xdr:sp>
    <xdr:clientData/>
  </xdr:twoCellAnchor>
  <xdr:twoCellAnchor>
    <xdr:from>
      <xdr:col>11</xdr:col>
      <xdr:colOff>590550</xdr:colOff>
      <xdr:row>90</xdr:row>
      <xdr:rowOff>171450</xdr:rowOff>
    </xdr:from>
    <xdr:to>
      <xdr:col>13</xdr:col>
      <xdr:colOff>295275</xdr:colOff>
      <xdr:row>94</xdr:row>
      <xdr:rowOff>104775</xdr:rowOff>
    </xdr:to>
    <xdr:sp macro="" textlink="">
      <xdr:nvSpPr>
        <xdr:cNvPr id="53" name="Rectangle: Rounded Corners 52">
          <a:extLst>
            <a:ext uri="{FF2B5EF4-FFF2-40B4-BE49-F238E27FC236}">
              <a16:creationId xmlns:a16="http://schemas.microsoft.com/office/drawing/2014/main" id="{8E1DD512-E9EE-4D45-BEDA-700D90E8AC3B}"/>
            </a:ext>
          </a:extLst>
        </xdr:cNvPr>
        <xdr:cNvSpPr/>
      </xdr:nvSpPr>
      <xdr:spPr>
        <a:xfrm>
          <a:off x="8839200" y="17611725"/>
          <a:ext cx="92392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DEWAN PIMPINAN WILAYAH</a:t>
          </a:r>
        </a:p>
        <a:p>
          <a:pPr algn="l"/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ACEH</a:t>
          </a:r>
        </a:p>
      </xdr:txBody>
    </xdr:sp>
    <xdr:clientData/>
  </xdr:twoCellAnchor>
  <xdr:twoCellAnchor>
    <xdr:from>
      <xdr:col>21</xdr:col>
      <xdr:colOff>247650</xdr:colOff>
      <xdr:row>97</xdr:row>
      <xdr:rowOff>57151</xdr:rowOff>
    </xdr:from>
    <xdr:to>
      <xdr:col>22</xdr:col>
      <xdr:colOff>542925</xdr:colOff>
      <xdr:row>100</xdr:row>
      <xdr:rowOff>152401</xdr:rowOff>
    </xdr:to>
    <xdr:sp macro="" textlink="">
      <xdr:nvSpPr>
        <xdr:cNvPr id="54" name="Rectangle: Rounded Corners 53">
          <a:extLst>
            <a:ext uri="{FF2B5EF4-FFF2-40B4-BE49-F238E27FC236}">
              <a16:creationId xmlns:a16="http://schemas.microsoft.com/office/drawing/2014/main" id="{76BD34E6-1E9D-457A-9D0E-374FBBE6003B}"/>
            </a:ext>
          </a:extLst>
        </xdr:cNvPr>
        <xdr:cNvSpPr/>
      </xdr:nvSpPr>
      <xdr:spPr>
        <a:xfrm>
          <a:off x="14592300" y="18783301"/>
          <a:ext cx="904875" cy="6667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323850</xdr:colOff>
      <xdr:row>96</xdr:row>
      <xdr:rowOff>161925</xdr:rowOff>
    </xdr:from>
    <xdr:to>
      <xdr:col>6</xdr:col>
      <xdr:colOff>571500</xdr:colOff>
      <xdr:row>99</xdr:row>
      <xdr:rowOff>152400</xdr:rowOff>
    </xdr:to>
    <xdr:sp macro="" textlink="">
      <xdr:nvSpPr>
        <xdr:cNvPr id="55" name="Rectangle: Rounded Corners 54">
          <a:extLst>
            <a:ext uri="{FF2B5EF4-FFF2-40B4-BE49-F238E27FC236}">
              <a16:creationId xmlns:a16="http://schemas.microsoft.com/office/drawing/2014/main" id="{E9E38950-A044-4320-9158-D323BE428845}"/>
            </a:ext>
          </a:extLst>
        </xdr:cNvPr>
        <xdr:cNvSpPr/>
      </xdr:nvSpPr>
      <xdr:spPr>
        <a:xfrm>
          <a:off x="4914900" y="18697575"/>
          <a:ext cx="857250" cy="5619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38100</xdr:colOff>
      <xdr:row>103</xdr:row>
      <xdr:rowOff>133351</xdr:rowOff>
    </xdr:from>
    <xdr:to>
      <xdr:col>8</xdr:col>
      <xdr:colOff>323850</xdr:colOff>
      <xdr:row>107</xdr:row>
      <xdr:rowOff>1</xdr:rowOff>
    </xdr:to>
    <xdr:sp macro="" textlink="">
      <xdr:nvSpPr>
        <xdr:cNvPr id="56" name="Rectangle: Rounded Corners 55">
          <a:extLst>
            <a:ext uri="{FF2B5EF4-FFF2-40B4-BE49-F238E27FC236}">
              <a16:creationId xmlns:a16="http://schemas.microsoft.com/office/drawing/2014/main" id="{C39A7D7B-2896-4E45-B3A0-EC9EEFEED037}"/>
            </a:ext>
          </a:extLst>
        </xdr:cNvPr>
        <xdr:cNvSpPr/>
      </xdr:nvSpPr>
      <xdr:spPr>
        <a:xfrm>
          <a:off x="5848350" y="20002501"/>
          <a:ext cx="895350" cy="6286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247650</xdr:colOff>
      <xdr:row>92</xdr:row>
      <xdr:rowOff>114300</xdr:rowOff>
    </xdr:from>
    <xdr:to>
      <xdr:col>21</xdr:col>
      <xdr:colOff>504825</xdr:colOff>
      <xdr:row>95</xdr:row>
      <xdr:rowOff>180975</xdr:rowOff>
    </xdr:to>
    <xdr:sp macro="" textlink="">
      <xdr:nvSpPr>
        <xdr:cNvPr id="57" name="Rectangle: Rounded Corners 56">
          <a:extLst>
            <a:ext uri="{FF2B5EF4-FFF2-40B4-BE49-F238E27FC236}">
              <a16:creationId xmlns:a16="http://schemas.microsoft.com/office/drawing/2014/main" id="{EC20183C-8BDE-43C0-B03A-0D7AA2A522A2}"/>
            </a:ext>
          </a:extLst>
        </xdr:cNvPr>
        <xdr:cNvSpPr/>
      </xdr:nvSpPr>
      <xdr:spPr>
        <a:xfrm>
          <a:off x="13982700" y="17887950"/>
          <a:ext cx="866775" cy="6381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17</xdr:col>
      <xdr:colOff>66675</xdr:colOff>
      <xdr:row>110</xdr:row>
      <xdr:rowOff>76200</xdr:rowOff>
    </xdr:from>
    <xdr:to>
      <xdr:col>18</xdr:col>
      <xdr:colOff>238125</xdr:colOff>
      <xdr:row>113</xdr:row>
      <xdr:rowOff>114300</xdr:rowOff>
    </xdr:to>
    <xdr:sp macro="" textlink="">
      <xdr:nvSpPr>
        <xdr:cNvPr id="58" name="Rectangle: Rounded Corners 57">
          <a:extLst>
            <a:ext uri="{FF2B5EF4-FFF2-40B4-BE49-F238E27FC236}">
              <a16:creationId xmlns:a16="http://schemas.microsoft.com/office/drawing/2014/main" id="{328DC543-B35E-47C6-86E4-1300843C62E1}"/>
            </a:ext>
          </a:extLst>
        </xdr:cNvPr>
        <xdr:cNvSpPr/>
      </xdr:nvSpPr>
      <xdr:spPr>
        <a:xfrm>
          <a:off x="11972925" y="21278850"/>
          <a:ext cx="781050" cy="6096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152399</xdr:colOff>
      <xdr:row>101</xdr:row>
      <xdr:rowOff>133350</xdr:rowOff>
    </xdr:from>
    <xdr:to>
      <xdr:col>6</xdr:col>
      <xdr:colOff>400050</xdr:colOff>
      <xdr:row>104</xdr:row>
      <xdr:rowOff>133350</xdr:rowOff>
    </xdr:to>
    <xdr:sp macro="" textlink="">
      <xdr:nvSpPr>
        <xdr:cNvPr id="59" name="Rectangle: Rounded Corners 58">
          <a:extLst>
            <a:ext uri="{FF2B5EF4-FFF2-40B4-BE49-F238E27FC236}">
              <a16:creationId xmlns:a16="http://schemas.microsoft.com/office/drawing/2014/main" id="{C7F4E7EA-1903-4A03-BDCB-21C6196076D1}"/>
            </a:ext>
          </a:extLst>
        </xdr:cNvPr>
        <xdr:cNvSpPr/>
      </xdr:nvSpPr>
      <xdr:spPr>
        <a:xfrm>
          <a:off x="4743449" y="19621500"/>
          <a:ext cx="857251" cy="57150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9</xdr:col>
      <xdr:colOff>28574</xdr:colOff>
      <xdr:row>105</xdr:row>
      <xdr:rowOff>152400</xdr:rowOff>
    </xdr:from>
    <xdr:to>
      <xdr:col>10</xdr:col>
      <xdr:colOff>190499</xdr:colOff>
      <xdr:row>109</xdr:row>
      <xdr:rowOff>9525</xdr:rowOff>
    </xdr:to>
    <xdr:sp macro="" textlink="">
      <xdr:nvSpPr>
        <xdr:cNvPr id="60" name="Rectangle: Rounded Corners 59">
          <a:extLst>
            <a:ext uri="{FF2B5EF4-FFF2-40B4-BE49-F238E27FC236}">
              <a16:creationId xmlns:a16="http://schemas.microsoft.com/office/drawing/2014/main" id="{8B3E951B-6F46-48B2-8711-66619DD1C7BF}"/>
            </a:ext>
          </a:extLst>
        </xdr:cNvPr>
        <xdr:cNvSpPr/>
      </xdr:nvSpPr>
      <xdr:spPr>
        <a:xfrm>
          <a:off x="7058024" y="20402550"/>
          <a:ext cx="771525" cy="6191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485776</xdr:colOff>
      <xdr:row>108</xdr:row>
      <xdr:rowOff>114301</xdr:rowOff>
    </xdr:from>
    <xdr:to>
      <xdr:col>13</xdr:col>
      <xdr:colOff>542926</xdr:colOff>
      <xdr:row>111</xdr:row>
      <xdr:rowOff>95251</xdr:rowOff>
    </xdr:to>
    <xdr:sp macro="" textlink="">
      <xdr:nvSpPr>
        <xdr:cNvPr id="61" name="Rectangle: Rounded Corners 60">
          <a:extLst>
            <a:ext uri="{FF2B5EF4-FFF2-40B4-BE49-F238E27FC236}">
              <a16:creationId xmlns:a16="http://schemas.microsoft.com/office/drawing/2014/main" id="{48B93074-2856-45F3-8CEE-9FE645018368}"/>
            </a:ext>
          </a:extLst>
        </xdr:cNvPr>
        <xdr:cNvSpPr/>
      </xdr:nvSpPr>
      <xdr:spPr>
        <a:xfrm>
          <a:off x="9344026" y="20935951"/>
          <a:ext cx="666750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314326</xdr:colOff>
      <xdr:row>108</xdr:row>
      <xdr:rowOff>9525</xdr:rowOff>
    </xdr:from>
    <xdr:to>
      <xdr:col>15</xdr:col>
      <xdr:colOff>390526</xdr:colOff>
      <xdr:row>111</xdr:row>
      <xdr:rowOff>38100</xdr:rowOff>
    </xdr:to>
    <xdr:sp macro="" textlink="">
      <xdr:nvSpPr>
        <xdr:cNvPr id="62" name="Rectangle: Rounded Corners 61">
          <a:extLst>
            <a:ext uri="{FF2B5EF4-FFF2-40B4-BE49-F238E27FC236}">
              <a16:creationId xmlns:a16="http://schemas.microsoft.com/office/drawing/2014/main" id="{C502C13E-3FE5-47B3-85EE-9C8F230A0BE5}"/>
            </a:ext>
          </a:extLst>
        </xdr:cNvPr>
        <xdr:cNvSpPr/>
      </xdr:nvSpPr>
      <xdr:spPr>
        <a:xfrm>
          <a:off x="10391776" y="20831175"/>
          <a:ext cx="68580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21</xdr:col>
      <xdr:colOff>47625</xdr:colOff>
      <xdr:row>105</xdr:row>
      <xdr:rowOff>171449</xdr:rowOff>
    </xdr:from>
    <xdr:to>
      <xdr:col>22</xdr:col>
      <xdr:colOff>142875</xdr:colOff>
      <xdr:row>109</xdr:row>
      <xdr:rowOff>9524</xdr:rowOff>
    </xdr:to>
    <xdr:sp macro="" textlink="">
      <xdr:nvSpPr>
        <xdr:cNvPr id="63" name="Rectangle: Rounded Corners 62">
          <a:extLst>
            <a:ext uri="{FF2B5EF4-FFF2-40B4-BE49-F238E27FC236}">
              <a16:creationId xmlns:a16="http://schemas.microsoft.com/office/drawing/2014/main" id="{D46E3353-C7DE-4A5E-A39B-84B9D926770B}"/>
            </a:ext>
          </a:extLst>
        </xdr:cNvPr>
        <xdr:cNvSpPr/>
      </xdr:nvSpPr>
      <xdr:spPr>
        <a:xfrm>
          <a:off x="14392275" y="20421599"/>
          <a:ext cx="704850" cy="60007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9525</xdr:colOff>
      <xdr:row>102</xdr:row>
      <xdr:rowOff>152401</xdr:rowOff>
    </xdr:from>
    <xdr:to>
      <xdr:col>23</xdr:col>
      <xdr:colOff>28576</xdr:colOff>
      <xdr:row>105</xdr:row>
      <xdr:rowOff>133351</xdr:rowOff>
    </xdr:to>
    <xdr:sp macro="" textlink="">
      <xdr:nvSpPr>
        <xdr:cNvPr id="64" name="Rectangle: Rounded Corners 63">
          <a:extLst>
            <a:ext uri="{FF2B5EF4-FFF2-40B4-BE49-F238E27FC236}">
              <a16:creationId xmlns:a16="http://schemas.microsoft.com/office/drawing/2014/main" id="{0B7D8033-A029-4545-A82D-2773C8916EF8}"/>
            </a:ext>
          </a:extLst>
        </xdr:cNvPr>
        <xdr:cNvSpPr/>
      </xdr:nvSpPr>
      <xdr:spPr>
        <a:xfrm>
          <a:off x="14963775" y="19831051"/>
          <a:ext cx="628651" cy="552450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19</xdr:col>
      <xdr:colOff>342901</xdr:colOff>
      <xdr:row>108</xdr:row>
      <xdr:rowOff>133350</xdr:rowOff>
    </xdr:from>
    <xdr:to>
      <xdr:col>20</xdr:col>
      <xdr:colOff>228601</xdr:colOff>
      <xdr:row>111</xdr:row>
      <xdr:rowOff>142875</xdr:rowOff>
    </xdr:to>
    <xdr:sp macro="" textlink="">
      <xdr:nvSpPr>
        <xdr:cNvPr id="65" name="Rectangle: Rounded Corners 64">
          <a:extLst>
            <a:ext uri="{FF2B5EF4-FFF2-40B4-BE49-F238E27FC236}">
              <a16:creationId xmlns:a16="http://schemas.microsoft.com/office/drawing/2014/main" id="{544A9B6F-5D41-4025-B9EC-A409DF5BEC24}"/>
            </a:ext>
          </a:extLst>
        </xdr:cNvPr>
        <xdr:cNvSpPr/>
      </xdr:nvSpPr>
      <xdr:spPr>
        <a:xfrm>
          <a:off x="13468351" y="20955000"/>
          <a:ext cx="495300" cy="5810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304800</xdr:colOff>
      <xdr:row>81</xdr:row>
      <xdr:rowOff>180975</xdr:rowOff>
    </xdr:from>
    <xdr:to>
      <xdr:col>18</xdr:col>
      <xdr:colOff>9525</xdr:colOff>
      <xdr:row>85</xdr:row>
      <xdr:rowOff>114300</xdr:rowOff>
    </xdr:to>
    <xdr:sp macro="" textlink="">
      <xdr:nvSpPr>
        <xdr:cNvPr id="66" name="Rectangle: Rounded Corners 65">
          <a:extLst>
            <a:ext uri="{FF2B5EF4-FFF2-40B4-BE49-F238E27FC236}">
              <a16:creationId xmlns:a16="http://schemas.microsoft.com/office/drawing/2014/main" id="{A4BE6739-8ADB-4CFE-AEED-A55CC58A499A}"/>
            </a:ext>
          </a:extLst>
        </xdr:cNvPr>
        <xdr:cNvSpPr/>
      </xdr:nvSpPr>
      <xdr:spPr>
        <a:xfrm>
          <a:off x="11601450" y="15906750"/>
          <a:ext cx="923925" cy="69532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LEGALITAS</a:t>
          </a:r>
        </a:p>
        <a:p>
          <a:pPr algn="l"/>
          <a:r>
            <a:rPr lang="en-US" sz="1100"/>
            <a:t>NOTARIS</a:t>
          </a:r>
        </a:p>
        <a:p>
          <a:pPr algn="l"/>
          <a:r>
            <a:rPr lang="en-US" sz="1100"/>
            <a:t>PARTAI</a:t>
          </a:r>
        </a:p>
        <a:p>
          <a:pPr algn="l"/>
          <a:endParaRPr lang="en-US" sz="1100"/>
        </a:p>
      </xdr:txBody>
    </xdr:sp>
    <xdr:clientData/>
  </xdr:twoCellAnchor>
  <xdr:twoCellAnchor>
    <xdr:from>
      <xdr:col>11</xdr:col>
      <xdr:colOff>600075</xdr:colOff>
      <xdr:row>96</xdr:row>
      <xdr:rowOff>19050</xdr:rowOff>
    </xdr:from>
    <xdr:to>
      <xdr:col>13</xdr:col>
      <xdr:colOff>400050</xdr:colOff>
      <xdr:row>100</xdr:row>
      <xdr:rowOff>57150</xdr:rowOff>
    </xdr:to>
    <xdr:sp macro="" textlink="">
      <xdr:nvSpPr>
        <xdr:cNvPr id="15" name="Flowchart: Multidocument 14">
          <a:extLst>
            <a:ext uri="{FF2B5EF4-FFF2-40B4-BE49-F238E27FC236}">
              <a16:creationId xmlns:a16="http://schemas.microsoft.com/office/drawing/2014/main" id="{AF518839-EC69-47AD-9056-180CADB9FE2B}"/>
            </a:ext>
          </a:extLst>
        </xdr:cNvPr>
        <xdr:cNvSpPr/>
      </xdr:nvSpPr>
      <xdr:spPr>
        <a:xfrm>
          <a:off x="8848725" y="18602325"/>
          <a:ext cx="101917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DAERAH</a:t>
          </a:r>
          <a:endParaRPr lang="en-US" sz="1100"/>
        </a:p>
      </xdr:txBody>
    </xdr:sp>
    <xdr:clientData/>
  </xdr:twoCellAnchor>
  <xdr:twoCellAnchor>
    <xdr:from>
      <xdr:col>20</xdr:col>
      <xdr:colOff>142875</xdr:colOff>
      <xdr:row>86</xdr:row>
      <xdr:rowOff>76200</xdr:rowOff>
    </xdr:from>
    <xdr:to>
      <xdr:col>21</xdr:col>
      <xdr:colOff>533400</xdr:colOff>
      <xdr:row>90</xdr:row>
      <xdr:rowOff>0</xdr:rowOff>
    </xdr:to>
    <xdr:sp macro="" textlink="">
      <xdr:nvSpPr>
        <xdr:cNvPr id="67" name="Flowchart: Multidocument 66">
          <a:extLst>
            <a:ext uri="{FF2B5EF4-FFF2-40B4-BE49-F238E27FC236}">
              <a16:creationId xmlns:a16="http://schemas.microsoft.com/office/drawing/2014/main" id="{66FAFABE-341A-4C82-87BF-FB0BE7E3FE64}"/>
            </a:ext>
          </a:extLst>
        </xdr:cNvPr>
        <xdr:cNvSpPr/>
      </xdr:nvSpPr>
      <xdr:spPr>
        <a:xfrm>
          <a:off x="13877925" y="16706850"/>
          <a:ext cx="1000125" cy="6858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16</xdr:col>
      <xdr:colOff>200026</xdr:colOff>
      <xdr:row>96</xdr:row>
      <xdr:rowOff>9524</xdr:rowOff>
    </xdr:from>
    <xdr:to>
      <xdr:col>18</xdr:col>
      <xdr:colOff>9526</xdr:colOff>
      <xdr:row>100</xdr:row>
      <xdr:rowOff>38099</xdr:rowOff>
    </xdr:to>
    <xdr:sp macro="" textlink="">
      <xdr:nvSpPr>
        <xdr:cNvPr id="68" name="Flowchart: Multidocument 67">
          <a:extLst>
            <a:ext uri="{FF2B5EF4-FFF2-40B4-BE49-F238E27FC236}">
              <a16:creationId xmlns:a16="http://schemas.microsoft.com/office/drawing/2014/main" id="{E38119D2-4F19-49C4-B0F2-86ECE0375064}"/>
            </a:ext>
          </a:extLst>
        </xdr:cNvPr>
        <xdr:cNvSpPr/>
      </xdr:nvSpPr>
      <xdr:spPr>
        <a:xfrm>
          <a:off x="11496676" y="18545174"/>
          <a:ext cx="1028700" cy="790575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 PIMPINAN DAERAH</a:t>
          </a:r>
        </a:p>
      </xdr:txBody>
    </xdr:sp>
    <xdr:clientData/>
  </xdr:twoCellAnchor>
  <xdr:twoCellAnchor>
    <xdr:from>
      <xdr:col>12</xdr:col>
      <xdr:colOff>9525</xdr:colOff>
      <xdr:row>101</xdr:row>
      <xdr:rowOff>114300</xdr:rowOff>
    </xdr:from>
    <xdr:to>
      <xdr:col>13</xdr:col>
      <xdr:colOff>552450</xdr:colOff>
      <xdr:row>105</xdr:row>
      <xdr:rowOff>152400</xdr:rowOff>
    </xdr:to>
    <xdr:sp macro="" textlink="">
      <xdr:nvSpPr>
        <xdr:cNvPr id="69" name="Flowchart: Multidocument 68">
          <a:extLst>
            <a:ext uri="{FF2B5EF4-FFF2-40B4-BE49-F238E27FC236}">
              <a16:creationId xmlns:a16="http://schemas.microsoft.com/office/drawing/2014/main" id="{7BC16C36-581D-450D-A529-810DBB79D6E0}"/>
            </a:ext>
          </a:extLst>
        </xdr:cNvPr>
        <xdr:cNvSpPr/>
      </xdr:nvSpPr>
      <xdr:spPr>
        <a:xfrm>
          <a:off x="8867775" y="19602450"/>
          <a:ext cx="115252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KECAMATAN</a:t>
          </a:r>
          <a:endParaRPr lang="en-US" sz="1100"/>
        </a:p>
      </xdr:txBody>
    </xdr:sp>
    <xdr:clientData/>
  </xdr:twoCellAnchor>
  <xdr:twoCellAnchor>
    <xdr:from>
      <xdr:col>23</xdr:col>
      <xdr:colOff>123825</xdr:colOff>
      <xdr:row>92</xdr:row>
      <xdr:rowOff>152400</xdr:rowOff>
    </xdr:from>
    <xdr:to>
      <xdr:col>24</xdr:col>
      <xdr:colOff>533400</xdr:colOff>
      <xdr:row>97</xdr:row>
      <xdr:rowOff>0</xdr:rowOff>
    </xdr:to>
    <xdr:sp macro="" textlink="">
      <xdr:nvSpPr>
        <xdr:cNvPr id="70" name="Flowchart: Multidocument 69">
          <a:extLst>
            <a:ext uri="{FF2B5EF4-FFF2-40B4-BE49-F238E27FC236}">
              <a16:creationId xmlns:a16="http://schemas.microsoft.com/office/drawing/2014/main" id="{63967E0F-4704-45F4-AAE6-437F06C51A45}"/>
            </a:ext>
          </a:extLst>
        </xdr:cNvPr>
        <xdr:cNvSpPr/>
      </xdr:nvSpPr>
      <xdr:spPr>
        <a:xfrm>
          <a:off x="15687675" y="17926050"/>
          <a:ext cx="101917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DAERAH</a:t>
          </a:r>
          <a:endParaRPr lang="en-US" sz="1100"/>
        </a:p>
      </xdr:txBody>
    </xdr:sp>
    <xdr:clientData/>
  </xdr:twoCellAnchor>
  <xdr:twoCellAnchor>
    <xdr:from>
      <xdr:col>16</xdr:col>
      <xdr:colOff>152400</xdr:colOff>
      <xdr:row>101</xdr:row>
      <xdr:rowOff>123825</xdr:rowOff>
    </xdr:from>
    <xdr:to>
      <xdr:col>18</xdr:col>
      <xdr:colOff>9525</xdr:colOff>
      <xdr:row>105</xdr:row>
      <xdr:rowOff>161925</xdr:rowOff>
    </xdr:to>
    <xdr:sp macro="" textlink="">
      <xdr:nvSpPr>
        <xdr:cNvPr id="71" name="Flowchart: Multidocument 70">
          <a:extLst>
            <a:ext uri="{FF2B5EF4-FFF2-40B4-BE49-F238E27FC236}">
              <a16:creationId xmlns:a16="http://schemas.microsoft.com/office/drawing/2014/main" id="{A245A220-76CB-47D8-BCB9-4BAE5F76C5C8}"/>
            </a:ext>
          </a:extLst>
        </xdr:cNvPr>
        <xdr:cNvSpPr/>
      </xdr:nvSpPr>
      <xdr:spPr>
        <a:xfrm>
          <a:off x="11449050" y="19611975"/>
          <a:ext cx="1076325" cy="800100"/>
        </a:xfrm>
        <a:prstGeom prst="flowChartMultidocumen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/>
            <a:t>DEWAN</a:t>
          </a:r>
          <a:r>
            <a:rPr lang="en-US" sz="1100" baseline="0"/>
            <a:t> PIMPINAN KECAMATAN</a:t>
          </a:r>
          <a:endParaRPr lang="en-US" sz="1100"/>
        </a:p>
      </xdr:txBody>
    </xdr:sp>
    <xdr:clientData/>
  </xdr:twoCellAnchor>
  <xdr:twoCellAnchor>
    <xdr:from>
      <xdr:col>13</xdr:col>
      <xdr:colOff>409575</xdr:colOff>
      <xdr:row>83</xdr:row>
      <xdr:rowOff>123825</xdr:rowOff>
    </xdr:from>
    <xdr:to>
      <xdr:col>14</xdr:col>
      <xdr:colOff>85725</xdr:colOff>
      <xdr:row>83</xdr:row>
      <xdr:rowOff>128588</xdr:rowOff>
    </xdr:to>
    <xdr:cxnSp macro="">
      <xdr:nvCxnSpPr>
        <xdr:cNvPr id="32" name="Straight Arrow Connector 31">
          <a:extLst>
            <a:ext uri="{FF2B5EF4-FFF2-40B4-BE49-F238E27FC236}">
              <a16:creationId xmlns:a16="http://schemas.microsoft.com/office/drawing/2014/main" id="{BC264A84-2400-4C40-8B46-71B1D790783B}"/>
            </a:ext>
          </a:extLst>
        </xdr:cNvPr>
        <xdr:cNvCxnSpPr>
          <a:endCxn id="50" idx="1"/>
        </xdr:cNvCxnSpPr>
      </xdr:nvCxnSpPr>
      <xdr:spPr>
        <a:xfrm>
          <a:off x="9877425" y="16182975"/>
          <a:ext cx="285750" cy="476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514350</xdr:colOff>
      <xdr:row>85</xdr:row>
      <xdr:rowOff>114300</xdr:rowOff>
    </xdr:from>
    <xdr:to>
      <xdr:col>17</xdr:col>
      <xdr:colOff>157163</xdr:colOff>
      <xdr:row>89</xdr:row>
      <xdr:rowOff>14288</xdr:rowOff>
    </xdr:to>
    <xdr:cxnSp macro="">
      <xdr:nvCxnSpPr>
        <xdr:cNvPr id="76" name="Straight Arrow Connector 75">
          <a:extLst>
            <a:ext uri="{FF2B5EF4-FFF2-40B4-BE49-F238E27FC236}">
              <a16:creationId xmlns:a16="http://schemas.microsoft.com/office/drawing/2014/main" id="{B85DDC9E-4728-43D6-9EAB-4C99DE162329}"/>
            </a:ext>
          </a:extLst>
        </xdr:cNvPr>
        <xdr:cNvCxnSpPr>
          <a:stCxn id="66" idx="2"/>
          <a:endCxn id="52" idx="3"/>
        </xdr:cNvCxnSpPr>
      </xdr:nvCxnSpPr>
      <xdr:spPr>
        <a:xfrm flipH="1">
          <a:off x="11201400" y="16602075"/>
          <a:ext cx="862013" cy="6619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376238</xdr:colOff>
      <xdr:row>85</xdr:row>
      <xdr:rowOff>142875</xdr:rowOff>
    </xdr:from>
    <xdr:to>
      <xdr:col>14</xdr:col>
      <xdr:colOff>104775</xdr:colOff>
      <xdr:row>89</xdr:row>
      <xdr:rowOff>14288</xdr:rowOff>
    </xdr:to>
    <xdr:cxnSp macro="">
      <xdr:nvCxnSpPr>
        <xdr:cNvPr id="77" name="Straight Arrow Connector 76">
          <a:extLst>
            <a:ext uri="{FF2B5EF4-FFF2-40B4-BE49-F238E27FC236}">
              <a16:creationId xmlns:a16="http://schemas.microsoft.com/office/drawing/2014/main" id="{0E231D19-ED41-44B1-8B24-5E0F7262721C}"/>
            </a:ext>
          </a:extLst>
        </xdr:cNvPr>
        <xdr:cNvCxnSpPr>
          <a:endCxn id="52" idx="1"/>
        </xdr:cNvCxnSpPr>
      </xdr:nvCxnSpPr>
      <xdr:spPr>
        <a:xfrm>
          <a:off x="9234488" y="16583025"/>
          <a:ext cx="947737" cy="633413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595313</xdr:colOff>
      <xdr:row>85</xdr:row>
      <xdr:rowOff>95250</xdr:rowOff>
    </xdr:from>
    <xdr:to>
      <xdr:col>15</xdr:col>
      <xdr:colOff>4763</xdr:colOff>
      <xdr:row>87</xdr:row>
      <xdr:rowOff>47625</xdr:rowOff>
    </xdr:to>
    <xdr:cxnSp macro="">
      <xdr:nvCxnSpPr>
        <xdr:cNvPr id="79" name="Straight Arrow Connector 78">
          <a:extLst>
            <a:ext uri="{FF2B5EF4-FFF2-40B4-BE49-F238E27FC236}">
              <a16:creationId xmlns:a16="http://schemas.microsoft.com/office/drawing/2014/main" id="{7600E7F0-CDE3-49FF-8529-B2264A6482FE}"/>
            </a:ext>
          </a:extLst>
        </xdr:cNvPr>
        <xdr:cNvCxnSpPr>
          <a:stCxn id="50" idx="2"/>
          <a:endCxn id="52" idx="0"/>
        </xdr:cNvCxnSpPr>
      </xdr:nvCxnSpPr>
      <xdr:spPr>
        <a:xfrm>
          <a:off x="10672763" y="16535400"/>
          <a:ext cx="19050" cy="3333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295275</xdr:colOff>
      <xdr:row>89</xdr:row>
      <xdr:rowOff>161925</xdr:rowOff>
    </xdr:from>
    <xdr:to>
      <xdr:col>15</xdr:col>
      <xdr:colOff>176213</xdr:colOff>
      <xdr:row>92</xdr:row>
      <xdr:rowOff>138113</xdr:rowOff>
    </xdr:to>
    <xdr:cxnSp macro="">
      <xdr:nvCxnSpPr>
        <xdr:cNvPr id="82" name="Straight Arrow Connector 81">
          <a:extLst>
            <a:ext uri="{FF2B5EF4-FFF2-40B4-BE49-F238E27FC236}">
              <a16:creationId xmlns:a16="http://schemas.microsoft.com/office/drawing/2014/main" id="{832F0585-4F10-450F-853F-7EFD686D1E00}"/>
            </a:ext>
          </a:extLst>
        </xdr:cNvPr>
        <xdr:cNvCxnSpPr>
          <a:endCxn id="53" idx="3"/>
        </xdr:cNvCxnSpPr>
      </xdr:nvCxnSpPr>
      <xdr:spPr>
        <a:xfrm flipH="1">
          <a:off x="9763125" y="17411700"/>
          <a:ext cx="1100138" cy="547688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23813</xdr:colOff>
      <xdr:row>90</xdr:row>
      <xdr:rowOff>152400</xdr:rowOff>
    </xdr:from>
    <xdr:to>
      <xdr:col>16</xdr:col>
      <xdr:colOff>276225</xdr:colOff>
      <xdr:row>92</xdr:row>
      <xdr:rowOff>152401</xdr:rowOff>
    </xdr:to>
    <xdr:cxnSp macro="">
      <xdr:nvCxnSpPr>
        <xdr:cNvPr id="84" name="Straight Arrow Connector 83">
          <a:extLst>
            <a:ext uri="{FF2B5EF4-FFF2-40B4-BE49-F238E27FC236}">
              <a16:creationId xmlns:a16="http://schemas.microsoft.com/office/drawing/2014/main" id="{C0DA90BF-5BF2-4677-B17C-631181F67BA8}"/>
            </a:ext>
          </a:extLst>
        </xdr:cNvPr>
        <xdr:cNvCxnSpPr>
          <a:endCxn id="51" idx="1"/>
        </xdr:cNvCxnSpPr>
      </xdr:nvCxnSpPr>
      <xdr:spPr>
        <a:xfrm>
          <a:off x="10710863" y="17545050"/>
          <a:ext cx="862012" cy="38100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271463</xdr:colOff>
      <xdr:row>94</xdr:row>
      <xdr:rowOff>85725</xdr:rowOff>
    </xdr:from>
    <xdr:to>
      <xdr:col>12</xdr:col>
      <xdr:colOff>295275</xdr:colOff>
      <xdr:row>96</xdr:row>
      <xdr:rowOff>0</xdr:rowOff>
    </xdr:to>
    <xdr:cxnSp macro="">
      <xdr:nvCxnSpPr>
        <xdr:cNvPr id="86" name="Straight Arrow Connector 85">
          <a:extLst>
            <a:ext uri="{FF2B5EF4-FFF2-40B4-BE49-F238E27FC236}">
              <a16:creationId xmlns:a16="http://schemas.microsoft.com/office/drawing/2014/main" id="{5948D8B6-3AB2-4AD1-937B-E1C1CEC3D7B9}"/>
            </a:ext>
          </a:extLst>
        </xdr:cNvPr>
        <xdr:cNvCxnSpPr/>
      </xdr:nvCxnSpPr>
      <xdr:spPr>
        <a:xfrm>
          <a:off x="9129713" y="18240375"/>
          <a:ext cx="23812" cy="2952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123825</xdr:colOff>
      <xdr:row>94</xdr:row>
      <xdr:rowOff>180976</xdr:rowOff>
    </xdr:from>
    <xdr:to>
      <xdr:col>17</xdr:col>
      <xdr:colOff>138113</xdr:colOff>
      <xdr:row>96</xdr:row>
      <xdr:rowOff>28575</xdr:rowOff>
    </xdr:to>
    <xdr:cxnSp macro="">
      <xdr:nvCxnSpPr>
        <xdr:cNvPr id="88" name="Straight Arrow Connector 87">
          <a:extLst>
            <a:ext uri="{FF2B5EF4-FFF2-40B4-BE49-F238E27FC236}">
              <a16:creationId xmlns:a16="http://schemas.microsoft.com/office/drawing/2014/main" id="{EBB378A8-0450-4FCA-A0EA-BBB2DD0B8DCF}"/>
            </a:ext>
          </a:extLst>
        </xdr:cNvPr>
        <xdr:cNvCxnSpPr/>
      </xdr:nvCxnSpPr>
      <xdr:spPr>
        <a:xfrm flipH="1">
          <a:off x="12030075" y="18335626"/>
          <a:ext cx="14288" cy="228599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333375</xdr:colOff>
      <xdr:row>100</xdr:row>
      <xdr:rowOff>28575</xdr:rowOff>
    </xdr:from>
    <xdr:to>
      <xdr:col>12</xdr:col>
      <xdr:colOff>352425</xdr:colOff>
      <xdr:row>101</xdr:row>
      <xdr:rowOff>142875</xdr:rowOff>
    </xdr:to>
    <xdr:cxnSp macro="">
      <xdr:nvCxnSpPr>
        <xdr:cNvPr id="91" name="Straight Arrow Connector 90">
          <a:extLst>
            <a:ext uri="{FF2B5EF4-FFF2-40B4-BE49-F238E27FC236}">
              <a16:creationId xmlns:a16="http://schemas.microsoft.com/office/drawing/2014/main" id="{DE550344-1609-403F-A4F5-6415D73DD4C6}"/>
            </a:ext>
          </a:extLst>
        </xdr:cNvPr>
        <xdr:cNvCxnSpPr/>
      </xdr:nvCxnSpPr>
      <xdr:spPr>
        <a:xfrm>
          <a:off x="9191625" y="19326225"/>
          <a:ext cx="19050" cy="30480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179302</xdr:colOff>
      <xdr:row>99</xdr:row>
      <xdr:rowOff>161925</xdr:rowOff>
    </xdr:from>
    <xdr:to>
      <xdr:col>17</xdr:col>
      <xdr:colOff>200025</xdr:colOff>
      <xdr:row>101</xdr:row>
      <xdr:rowOff>152400</xdr:rowOff>
    </xdr:to>
    <xdr:cxnSp macro="">
      <xdr:nvCxnSpPr>
        <xdr:cNvPr id="94" name="Straight Arrow Connector 93">
          <a:extLst>
            <a:ext uri="{FF2B5EF4-FFF2-40B4-BE49-F238E27FC236}">
              <a16:creationId xmlns:a16="http://schemas.microsoft.com/office/drawing/2014/main" id="{353CCB2C-7607-4DEE-B193-E8687AB26257}"/>
            </a:ext>
          </a:extLst>
        </xdr:cNvPr>
        <xdr:cNvCxnSpPr/>
      </xdr:nvCxnSpPr>
      <xdr:spPr>
        <a:xfrm flipH="1">
          <a:off x="12085552" y="19269075"/>
          <a:ext cx="20723" cy="371475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152400</xdr:colOff>
      <xdr:row>93</xdr:row>
      <xdr:rowOff>142875</xdr:rowOff>
    </xdr:from>
    <xdr:to>
      <xdr:col>16</xdr:col>
      <xdr:colOff>219075</xdr:colOff>
      <xdr:row>93</xdr:row>
      <xdr:rowOff>176213</xdr:rowOff>
    </xdr:to>
    <xdr:cxnSp macro="">
      <xdr:nvCxnSpPr>
        <xdr:cNvPr id="98" name="Straight Arrow Connector 97">
          <a:extLst>
            <a:ext uri="{FF2B5EF4-FFF2-40B4-BE49-F238E27FC236}">
              <a16:creationId xmlns:a16="http://schemas.microsoft.com/office/drawing/2014/main" id="{7C88DE95-8B5F-46F5-AC35-71895C96EC87}"/>
            </a:ext>
          </a:extLst>
        </xdr:cNvPr>
        <xdr:cNvCxnSpPr/>
      </xdr:nvCxnSpPr>
      <xdr:spPr>
        <a:xfrm flipV="1">
          <a:off x="9620250" y="18107025"/>
          <a:ext cx="1895475" cy="33338"/>
        </a:xfrm>
        <a:prstGeom prst="straightConnector1">
          <a:avLst/>
        </a:prstGeom>
        <a:ln w="28575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495300</xdr:colOff>
      <xdr:row>83</xdr:row>
      <xdr:rowOff>128588</xdr:rowOff>
    </xdr:from>
    <xdr:to>
      <xdr:col>16</xdr:col>
      <xdr:colOff>304800</xdr:colOff>
      <xdr:row>83</xdr:row>
      <xdr:rowOff>147638</xdr:rowOff>
    </xdr:to>
    <xdr:cxnSp macro="">
      <xdr:nvCxnSpPr>
        <xdr:cNvPr id="104" name="Straight Arrow Connector 103">
          <a:extLst>
            <a:ext uri="{FF2B5EF4-FFF2-40B4-BE49-F238E27FC236}">
              <a16:creationId xmlns:a16="http://schemas.microsoft.com/office/drawing/2014/main" id="{6EF47B20-09F7-41B3-8A8F-A0C7486F5F91}"/>
            </a:ext>
          </a:extLst>
        </xdr:cNvPr>
        <xdr:cNvCxnSpPr>
          <a:stCxn id="66" idx="1"/>
          <a:endCxn id="50" idx="3"/>
        </xdr:cNvCxnSpPr>
      </xdr:nvCxnSpPr>
      <xdr:spPr>
        <a:xfrm flipH="1" flipV="1">
          <a:off x="11182350" y="16235363"/>
          <a:ext cx="419100" cy="19050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361950</xdr:colOff>
      <xdr:row>90</xdr:row>
      <xdr:rowOff>171450</xdr:rowOff>
    </xdr:from>
    <xdr:to>
      <xdr:col>15</xdr:col>
      <xdr:colOff>4763</xdr:colOff>
      <xdr:row>97</xdr:row>
      <xdr:rowOff>104775</xdr:rowOff>
    </xdr:to>
    <xdr:cxnSp macro="">
      <xdr:nvCxnSpPr>
        <xdr:cNvPr id="108" name="Straight Arrow Connector 107">
          <a:extLst>
            <a:ext uri="{FF2B5EF4-FFF2-40B4-BE49-F238E27FC236}">
              <a16:creationId xmlns:a16="http://schemas.microsoft.com/office/drawing/2014/main" id="{02864FA2-46F0-4C6D-9012-6EC3EDB20EF4}"/>
            </a:ext>
          </a:extLst>
        </xdr:cNvPr>
        <xdr:cNvCxnSpPr>
          <a:stCxn id="52" idx="2"/>
        </xdr:cNvCxnSpPr>
      </xdr:nvCxnSpPr>
      <xdr:spPr>
        <a:xfrm flipH="1">
          <a:off x="9829800" y="17564100"/>
          <a:ext cx="862013" cy="126682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4763</xdr:colOff>
      <xdr:row>90</xdr:row>
      <xdr:rowOff>171450</xdr:rowOff>
    </xdr:from>
    <xdr:to>
      <xdr:col>16</xdr:col>
      <xdr:colOff>219075</xdr:colOff>
      <xdr:row>98</xdr:row>
      <xdr:rowOff>142875</xdr:rowOff>
    </xdr:to>
    <xdr:cxnSp macro="">
      <xdr:nvCxnSpPr>
        <xdr:cNvPr id="109" name="Straight Arrow Connector 108">
          <a:extLst>
            <a:ext uri="{FF2B5EF4-FFF2-40B4-BE49-F238E27FC236}">
              <a16:creationId xmlns:a16="http://schemas.microsoft.com/office/drawing/2014/main" id="{F33D758C-40F3-4262-B014-1FA2CACD50D2}"/>
            </a:ext>
          </a:extLst>
        </xdr:cNvPr>
        <xdr:cNvCxnSpPr>
          <a:stCxn id="52" idx="2"/>
        </xdr:cNvCxnSpPr>
      </xdr:nvCxnSpPr>
      <xdr:spPr>
        <a:xfrm>
          <a:off x="10691813" y="17564100"/>
          <a:ext cx="823912" cy="1495425"/>
        </a:xfrm>
        <a:prstGeom prst="straightConnector1">
          <a:avLst/>
        </a:prstGeom>
        <a:ln>
          <a:prstDash val="dashDot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</xdr:colOff>
      <xdr:row>91</xdr:row>
      <xdr:rowOff>38100</xdr:rowOff>
    </xdr:from>
    <xdr:to>
      <xdr:col>16</xdr:col>
      <xdr:colOff>409575</xdr:colOff>
      <xdr:row>103</xdr:row>
      <xdr:rowOff>47625</xdr:rowOff>
    </xdr:to>
    <xdr:cxnSp macro="">
      <xdr:nvCxnSpPr>
        <xdr:cNvPr id="112" name="Straight Arrow Connector 111">
          <a:extLst>
            <a:ext uri="{FF2B5EF4-FFF2-40B4-BE49-F238E27FC236}">
              <a16:creationId xmlns:a16="http://schemas.microsoft.com/office/drawing/2014/main" id="{28028351-6B85-46E1-B9CD-B1B0E7E48828}"/>
            </a:ext>
          </a:extLst>
        </xdr:cNvPr>
        <xdr:cNvCxnSpPr/>
      </xdr:nvCxnSpPr>
      <xdr:spPr>
        <a:xfrm>
          <a:off x="10696575" y="17621250"/>
          <a:ext cx="1009650" cy="229552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552450</xdr:colOff>
      <xdr:row>91</xdr:row>
      <xdr:rowOff>104775</xdr:rowOff>
    </xdr:from>
    <xdr:to>
      <xdr:col>14</xdr:col>
      <xdr:colOff>590550</xdr:colOff>
      <xdr:row>103</xdr:row>
      <xdr:rowOff>133350</xdr:rowOff>
    </xdr:to>
    <xdr:cxnSp macro="">
      <xdr:nvCxnSpPr>
        <xdr:cNvPr id="115" name="Straight Arrow Connector 114">
          <a:extLst>
            <a:ext uri="{FF2B5EF4-FFF2-40B4-BE49-F238E27FC236}">
              <a16:creationId xmlns:a16="http://schemas.microsoft.com/office/drawing/2014/main" id="{92D4DC1E-E058-48E4-97AA-2C5058E2BCF4}"/>
            </a:ext>
          </a:extLst>
        </xdr:cNvPr>
        <xdr:cNvCxnSpPr>
          <a:endCxn id="69" idx="3"/>
        </xdr:cNvCxnSpPr>
      </xdr:nvCxnSpPr>
      <xdr:spPr>
        <a:xfrm flipH="1">
          <a:off x="10020300" y="17687925"/>
          <a:ext cx="647700" cy="2314575"/>
        </a:xfrm>
        <a:prstGeom prst="straightConnector1">
          <a:avLst/>
        </a:prstGeom>
        <a:ln w="12700">
          <a:prstDash val="dash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387571</xdr:colOff>
      <xdr:row>13</xdr:row>
      <xdr:rowOff>39413</xdr:rowOff>
    </xdr:from>
    <xdr:to>
      <xdr:col>11</xdr:col>
      <xdr:colOff>262759</xdr:colOff>
      <xdr:row>18</xdr:row>
      <xdr:rowOff>72258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24EDCEA-92FF-498A-8191-01585D4F9D90}"/>
            </a:ext>
          </a:extLst>
        </xdr:cNvPr>
        <xdr:cNvSpPr txBox="1"/>
      </xdr:nvSpPr>
      <xdr:spPr>
        <a:xfrm>
          <a:off x="7376950" y="3376447"/>
          <a:ext cx="1372912" cy="9853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Keterangan:</a:t>
          </a:r>
          <a:r>
            <a:rPr lang="en-US" sz="1100" baseline="0"/>
            <a:t> Merah Kabko Non-Prioritas, Hijau Prioritas, kuning minimum KTP per Provinsi</a:t>
          </a: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5894A-A8C1-4A08-ADB9-4AC94FAA757B}">
  <dimension ref="B2:R106"/>
  <sheetViews>
    <sheetView topLeftCell="A52" workbookViewId="0">
      <selection activeCell="G59" sqref="G59"/>
    </sheetView>
  </sheetViews>
  <sheetFormatPr defaultRowHeight="15"/>
  <cols>
    <col min="3" max="3" width="21.85546875" customWidth="1"/>
    <col min="4" max="4" width="17.28515625" customWidth="1"/>
    <col min="5" max="5" width="11.42578125" customWidth="1"/>
  </cols>
  <sheetData>
    <row r="2" spans="2:5">
      <c r="C2" t="s">
        <v>0</v>
      </c>
      <c r="E2" t="s">
        <v>1</v>
      </c>
    </row>
    <row r="3" spans="2:5">
      <c r="E3" t="s">
        <v>2</v>
      </c>
    </row>
    <row r="4" spans="2:5">
      <c r="E4" t="s">
        <v>3</v>
      </c>
    </row>
    <row r="5" spans="2:5">
      <c r="E5" t="s">
        <v>4</v>
      </c>
    </row>
    <row r="6" spans="2:5">
      <c r="E6" t="s">
        <v>5</v>
      </c>
    </row>
    <row r="7" spans="2:5">
      <c r="E7" t="s">
        <v>6</v>
      </c>
    </row>
    <row r="8" spans="2:5">
      <c r="E8" t="s">
        <v>7</v>
      </c>
    </row>
    <row r="9" spans="2:5">
      <c r="C9" t="s">
        <v>8</v>
      </c>
    </row>
    <row r="11" spans="2:5">
      <c r="C11" t="s">
        <v>9</v>
      </c>
    </row>
    <row r="13" spans="2:5">
      <c r="C13" t="s">
        <v>10</v>
      </c>
    </row>
    <row r="15" spans="2:5">
      <c r="B15" t="s">
        <v>11</v>
      </c>
      <c r="C15" t="s">
        <v>11</v>
      </c>
      <c r="D15" t="s">
        <v>11</v>
      </c>
    </row>
    <row r="17" spans="2:5">
      <c r="B17" t="s">
        <v>12</v>
      </c>
      <c r="C17" t="s">
        <v>12</v>
      </c>
      <c r="D17" t="s">
        <v>12</v>
      </c>
    </row>
    <row r="19" spans="2:5">
      <c r="C19" t="s">
        <v>13</v>
      </c>
    </row>
    <row r="21" spans="2:5">
      <c r="C21" t="s">
        <v>14</v>
      </c>
      <c r="D21" t="s">
        <v>15</v>
      </c>
      <c r="E21" t="s">
        <v>16</v>
      </c>
    </row>
    <row r="23" spans="2:5">
      <c r="C23" t="s">
        <v>17</v>
      </c>
    </row>
    <row r="24" spans="2:5">
      <c r="C24" t="s">
        <v>18</v>
      </c>
    </row>
    <row r="25" spans="2:5">
      <c r="C25" t="s">
        <v>19</v>
      </c>
    </row>
    <row r="50" spans="3:17">
      <c r="Q50" t="s">
        <v>30</v>
      </c>
    </row>
    <row r="52" spans="3:17" ht="15.75" thickBot="1"/>
    <row r="53" spans="3:17" ht="33" customHeight="1">
      <c r="C53" s="183" t="s">
        <v>32</v>
      </c>
      <c r="D53" s="184"/>
    </row>
    <row r="54" spans="3:17">
      <c r="C54" s="185" t="s">
        <v>8</v>
      </c>
      <c r="D54" s="1" t="s">
        <v>0</v>
      </c>
    </row>
    <row r="55" spans="3:17">
      <c r="C55" s="186"/>
      <c r="D55" s="1" t="s">
        <v>34</v>
      </c>
    </row>
    <row r="56" spans="3:17">
      <c r="C56" s="186"/>
      <c r="D56" s="1" t="s">
        <v>10</v>
      </c>
    </row>
    <row r="57" spans="3:17">
      <c r="C57" s="186"/>
      <c r="D57" s="1" t="s">
        <v>11</v>
      </c>
    </row>
    <row r="58" spans="3:17">
      <c r="C58" s="186"/>
      <c r="D58" s="1" t="s">
        <v>12</v>
      </c>
    </row>
    <row r="59" spans="3:17">
      <c r="C59" s="187"/>
      <c r="D59" s="1" t="s">
        <v>22</v>
      </c>
    </row>
    <row r="60" spans="3:17">
      <c r="C60" s="181" t="s">
        <v>20</v>
      </c>
      <c r="D60" s="1" t="s">
        <v>24</v>
      </c>
      <c r="I60" t="s">
        <v>25</v>
      </c>
    </row>
    <row r="61" spans="3:17">
      <c r="C61" s="181"/>
      <c r="D61" s="1" t="s">
        <v>23</v>
      </c>
    </row>
    <row r="62" spans="3:17">
      <c r="C62" s="181"/>
      <c r="D62" s="1" t="s">
        <v>33</v>
      </c>
    </row>
    <row r="63" spans="3:17">
      <c r="C63" s="181"/>
      <c r="D63" s="1" t="s">
        <v>31</v>
      </c>
    </row>
    <row r="64" spans="3:17">
      <c r="C64" s="181" t="s">
        <v>21</v>
      </c>
      <c r="D64" s="1" t="s">
        <v>26</v>
      </c>
    </row>
    <row r="65" spans="3:4">
      <c r="C65" s="181"/>
      <c r="D65" s="1" t="s">
        <v>27</v>
      </c>
    </row>
    <row r="66" spans="3:4">
      <c r="C66" s="181"/>
      <c r="D66" s="1" t="s">
        <v>28</v>
      </c>
    </row>
    <row r="67" spans="3:4" ht="15.75" thickBot="1">
      <c r="C67" s="182"/>
      <c r="D67" s="2" t="s">
        <v>29</v>
      </c>
    </row>
    <row r="80" spans="3:4" ht="15.75" thickBot="1"/>
    <row r="81" spans="13:18" ht="18.75">
      <c r="M81" s="188" t="s">
        <v>35</v>
      </c>
      <c r="N81" s="189"/>
      <c r="O81" s="189"/>
      <c r="P81" s="189"/>
      <c r="Q81" s="189"/>
      <c r="R81" s="190"/>
    </row>
    <row r="82" spans="13:18">
      <c r="M82" s="3"/>
      <c r="N82" s="4"/>
      <c r="O82" s="4"/>
      <c r="P82" s="4"/>
      <c r="Q82" s="4"/>
      <c r="R82" s="5"/>
    </row>
    <row r="83" spans="13:18">
      <c r="M83" s="3"/>
      <c r="N83" s="4"/>
      <c r="O83" s="4"/>
      <c r="P83" s="4"/>
      <c r="Q83" s="4"/>
      <c r="R83" s="5"/>
    </row>
    <row r="84" spans="13:18">
      <c r="M84" s="3"/>
      <c r="N84" s="4"/>
      <c r="O84" s="4"/>
      <c r="P84" s="4"/>
      <c r="Q84" s="4"/>
      <c r="R84" s="5"/>
    </row>
    <row r="85" spans="13:18">
      <c r="M85" s="3"/>
      <c r="N85" s="4"/>
      <c r="O85" s="4"/>
      <c r="P85" s="4"/>
      <c r="Q85" s="4"/>
      <c r="R85" s="5"/>
    </row>
    <row r="86" spans="13:18">
      <c r="M86" s="3"/>
      <c r="N86" s="4"/>
      <c r="O86" s="4"/>
      <c r="P86" s="4"/>
      <c r="Q86" s="4"/>
      <c r="R86" s="5"/>
    </row>
    <row r="87" spans="13:18">
      <c r="M87" s="3"/>
      <c r="N87" s="4"/>
      <c r="O87" s="4"/>
      <c r="P87" s="4"/>
      <c r="Q87" s="4"/>
      <c r="R87" s="5"/>
    </row>
    <row r="88" spans="13:18">
      <c r="M88" s="3"/>
      <c r="N88" s="4"/>
      <c r="O88" s="4"/>
      <c r="P88" s="4"/>
      <c r="Q88" s="4"/>
      <c r="R88" s="5"/>
    </row>
    <row r="89" spans="13:18">
      <c r="M89" s="3"/>
      <c r="N89" s="4"/>
      <c r="O89" s="4"/>
      <c r="P89" s="4"/>
      <c r="Q89" s="4"/>
      <c r="R89" s="5"/>
    </row>
    <row r="90" spans="13:18">
      <c r="M90" s="3"/>
      <c r="N90" s="4"/>
      <c r="O90" s="4"/>
      <c r="P90" s="4"/>
      <c r="Q90" s="4"/>
      <c r="R90" s="5"/>
    </row>
    <row r="91" spans="13:18">
      <c r="M91" s="3"/>
      <c r="N91" s="4"/>
      <c r="O91" s="4"/>
      <c r="P91" s="4"/>
      <c r="Q91" s="4"/>
      <c r="R91" s="5"/>
    </row>
    <row r="92" spans="13:18">
      <c r="M92" s="3"/>
      <c r="N92" s="4"/>
      <c r="O92" s="4"/>
      <c r="P92" s="4"/>
      <c r="Q92" s="4"/>
      <c r="R92" s="5"/>
    </row>
    <row r="93" spans="13:18">
      <c r="M93" s="3"/>
      <c r="N93" s="4"/>
      <c r="O93" s="4"/>
      <c r="P93" s="4"/>
      <c r="Q93" s="4"/>
      <c r="R93" s="5"/>
    </row>
    <row r="94" spans="13:18">
      <c r="M94" s="3"/>
      <c r="N94" s="4"/>
      <c r="O94" s="4"/>
      <c r="P94" s="4"/>
      <c r="Q94" s="4"/>
      <c r="R94" s="5"/>
    </row>
    <row r="95" spans="13:18">
      <c r="M95" s="3"/>
      <c r="N95" s="4"/>
      <c r="O95" s="4"/>
      <c r="P95" s="4"/>
      <c r="Q95" s="4"/>
      <c r="R95" s="5"/>
    </row>
    <row r="96" spans="13:18">
      <c r="M96" s="3"/>
      <c r="N96" s="4"/>
      <c r="O96" s="4"/>
      <c r="P96" s="4"/>
      <c r="Q96" s="4"/>
      <c r="R96" s="5"/>
    </row>
    <row r="97" spans="13:18">
      <c r="M97" s="3"/>
      <c r="N97" s="4"/>
      <c r="O97" s="4"/>
      <c r="P97" s="4"/>
      <c r="Q97" s="4"/>
      <c r="R97" s="5"/>
    </row>
    <row r="98" spans="13:18">
      <c r="M98" s="3"/>
      <c r="N98" s="4"/>
      <c r="O98" s="4"/>
      <c r="P98" s="4"/>
      <c r="Q98" s="4"/>
      <c r="R98" s="5"/>
    </row>
    <row r="99" spans="13:18">
      <c r="M99" s="3"/>
      <c r="N99" s="4"/>
      <c r="O99" s="4"/>
      <c r="P99" s="4"/>
      <c r="Q99" s="4"/>
      <c r="R99" s="5"/>
    </row>
    <row r="100" spans="13:18">
      <c r="M100" s="3"/>
      <c r="N100" s="4"/>
      <c r="O100" s="4"/>
      <c r="P100" s="4"/>
      <c r="Q100" s="4"/>
      <c r="R100" s="5"/>
    </row>
    <row r="101" spans="13:18">
      <c r="M101" s="3"/>
      <c r="N101" s="4"/>
      <c r="O101" s="4"/>
      <c r="P101" s="4"/>
      <c r="Q101" s="4"/>
      <c r="R101" s="5"/>
    </row>
    <row r="102" spans="13:18">
      <c r="M102" s="3"/>
      <c r="N102" s="4"/>
      <c r="O102" s="4"/>
      <c r="P102" s="4"/>
      <c r="Q102" s="4"/>
      <c r="R102" s="5"/>
    </row>
    <row r="103" spans="13:18">
      <c r="M103" s="3"/>
      <c r="N103" s="4"/>
      <c r="O103" s="4"/>
      <c r="P103" s="4"/>
      <c r="Q103" s="4"/>
      <c r="R103" s="5"/>
    </row>
    <row r="104" spans="13:18">
      <c r="M104" s="3"/>
      <c r="N104" s="4"/>
      <c r="O104" s="4"/>
      <c r="P104" s="4"/>
      <c r="Q104" s="4"/>
      <c r="R104" s="5"/>
    </row>
    <row r="105" spans="13:18">
      <c r="M105" s="3"/>
      <c r="N105" s="4"/>
      <c r="O105" s="4"/>
      <c r="P105" s="4"/>
      <c r="Q105" s="4"/>
      <c r="R105" s="5"/>
    </row>
    <row r="106" spans="13:18" ht="15.75" thickBot="1">
      <c r="M106" s="6"/>
      <c r="N106" s="7"/>
      <c r="O106" s="7"/>
      <c r="P106" s="7"/>
      <c r="Q106" s="7"/>
      <c r="R106" s="8"/>
    </row>
  </sheetData>
  <mergeCells count="5">
    <mergeCell ref="C64:C67"/>
    <mergeCell ref="C60:C63"/>
    <mergeCell ref="C53:D53"/>
    <mergeCell ref="C54:C59"/>
    <mergeCell ref="M81:R81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E8F7F9-ABD7-4B87-924E-1874DC891143}">
  <dimension ref="B2:J54"/>
  <sheetViews>
    <sheetView topLeftCell="B49" workbookViewId="0">
      <selection activeCell="D55" sqref="D55"/>
    </sheetView>
  </sheetViews>
  <sheetFormatPr defaultRowHeight="15"/>
  <cols>
    <col min="2" max="2" width="17.28515625" customWidth="1"/>
    <col min="3" max="3" width="14.140625" customWidth="1"/>
    <col min="4" max="4" width="17.85546875" customWidth="1"/>
    <col min="8" max="8" width="14.5703125" customWidth="1"/>
    <col min="9" max="9" width="11.140625" customWidth="1"/>
  </cols>
  <sheetData>
    <row r="2" spans="2:5">
      <c r="B2" t="s">
        <v>290</v>
      </c>
      <c r="C2" s="9">
        <v>270000000</v>
      </c>
    </row>
    <row r="3" spans="2:5">
      <c r="B3" t="s">
        <v>291</v>
      </c>
      <c r="C3" s="9">
        <f>C2/1000</f>
        <v>270000</v>
      </c>
    </row>
    <row r="4" spans="2:5">
      <c r="B4" t="s">
        <v>292</v>
      </c>
      <c r="C4" s="9">
        <f>C3/20</f>
        <v>13500</v>
      </c>
    </row>
    <row r="5" spans="2:5">
      <c r="B5" t="s">
        <v>293</v>
      </c>
      <c r="C5" s="9">
        <f>C4/500</f>
        <v>27</v>
      </c>
      <c r="E5" t="s">
        <v>296</v>
      </c>
    </row>
    <row r="6" spans="2:5">
      <c r="C6" s="9"/>
    </row>
    <row r="8" spans="2:5">
      <c r="B8" t="s">
        <v>294</v>
      </c>
    </row>
    <row r="10" spans="2:5">
      <c r="B10" t="s">
        <v>295</v>
      </c>
    </row>
    <row r="12" spans="2:5">
      <c r="C12" t="s">
        <v>168</v>
      </c>
    </row>
    <row r="13" spans="2:5">
      <c r="B13" s="10" t="s">
        <v>192</v>
      </c>
      <c r="D13" t="s">
        <v>169</v>
      </c>
      <c r="E13" s="9">
        <v>136871</v>
      </c>
    </row>
    <row r="14" spans="2:5">
      <c r="B14" s="10" t="s">
        <v>193</v>
      </c>
      <c r="D14" t="s">
        <v>170</v>
      </c>
      <c r="E14" s="9">
        <v>423012</v>
      </c>
    </row>
    <row r="15" spans="2:5">
      <c r="B15" s="10" t="s">
        <v>194</v>
      </c>
      <c r="D15" t="s">
        <v>218</v>
      </c>
      <c r="E15" s="9">
        <v>188495</v>
      </c>
    </row>
    <row r="16" spans="2:5">
      <c r="B16" s="10" t="s">
        <v>195</v>
      </c>
      <c r="D16" t="s">
        <v>171</v>
      </c>
      <c r="E16" s="9">
        <v>365610</v>
      </c>
    </row>
    <row r="17" spans="2:5">
      <c r="B17" s="10" t="s">
        <v>196</v>
      </c>
      <c r="D17" t="s">
        <v>172</v>
      </c>
      <c r="E17" s="9">
        <v>301424</v>
      </c>
    </row>
    <row r="18" spans="2:5">
      <c r="B18" s="10" t="s">
        <v>197</v>
      </c>
      <c r="D18" t="s">
        <v>173</v>
      </c>
      <c r="E18" s="9">
        <v>784511</v>
      </c>
    </row>
    <row r="19" spans="2:5">
      <c r="B19" s="10" t="s">
        <v>198</v>
      </c>
      <c r="D19" t="s">
        <v>174</v>
      </c>
      <c r="E19" s="9">
        <v>245389</v>
      </c>
    </row>
    <row r="20" spans="2:5">
      <c r="B20" s="10" t="s">
        <v>199</v>
      </c>
      <c r="D20" t="s">
        <v>175</v>
      </c>
      <c r="E20" s="9">
        <v>356195</v>
      </c>
    </row>
    <row r="21" spans="2:5">
      <c r="B21" s="10" t="s">
        <v>200</v>
      </c>
      <c r="D21" t="s">
        <v>176</v>
      </c>
      <c r="E21" s="9">
        <v>338219</v>
      </c>
    </row>
    <row r="22" spans="2:5">
      <c r="B22" s="10" t="s">
        <v>201</v>
      </c>
      <c r="D22" t="s">
        <v>177</v>
      </c>
      <c r="E22" s="9">
        <v>174989</v>
      </c>
    </row>
    <row r="23" spans="2:5">
      <c r="B23" s="10" t="s">
        <v>202</v>
      </c>
      <c r="D23" t="s">
        <v>178</v>
      </c>
      <c r="E23" s="9">
        <v>762073</v>
      </c>
    </row>
    <row r="24" spans="2:5">
      <c r="B24" s="10" t="s">
        <v>203</v>
      </c>
      <c r="D24" t="s">
        <v>179</v>
      </c>
      <c r="E24" s="9">
        <v>227208</v>
      </c>
    </row>
    <row r="25" spans="2:5">
      <c r="B25" s="10" t="s">
        <v>204</v>
      </c>
      <c r="D25" t="s">
        <v>180</v>
      </c>
      <c r="E25" s="9">
        <v>398784</v>
      </c>
    </row>
    <row r="26" spans="2:5">
      <c r="B26" s="10" t="s">
        <v>205</v>
      </c>
      <c r="D26" t="s">
        <v>181</v>
      </c>
      <c r="E26" s="9">
        <v>304826</v>
      </c>
    </row>
    <row r="27" spans="2:5">
      <c r="B27" s="10" t="s">
        <v>206</v>
      </c>
      <c r="D27" t="s">
        <v>182</v>
      </c>
      <c r="E27" s="9">
        <v>379402</v>
      </c>
    </row>
    <row r="28" spans="2:5">
      <c r="B28" s="10" t="s">
        <v>207</v>
      </c>
      <c r="D28" t="s">
        <v>183</v>
      </c>
      <c r="E28" s="9">
        <v>207800</v>
      </c>
    </row>
    <row r="29" spans="2:5">
      <c r="B29" s="10" t="s">
        <v>208</v>
      </c>
      <c r="D29" t="s">
        <v>184</v>
      </c>
      <c r="E29" s="9">
        <v>364680</v>
      </c>
    </row>
    <row r="30" spans="2:5">
      <c r="B30" s="10" t="s">
        <v>209</v>
      </c>
      <c r="D30" t="s">
        <v>185</v>
      </c>
      <c r="E30" s="9">
        <v>235103</v>
      </c>
    </row>
    <row r="31" spans="2:5">
      <c r="B31" s="10" t="s">
        <v>210</v>
      </c>
      <c r="D31" t="s">
        <v>186</v>
      </c>
      <c r="E31" s="9">
        <v>315202</v>
      </c>
    </row>
    <row r="32" spans="2:5">
      <c r="B32" s="10" t="s">
        <v>211</v>
      </c>
      <c r="D32" t="s">
        <v>187</v>
      </c>
      <c r="E32" s="9">
        <v>305407</v>
      </c>
    </row>
    <row r="33" spans="2:10">
      <c r="B33" s="10" t="s">
        <v>212</v>
      </c>
      <c r="D33" t="s">
        <v>188</v>
      </c>
      <c r="E33" s="9">
        <v>232394</v>
      </c>
    </row>
    <row r="34" spans="2:10">
      <c r="B34" s="10" t="s">
        <v>213</v>
      </c>
      <c r="D34" s="4" t="s">
        <v>189</v>
      </c>
      <c r="E34" s="11">
        <v>1545373</v>
      </c>
      <c r="H34" t="s">
        <v>297</v>
      </c>
      <c r="I34" s="9">
        <f>E34/1000</f>
        <v>1545.373</v>
      </c>
      <c r="J34" s="9"/>
    </row>
    <row r="35" spans="2:10">
      <c r="B35" s="10" t="s">
        <v>214</v>
      </c>
      <c r="D35" t="s">
        <v>190</v>
      </c>
      <c r="E35" s="9">
        <v>146714</v>
      </c>
      <c r="H35" t="s">
        <v>292</v>
      </c>
      <c r="I35" s="9">
        <f>I34/20</f>
        <v>77.268650000000008</v>
      </c>
      <c r="J35" s="9"/>
    </row>
    <row r="36" spans="2:10">
      <c r="B36" s="10" t="s">
        <v>219</v>
      </c>
      <c r="D36" t="s">
        <v>191</v>
      </c>
      <c r="E36" s="9">
        <v>188323</v>
      </c>
      <c r="H36" t="s">
        <v>298</v>
      </c>
      <c r="I36" s="9">
        <f>I34</f>
        <v>1545.373</v>
      </c>
    </row>
    <row r="37" spans="2:10">
      <c r="E37" s="9">
        <f>SUM(E13:E36)</f>
        <v>8928004</v>
      </c>
      <c r="H37" t="s">
        <v>292</v>
      </c>
      <c r="I37" s="9">
        <f>20*I34</f>
        <v>30907.46</v>
      </c>
      <c r="J37" t="s">
        <v>299</v>
      </c>
    </row>
    <row r="38" spans="2:10">
      <c r="H38" t="s">
        <v>300</v>
      </c>
      <c r="I38">
        <f>E34/I37</f>
        <v>50</v>
      </c>
    </row>
    <row r="40" spans="2:10">
      <c r="B40" t="s">
        <v>301</v>
      </c>
      <c r="H40" t="s">
        <v>303</v>
      </c>
      <c r="I40">
        <v>416</v>
      </c>
    </row>
    <row r="41" spans="2:10">
      <c r="B41" t="s">
        <v>302</v>
      </c>
      <c r="C41" s="9">
        <v>198628692</v>
      </c>
      <c r="H41" t="s">
        <v>304</v>
      </c>
      <c r="I41">
        <v>98</v>
      </c>
    </row>
    <row r="42" spans="2:10">
      <c r="B42" t="s">
        <v>305</v>
      </c>
      <c r="C42" s="9">
        <f>C41/I42</f>
        <v>386437.14396887162</v>
      </c>
      <c r="I42">
        <f>I40+I41</f>
        <v>514</v>
      </c>
    </row>
    <row r="43" spans="2:10">
      <c r="B43" t="s">
        <v>292</v>
      </c>
      <c r="C43" s="9">
        <f>C42/20</f>
        <v>19321.85719844358</v>
      </c>
    </row>
    <row r="44" spans="2:10">
      <c r="B44" t="s">
        <v>306</v>
      </c>
      <c r="C44">
        <f>C43/1000</f>
        <v>19.321857198443581</v>
      </c>
    </row>
    <row r="47" spans="2:10">
      <c r="B47" s="12">
        <v>45344</v>
      </c>
      <c r="C47" t="s">
        <v>307</v>
      </c>
      <c r="D47" s="9">
        <v>279118866</v>
      </c>
    </row>
    <row r="48" spans="2:10">
      <c r="C48" t="s">
        <v>308</v>
      </c>
      <c r="D48" s="9">
        <v>204281006</v>
      </c>
    </row>
    <row r="49" spans="3:4">
      <c r="C49" t="s">
        <v>309</v>
      </c>
      <c r="D49" s="9">
        <v>202851038</v>
      </c>
    </row>
    <row r="50" spans="3:4">
      <c r="C50" t="s">
        <v>310</v>
      </c>
      <c r="D50" s="13">
        <f>D49/D48</f>
        <v>0.99299999531038141</v>
      </c>
    </row>
    <row r="52" spans="3:4">
      <c r="C52" t="s">
        <v>311</v>
      </c>
      <c r="D52" s="9">
        <f>D49/I42</f>
        <v>394651.82490272372</v>
      </c>
    </row>
    <row r="53" spans="3:4">
      <c r="C53" t="s">
        <v>312</v>
      </c>
      <c r="D53">
        <f>D52/1000</f>
        <v>394.65182490272372</v>
      </c>
    </row>
    <row r="54" spans="3:4">
      <c r="C54" t="s">
        <v>292</v>
      </c>
      <c r="D54">
        <f>D53/20</f>
        <v>19.732591245136184</v>
      </c>
    </row>
  </sheetData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B5F8C3-120D-4C06-981C-E8B3E27C2DC4}">
  <dimension ref="A2:U710"/>
  <sheetViews>
    <sheetView topLeftCell="A671" zoomScale="145" zoomScaleNormal="145" workbookViewId="0">
      <selection activeCell="J678" sqref="J678:N688"/>
    </sheetView>
  </sheetViews>
  <sheetFormatPr defaultRowHeight="15"/>
  <cols>
    <col min="3" max="3" width="9.28515625" style="33" customWidth="1"/>
    <col min="4" max="4" width="20.140625" customWidth="1"/>
    <col min="5" max="5" width="9.140625" customWidth="1"/>
    <col min="6" max="6" width="10.42578125" style="33" customWidth="1"/>
    <col min="7" max="7" width="17.140625" style="33" customWidth="1"/>
    <col min="8" max="8" width="10.85546875" style="33" customWidth="1"/>
    <col min="9" max="9" width="10" customWidth="1"/>
    <col min="10" max="10" width="12.85546875" customWidth="1"/>
    <col min="11" max="11" width="10" customWidth="1"/>
    <col min="12" max="12" width="10.140625" customWidth="1"/>
    <col min="13" max="13" width="13.85546875" customWidth="1"/>
    <col min="14" max="15" width="10.85546875" customWidth="1"/>
    <col min="16" max="16" width="10.7109375" customWidth="1"/>
    <col min="17" max="17" width="14" customWidth="1"/>
    <col min="18" max="18" width="20.5703125" customWidth="1"/>
    <col min="20" max="20" width="20.140625" customWidth="1"/>
    <col min="21" max="21" width="13.5703125" customWidth="1"/>
  </cols>
  <sheetData>
    <row r="2" spans="1:18">
      <c r="C2" s="205" t="s">
        <v>741</v>
      </c>
      <c r="D2" s="206"/>
      <c r="E2" s="206"/>
      <c r="F2" s="206"/>
      <c r="G2" s="206"/>
      <c r="H2" s="207"/>
      <c r="I2" s="26"/>
    </row>
    <row r="3" spans="1:18" ht="32.25" customHeight="1">
      <c r="A3" t="s">
        <v>38</v>
      </c>
      <c r="C3" s="198" t="s">
        <v>742</v>
      </c>
      <c r="D3" s="203" t="s">
        <v>739</v>
      </c>
      <c r="E3" s="203"/>
      <c r="F3" s="203" t="s">
        <v>738</v>
      </c>
      <c r="G3" s="203"/>
      <c r="H3" s="203"/>
      <c r="I3" s="26"/>
    </row>
    <row r="4" spans="1:18" ht="62.25" customHeight="1">
      <c r="B4">
        <v>1</v>
      </c>
      <c r="C4" s="199"/>
      <c r="D4" s="68" t="s">
        <v>740</v>
      </c>
      <c r="E4" s="112" t="s">
        <v>743</v>
      </c>
      <c r="F4" s="112" t="s">
        <v>737</v>
      </c>
      <c r="G4" s="112" t="s">
        <v>745</v>
      </c>
      <c r="H4" s="69" t="s">
        <v>746</v>
      </c>
      <c r="I4" s="26"/>
      <c r="M4" s="73" t="s">
        <v>23</v>
      </c>
      <c r="N4" s="200" t="s">
        <v>33</v>
      </c>
      <c r="O4" s="200"/>
      <c r="P4" s="200" t="s">
        <v>717</v>
      </c>
      <c r="Q4" s="200"/>
      <c r="R4" s="200"/>
    </row>
    <row r="5" spans="1:18" ht="18.75" customHeight="1">
      <c r="B5" s="10" t="s">
        <v>192</v>
      </c>
      <c r="C5" s="44" t="s">
        <v>192</v>
      </c>
      <c r="D5" s="117" t="s">
        <v>63</v>
      </c>
      <c r="E5" s="41"/>
      <c r="F5" s="27">
        <v>420577</v>
      </c>
      <c r="G5" s="113">
        <f t="shared" ref="G5:G13" si="0">F5/1000</f>
        <v>420.577</v>
      </c>
      <c r="H5" s="26"/>
      <c r="I5" s="26"/>
      <c r="M5" s="69" t="s">
        <v>39</v>
      </c>
      <c r="N5" s="68" t="s">
        <v>711</v>
      </c>
      <c r="O5" s="69" t="s">
        <v>719</v>
      </c>
      <c r="P5" s="69" t="s">
        <v>714</v>
      </c>
      <c r="Q5" s="69" t="s">
        <v>715</v>
      </c>
      <c r="R5" s="69" t="s">
        <v>716</v>
      </c>
    </row>
    <row r="6" spans="1:18">
      <c r="B6" s="10" t="s">
        <v>193</v>
      </c>
      <c r="C6" s="44" t="s">
        <v>193</v>
      </c>
      <c r="D6" s="117" t="s">
        <v>55</v>
      </c>
      <c r="E6" s="71"/>
      <c r="F6" s="27">
        <v>173281</v>
      </c>
      <c r="G6" s="113">
        <f t="shared" si="0"/>
        <v>173.28100000000001</v>
      </c>
      <c r="H6" s="26"/>
      <c r="I6" s="26"/>
      <c r="M6" s="26" t="s">
        <v>39</v>
      </c>
      <c r="N6" s="27">
        <v>9</v>
      </c>
      <c r="O6" s="71">
        <v>7</v>
      </c>
      <c r="P6" s="41">
        <v>1.06</v>
      </c>
      <c r="Q6" s="72">
        <v>1.06</v>
      </c>
      <c r="R6" s="41">
        <v>0.47</v>
      </c>
    </row>
    <row r="7" spans="1:18">
      <c r="B7" s="10" t="s">
        <v>194</v>
      </c>
      <c r="C7" s="44" t="s">
        <v>194</v>
      </c>
      <c r="D7" s="121" t="s">
        <v>57</v>
      </c>
      <c r="E7" s="41"/>
      <c r="F7" s="27">
        <v>141103</v>
      </c>
      <c r="G7" s="114">
        <f t="shared" si="0"/>
        <v>141.10300000000001</v>
      </c>
      <c r="H7" s="26"/>
      <c r="I7" s="26"/>
      <c r="M7" s="26" t="s">
        <v>40</v>
      </c>
      <c r="N7" s="27">
        <v>5</v>
      </c>
      <c r="O7" s="71">
        <v>4</v>
      </c>
      <c r="P7" s="41">
        <v>0.49</v>
      </c>
      <c r="Q7" s="72">
        <v>0.5</v>
      </c>
      <c r="R7" s="72">
        <v>0.28999999999999998</v>
      </c>
    </row>
    <row r="8" spans="1:18">
      <c r="B8" s="10" t="s">
        <v>195</v>
      </c>
      <c r="C8" s="44" t="s">
        <v>195</v>
      </c>
      <c r="D8" s="121" t="s">
        <v>56</v>
      </c>
      <c r="E8" s="41"/>
      <c r="F8" s="27">
        <v>118590</v>
      </c>
      <c r="G8" s="114">
        <f t="shared" si="0"/>
        <v>118.59</v>
      </c>
      <c r="H8" s="26"/>
      <c r="I8" s="26"/>
      <c r="M8" s="26" t="s">
        <v>41</v>
      </c>
      <c r="N8" s="27">
        <v>6</v>
      </c>
      <c r="O8" s="71">
        <f>H32</f>
        <v>4.5</v>
      </c>
      <c r="P8" s="41">
        <v>0.63</v>
      </c>
      <c r="Q8" s="72">
        <v>0.63</v>
      </c>
      <c r="R8" s="72">
        <v>0.33</v>
      </c>
    </row>
    <row r="9" spans="1:18">
      <c r="B9" s="10" t="s">
        <v>196</v>
      </c>
      <c r="C9" s="44" t="s">
        <v>196</v>
      </c>
      <c r="D9" s="121" t="s">
        <v>59</v>
      </c>
      <c r="E9" s="41"/>
      <c r="F9" s="27">
        <v>64179</v>
      </c>
      <c r="G9" s="114">
        <f t="shared" si="0"/>
        <v>64.179000000000002</v>
      </c>
      <c r="H9" s="26"/>
      <c r="I9" s="26"/>
      <c r="M9" s="31" t="s">
        <v>42</v>
      </c>
      <c r="N9" s="27">
        <v>8</v>
      </c>
      <c r="O9" s="41">
        <f>H43</f>
        <v>6</v>
      </c>
      <c r="P9" s="41">
        <v>1.47</v>
      </c>
      <c r="Q9" s="72">
        <v>1.47</v>
      </c>
      <c r="R9" s="72">
        <v>0.81</v>
      </c>
    </row>
    <row r="10" spans="1:18">
      <c r="B10" s="10" t="s">
        <v>197</v>
      </c>
      <c r="C10" s="44" t="s">
        <v>197</v>
      </c>
      <c r="D10" s="121" t="s">
        <v>58</v>
      </c>
      <c r="E10" s="41"/>
      <c r="F10" s="27">
        <v>43092</v>
      </c>
      <c r="G10" s="114">
        <f t="shared" si="0"/>
        <v>43.091999999999999</v>
      </c>
      <c r="H10" s="26"/>
      <c r="I10" s="26"/>
      <c r="J10">
        <f>0.75*9</f>
        <v>6.75</v>
      </c>
      <c r="M10" s="31" t="s">
        <v>43</v>
      </c>
      <c r="N10" s="27">
        <v>8</v>
      </c>
      <c r="O10" s="41">
        <f>H54</f>
        <v>6</v>
      </c>
      <c r="P10" s="41">
        <v>1.47</v>
      </c>
      <c r="Q10" s="72">
        <v>1.47</v>
      </c>
      <c r="R10" s="72">
        <v>0.91</v>
      </c>
    </row>
    <row r="11" spans="1:18">
      <c r="B11" s="10" t="s">
        <v>198</v>
      </c>
      <c r="C11" s="44" t="s">
        <v>198</v>
      </c>
      <c r="D11" s="121" t="s">
        <v>62</v>
      </c>
      <c r="E11" s="41"/>
      <c r="F11" s="27">
        <v>39388</v>
      </c>
      <c r="G11" s="114">
        <f t="shared" si="0"/>
        <v>39.387999999999998</v>
      </c>
      <c r="H11" s="26"/>
      <c r="I11" s="26"/>
      <c r="M11" s="31" t="s">
        <v>44</v>
      </c>
      <c r="N11" s="27">
        <v>4</v>
      </c>
      <c r="O11" s="41">
        <f>H60</f>
        <v>3</v>
      </c>
      <c r="P11" s="41">
        <v>0.54</v>
      </c>
      <c r="Q11" s="72">
        <v>0.54</v>
      </c>
      <c r="R11" s="72">
        <v>0.3</v>
      </c>
    </row>
    <row r="12" spans="1:18">
      <c r="B12" s="10" t="s">
        <v>199</v>
      </c>
      <c r="C12" s="44" t="s">
        <v>199</v>
      </c>
      <c r="D12" s="121" t="s">
        <v>60</v>
      </c>
      <c r="E12" s="41"/>
      <c r="F12" s="27">
        <v>35814</v>
      </c>
      <c r="G12" s="114">
        <f t="shared" si="0"/>
        <v>35.814</v>
      </c>
      <c r="H12" s="26"/>
      <c r="I12" s="26"/>
      <c r="M12" s="26" t="s">
        <v>718</v>
      </c>
      <c r="N12" s="41">
        <f>SUM(N6:N11)</f>
        <v>40</v>
      </c>
      <c r="O12" s="27">
        <f>SUM(O6:O11)</f>
        <v>30.5</v>
      </c>
      <c r="P12" s="27">
        <f>SUM(P6:P11)</f>
        <v>5.66</v>
      </c>
      <c r="Q12" s="72">
        <f>SUM(Q6:Q11)</f>
        <v>5.67</v>
      </c>
      <c r="R12" s="72">
        <f>SUM(R6:R11)</f>
        <v>3.11</v>
      </c>
    </row>
    <row r="13" spans="1:18">
      <c r="B13" s="10" t="s">
        <v>200</v>
      </c>
      <c r="C13" s="44" t="s">
        <v>200</v>
      </c>
      <c r="D13" s="121" t="s">
        <v>61</v>
      </c>
      <c r="E13" s="41"/>
      <c r="F13" s="27">
        <v>24527</v>
      </c>
      <c r="G13" s="114">
        <f t="shared" si="0"/>
        <v>24.527000000000001</v>
      </c>
      <c r="H13" s="26"/>
      <c r="I13" s="26"/>
      <c r="M13" s="31" t="s">
        <v>720</v>
      </c>
    </row>
    <row r="14" spans="1:18">
      <c r="C14" s="201" t="s">
        <v>744</v>
      </c>
      <c r="D14" s="201"/>
      <c r="E14" s="71">
        <f>0.75*9</f>
        <v>6.75</v>
      </c>
      <c r="F14" s="27">
        <f>SUM(F5:F13)</f>
        <v>1060551</v>
      </c>
      <c r="G14" s="71">
        <f t="shared" ref="G14:G60" si="1">F14/1000</f>
        <v>1060.5509999999999</v>
      </c>
      <c r="H14" s="115">
        <f>G14-G5-G6</f>
        <v>466.69299999999993</v>
      </c>
      <c r="I14" s="26"/>
      <c r="M14" s="31" t="s">
        <v>736</v>
      </c>
    </row>
    <row r="15" spans="1:18">
      <c r="C15" s="197" t="s">
        <v>753</v>
      </c>
      <c r="D15" s="197"/>
      <c r="E15" s="197"/>
      <c r="F15" s="197"/>
      <c r="G15" s="197"/>
      <c r="H15" s="197"/>
    </row>
    <row r="16" spans="1:18">
      <c r="D16" s="33"/>
      <c r="E16" s="35"/>
      <c r="F16" s="36"/>
      <c r="G16" s="35"/>
      <c r="H16" s="136">
        <f>0.75*C13</f>
        <v>6.75</v>
      </c>
    </row>
    <row r="17" spans="2:9">
      <c r="C17" s="33" t="s">
        <v>40</v>
      </c>
      <c r="H17" s="33">
        <f>0.75*C13</f>
        <v>6.75</v>
      </c>
    </row>
    <row r="18" spans="2:9">
      <c r="B18" s="10" t="s">
        <v>192</v>
      </c>
      <c r="C18" s="34" t="s">
        <v>192</v>
      </c>
      <c r="D18" t="s">
        <v>54</v>
      </c>
      <c r="F18" s="36">
        <v>204955</v>
      </c>
      <c r="G18" s="102">
        <f>F18/1000</f>
        <v>204.95500000000001</v>
      </c>
      <c r="H18" s="35">
        <f>G18</f>
        <v>204.95500000000001</v>
      </c>
    </row>
    <row r="19" spans="2:9">
      <c r="B19" s="10" t="s">
        <v>193</v>
      </c>
      <c r="C19" s="34" t="s">
        <v>193</v>
      </c>
      <c r="D19" t="s">
        <v>53</v>
      </c>
      <c r="F19" s="36">
        <v>91064</v>
      </c>
      <c r="G19" s="103">
        <f>F19/1000</f>
        <v>91.063999999999993</v>
      </c>
    </row>
    <row r="20" spans="2:9">
      <c r="B20" s="10" t="s">
        <v>194</v>
      </c>
      <c r="C20" s="34" t="s">
        <v>194</v>
      </c>
      <c r="D20" t="s">
        <v>50</v>
      </c>
      <c r="F20" s="36">
        <v>90171</v>
      </c>
      <c r="G20" s="103">
        <f>F20/1000</f>
        <v>90.171000000000006</v>
      </c>
    </row>
    <row r="21" spans="2:9">
      <c r="B21" s="10" t="s">
        <v>195</v>
      </c>
      <c r="C21" s="34" t="s">
        <v>195</v>
      </c>
      <c r="D21" t="s">
        <v>51</v>
      </c>
      <c r="F21" s="36">
        <v>66655</v>
      </c>
      <c r="G21" s="103">
        <f>F21/1000</f>
        <v>66.655000000000001</v>
      </c>
    </row>
    <row r="22" spans="2:9">
      <c r="B22" s="10" t="s">
        <v>196</v>
      </c>
      <c r="C22" s="34" t="s">
        <v>196</v>
      </c>
      <c r="D22" t="s">
        <v>52</v>
      </c>
      <c r="F22" s="36">
        <v>45561</v>
      </c>
      <c r="G22" s="103">
        <f>F22/1000</f>
        <v>45.561</v>
      </c>
    </row>
    <row r="23" spans="2:9">
      <c r="D23">
        <v>0.49</v>
      </c>
      <c r="F23" s="36">
        <f>SUM(F18:F22)</f>
        <v>498406</v>
      </c>
      <c r="G23" s="35">
        <f t="shared" si="1"/>
        <v>498.40600000000001</v>
      </c>
      <c r="H23" s="132">
        <f>0.75*5</f>
        <v>3.75</v>
      </c>
      <c r="I23" s="47">
        <f>G23-G18</f>
        <v>293.45100000000002</v>
      </c>
    </row>
    <row r="24" spans="2:9">
      <c r="F24" s="36"/>
      <c r="G24" s="35"/>
      <c r="H24" s="62">
        <f>0.75*C22</f>
        <v>3.75</v>
      </c>
      <c r="I24" s="14"/>
    </row>
    <row r="25" spans="2:9">
      <c r="C25" s="33" t="s">
        <v>41</v>
      </c>
    </row>
    <row r="26" spans="2:9">
      <c r="B26" s="10" t="s">
        <v>192</v>
      </c>
      <c r="C26" s="34" t="s">
        <v>192</v>
      </c>
      <c r="D26" t="s">
        <v>665</v>
      </c>
      <c r="F26" s="36">
        <v>298742</v>
      </c>
      <c r="G26" s="102">
        <f t="shared" ref="G26:G31" si="2">F26/1000</f>
        <v>298.74200000000002</v>
      </c>
      <c r="H26" s="35">
        <f>G26</f>
        <v>298.74200000000002</v>
      </c>
    </row>
    <row r="27" spans="2:9">
      <c r="B27" s="10" t="s">
        <v>193</v>
      </c>
      <c r="C27" s="34" t="s">
        <v>193</v>
      </c>
      <c r="D27" t="s">
        <v>46</v>
      </c>
      <c r="F27" s="36">
        <v>123136</v>
      </c>
      <c r="G27" s="103">
        <f t="shared" si="2"/>
        <v>123.136</v>
      </c>
    </row>
    <row r="28" spans="2:9">
      <c r="B28" s="10" t="s">
        <v>194</v>
      </c>
      <c r="C28" s="34" t="s">
        <v>194</v>
      </c>
      <c r="D28" t="s">
        <v>45</v>
      </c>
      <c r="F28" s="36">
        <v>70061</v>
      </c>
      <c r="G28" s="103">
        <f t="shared" si="2"/>
        <v>70.061000000000007</v>
      </c>
    </row>
    <row r="29" spans="2:9">
      <c r="B29" s="10" t="s">
        <v>195</v>
      </c>
      <c r="C29" s="34" t="s">
        <v>195</v>
      </c>
      <c r="D29" t="s">
        <v>47</v>
      </c>
      <c r="F29" s="36">
        <v>56292</v>
      </c>
      <c r="G29" s="103">
        <f t="shared" si="2"/>
        <v>56.292000000000002</v>
      </c>
    </row>
    <row r="30" spans="2:9">
      <c r="B30" s="10" t="s">
        <v>196</v>
      </c>
      <c r="C30" s="34" t="s">
        <v>196</v>
      </c>
      <c r="D30" t="s">
        <v>48</v>
      </c>
      <c r="F30" s="36">
        <v>47542</v>
      </c>
      <c r="G30" s="103">
        <f t="shared" si="2"/>
        <v>47.542000000000002</v>
      </c>
    </row>
    <row r="31" spans="2:9">
      <c r="B31" s="10" t="s">
        <v>197</v>
      </c>
      <c r="C31" s="34" t="s">
        <v>197</v>
      </c>
      <c r="D31" t="s">
        <v>49</v>
      </c>
      <c r="F31" s="36">
        <v>31354</v>
      </c>
      <c r="G31" s="103">
        <f t="shared" si="2"/>
        <v>31.353999999999999</v>
      </c>
    </row>
    <row r="32" spans="2:9">
      <c r="D32">
        <v>0.63</v>
      </c>
      <c r="F32" s="36">
        <f>SUM(F26:F31)</f>
        <v>627127</v>
      </c>
      <c r="G32" s="35">
        <f t="shared" si="1"/>
        <v>627.12699999999995</v>
      </c>
      <c r="H32" s="132">
        <f>0.75*6</f>
        <v>4.5</v>
      </c>
      <c r="I32" s="47">
        <f>G32-G26</f>
        <v>328.38499999999993</v>
      </c>
    </row>
    <row r="33" spans="2:9">
      <c r="F33" s="36"/>
      <c r="G33" s="35"/>
      <c r="H33" s="62">
        <f>0.75*C31</f>
        <v>4.5</v>
      </c>
      <c r="I33" s="14"/>
    </row>
    <row r="34" spans="2:9">
      <c r="C34" s="33" t="s">
        <v>42</v>
      </c>
    </row>
    <row r="35" spans="2:9">
      <c r="B35" s="10" t="s">
        <v>192</v>
      </c>
      <c r="C35" s="34" t="s">
        <v>192</v>
      </c>
      <c r="D35" t="s">
        <v>74</v>
      </c>
      <c r="F35" s="36">
        <v>372400</v>
      </c>
      <c r="G35" s="104">
        <f t="shared" ref="G35:G42" si="3">F35/1000</f>
        <v>372.4</v>
      </c>
    </row>
    <row r="36" spans="2:9">
      <c r="B36" s="10" t="s">
        <v>193</v>
      </c>
      <c r="C36" s="34" t="s">
        <v>193</v>
      </c>
      <c r="D36" t="s">
        <v>69</v>
      </c>
      <c r="F36" s="36">
        <v>281090</v>
      </c>
      <c r="G36" s="104">
        <f t="shared" si="3"/>
        <v>281.08999999999997</v>
      </c>
      <c r="H36" s="35">
        <f>G36+G35</f>
        <v>653.49</v>
      </c>
    </row>
    <row r="37" spans="2:9">
      <c r="B37" s="10" t="s">
        <v>194</v>
      </c>
      <c r="C37" s="34" t="s">
        <v>194</v>
      </c>
      <c r="D37" t="s">
        <v>71</v>
      </c>
      <c r="F37" s="36">
        <v>246380</v>
      </c>
      <c r="G37" s="103">
        <f t="shared" si="3"/>
        <v>246.38</v>
      </c>
    </row>
    <row r="38" spans="2:9">
      <c r="B38" s="10" t="s">
        <v>195</v>
      </c>
      <c r="C38" s="34" t="s">
        <v>195</v>
      </c>
      <c r="D38" t="s">
        <v>70</v>
      </c>
      <c r="F38" s="36">
        <v>208540</v>
      </c>
      <c r="G38" s="103">
        <f t="shared" si="3"/>
        <v>208.54</v>
      </c>
    </row>
    <row r="39" spans="2:9">
      <c r="B39" s="10" t="s">
        <v>196</v>
      </c>
      <c r="C39" s="34" t="s">
        <v>196</v>
      </c>
      <c r="D39" t="s">
        <v>68</v>
      </c>
      <c r="F39" s="36">
        <v>113340</v>
      </c>
      <c r="G39" s="103">
        <f t="shared" si="3"/>
        <v>113.34</v>
      </c>
    </row>
    <row r="40" spans="2:9">
      <c r="B40" s="10" t="s">
        <v>197</v>
      </c>
      <c r="C40" s="34" t="s">
        <v>197</v>
      </c>
      <c r="D40" t="s">
        <v>73</v>
      </c>
      <c r="F40" s="36">
        <v>108340</v>
      </c>
      <c r="G40" s="103">
        <f t="shared" si="3"/>
        <v>108.34</v>
      </c>
    </row>
    <row r="41" spans="2:9">
      <c r="B41" s="10" t="s">
        <v>198</v>
      </c>
      <c r="C41" s="34" t="s">
        <v>198</v>
      </c>
      <c r="D41" t="s">
        <v>75</v>
      </c>
      <c r="F41" s="36">
        <v>83330</v>
      </c>
      <c r="G41" s="103">
        <f t="shared" si="3"/>
        <v>83.33</v>
      </c>
    </row>
    <row r="42" spans="2:9">
      <c r="B42" s="10" t="s">
        <v>199</v>
      </c>
      <c r="C42" s="34" t="s">
        <v>199</v>
      </c>
      <c r="D42" t="s">
        <v>72</v>
      </c>
      <c r="F42" s="36">
        <v>53630</v>
      </c>
      <c r="G42" s="103">
        <f t="shared" si="3"/>
        <v>53.63</v>
      </c>
    </row>
    <row r="43" spans="2:9">
      <c r="D43">
        <v>1.47</v>
      </c>
      <c r="F43" s="36">
        <f>SUM(F35:F42)</f>
        <v>1467050</v>
      </c>
      <c r="G43" s="35">
        <f t="shared" si="1"/>
        <v>1467.05</v>
      </c>
      <c r="H43" s="133">
        <f>0.75*8</f>
        <v>6</v>
      </c>
      <c r="I43" s="47">
        <f>G43-G35-G36</f>
        <v>813.56000000000017</v>
      </c>
    </row>
    <row r="44" spans="2:9">
      <c r="F44" s="36"/>
      <c r="G44" s="35"/>
      <c r="H44" s="62">
        <f>0.75*C42</f>
        <v>6</v>
      </c>
      <c r="I44" s="14"/>
    </row>
    <row r="45" spans="2:9">
      <c r="C45" s="33" t="s">
        <v>43</v>
      </c>
    </row>
    <row r="46" spans="2:9">
      <c r="B46" s="10" t="s">
        <v>192</v>
      </c>
      <c r="C46" s="34" t="s">
        <v>192</v>
      </c>
      <c r="D46" t="s">
        <v>76</v>
      </c>
      <c r="F46" s="36">
        <v>327780</v>
      </c>
      <c r="G46" s="104">
        <f t="shared" ref="G46:G53" si="4">F46/1000</f>
        <v>327.78</v>
      </c>
    </row>
    <row r="47" spans="2:9">
      <c r="B47" s="10" t="s">
        <v>193</v>
      </c>
      <c r="C47" s="34" t="s">
        <v>193</v>
      </c>
      <c r="D47" t="s">
        <v>80</v>
      </c>
      <c r="F47" s="36">
        <v>236530</v>
      </c>
      <c r="G47" s="104">
        <f t="shared" si="4"/>
        <v>236.53</v>
      </c>
      <c r="H47" s="35">
        <f>G46+G47</f>
        <v>564.30999999999995</v>
      </c>
    </row>
    <row r="48" spans="2:9">
      <c r="B48" s="10" t="s">
        <v>194</v>
      </c>
      <c r="C48" s="34" t="s">
        <v>194</v>
      </c>
      <c r="D48" t="s">
        <v>83</v>
      </c>
      <c r="F48" s="36">
        <v>236053</v>
      </c>
      <c r="G48" s="103">
        <f t="shared" si="4"/>
        <v>236.053</v>
      </c>
    </row>
    <row r="49" spans="2:13">
      <c r="B49" s="10" t="s">
        <v>195</v>
      </c>
      <c r="C49" s="34" t="s">
        <v>195</v>
      </c>
      <c r="D49" t="s">
        <v>79</v>
      </c>
      <c r="F49" s="36">
        <v>175360</v>
      </c>
      <c r="G49" s="103">
        <f t="shared" si="4"/>
        <v>175.36</v>
      </c>
    </row>
    <row r="50" spans="2:13">
      <c r="B50" s="10" t="s">
        <v>196</v>
      </c>
      <c r="C50" s="34" t="s">
        <v>196</v>
      </c>
      <c r="D50" t="s">
        <v>81</v>
      </c>
      <c r="F50" s="36">
        <v>143385</v>
      </c>
      <c r="G50" s="103">
        <f t="shared" si="4"/>
        <v>143.38499999999999</v>
      </c>
    </row>
    <row r="51" spans="2:13">
      <c r="B51" s="10" t="s">
        <v>197</v>
      </c>
      <c r="C51" s="34" t="s">
        <v>197</v>
      </c>
      <c r="D51" t="s">
        <v>77</v>
      </c>
      <c r="F51" s="36">
        <v>125180</v>
      </c>
      <c r="G51" s="103">
        <f t="shared" si="4"/>
        <v>125.18</v>
      </c>
    </row>
    <row r="52" spans="2:13">
      <c r="B52" s="10" t="s">
        <v>198</v>
      </c>
      <c r="C52" s="34" t="s">
        <v>198</v>
      </c>
      <c r="D52" t="s">
        <v>82</v>
      </c>
      <c r="F52" s="36">
        <v>122590</v>
      </c>
      <c r="G52" s="103">
        <f t="shared" si="4"/>
        <v>122.59</v>
      </c>
    </row>
    <row r="53" spans="2:13">
      <c r="B53" s="10" t="s">
        <v>199</v>
      </c>
      <c r="C53" s="34" t="s">
        <v>199</v>
      </c>
      <c r="D53" t="s">
        <v>78</v>
      </c>
      <c r="F53" s="36">
        <v>106050</v>
      </c>
      <c r="G53" s="103">
        <f t="shared" si="4"/>
        <v>106.05</v>
      </c>
    </row>
    <row r="54" spans="2:13">
      <c r="D54">
        <v>1.47</v>
      </c>
      <c r="F54" s="36">
        <f>SUM(F46:F53)</f>
        <v>1472928</v>
      </c>
      <c r="G54" s="35">
        <f t="shared" si="1"/>
        <v>1472.9280000000001</v>
      </c>
      <c r="H54" s="133">
        <f>0.75*8</f>
        <v>6</v>
      </c>
      <c r="I54" s="47">
        <f>G54-H47</f>
        <v>908.61800000000017</v>
      </c>
      <c r="L54" s="9"/>
    </row>
    <row r="55" spans="2:13">
      <c r="C55" s="33" t="s">
        <v>44</v>
      </c>
      <c r="L55" s="9"/>
    </row>
    <row r="56" spans="2:13">
      <c r="B56" s="10" t="s">
        <v>192</v>
      </c>
      <c r="C56" s="34" t="s">
        <v>192</v>
      </c>
      <c r="D56" t="s">
        <v>64</v>
      </c>
      <c r="F56" s="36">
        <v>239400</v>
      </c>
      <c r="G56" s="104">
        <f>F56/1000</f>
        <v>239.4</v>
      </c>
      <c r="L56" s="9"/>
    </row>
    <row r="57" spans="2:13">
      <c r="B57" s="10" t="s">
        <v>193</v>
      </c>
      <c r="C57" s="34" t="s">
        <v>193</v>
      </c>
      <c r="D57" t="s">
        <v>67</v>
      </c>
      <c r="F57" s="36">
        <v>118530</v>
      </c>
      <c r="G57" s="103">
        <f>F57/1000</f>
        <v>118.53</v>
      </c>
      <c r="L57" s="45" t="str">
        <f>D61</f>
        <v>SELURUH PAPUA</v>
      </c>
      <c r="M57" t="s">
        <v>660</v>
      </c>
    </row>
    <row r="58" spans="2:13">
      <c r="B58" s="10" t="s">
        <v>194</v>
      </c>
      <c r="C58" s="34" t="s">
        <v>194</v>
      </c>
      <c r="D58" t="s">
        <v>66</v>
      </c>
      <c r="F58" s="36">
        <v>115110</v>
      </c>
      <c r="G58" s="103">
        <f>F58/1000</f>
        <v>115.11</v>
      </c>
      <c r="K58" s="14">
        <f>G54-G46-G47</f>
        <v>908.61800000000017</v>
      </c>
      <c r="L58" s="34" t="s">
        <v>43</v>
      </c>
      <c r="M58" s="9">
        <v>908.61800000000017</v>
      </c>
    </row>
    <row r="59" spans="2:13">
      <c r="B59" s="10" t="s">
        <v>195</v>
      </c>
      <c r="C59" s="34" t="s">
        <v>195</v>
      </c>
      <c r="D59" t="s">
        <v>65</v>
      </c>
      <c r="F59" s="36">
        <v>69040</v>
      </c>
      <c r="G59" s="103">
        <f>F59/1000</f>
        <v>69.040000000000006</v>
      </c>
      <c r="L59" s="34" t="s">
        <v>42</v>
      </c>
      <c r="M59" s="9">
        <v>813.56000000000017</v>
      </c>
    </row>
    <row r="60" spans="2:13">
      <c r="D60">
        <v>0.54</v>
      </c>
      <c r="F60" s="36">
        <f>SUM(F56:F59)</f>
        <v>542080</v>
      </c>
      <c r="G60" s="35">
        <f t="shared" si="1"/>
        <v>542.08000000000004</v>
      </c>
      <c r="H60" s="133">
        <f>0.75*4</f>
        <v>3</v>
      </c>
      <c r="I60" s="47">
        <f>G60-G56</f>
        <v>302.68000000000006</v>
      </c>
      <c r="L60" s="34" t="s">
        <v>39</v>
      </c>
      <c r="M60" s="9">
        <v>466.69299999999993</v>
      </c>
    </row>
    <row r="61" spans="2:13">
      <c r="C61" s="33">
        <f>C59+C53+C42+C31+C22+C13</f>
        <v>40</v>
      </c>
      <c r="D61" s="63" t="s">
        <v>645</v>
      </c>
      <c r="E61" s="63"/>
      <c r="F61" s="36"/>
      <c r="G61" s="35"/>
      <c r="H61" s="59">
        <f>H60+H54+H43+H32+H23+H16</f>
        <v>30</v>
      </c>
      <c r="I61" s="14"/>
      <c r="J61" s="46">
        <f>I60+K58+I43+I32+I23+H14</f>
        <v>3113.3870000000002</v>
      </c>
      <c r="L61" s="34" t="s">
        <v>41</v>
      </c>
      <c r="M61" s="9">
        <v>328.38499999999993</v>
      </c>
    </row>
    <row r="62" spans="2:13">
      <c r="F62" s="36"/>
      <c r="G62" s="35"/>
      <c r="H62" s="35"/>
      <c r="I62" s="14"/>
      <c r="J62" s="9"/>
      <c r="L62" s="34" t="s">
        <v>44</v>
      </c>
      <c r="M62" s="9">
        <v>302.68000000000006</v>
      </c>
    </row>
    <row r="63" spans="2:13">
      <c r="F63" s="36"/>
      <c r="G63" s="35"/>
      <c r="H63" s="35"/>
      <c r="I63" s="14"/>
      <c r="J63" s="9"/>
      <c r="L63" s="34" t="s">
        <v>709</v>
      </c>
      <c r="M63" s="9">
        <v>293.45100000000002</v>
      </c>
    </row>
    <row r="64" spans="2:13">
      <c r="F64" s="36"/>
      <c r="G64" s="35"/>
      <c r="H64" s="35"/>
      <c r="I64" s="14"/>
      <c r="J64" s="9"/>
      <c r="M64" s="64">
        <f>SUM(M58:M63)</f>
        <v>3113.3869999999997</v>
      </c>
    </row>
    <row r="65" spans="2:18">
      <c r="F65" s="36"/>
      <c r="G65" s="35"/>
      <c r="H65" s="35"/>
      <c r="I65" s="14"/>
      <c r="J65" s="9"/>
      <c r="M65" s="9"/>
    </row>
    <row r="66" spans="2:18">
      <c r="C66" s="33" t="s">
        <v>84</v>
      </c>
    </row>
    <row r="68" spans="2:18">
      <c r="C68" s="33" t="s">
        <v>85</v>
      </c>
      <c r="M68" s="26" t="s">
        <v>23</v>
      </c>
      <c r="N68" s="26" t="s">
        <v>33</v>
      </c>
      <c r="O68" s="26"/>
      <c r="P68" s="201" t="s">
        <v>717</v>
      </c>
      <c r="Q68" s="201"/>
      <c r="R68" s="201"/>
    </row>
    <row r="69" spans="2:18" ht="81" customHeight="1">
      <c r="B69" s="10" t="s">
        <v>192</v>
      </c>
      <c r="C69" s="34" t="s">
        <v>192</v>
      </c>
      <c r="D69" t="s">
        <v>89</v>
      </c>
      <c r="F69" s="36">
        <v>255800</v>
      </c>
      <c r="G69" s="104">
        <f t="shared" ref="G69:G78" si="5">F69/1000</f>
        <v>255.8</v>
      </c>
      <c r="M69" s="68" t="s">
        <v>96</v>
      </c>
      <c r="N69" s="68" t="s">
        <v>711</v>
      </c>
      <c r="O69" s="69" t="s">
        <v>719</v>
      </c>
      <c r="P69" s="69" t="s">
        <v>714</v>
      </c>
      <c r="Q69" s="69" t="s">
        <v>715</v>
      </c>
      <c r="R69" s="69" t="s">
        <v>728</v>
      </c>
    </row>
    <row r="70" spans="2:18">
      <c r="B70" s="10" t="s">
        <v>193</v>
      </c>
      <c r="C70" s="34" t="s">
        <v>193</v>
      </c>
      <c r="D70" t="s">
        <v>94</v>
      </c>
      <c r="F70" s="36">
        <v>206700</v>
      </c>
      <c r="G70" s="104">
        <f t="shared" si="5"/>
        <v>206.7</v>
      </c>
      <c r="H70" s="35">
        <f>G69+G70</f>
        <v>462.5</v>
      </c>
      <c r="M70" s="26" t="s">
        <v>85</v>
      </c>
      <c r="N70" s="41">
        <v>10</v>
      </c>
      <c r="O70" s="71">
        <f>H79</f>
        <v>7.5</v>
      </c>
      <c r="P70" s="72">
        <v>1.32</v>
      </c>
      <c r="Q70" s="41">
        <v>1.32</v>
      </c>
      <c r="R70" s="41">
        <v>0.86</v>
      </c>
    </row>
    <row r="71" spans="2:18">
      <c r="B71" s="10" t="s">
        <v>194</v>
      </c>
      <c r="C71" s="34" t="s">
        <v>194</v>
      </c>
      <c r="D71" t="s">
        <v>90</v>
      </c>
      <c r="F71" s="36">
        <v>202800</v>
      </c>
      <c r="G71" s="103">
        <f t="shared" si="5"/>
        <v>202.8</v>
      </c>
      <c r="M71" s="26" t="s">
        <v>729</v>
      </c>
      <c r="N71" s="41">
        <v>11</v>
      </c>
      <c r="O71" s="71">
        <f>H92</f>
        <v>8.25</v>
      </c>
      <c r="P71" s="72">
        <v>1.95</v>
      </c>
      <c r="Q71" s="41">
        <v>1.95</v>
      </c>
      <c r="R71" s="41">
        <v>0.92</v>
      </c>
    </row>
    <row r="72" spans="2:18">
      <c r="B72" s="10" t="s">
        <v>195</v>
      </c>
      <c r="C72" s="34" t="s">
        <v>195</v>
      </c>
      <c r="D72" t="s">
        <v>86</v>
      </c>
      <c r="F72" s="36">
        <v>137500</v>
      </c>
      <c r="G72" s="103">
        <f t="shared" si="5"/>
        <v>137.5</v>
      </c>
      <c r="M72" s="26" t="s">
        <v>718</v>
      </c>
      <c r="N72" s="41">
        <f>SUM(N70:N71)</f>
        <v>21</v>
      </c>
      <c r="O72" s="71">
        <f>SUM(O70:O71)</f>
        <v>15.75</v>
      </c>
      <c r="P72" s="72">
        <f>SUM(P70:P71)</f>
        <v>3.27</v>
      </c>
      <c r="Q72" s="41">
        <f>SUM(Q70:Q71)</f>
        <v>3.27</v>
      </c>
      <c r="R72" s="41">
        <f>SUM(R70:R71)</f>
        <v>1.78</v>
      </c>
    </row>
    <row r="73" spans="2:18">
      <c r="B73" s="10" t="s">
        <v>196</v>
      </c>
      <c r="C73" s="34" t="s">
        <v>196</v>
      </c>
      <c r="D73" t="s">
        <v>95</v>
      </c>
      <c r="F73" s="36">
        <v>118200</v>
      </c>
      <c r="G73" s="103">
        <f t="shared" si="5"/>
        <v>118.2</v>
      </c>
      <c r="M73" t="s">
        <v>720</v>
      </c>
    </row>
    <row r="74" spans="2:18">
      <c r="B74" s="10" t="s">
        <v>197</v>
      </c>
      <c r="C74" s="34" t="s">
        <v>197</v>
      </c>
      <c r="D74" t="s">
        <v>88</v>
      </c>
      <c r="F74" s="36">
        <v>106800</v>
      </c>
      <c r="G74" s="103">
        <f t="shared" si="5"/>
        <v>106.8</v>
      </c>
    </row>
    <row r="75" spans="2:18">
      <c r="B75" s="10" t="s">
        <v>198</v>
      </c>
      <c r="C75" s="34" t="s">
        <v>198</v>
      </c>
      <c r="D75" t="s">
        <v>91</v>
      </c>
      <c r="F75" s="36">
        <v>94500</v>
      </c>
      <c r="G75" s="103">
        <f t="shared" si="5"/>
        <v>94.5</v>
      </c>
    </row>
    <row r="76" spans="2:18">
      <c r="B76" s="10" t="s">
        <v>199</v>
      </c>
      <c r="C76" s="34" t="s">
        <v>199</v>
      </c>
      <c r="D76" t="s">
        <v>92</v>
      </c>
      <c r="F76" s="36">
        <v>78300</v>
      </c>
      <c r="G76" s="103">
        <f t="shared" si="5"/>
        <v>78.3</v>
      </c>
    </row>
    <row r="77" spans="2:18">
      <c r="B77" s="10" t="s">
        <v>200</v>
      </c>
      <c r="C77" s="34" t="s">
        <v>200</v>
      </c>
      <c r="D77" t="s">
        <v>93</v>
      </c>
      <c r="F77" s="36">
        <v>59600</v>
      </c>
      <c r="G77" s="103">
        <f t="shared" si="5"/>
        <v>59.6</v>
      </c>
    </row>
    <row r="78" spans="2:18">
      <c r="B78" s="10" t="s">
        <v>201</v>
      </c>
      <c r="C78" s="34" t="s">
        <v>201</v>
      </c>
      <c r="D78" t="s">
        <v>87</v>
      </c>
      <c r="F78" s="36">
        <v>59100</v>
      </c>
      <c r="G78" s="103">
        <f t="shared" si="5"/>
        <v>59.1</v>
      </c>
    </row>
    <row r="79" spans="2:18">
      <c r="F79" s="36">
        <f>SUM(F69:F78)</f>
        <v>1319300</v>
      </c>
      <c r="G79" s="35">
        <f t="shared" ref="G79:G92" si="6">F79/1000</f>
        <v>1319.3</v>
      </c>
      <c r="H79" s="132">
        <f>0.75*10</f>
        <v>7.5</v>
      </c>
      <c r="I79" s="47">
        <f>G79-G69-G70</f>
        <v>856.8</v>
      </c>
    </row>
    <row r="80" spans="2:18">
      <c r="C80" s="33" t="s">
        <v>96</v>
      </c>
    </row>
    <row r="81" spans="2:18">
      <c r="B81" s="10" t="s">
        <v>192</v>
      </c>
      <c r="C81" s="34" t="s">
        <v>192</v>
      </c>
      <c r="D81" t="s">
        <v>99</v>
      </c>
      <c r="F81" s="36">
        <v>440848</v>
      </c>
      <c r="G81" s="104">
        <f t="shared" ref="G81:G91" si="7">F81/1000</f>
        <v>440.84800000000001</v>
      </c>
    </row>
    <row r="82" spans="2:18">
      <c r="B82" s="10" t="s">
        <v>193</v>
      </c>
      <c r="C82" s="34" t="s">
        <v>193</v>
      </c>
      <c r="D82" t="s">
        <v>106</v>
      </c>
      <c r="F82" s="36">
        <v>362639</v>
      </c>
      <c r="G82" s="104">
        <f t="shared" si="7"/>
        <v>362.63900000000001</v>
      </c>
    </row>
    <row r="83" spans="2:18">
      <c r="B83" s="10" t="s">
        <v>194</v>
      </c>
      <c r="C83" s="34" t="s">
        <v>194</v>
      </c>
      <c r="D83" t="s">
        <v>102</v>
      </c>
      <c r="F83" s="36">
        <v>226044</v>
      </c>
      <c r="G83" s="104">
        <f t="shared" si="7"/>
        <v>226.04400000000001</v>
      </c>
      <c r="H83" s="35">
        <f>SUM(G81:G83)</f>
        <v>1029.5310000000002</v>
      </c>
    </row>
    <row r="84" spans="2:18">
      <c r="B84" s="10" t="s">
        <v>195</v>
      </c>
      <c r="C84" s="34" t="s">
        <v>195</v>
      </c>
      <c r="D84" t="s">
        <v>103</v>
      </c>
      <c r="F84" s="36">
        <v>147139</v>
      </c>
      <c r="G84" s="103">
        <f t="shared" si="7"/>
        <v>147.13900000000001</v>
      </c>
    </row>
    <row r="85" spans="2:18">
      <c r="B85" s="10" t="s">
        <v>196</v>
      </c>
      <c r="C85" s="34" t="s">
        <v>196</v>
      </c>
      <c r="D85" t="s">
        <v>100</v>
      </c>
      <c r="F85" s="36">
        <v>142304</v>
      </c>
      <c r="G85" s="103">
        <f t="shared" si="7"/>
        <v>142.304</v>
      </c>
    </row>
    <row r="86" spans="2:18">
      <c r="B86" s="10" t="s">
        <v>197</v>
      </c>
      <c r="C86" s="34" t="s">
        <v>197</v>
      </c>
      <c r="D86" t="s">
        <v>97</v>
      </c>
      <c r="F86" s="36">
        <v>130487</v>
      </c>
      <c r="G86" s="103">
        <f t="shared" si="7"/>
        <v>130.48699999999999</v>
      </c>
    </row>
    <row r="87" spans="2:18">
      <c r="B87" s="10" t="s">
        <v>198</v>
      </c>
      <c r="C87" s="34" t="s">
        <v>198</v>
      </c>
      <c r="D87" t="s">
        <v>98</v>
      </c>
      <c r="F87" s="36">
        <v>126245</v>
      </c>
      <c r="G87" s="103">
        <f t="shared" si="7"/>
        <v>126.245</v>
      </c>
    </row>
    <row r="88" spans="2:18">
      <c r="B88" s="10" t="s">
        <v>199</v>
      </c>
      <c r="C88" s="34" t="s">
        <v>199</v>
      </c>
      <c r="D88" t="s">
        <v>101</v>
      </c>
      <c r="F88" s="36">
        <v>109159</v>
      </c>
      <c r="G88" s="103">
        <f t="shared" si="7"/>
        <v>109.15900000000001</v>
      </c>
    </row>
    <row r="89" spans="2:18">
      <c r="B89" s="10" t="s">
        <v>200</v>
      </c>
      <c r="C89" s="34" t="s">
        <v>200</v>
      </c>
      <c r="D89" t="s">
        <v>107</v>
      </c>
      <c r="F89" s="36">
        <v>92744</v>
      </c>
      <c r="G89" s="103">
        <f t="shared" si="7"/>
        <v>92.744</v>
      </c>
    </row>
    <row r="90" spans="2:18">
      <c r="B90" s="10" t="s">
        <v>201</v>
      </c>
      <c r="C90" s="34" t="s">
        <v>201</v>
      </c>
      <c r="D90" t="s">
        <v>104</v>
      </c>
      <c r="F90" s="36">
        <v>87197</v>
      </c>
      <c r="G90" s="103">
        <f t="shared" si="7"/>
        <v>87.197000000000003</v>
      </c>
    </row>
    <row r="91" spans="2:18">
      <c r="B91" s="10" t="s">
        <v>202</v>
      </c>
      <c r="C91" s="34" t="s">
        <v>202</v>
      </c>
      <c r="D91" t="s">
        <v>105</v>
      </c>
      <c r="F91" s="36">
        <v>80842</v>
      </c>
      <c r="G91" s="103">
        <f t="shared" si="7"/>
        <v>80.841999999999999</v>
      </c>
    </row>
    <row r="92" spans="2:18">
      <c r="F92" s="36">
        <f>SUM(F81:F91)</f>
        <v>1945648</v>
      </c>
      <c r="G92" s="35">
        <f t="shared" si="6"/>
        <v>1945.6479999999999</v>
      </c>
      <c r="H92" s="132">
        <f>0.75*11</f>
        <v>8.25</v>
      </c>
      <c r="I92" s="47">
        <f>G92-G81-G82-G83</f>
        <v>916.11700000000008</v>
      </c>
    </row>
    <row r="93" spans="2:18">
      <c r="C93" s="33">
        <f>C91+C78</f>
        <v>21</v>
      </c>
      <c r="D93" s="21" t="s">
        <v>646</v>
      </c>
      <c r="E93" s="21"/>
      <c r="H93" s="59">
        <f>H92+H79</f>
        <v>15.75</v>
      </c>
      <c r="J93" s="46">
        <f>I79+I92</f>
        <v>1772.9169999999999</v>
      </c>
    </row>
    <row r="94" spans="2:18">
      <c r="D94" s="21"/>
      <c r="E94" s="21"/>
      <c r="H94" s="59"/>
      <c r="J94" s="46"/>
      <c r="M94" s="73" t="s">
        <v>23</v>
      </c>
      <c r="N94" s="200" t="s">
        <v>33</v>
      </c>
      <c r="O94" s="200"/>
      <c r="P94" s="200" t="s">
        <v>717</v>
      </c>
      <c r="Q94" s="200"/>
      <c r="R94" s="200"/>
    </row>
    <row r="95" spans="2:18" ht="75">
      <c r="C95" s="40" t="s">
        <v>108</v>
      </c>
      <c r="M95" s="69" t="s">
        <v>721</v>
      </c>
      <c r="N95" s="68" t="s">
        <v>711</v>
      </c>
      <c r="O95" s="69" t="s">
        <v>719</v>
      </c>
      <c r="P95" s="69" t="s">
        <v>714</v>
      </c>
      <c r="Q95" s="69" t="s">
        <v>715</v>
      </c>
      <c r="R95" s="69" t="s">
        <v>716</v>
      </c>
    </row>
    <row r="96" spans="2:18">
      <c r="M96" s="26" t="s">
        <v>722</v>
      </c>
      <c r="N96" s="27">
        <v>15</v>
      </c>
      <c r="O96" s="71">
        <f>0.75*N96</f>
        <v>11.25</v>
      </c>
      <c r="P96" s="72">
        <v>2.7</v>
      </c>
      <c r="Q96" s="72">
        <v>2.7</v>
      </c>
      <c r="R96" s="72">
        <v>1.39</v>
      </c>
    </row>
    <row r="97" spans="2:18">
      <c r="B97" s="10" t="s">
        <v>192</v>
      </c>
      <c r="C97" t="s">
        <v>109</v>
      </c>
      <c r="M97" s="26" t="s">
        <v>723</v>
      </c>
      <c r="N97" s="27">
        <v>17</v>
      </c>
      <c r="O97" s="71">
        <f t="shared" ref="O97:O101" si="8">0.75*N97</f>
        <v>12.75</v>
      </c>
      <c r="P97" s="72">
        <v>2.79</v>
      </c>
      <c r="Q97" s="72">
        <v>2.79</v>
      </c>
      <c r="R97" s="72">
        <v>1.57</v>
      </c>
    </row>
    <row r="98" spans="2:18">
      <c r="C98" s="34" t="s">
        <v>192</v>
      </c>
      <c r="D98" t="s">
        <v>121</v>
      </c>
      <c r="F98" s="80">
        <v>460430</v>
      </c>
      <c r="G98" s="104">
        <f t="shared" ref="G98:G112" si="9">F98/1000</f>
        <v>460.43</v>
      </c>
      <c r="M98" s="26" t="s">
        <v>724</v>
      </c>
      <c r="N98" s="27">
        <v>6</v>
      </c>
      <c r="O98" s="71">
        <f t="shared" si="8"/>
        <v>4.5</v>
      </c>
      <c r="P98" s="72">
        <v>1.5</v>
      </c>
      <c r="Q98" s="72">
        <v>1.5</v>
      </c>
      <c r="R98" s="72">
        <v>1</v>
      </c>
    </row>
    <row r="99" spans="2:18">
      <c r="C99" s="34" t="s">
        <v>193</v>
      </c>
      <c r="D99" t="s">
        <v>110</v>
      </c>
      <c r="F99" s="80">
        <v>353540</v>
      </c>
      <c r="G99" s="104">
        <f t="shared" si="9"/>
        <v>353.54</v>
      </c>
      <c r="M99" s="31" t="s">
        <v>725</v>
      </c>
      <c r="N99" s="27">
        <v>12</v>
      </c>
      <c r="O99" s="71">
        <f t="shared" si="8"/>
        <v>9</v>
      </c>
      <c r="P99" s="72">
        <v>2.63</v>
      </c>
      <c r="Q99" s="72">
        <v>2.63</v>
      </c>
      <c r="R99" s="72">
        <v>1.56</v>
      </c>
    </row>
    <row r="100" spans="2:18">
      <c r="C100" s="34" t="s">
        <v>194</v>
      </c>
      <c r="D100" t="s">
        <v>115</v>
      </c>
      <c r="F100" s="80">
        <v>257270</v>
      </c>
      <c r="G100" s="104">
        <f t="shared" si="9"/>
        <v>257.27</v>
      </c>
      <c r="M100" s="31" t="s">
        <v>163</v>
      </c>
      <c r="N100" s="27">
        <v>6</v>
      </c>
      <c r="O100" s="71">
        <f t="shared" si="8"/>
        <v>4.5</v>
      </c>
      <c r="P100" s="72">
        <v>1.23</v>
      </c>
      <c r="Q100" s="72">
        <v>1.23</v>
      </c>
      <c r="R100" s="72">
        <v>0.82</v>
      </c>
    </row>
    <row r="101" spans="2:18">
      <c r="C101" s="34" t="s">
        <v>195</v>
      </c>
      <c r="D101" t="s">
        <v>113</v>
      </c>
      <c r="F101" s="80">
        <v>241260</v>
      </c>
      <c r="G101" s="104">
        <f t="shared" si="9"/>
        <v>241.26</v>
      </c>
      <c r="H101" s="36">
        <f>G98+G99+G100+G101</f>
        <v>1312.5</v>
      </c>
      <c r="M101" s="31" t="s">
        <v>726</v>
      </c>
      <c r="N101" s="27">
        <v>24</v>
      </c>
      <c r="O101" s="71">
        <f t="shared" si="8"/>
        <v>18</v>
      </c>
      <c r="P101" s="72">
        <v>8.93</v>
      </c>
      <c r="Q101" s="72">
        <v>8.93</v>
      </c>
      <c r="R101" s="72">
        <v>5.18</v>
      </c>
    </row>
    <row r="102" spans="2:18">
      <c r="C102" s="34" t="s">
        <v>196</v>
      </c>
      <c r="D102" t="s">
        <v>122</v>
      </c>
      <c r="F102" s="36">
        <v>234970</v>
      </c>
      <c r="G102" s="103">
        <f t="shared" si="9"/>
        <v>234.97</v>
      </c>
      <c r="M102" s="26" t="s">
        <v>718</v>
      </c>
      <c r="N102" s="27">
        <f>SUM(N96:N101)</f>
        <v>80</v>
      </c>
      <c r="O102" s="27">
        <f>SUM(O96:O101)</f>
        <v>60</v>
      </c>
      <c r="P102" s="72">
        <f>SUM(P96:P101)</f>
        <v>19.78</v>
      </c>
      <c r="Q102" s="72">
        <f>SUM(Q96:Q101)</f>
        <v>19.78</v>
      </c>
      <c r="R102" s="72">
        <f>SUM(R96:R101)</f>
        <v>11.52</v>
      </c>
    </row>
    <row r="103" spans="2:18">
      <c r="C103" s="34" t="s">
        <v>197</v>
      </c>
      <c r="D103" t="s">
        <v>114</v>
      </c>
      <c r="F103" s="36">
        <v>233470</v>
      </c>
      <c r="G103" s="103">
        <f t="shared" si="9"/>
        <v>233.47</v>
      </c>
      <c r="M103" s="31" t="s">
        <v>720</v>
      </c>
    </row>
    <row r="104" spans="2:18">
      <c r="C104" s="34" t="s">
        <v>198</v>
      </c>
      <c r="D104" t="s">
        <v>111</v>
      </c>
      <c r="F104" s="36">
        <v>142850</v>
      </c>
      <c r="G104" s="103">
        <f t="shared" si="9"/>
        <v>142.85</v>
      </c>
    </row>
    <row r="105" spans="2:18">
      <c r="C105" s="34" t="s">
        <v>199</v>
      </c>
      <c r="D105" t="s">
        <v>124</v>
      </c>
      <c r="F105" s="36">
        <v>129070</v>
      </c>
      <c r="G105" s="103">
        <f t="shared" si="9"/>
        <v>129.07</v>
      </c>
    </row>
    <row r="106" spans="2:18">
      <c r="C106" s="34" t="s">
        <v>200</v>
      </c>
      <c r="D106" t="s">
        <v>118</v>
      </c>
      <c r="F106" s="36">
        <v>120440</v>
      </c>
      <c r="G106" s="103">
        <f t="shared" si="9"/>
        <v>120.44</v>
      </c>
    </row>
    <row r="107" spans="2:18">
      <c r="C107" s="34" t="s">
        <v>201</v>
      </c>
      <c r="D107" t="s">
        <v>123</v>
      </c>
      <c r="F107" s="36">
        <v>103950</v>
      </c>
      <c r="G107" s="103">
        <f t="shared" si="9"/>
        <v>103.95</v>
      </c>
    </row>
    <row r="108" spans="2:18">
      <c r="C108" s="34" t="s">
        <v>202</v>
      </c>
      <c r="D108" t="s">
        <v>112</v>
      </c>
      <c r="F108" s="36">
        <v>98300</v>
      </c>
      <c r="G108" s="103">
        <f t="shared" si="9"/>
        <v>98.3</v>
      </c>
    </row>
    <row r="109" spans="2:18">
      <c r="C109" s="34" t="s">
        <v>203</v>
      </c>
      <c r="D109" t="s">
        <v>120</v>
      </c>
      <c r="F109" s="36">
        <v>92220</v>
      </c>
      <c r="G109" s="103">
        <f t="shared" si="9"/>
        <v>92.22</v>
      </c>
    </row>
    <row r="110" spans="2:18">
      <c r="C110" s="34" t="s">
        <v>204</v>
      </c>
      <c r="D110" t="s">
        <v>116</v>
      </c>
      <c r="F110" s="36">
        <v>87200</v>
      </c>
      <c r="G110" s="103">
        <f t="shared" si="9"/>
        <v>87.2</v>
      </c>
    </row>
    <row r="111" spans="2:18">
      <c r="C111" s="34" t="s">
        <v>205</v>
      </c>
      <c r="D111" t="s">
        <v>117</v>
      </c>
      <c r="F111" s="36">
        <v>73920</v>
      </c>
      <c r="G111" s="103">
        <f t="shared" si="9"/>
        <v>73.92</v>
      </c>
    </row>
    <row r="112" spans="2:18">
      <c r="C112" s="34" t="s">
        <v>206</v>
      </c>
      <c r="D112" t="s">
        <v>119</v>
      </c>
      <c r="F112" s="36">
        <v>72900</v>
      </c>
      <c r="G112" s="103">
        <f t="shared" si="9"/>
        <v>72.900000000000006</v>
      </c>
    </row>
    <row r="113" spans="2:9">
      <c r="F113" s="36">
        <f>SUM(F98:F112)</f>
        <v>2701790</v>
      </c>
      <c r="G113" s="35">
        <f t="shared" ref="G113" si="10">F113/1000</f>
        <v>2701.79</v>
      </c>
      <c r="H113" s="132">
        <f>0.75*15</f>
        <v>11.25</v>
      </c>
      <c r="I113" s="46">
        <f>G113-G98-G99-G100-G101</f>
        <v>1389.2900000000002</v>
      </c>
    </row>
    <row r="115" spans="2:9">
      <c r="B115" s="10" t="s">
        <v>193</v>
      </c>
      <c r="C115" s="33" t="s">
        <v>125</v>
      </c>
    </row>
    <row r="116" spans="2:9">
      <c r="C116" s="34" t="s">
        <v>192</v>
      </c>
      <c r="D116" s="22" t="s">
        <v>140</v>
      </c>
      <c r="E116" s="22"/>
      <c r="F116" s="80">
        <v>370760</v>
      </c>
      <c r="G116" s="104">
        <f t="shared" ref="G116:G133" si="11">F116/1000</f>
        <v>370.76</v>
      </c>
    </row>
    <row r="117" spans="2:9">
      <c r="C117" s="34" t="s">
        <v>193</v>
      </c>
      <c r="D117" s="22" t="s">
        <v>217</v>
      </c>
      <c r="E117" s="22"/>
      <c r="F117" s="80">
        <v>329210</v>
      </c>
      <c r="G117" s="104">
        <f t="shared" si="11"/>
        <v>329.21</v>
      </c>
    </row>
    <row r="118" spans="2:9">
      <c r="C118" s="34" t="s">
        <v>194</v>
      </c>
      <c r="D118" s="22" t="s">
        <v>128</v>
      </c>
      <c r="E118" s="22"/>
      <c r="F118" s="80">
        <v>274070</v>
      </c>
      <c r="G118" s="104">
        <f t="shared" si="11"/>
        <v>274.07</v>
      </c>
    </row>
    <row r="119" spans="2:9">
      <c r="C119" s="34" t="s">
        <v>195</v>
      </c>
      <c r="D119" s="22" t="s">
        <v>129</v>
      </c>
      <c r="E119" s="22"/>
      <c r="F119" s="80">
        <v>248760</v>
      </c>
      <c r="G119" s="104">
        <f t="shared" si="11"/>
        <v>248.76</v>
      </c>
      <c r="H119" s="36">
        <f>G116+G117+G118+G119</f>
        <v>1222.8</v>
      </c>
    </row>
    <row r="120" spans="2:9">
      <c r="C120" s="34" t="s">
        <v>196</v>
      </c>
      <c r="D120" t="s">
        <v>127</v>
      </c>
      <c r="F120" s="36">
        <v>227980</v>
      </c>
      <c r="G120" s="103">
        <f t="shared" si="11"/>
        <v>227.98</v>
      </c>
    </row>
    <row r="121" spans="2:9">
      <c r="C121" s="34" t="s">
        <v>197</v>
      </c>
      <c r="D121" t="s">
        <v>141</v>
      </c>
      <c r="F121" s="36">
        <v>168540</v>
      </c>
      <c r="G121" s="103">
        <f t="shared" si="11"/>
        <v>168.54</v>
      </c>
    </row>
    <row r="122" spans="2:9">
      <c r="C122" s="34" t="s">
        <v>198</v>
      </c>
      <c r="D122" t="s">
        <v>130</v>
      </c>
      <c r="F122" s="36">
        <v>160650</v>
      </c>
      <c r="G122" s="103">
        <f t="shared" si="11"/>
        <v>160.65</v>
      </c>
    </row>
    <row r="123" spans="2:9">
      <c r="C123" s="34" t="s">
        <v>199</v>
      </c>
      <c r="D123" t="s">
        <v>132</v>
      </c>
      <c r="F123" s="36">
        <v>148500</v>
      </c>
      <c r="G123" s="103">
        <f t="shared" si="11"/>
        <v>148.5</v>
      </c>
    </row>
    <row r="124" spans="2:9">
      <c r="C124" s="34" t="s">
        <v>200</v>
      </c>
      <c r="D124" t="s">
        <v>135</v>
      </c>
      <c r="F124" s="36">
        <v>127550</v>
      </c>
      <c r="G124" s="103">
        <f t="shared" si="11"/>
        <v>127.55</v>
      </c>
    </row>
    <row r="125" spans="2:9">
      <c r="C125" s="34" t="s">
        <v>201</v>
      </c>
      <c r="D125" t="s">
        <v>126</v>
      </c>
      <c r="F125" s="36">
        <v>122030</v>
      </c>
      <c r="G125" s="103">
        <f t="shared" si="11"/>
        <v>122.03</v>
      </c>
    </row>
    <row r="126" spans="2:9">
      <c r="C126" s="34" t="s">
        <v>202</v>
      </c>
      <c r="D126" t="s">
        <v>138</v>
      </c>
      <c r="F126" s="36">
        <v>121290</v>
      </c>
      <c r="G126" s="103">
        <f t="shared" si="11"/>
        <v>121.29</v>
      </c>
    </row>
    <row r="127" spans="2:9">
      <c r="C127" s="34" t="s">
        <v>203</v>
      </c>
      <c r="D127" t="s">
        <v>131</v>
      </c>
      <c r="F127" s="36">
        <v>118260</v>
      </c>
      <c r="G127" s="103">
        <f t="shared" si="11"/>
        <v>118.26</v>
      </c>
    </row>
    <row r="128" spans="2:9">
      <c r="C128" s="34" t="s">
        <v>204</v>
      </c>
      <c r="D128" t="s">
        <v>139</v>
      </c>
      <c r="F128" s="36">
        <v>101190</v>
      </c>
      <c r="G128" s="103">
        <f t="shared" si="11"/>
        <v>101.19</v>
      </c>
    </row>
    <row r="129" spans="2:9">
      <c r="C129" s="34" t="s">
        <v>205</v>
      </c>
      <c r="D129" t="s">
        <v>137</v>
      </c>
      <c r="F129" s="36">
        <v>90960</v>
      </c>
      <c r="G129" s="103">
        <f t="shared" si="11"/>
        <v>90.96</v>
      </c>
    </row>
    <row r="130" spans="2:9">
      <c r="C130" s="34" t="s">
        <v>206</v>
      </c>
      <c r="D130" t="s">
        <v>134</v>
      </c>
      <c r="F130" s="36">
        <v>73830</v>
      </c>
      <c r="G130" s="103">
        <f t="shared" si="11"/>
        <v>73.83</v>
      </c>
    </row>
    <row r="131" spans="2:9">
      <c r="C131" s="34" t="s">
        <v>207</v>
      </c>
      <c r="D131" t="s">
        <v>133</v>
      </c>
      <c r="F131" s="36">
        <v>69800</v>
      </c>
      <c r="G131" s="103">
        <f t="shared" si="11"/>
        <v>69.8</v>
      </c>
    </row>
    <row r="132" spans="2:9">
      <c r="C132" s="34" t="s">
        <v>208</v>
      </c>
      <c r="D132" t="s">
        <v>136</v>
      </c>
      <c r="F132" s="36">
        <v>39690</v>
      </c>
      <c r="G132" s="103">
        <f t="shared" si="11"/>
        <v>39.69</v>
      </c>
    </row>
    <row r="133" spans="2:9">
      <c r="F133" s="36">
        <f>SUM(F116:F132)</f>
        <v>2793070</v>
      </c>
      <c r="G133" s="35">
        <f t="shared" si="11"/>
        <v>2793.07</v>
      </c>
      <c r="H133" s="132">
        <f>0.75*17</f>
        <v>12.75</v>
      </c>
      <c r="I133" s="46">
        <f>G133-G116-G117-G118-G119</f>
        <v>1570.2700000000004</v>
      </c>
    </row>
    <row r="135" spans="2:9">
      <c r="B135" s="10" t="s">
        <v>194</v>
      </c>
      <c r="C135" s="4" t="s">
        <v>142</v>
      </c>
    </row>
    <row r="136" spans="2:9">
      <c r="C136" s="34" t="s">
        <v>192</v>
      </c>
      <c r="D136" s="16" t="s">
        <v>144</v>
      </c>
      <c r="E136" s="16"/>
      <c r="F136" s="81">
        <v>501320</v>
      </c>
      <c r="G136" s="102">
        <f t="shared" ref="G136:G141" si="12">F136/1000</f>
        <v>501.32</v>
      </c>
      <c r="H136" s="35">
        <f>G136</f>
        <v>501.32</v>
      </c>
      <c r="I136" s="15"/>
    </row>
    <row r="137" spans="2:9">
      <c r="C137" s="34" t="s">
        <v>193</v>
      </c>
      <c r="D137" t="s">
        <v>146</v>
      </c>
      <c r="F137" s="36">
        <v>297140</v>
      </c>
      <c r="G137" s="103">
        <f t="shared" si="12"/>
        <v>297.14</v>
      </c>
    </row>
    <row r="138" spans="2:9">
      <c r="C138" s="34" t="s">
        <v>194</v>
      </c>
      <c r="D138" t="s">
        <v>147</v>
      </c>
      <c r="F138" s="36">
        <v>202860</v>
      </c>
      <c r="G138" s="103">
        <f t="shared" si="12"/>
        <v>202.86</v>
      </c>
    </row>
    <row r="139" spans="2:9">
      <c r="C139" s="34" t="s">
        <v>195</v>
      </c>
      <c r="D139" t="s">
        <v>143</v>
      </c>
      <c r="F139" s="36">
        <v>183870</v>
      </c>
      <c r="G139" s="103">
        <f t="shared" si="12"/>
        <v>183.87</v>
      </c>
    </row>
    <row r="140" spans="2:9">
      <c r="C140" s="34" t="s">
        <v>196</v>
      </c>
      <c r="D140" t="s">
        <v>145</v>
      </c>
      <c r="F140" s="36">
        <v>172920</v>
      </c>
      <c r="G140" s="103">
        <f t="shared" si="12"/>
        <v>172.92</v>
      </c>
    </row>
    <row r="141" spans="2:9">
      <c r="C141" s="34" t="s">
        <v>197</v>
      </c>
      <c r="D141" t="s">
        <v>148</v>
      </c>
      <c r="F141" s="36">
        <v>145120</v>
      </c>
      <c r="G141" s="103">
        <f t="shared" si="12"/>
        <v>145.12</v>
      </c>
    </row>
    <row r="142" spans="2:9">
      <c r="F142" s="36">
        <f>SUM(F136:F141)</f>
        <v>1503230</v>
      </c>
      <c r="G142" s="35">
        <f t="shared" ref="G142" si="13">F142/1000</f>
        <v>1503.23</v>
      </c>
      <c r="H142" s="132">
        <f>0.75*6</f>
        <v>4.5</v>
      </c>
      <c r="I142" s="46">
        <f>G142-G136</f>
        <v>1001.9100000000001</v>
      </c>
    </row>
    <row r="143" spans="2:9">
      <c r="F143" s="36"/>
    </row>
    <row r="144" spans="2:9">
      <c r="B144" s="10" t="s">
        <v>195</v>
      </c>
      <c r="C144" s="4" t="s">
        <v>149</v>
      </c>
      <c r="D144" s="4"/>
      <c r="E144" s="4"/>
      <c r="F144" s="40"/>
    </row>
    <row r="145" spans="2:9">
      <c r="C145" s="34" t="s">
        <v>192</v>
      </c>
      <c r="D145" t="s">
        <v>156</v>
      </c>
      <c r="F145" s="80">
        <v>413600</v>
      </c>
      <c r="G145" s="104">
        <f t="shared" ref="G145:G157" si="14">F145/1000</f>
        <v>413.6</v>
      </c>
    </row>
    <row r="146" spans="2:9">
      <c r="C146" s="34" t="s">
        <v>193</v>
      </c>
      <c r="D146" t="s">
        <v>216</v>
      </c>
      <c r="F146" s="80">
        <v>336500</v>
      </c>
      <c r="G146" s="104">
        <f t="shared" si="14"/>
        <v>336.5</v>
      </c>
    </row>
    <row r="147" spans="2:9">
      <c r="C147" s="34" t="s">
        <v>194</v>
      </c>
      <c r="D147" t="s">
        <v>215</v>
      </c>
      <c r="F147" s="80">
        <v>323600</v>
      </c>
      <c r="G147" s="104">
        <f t="shared" si="14"/>
        <v>323.60000000000002</v>
      </c>
      <c r="H147" s="36">
        <f>SUM(G145:G147)</f>
        <v>1073.7</v>
      </c>
    </row>
    <row r="148" spans="2:9">
      <c r="C148" s="34" t="s">
        <v>195</v>
      </c>
      <c r="D148" t="s">
        <v>153</v>
      </c>
      <c r="F148" s="36">
        <v>277600</v>
      </c>
      <c r="G148" s="103">
        <f t="shared" si="14"/>
        <v>277.60000000000002</v>
      </c>
    </row>
    <row r="149" spans="2:9">
      <c r="C149" s="34" t="s">
        <v>196</v>
      </c>
      <c r="D149" t="s">
        <v>158</v>
      </c>
      <c r="F149" s="36">
        <v>215000</v>
      </c>
      <c r="G149" s="103">
        <f t="shared" si="14"/>
        <v>215</v>
      </c>
    </row>
    <row r="150" spans="2:9">
      <c r="C150" s="34" t="s">
        <v>197</v>
      </c>
      <c r="D150" t="s">
        <v>154</v>
      </c>
      <c r="F150" s="36">
        <v>211300</v>
      </c>
      <c r="G150" s="103">
        <f t="shared" si="14"/>
        <v>211.3</v>
      </c>
    </row>
    <row r="151" spans="2:9">
      <c r="C151" s="34" t="s">
        <v>198</v>
      </c>
      <c r="D151" t="s">
        <v>152</v>
      </c>
      <c r="F151" s="36">
        <v>209200</v>
      </c>
      <c r="G151" s="103">
        <f t="shared" si="14"/>
        <v>209.2</v>
      </c>
    </row>
    <row r="152" spans="2:9">
      <c r="C152" s="34" t="s">
        <v>199</v>
      </c>
      <c r="D152" t="s">
        <v>151</v>
      </c>
      <c r="F152" s="36">
        <v>206300</v>
      </c>
      <c r="G152" s="103">
        <f t="shared" si="14"/>
        <v>206.3</v>
      </c>
    </row>
    <row r="153" spans="2:9">
      <c r="C153" s="34" t="s">
        <v>200</v>
      </c>
      <c r="D153" t="s">
        <v>150</v>
      </c>
      <c r="F153" s="36">
        <v>171600</v>
      </c>
      <c r="G153" s="103">
        <f t="shared" si="14"/>
        <v>171.6</v>
      </c>
    </row>
    <row r="154" spans="2:9">
      <c r="C154" s="34" t="s">
        <v>201</v>
      </c>
      <c r="D154" t="s">
        <v>157</v>
      </c>
      <c r="F154" s="36">
        <v>137800</v>
      </c>
      <c r="G154" s="103">
        <f t="shared" si="14"/>
        <v>137.80000000000001</v>
      </c>
    </row>
    <row r="155" spans="2:9">
      <c r="C155" s="34" t="s">
        <v>202</v>
      </c>
      <c r="D155" t="s">
        <v>155</v>
      </c>
      <c r="F155" s="36">
        <v>132300</v>
      </c>
      <c r="G155" s="103">
        <f t="shared" si="14"/>
        <v>132.30000000000001</v>
      </c>
    </row>
    <row r="156" spans="2:9">
      <c r="C156" s="34" t="s">
        <v>203</v>
      </c>
      <c r="D156" t="s">
        <v>159</v>
      </c>
      <c r="F156" s="36">
        <v>0</v>
      </c>
      <c r="G156" s="103">
        <f t="shared" si="14"/>
        <v>0</v>
      </c>
    </row>
    <row r="157" spans="2:9">
      <c r="C157" s="34">
        <f>+C194</f>
        <v>79</v>
      </c>
      <c r="D157" t="s">
        <v>160</v>
      </c>
      <c r="F157" s="36">
        <v>0</v>
      </c>
      <c r="G157" s="103">
        <f t="shared" si="14"/>
        <v>0</v>
      </c>
    </row>
    <row r="158" spans="2:9">
      <c r="F158" s="36">
        <f>SUM(F145:F157)</f>
        <v>2634800</v>
      </c>
      <c r="G158" s="35">
        <f t="shared" ref="G158:G166" si="15">F158/1000</f>
        <v>2634.8</v>
      </c>
      <c r="H158" s="132">
        <f>0.75*13</f>
        <v>9.75</v>
      </c>
      <c r="I158" s="46">
        <f>G158-G145-G146-G147</f>
        <v>1561.1000000000004</v>
      </c>
    </row>
    <row r="159" spans="2:9">
      <c r="B159" s="10" t="s">
        <v>196</v>
      </c>
      <c r="C159" s="40" t="s">
        <v>161</v>
      </c>
    </row>
    <row r="160" spans="2:9">
      <c r="C160" s="34" t="s">
        <v>192</v>
      </c>
      <c r="D160" t="s">
        <v>163</v>
      </c>
      <c r="F160" s="80">
        <v>409509</v>
      </c>
      <c r="G160" s="104">
        <f t="shared" ref="G160:G165" si="16">F160/1000</f>
        <v>409.50900000000001</v>
      </c>
      <c r="H160" s="35">
        <f>G160</f>
        <v>409.50900000000001</v>
      </c>
    </row>
    <row r="161" spans="2:9">
      <c r="C161" s="34" t="s">
        <v>193</v>
      </c>
      <c r="D161" t="s">
        <v>167</v>
      </c>
      <c r="F161" s="36">
        <v>207808</v>
      </c>
      <c r="G161" s="103">
        <f t="shared" si="16"/>
        <v>207.80799999999999</v>
      </c>
    </row>
    <row r="162" spans="2:9">
      <c r="C162" s="34" t="s">
        <v>194</v>
      </c>
      <c r="D162" t="s">
        <v>165</v>
      </c>
      <c r="F162" s="36">
        <v>170649</v>
      </c>
      <c r="G162" s="103">
        <f t="shared" si="16"/>
        <v>170.649</v>
      </c>
    </row>
    <row r="163" spans="2:9">
      <c r="C163" s="34" t="s">
        <v>195</v>
      </c>
      <c r="D163" t="s">
        <v>164</v>
      </c>
      <c r="F163" s="36">
        <v>153770</v>
      </c>
      <c r="G163" s="103">
        <f t="shared" si="16"/>
        <v>153.77000000000001</v>
      </c>
    </row>
    <row r="164" spans="2:9">
      <c r="C164" s="34" t="s">
        <v>196</v>
      </c>
      <c r="D164" t="s">
        <v>162</v>
      </c>
      <c r="F164" s="36">
        <v>153274</v>
      </c>
      <c r="G164" s="103">
        <f t="shared" si="16"/>
        <v>153.274</v>
      </c>
    </row>
    <row r="165" spans="2:9">
      <c r="C165" s="34" t="s">
        <v>197</v>
      </c>
      <c r="D165" t="s">
        <v>166</v>
      </c>
      <c r="F165" s="36">
        <v>132784</v>
      </c>
      <c r="G165" s="103">
        <f t="shared" si="16"/>
        <v>132.78399999999999</v>
      </c>
    </row>
    <row r="166" spans="2:9">
      <c r="F166" s="36">
        <f>SUM(F160:F165)</f>
        <v>1227794</v>
      </c>
      <c r="G166" s="36">
        <f t="shared" si="15"/>
        <v>1227.7940000000001</v>
      </c>
      <c r="H166" s="132">
        <f>0.75*6</f>
        <v>4.5</v>
      </c>
      <c r="I166" s="47">
        <f>G166-G160</f>
        <v>818.28500000000008</v>
      </c>
    </row>
    <row r="168" spans="2:9">
      <c r="B168" s="48">
        <v>6</v>
      </c>
      <c r="C168" s="4" t="s">
        <v>168</v>
      </c>
    </row>
    <row r="169" spans="2:9">
      <c r="C169" s="34" t="s">
        <v>192</v>
      </c>
      <c r="D169" t="s">
        <v>189</v>
      </c>
      <c r="F169" s="80">
        <v>1545373</v>
      </c>
      <c r="G169" s="80">
        <v>1000</v>
      </c>
    </row>
    <row r="170" spans="2:9">
      <c r="C170" s="34" t="s">
        <v>193</v>
      </c>
      <c r="D170" t="s">
        <v>173</v>
      </c>
      <c r="F170" s="80">
        <v>784511</v>
      </c>
      <c r="G170" s="104">
        <f t="shared" ref="G170:G193" si="17">F170/1000</f>
        <v>784.51099999999997</v>
      </c>
    </row>
    <row r="171" spans="2:9">
      <c r="C171" s="34" t="s">
        <v>194</v>
      </c>
      <c r="D171" t="s">
        <v>178</v>
      </c>
      <c r="F171" s="80">
        <v>762073</v>
      </c>
      <c r="G171" s="104">
        <f t="shared" si="17"/>
        <v>762.07299999999998</v>
      </c>
    </row>
    <row r="172" spans="2:9">
      <c r="C172" s="34" t="s">
        <v>195</v>
      </c>
      <c r="D172" t="s">
        <v>170</v>
      </c>
      <c r="F172" s="80">
        <v>423012</v>
      </c>
      <c r="G172" s="104">
        <f t="shared" si="17"/>
        <v>423.012</v>
      </c>
    </row>
    <row r="173" spans="2:9">
      <c r="C173" s="34" t="s">
        <v>196</v>
      </c>
      <c r="D173" t="s">
        <v>180</v>
      </c>
      <c r="F173" s="80">
        <v>398784</v>
      </c>
      <c r="G173" s="104">
        <f t="shared" si="17"/>
        <v>398.78399999999999</v>
      </c>
    </row>
    <row r="174" spans="2:9">
      <c r="C174" s="34" t="s">
        <v>197</v>
      </c>
      <c r="D174" t="s">
        <v>182</v>
      </c>
      <c r="F174" s="80">
        <v>379402</v>
      </c>
      <c r="G174" s="104">
        <f t="shared" si="17"/>
        <v>379.40199999999999</v>
      </c>
      <c r="H174" s="36">
        <f>SUM(G169:G174)</f>
        <v>3747.7820000000002</v>
      </c>
    </row>
    <row r="175" spans="2:9">
      <c r="C175" s="34" t="s">
        <v>198</v>
      </c>
      <c r="D175" t="s">
        <v>171</v>
      </c>
      <c r="F175" s="36">
        <v>365610</v>
      </c>
      <c r="G175" s="103">
        <f t="shared" si="17"/>
        <v>365.61</v>
      </c>
    </row>
    <row r="176" spans="2:9">
      <c r="C176" s="34" t="s">
        <v>199</v>
      </c>
      <c r="D176" t="s">
        <v>184</v>
      </c>
      <c r="F176" s="36">
        <v>364680</v>
      </c>
      <c r="G176" s="103">
        <f t="shared" si="17"/>
        <v>364.68</v>
      </c>
    </row>
    <row r="177" spans="3:13">
      <c r="C177" s="34" t="s">
        <v>200</v>
      </c>
      <c r="D177" t="s">
        <v>175</v>
      </c>
      <c r="F177" s="36">
        <v>356195</v>
      </c>
      <c r="G177" s="103">
        <f t="shared" si="17"/>
        <v>356.19499999999999</v>
      </c>
    </row>
    <row r="178" spans="3:13">
      <c r="C178" s="34" t="s">
        <v>201</v>
      </c>
      <c r="D178" t="s">
        <v>176</v>
      </c>
      <c r="F178" s="36">
        <v>338219</v>
      </c>
      <c r="G178" s="103">
        <f t="shared" si="17"/>
        <v>338.21899999999999</v>
      </c>
    </row>
    <row r="179" spans="3:13">
      <c r="C179" s="34" t="s">
        <v>202</v>
      </c>
      <c r="D179" t="s">
        <v>186</v>
      </c>
      <c r="F179" s="36">
        <v>315202</v>
      </c>
      <c r="G179" s="103">
        <f t="shared" si="17"/>
        <v>315.202</v>
      </c>
    </row>
    <row r="180" spans="3:13">
      <c r="C180" s="34" t="s">
        <v>203</v>
      </c>
      <c r="D180" t="s">
        <v>187</v>
      </c>
      <c r="F180" s="36">
        <v>305407</v>
      </c>
      <c r="G180" s="103">
        <f t="shared" si="17"/>
        <v>305.40699999999998</v>
      </c>
    </row>
    <row r="181" spans="3:13">
      <c r="C181" s="34" t="s">
        <v>204</v>
      </c>
      <c r="D181" t="s">
        <v>181</v>
      </c>
      <c r="F181" s="36">
        <v>304826</v>
      </c>
      <c r="G181" s="103">
        <f t="shared" si="17"/>
        <v>304.82600000000002</v>
      </c>
    </row>
    <row r="182" spans="3:13">
      <c r="C182" s="34" t="s">
        <v>205</v>
      </c>
      <c r="D182" t="s">
        <v>172</v>
      </c>
      <c r="F182" s="36">
        <v>301424</v>
      </c>
      <c r="G182" s="103">
        <f t="shared" si="17"/>
        <v>301.42399999999998</v>
      </c>
    </row>
    <row r="183" spans="3:13">
      <c r="C183" s="34" t="s">
        <v>206</v>
      </c>
      <c r="D183" t="s">
        <v>174</v>
      </c>
      <c r="F183" s="36">
        <v>245389</v>
      </c>
      <c r="G183" s="103">
        <f t="shared" si="17"/>
        <v>245.38900000000001</v>
      </c>
    </row>
    <row r="184" spans="3:13">
      <c r="C184" s="34" t="s">
        <v>207</v>
      </c>
      <c r="D184" t="s">
        <v>185</v>
      </c>
      <c r="F184" s="36">
        <v>235103</v>
      </c>
      <c r="G184" s="103">
        <f t="shared" si="17"/>
        <v>235.10300000000001</v>
      </c>
      <c r="J184">
        <v>1</v>
      </c>
      <c r="K184" s="49" t="s">
        <v>109</v>
      </c>
      <c r="L184" s="49"/>
      <c r="M184" s="9">
        <f>I113</f>
        <v>1389.2900000000002</v>
      </c>
    </row>
    <row r="185" spans="3:13">
      <c r="C185" s="34" t="s">
        <v>208</v>
      </c>
      <c r="D185" t="s">
        <v>188</v>
      </c>
      <c r="F185" s="36">
        <v>232394</v>
      </c>
      <c r="G185" s="103">
        <f t="shared" si="17"/>
        <v>232.39400000000001</v>
      </c>
      <c r="J185">
        <v>2</v>
      </c>
      <c r="K185" s="49" t="s">
        <v>125</v>
      </c>
      <c r="L185" s="49"/>
      <c r="M185" s="9">
        <f>I133</f>
        <v>1570.2700000000004</v>
      </c>
    </row>
    <row r="186" spans="3:13">
      <c r="C186" s="34" t="s">
        <v>209</v>
      </c>
      <c r="D186" t="s">
        <v>179</v>
      </c>
      <c r="F186" s="36">
        <v>227208</v>
      </c>
      <c r="G186" s="103">
        <f t="shared" si="17"/>
        <v>227.208</v>
      </c>
      <c r="J186">
        <v>3</v>
      </c>
      <c r="K186" s="49" t="s">
        <v>142</v>
      </c>
      <c r="L186" s="49"/>
      <c r="M186" s="9">
        <f>I142</f>
        <v>1001.9100000000001</v>
      </c>
    </row>
    <row r="187" spans="3:13">
      <c r="C187" s="34" t="s">
        <v>210</v>
      </c>
      <c r="D187" t="s">
        <v>183</v>
      </c>
      <c r="F187" s="36">
        <v>207800</v>
      </c>
      <c r="G187" s="103">
        <f t="shared" si="17"/>
        <v>207.8</v>
      </c>
      <c r="J187">
        <v>4</v>
      </c>
      <c r="K187" s="49" t="s">
        <v>149</v>
      </c>
      <c r="L187" s="49"/>
      <c r="M187" s="9">
        <f>I158</f>
        <v>1561.1000000000004</v>
      </c>
    </row>
    <row r="188" spans="3:13">
      <c r="C188" s="34" t="s">
        <v>211</v>
      </c>
      <c r="D188" t="s">
        <v>218</v>
      </c>
      <c r="F188" s="36">
        <v>188495</v>
      </c>
      <c r="G188" s="103">
        <f t="shared" si="17"/>
        <v>188.495</v>
      </c>
      <c r="J188">
        <v>5</v>
      </c>
      <c r="K188" s="49" t="s">
        <v>161</v>
      </c>
      <c r="L188" s="49"/>
      <c r="M188" s="14">
        <f>I166</f>
        <v>818.28500000000008</v>
      </c>
    </row>
    <row r="189" spans="3:13">
      <c r="C189" s="34" t="s">
        <v>212</v>
      </c>
      <c r="D189" t="s">
        <v>191</v>
      </c>
      <c r="F189" s="36">
        <v>188323</v>
      </c>
      <c r="G189" s="103">
        <f t="shared" si="17"/>
        <v>188.32300000000001</v>
      </c>
      <c r="J189">
        <v>6</v>
      </c>
      <c r="K189" s="49" t="s">
        <v>168</v>
      </c>
      <c r="L189" s="49"/>
      <c r="M189" s="9">
        <f>I193</f>
        <v>5180.2220000000007</v>
      </c>
    </row>
    <row r="190" spans="3:13">
      <c r="C190" s="34" t="s">
        <v>213</v>
      </c>
      <c r="D190" t="s">
        <v>177</v>
      </c>
      <c r="F190" s="36">
        <v>174989</v>
      </c>
      <c r="G190" s="103">
        <f t="shared" si="17"/>
        <v>174.989</v>
      </c>
      <c r="M190" s="45">
        <f>SUM(M184:M189)</f>
        <v>11521.077000000001</v>
      </c>
    </row>
    <row r="191" spans="3:13">
      <c r="C191" s="34" t="s">
        <v>214</v>
      </c>
      <c r="D191" t="s">
        <v>190</v>
      </c>
      <c r="F191" s="36">
        <v>146714</v>
      </c>
      <c r="G191" s="103">
        <f t="shared" si="17"/>
        <v>146.714</v>
      </c>
    </row>
    <row r="192" spans="3:13">
      <c r="C192" s="34" t="s">
        <v>219</v>
      </c>
      <c r="D192" t="s">
        <v>169</v>
      </c>
      <c r="F192" s="36">
        <v>136871</v>
      </c>
      <c r="G192" s="103">
        <f t="shared" si="17"/>
        <v>136.87100000000001</v>
      </c>
    </row>
    <row r="193" spans="2:18">
      <c r="F193" s="36">
        <f>SUM(F169:F192)</f>
        <v>8928004</v>
      </c>
      <c r="G193" s="36">
        <f t="shared" si="17"/>
        <v>8928.0040000000008</v>
      </c>
      <c r="H193" s="133">
        <f>0.75*24</f>
        <v>18</v>
      </c>
      <c r="I193" s="46">
        <f>G193-G169-G170-G171-G172-G173-G174</f>
        <v>5180.2220000000007</v>
      </c>
      <c r="J193" s="9"/>
    </row>
    <row r="194" spans="2:18">
      <c r="C194" s="33">
        <f>C192+C165+C155+C141+C132+C112</f>
        <v>79</v>
      </c>
      <c r="D194" s="21" t="s">
        <v>647</v>
      </c>
      <c r="E194" s="21"/>
      <c r="F194" s="36"/>
      <c r="G194" s="35"/>
      <c r="H194" s="59">
        <f>H193+H166+H158+H142+H133+H113</f>
        <v>60.75</v>
      </c>
      <c r="I194" s="9"/>
    </row>
    <row r="195" spans="2:18">
      <c r="F195" s="36"/>
      <c r="G195" s="35"/>
      <c r="I195" s="9"/>
    </row>
    <row r="196" spans="2:18">
      <c r="C196" s="33" t="s">
        <v>220</v>
      </c>
      <c r="M196" s="73" t="s">
        <v>23</v>
      </c>
      <c r="N196" s="200" t="s">
        <v>33</v>
      </c>
      <c r="O196" s="200"/>
      <c r="P196" s="200" t="s">
        <v>717</v>
      </c>
      <c r="Q196" s="200"/>
      <c r="R196" s="200"/>
    </row>
    <row r="197" spans="2:18" ht="75">
      <c r="M197" s="69" t="s">
        <v>727</v>
      </c>
      <c r="N197" s="79" t="s">
        <v>714</v>
      </c>
      <c r="O197" s="69" t="s">
        <v>719</v>
      </c>
      <c r="P197" s="69" t="s">
        <v>714</v>
      </c>
      <c r="Q197" s="69" t="s">
        <v>715</v>
      </c>
      <c r="R197" s="69" t="s">
        <v>716</v>
      </c>
    </row>
    <row r="198" spans="2:18">
      <c r="B198">
        <v>1</v>
      </c>
      <c r="C198" s="204" t="s">
        <v>221</v>
      </c>
      <c r="D198" s="204"/>
      <c r="E198" s="33"/>
      <c r="M198" s="26" t="s">
        <v>221</v>
      </c>
      <c r="N198" s="41">
        <v>10</v>
      </c>
      <c r="O198" s="71">
        <f>H209</f>
        <v>7.5</v>
      </c>
      <c r="P198" s="72">
        <v>4.05</v>
      </c>
      <c r="Q198" s="72">
        <v>4.05</v>
      </c>
      <c r="R198" s="27">
        <v>2.4</v>
      </c>
    </row>
    <row r="199" spans="2:18">
      <c r="C199" s="34" t="s">
        <v>192</v>
      </c>
      <c r="D199" t="s">
        <v>230</v>
      </c>
      <c r="F199" s="80">
        <v>858160</v>
      </c>
      <c r="G199" s="104">
        <f t="shared" ref="G199:G208" si="18">F199/1000</f>
        <v>858.16</v>
      </c>
      <c r="M199" s="26" t="s">
        <v>232</v>
      </c>
      <c r="N199" s="41">
        <v>13</v>
      </c>
      <c r="O199" s="71">
        <f>H225</f>
        <v>9.75</v>
      </c>
      <c r="P199" s="72">
        <v>4.2699999999999996</v>
      </c>
      <c r="Q199" s="72">
        <v>4.2699999999999996</v>
      </c>
      <c r="R199" s="72">
        <v>2.64</v>
      </c>
    </row>
    <row r="200" spans="2:18">
      <c r="C200" s="34" t="s">
        <v>193</v>
      </c>
      <c r="D200" t="s">
        <v>224</v>
      </c>
      <c r="F200" s="80">
        <v>789800</v>
      </c>
      <c r="G200" s="104">
        <f t="shared" si="18"/>
        <v>789.8</v>
      </c>
      <c r="H200" s="36">
        <f>G199+G200</f>
        <v>1647.96</v>
      </c>
      <c r="M200" s="26" t="s">
        <v>246</v>
      </c>
      <c r="N200" s="41">
        <v>14</v>
      </c>
      <c r="O200" s="71">
        <f>H242</f>
        <v>10.5</v>
      </c>
      <c r="P200" s="72">
        <v>5.62</v>
      </c>
      <c r="Q200" s="72">
        <v>5.62</v>
      </c>
      <c r="R200" s="72">
        <v>3.66</v>
      </c>
    </row>
    <row r="201" spans="2:18">
      <c r="C201" s="34" t="s">
        <v>194</v>
      </c>
      <c r="D201" t="s">
        <v>229</v>
      </c>
      <c r="F201" s="64">
        <v>717200</v>
      </c>
      <c r="G201" s="103">
        <f t="shared" si="18"/>
        <v>717.2</v>
      </c>
      <c r="M201" s="31" t="s">
        <v>261</v>
      </c>
      <c r="N201" s="41">
        <v>14</v>
      </c>
      <c r="O201" s="71">
        <f>H259</f>
        <v>10.5</v>
      </c>
      <c r="P201" s="72">
        <v>2.74</v>
      </c>
      <c r="Q201" s="72">
        <v>2.74</v>
      </c>
      <c r="R201" s="72">
        <v>1.58</v>
      </c>
    </row>
    <row r="202" spans="2:18">
      <c r="C202" s="34" t="s">
        <v>195</v>
      </c>
      <c r="D202" t="s">
        <v>225</v>
      </c>
      <c r="F202" s="64">
        <v>463040</v>
      </c>
      <c r="G202" s="103">
        <f t="shared" si="18"/>
        <v>463.04</v>
      </c>
      <c r="M202" s="31" t="s">
        <v>276</v>
      </c>
      <c r="N202" s="41">
        <v>5</v>
      </c>
      <c r="O202" s="71">
        <f>H267</f>
        <v>3.75</v>
      </c>
      <c r="P202" s="72">
        <v>0.74</v>
      </c>
      <c r="Q202" s="72">
        <v>0.74</v>
      </c>
      <c r="R202" s="72">
        <v>0.49</v>
      </c>
    </row>
    <row r="203" spans="2:18">
      <c r="C203" s="34" t="s">
        <v>196</v>
      </c>
      <c r="D203" t="s">
        <v>222</v>
      </c>
      <c r="F203" s="64">
        <v>287000</v>
      </c>
      <c r="G203" s="103">
        <f t="shared" si="18"/>
        <v>287</v>
      </c>
      <c r="M203" s="26" t="s">
        <v>718</v>
      </c>
      <c r="N203" s="41">
        <f>SUM(N198:N202)</f>
        <v>56</v>
      </c>
      <c r="O203" s="27">
        <f>SUM(O198:O202)</f>
        <v>42</v>
      </c>
      <c r="P203" s="72">
        <f>SUM(P198:P202)</f>
        <v>17.419999999999998</v>
      </c>
      <c r="Q203" s="72">
        <f>SUM(Q198:Q202)</f>
        <v>17.419999999999998</v>
      </c>
      <c r="R203" s="72">
        <f>SUM(R198:R202)</f>
        <v>10.77</v>
      </c>
    </row>
    <row r="204" spans="2:18">
      <c r="C204" s="34" t="s">
        <v>197</v>
      </c>
      <c r="D204" t="s">
        <v>227</v>
      </c>
      <c r="F204" s="64">
        <v>267700</v>
      </c>
      <c r="G204" s="103">
        <f t="shared" si="18"/>
        <v>267.7</v>
      </c>
      <c r="M204" s="31" t="s">
        <v>720</v>
      </c>
    </row>
    <row r="205" spans="2:18">
      <c r="C205" s="34" t="s">
        <v>198</v>
      </c>
      <c r="D205" t="s">
        <v>226</v>
      </c>
      <c r="F205" s="64">
        <v>261800</v>
      </c>
      <c r="G205" s="103">
        <f t="shared" si="18"/>
        <v>261.8</v>
      </c>
    </row>
    <row r="206" spans="2:18">
      <c r="C206" s="34" t="s">
        <v>199</v>
      </c>
      <c r="D206" t="s">
        <v>231</v>
      </c>
      <c r="F206" s="64">
        <v>188300</v>
      </c>
      <c r="G206" s="103">
        <f t="shared" si="18"/>
        <v>188.3</v>
      </c>
    </row>
    <row r="207" spans="2:18">
      <c r="C207" s="34" t="s">
        <v>200</v>
      </c>
      <c r="D207" t="s">
        <v>223</v>
      </c>
      <c r="F207" s="64">
        <v>178700</v>
      </c>
      <c r="G207" s="103">
        <f t="shared" si="18"/>
        <v>178.7</v>
      </c>
    </row>
    <row r="208" spans="2:18">
      <c r="C208" s="34" t="s">
        <v>201</v>
      </c>
      <c r="D208" t="s">
        <v>228</v>
      </c>
      <c r="F208" s="64">
        <v>34200</v>
      </c>
      <c r="G208" s="103">
        <f t="shared" si="18"/>
        <v>34.200000000000003</v>
      </c>
    </row>
    <row r="209" spans="2:9">
      <c r="F209" s="36">
        <f>SUM(F199:F208)</f>
        <v>4045900</v>
      </c>
      <c r="G209" s="36">
        <f t="shared" ref="G209" si="19">F209/1000</f>
        <v>4045.9</v>
      </c>
      <c r="H209" s="132">
        <f>0.75*10</f>
        <v>7.5</v>
      </c>
      <c r="I209" s="46">
        <f>G209-G199-G200</f>
        <v>2397.9400000000005</v>
      </c>
    </row>
    <row r="211" spans="2:9">
      <c r="B211">
        <v>2</v>
      </c>
      <c r="C211" s="204" t="s">
        <v>232</v>
      </c>
      <c r="D211" s="204"/>
      <c r="E211" s="33"/>
    </row>
    <row r="212" spans="2:9">
      <c r="C212" s="34" t="s">
        <v>192</v>
      </c>
      <c r="D212" t="s">
        <v>233</v>
      </c>
      <c r="F212" s="80">
        <v>668760</v>
      </c>
      <c r="G212" s="104">
        <f t="shared" ref="G212:G224" si="20">F212/1000</f>
        <v>668.76</v>
      </c>
    </row>
    <row r="213" spans="2:9">
      <c r="C213" s="34" t="s">
        <v>193</v>
      </c>
      <c r="D213" t="s">
        <v>234</v>
      </c>
      <c r="F213" s="80">
        <v>600640</v>
      </c>
      <c r="G213" s="104">
        <f t="shared" si="20"/>
        <v>600.64</v>
      </c>
    </row>
    <row r="214" spans="2:9">
      <c r="C214" s="34" t="s">
        <v>194</v>
      </c>
      <c r="D214" t="s">
        <v>235</v>
      </c>
      <c r="F214" s="80">
        <v>364980</v>
      </c>
      <c r="G214" s="104">
        <f t="shared" si="20"/>
        <v>364.98</v>
      </c>
      <c r="H214" s="36">
        <f>SUM(G212:G214)</f>
        <v>1634.38</v>
      </c>
    </row>
    <row r="215" spans="2:9">
      <c r="C215" s="34" t="s">
        <v>195</v>
      </c>
      <c r="D215" t="s">
        <v>236</v>
      </c>
      <c r="F215" s="64">
        <v>343680</v>
      </c>
      <c r="G215" s="103">
        <f t="shared" si="20"/>
        <v>343.68</v>
      </c>
    </row>
    <row r="216" spans="2:9">
      <c r="C216" s="34" t="s">
        <v>196</v>
      </c>
      <c r="D216" t="s">
        <v>237</v>
      </c>
      <c r="F216" s="64">
        <v>342360</v>
      </c>
      <c r="G216" s="103">
        <f t="shared" si="20"/>
        <v>342.36</v>
      </c>
    </row>
    <row r="217" spans="2:9">
      <c r="C217" s="34" t="s">
        <v>197</v>
      </c>
      <c r="D217" t="s">
        <v>238</v>
      </c>
      <c r="F217" s="64">
        <v>330990</v>
      </c>
      <c r="G217" s="103">
        <f t="shared" si="20"/>
        <v>330.99</v>
      </c>
    </row>
    <row r="218" spans="2:9">
      <c r="C218" s="34" t="s">
        <v>198</v>
      </c>
      <c r="D218" t="s">
        <v>239</v>
      </c>
      <c r="F218" s="64">
        <v>273470</v>
      </c>
      <c r="G218" s="103">
        <f t="shared" si="20"/>
        <v>273.47000000000003</v>
      </c>
    </row>
    <row r="219" spans="2:9">
      <c r="C219" s="34" t="s">
        <v>199</v>
      </c>
      <c r="D219" t="s">
        <v>240</v>
      </c>
      <c r="F219" s="64">
        <v>268750</v>
      </c>
      <c r="G219" s="103">
        <f t="shared" si="20"/>
        <v>268.75</v>
      </c>
    </row>
    <row r="220" spans="2:9">
      <c r="C220" s="34" t="s">
        <v>200</v>
      </c>
      <c r="D220" t="s">
        <v>241</v>
      </c>
      <c r="F220" s="64">
        <v>266890</v>
      </c>
      <c r="G220" s="103">
        <f t="shared" si="20"/>
        <v>266.89</v>
      </c>
    </row>
    <row r="221" spans="2:9">
      <c r="C221" s="34" t="s">
        <v>201</v>
      </c>
      <c r="D221" t="s">
        <v>242</v>
      </c>
      <c r="F221" s="64">
        <v>238780</v>
      </c>
      <c r="G221" s="103">
        <f t="shared" si="20"/>
        <v>238.78</v>
      </c>
    </row>
    <row r="222" spans="2:9">
      <c r="C222" s="34" t="s">
        <v>202</v>
      </c>
      <c r="D222" t="s">
        <v>243</v>
      </c>
      <c r="F222" s="64">
        <v>237110</v>
      </c>
      <c r="G222" s="103">
        <f t="shared" si="20"/>
        <v>237.11</v>
      </c>
    </row>
    <row r="223" spans="2:9">
      <c r="C223" s="34" t="s">
        <v>203</v>
      </c>
      <c r="D223" t="s">
        <v>244</v>
      </c>
      <c r="F223" s="64">
        <v>198870</v>
      </c>
      <c r="G223" s="103">
        <f t="shared" si="20"/>
        <v>198.87</v>
      </c>
    </row>
    <row r="224" spans="2:9">
      <c r="C224" s="34" t="s">
        <v>204</v>
      </c>
      <c r="D224" t="s">
        <v>245</v>
      </c>
      <c r="F224" s="64">
        <v>138120</v>
      </c>
      <c r="G224" s="103">
        <f t="shared" si="20"/>
        <v>138.12</v>
      </c>
    </row>
    <row r="225" spans="2:9">
      <c r="F225" s="36">
        <f>SUM(F212:F224)</f>
        <v>4273400</v>
      </c>
      <c r="G225" s="35">
        <f t="shared" ref="G225" si="21">F225/1000</f>
        <v>4273.3999999999996</v>
      </c>
      <c r="H225" s="132">
        <f>0.75*13</f>
        <v>9.75</v>
      </c>
      <c r="I225" s="47">
        <f>G225-G212-G213-G214</f>
        <v>2639.0199999999995</v>
      </c>
    </row>
    <row r="227" spans="2:9">
      <c r="B227">
        <v>3</v>
      </c>
      <c r="C227" s="204" t="s">
        <v>246</v>
      </c>
      <c r="D227" s="204"/>
      <c r="E227" s="33"/>
    </row>
    <row r="228" spans="2:9">
      <c r="C228" s="34" t="s">
        <v>192</v>
      </c>
      <c r="D228" t="s">
        <v>247</v>
      </c>
      <c r="F228" s="80">
        <v>675468</v>
      </c>
      <c r="G228" s="104">
        <f t="shared" ref="G228:G241" si="22">F228/1000</f>
        <v>675.46799999999996</v>
      </c>
    </row>
    <row r="229" spans="2:9">
      <c r="C229" s="34" t="s">
        <v>193</v>
      </c>
      <c r="D229" t="s">
        <v>248</v>
      </c>
      <c r="F229" s="80">
        <v>648181</v>
      </c>
      <c r="G229" s="104">
        <f t="shared" si="22"/>
        <v>648.18100000000004</v>
      </c>
    </row>
    <row r="230" spans="2:9">
      <c r="C230" s="34" t="s">
        <v>194</v>
      </c>
      <c r="D230" t="s">
        <v>249</v>
      </c>
      <c r="F230" s="80">
        <v>639250</v>
      </c>
      <c r="G230" s="104">
        <f t="shared" si="22"/>
        <v>639.25</v>
      </c>
      <c r="H230" s="36">
        <f>SUM(G228:G230)</f>
        <v>1962.8989999999999</v>
      </c>
    </row>
    <row r="231" spans="2:9">
      <c r="C231" s="34" t="s">
        <v>195</v>
      </c>
      <c r="D231" t="s">
        <v>250</v>
      </c>
      <c r="F231" s="82">
        <v>592521</v>
      </c>
      <c r="G231" s="105">
        <f t="shared" si="22"/>
        <v>592.52099999999996</v>
      </c>
    </row>
    <row r="232" spans="2:9">
      <c r="C232" s="34" t="s">
        <v>196</v>
      </c>
      <c r="D232" t="s">
        <v>251</v>
      </c>
      <c r="F232" s="82">
        <v>503937</v>
      </c>
      <c r="G232" s="105">
        <f t="shared" si="22"/>
        <v>503.93700000000001</v>
      </c>
    </row>
    <row r="233" spans="2:9">
      <c r="C233" s="34" t="s">
        <v>197</v>
      </c>
      <c r="D233" t="s">
        <v>252</v>
      </c>
      <c r="F233" s="82">
        <v>438022</v>
      </c>
      <c r="G233" s="105">
        <f t="shared" si="22"/>
        <v>438.02199999999999</v>
      </c>
    </row>
    <row r="234" spans="2:9">
      <c r="C234" s="34" t="s">
        <v>198</v>
      </c>
      <c r="D234" t="s">
        <v>253</v>
      </c>
      <c r="F234" s="82">
        <v>413588</v>
      </c>
      <c r="G234" s="105">
        <f t="shared" si="22"/>
        <v>413.58800000000002</v>
      </c>
    </row>
    <row r="235" spans="2:9">
      <c r="C235" s="34" t="s">
        <v>199</v>
      </c>
      <c r="D235" t="s">
        <v>254</v>
      </c>
      <c r="F235" s="82">
        <v>312785</v>
      </c>
      <c r="G235" s="105">
        <f t="shared" si="22"/>
        <v>312.78500000000003</v>
      </c>
    </row>
    <row r="236" spans="2:9">
      <c r="C236" s="34" t="s">
        <v>200</v>
      </c>
      <c r="D236" t="s">
        <v>255</v>
      </c>
      <c r="F236" s="82">
        <v>298979</v>
      </c>
      <c r="G236" s="105">
        <f t="shared" si="22"/>
        <v>298.97899999999998</v>
      </c>
    </row>
    <row r="237" spans="2:9">
      <c r="C237" s="34" t="s">
        <v>201</v>
      </c>
      <c r="D237" t="s">
        <v>256</v>
      </c>
      <c r="F237" s="82">
        <v>262404</v>
      </c>
      <c r="G237" s="105">
        <f t="shared" si="22"/>
        <v>262.404</v>
      </c>
    </row>
    <row r="238" spans="2:9">
      <c r="C238" s="34" t="s">
        <v>202</v>
      </c>
      <c r="D238" t="s">
        <v>257</v>
      </c>
      <c r="F238" s="82">
        <v>246112</v>
      </c>
      <c r="G238" s="105">
        <f t="shared" si="22"/>
        <v>246.11199999999999</v>
      </c>
    </row>
    <row r="239" spans="2:9">
      <c r="C239" s="34" t="s">
        <v>203</v>
      </c>
      <c r="D239" t="s">
        <v>258</v>
      </c>
      <c r="F239" s="82">
        <v>239502</v>
      </c>
      <c r="G239" s="105">
        <f t="shared" si="22"/>
        <v>239.50200000000001</v>
      </c>
    </row>
    <row r="240" spans="2:9">
      <c r="C240" s="34" t="s">
        <v>204</v>
      </c>
      <c r="D240" t="s">
        <v>259</v>
      </c>
      <c r="F240" s="82">
        <v>219724</v>
      </c>
      <c r="G240" s="105">
        <f t="shared" si="22"/>
        <v>219.72399999999999</v>
      </c>
    </row>
    <row r="241" spans="2:11">
      <c r="C241" s="34" t="s">
        <v>205</v>
      </c>
      <c r="D241" t="s">
        <v>260</v>
      </c>
      <c r="F241" s="82">
        <v>132855</v>
      </c>
      <c r="G241" s="105">
        <f t="shared" si="22"/>
        <v>132.85499999999999</v>
      </c>
    </row>
    <row r="242" spans="2:11">
      <c r="F242" s="36">
        <f>SUM(F228:F241)</f>
        <v>5623328</v>
      </c>
      <c r="G242" s="35">
        <f t="shared" ref="G242" si="23">F242/1000</f>
        <v>5623.3280000000004</v>
      </c>
      <c r="H242" s="132">
        <f>0.75*14</f>
        <v>10.5</v>
      </c>
      <c r="I242" s="46">
        <f>G242-G228-G229-G230</f>
        <v>3660.4290000000001</v>
      </c>
    </row>
    <row r="244" spans="2:11">
      <c r="B244">
        <v>4</v>
      </c>
      <c r="C244" s="204" t="s">
        <v>261</v>
      </c>
      <c r="D244" s="204"/>
      <c r="E244" s="33"/>
    </row>
    <row r="245" spans="2:11">
      <c r="C245" s="34" t="s">
        <v>192</v>
      </c>
      <c r="D245" t="s">
        <v>262</v>
      </c>
      <c r="F245" s="80">
        <v>438390</v>
      </c>
      <c r="G245" s="104">
        <f t="shared" ref="G245:G258" si="24">F245/1000</f>
        <v>438.39</v>
      </c>
    </row>
    <row r="246" spans="2:11">
      <c r="C246" s="34" t="s">
        <v>193</v>
      </c>
      <c r="D246" t="s">
        <v>263</v>
      </c>
      <c r="F246" s="80">
        <v>420060</v>
      </c>
      <c r="G246" s="104">
        <f t="shared" si="24"/>
        <v>420.06</v>
      </c>
    </row>
    <row r="247" spans="2:11">
      <c r="C247" s="34" t="s">
        <v>194</v>
      </c>
      <c r="D247" t="s">
        <v>264</v>
      </c>
      <c r="F247" s="80">
        <v>301420</v>
      </c>
      <c r="G247" s="104">
        <f t="shared" si="24"/>
        <v>301.42</v>
      </c>
      <c r="H247" s="36">
        <f>SUM(G245:G247)</f>
        <v>1159.8700000000001</v>
      </c>
    </row>
    <row r="248" spans="2:11">
      <c r="C248" s="34" t="s">
        <v>195</v>
      </c>
      <c r="D248" t="s">
        <v>265</v>
      </c>
      <c r="F248" s="82">
        <v>276580</v>
      </c>
      <c r="G248" s="105">
        <f t="shared" si="24"/>
        <v>276.58</v>
      </c>
    </row>
    <row r="249" spans="2:11">
      <c r="C249" s="34" t="s">
        <v>196</v>
      </c>
      <c r="D249" t="s">
        <v>266</v>
      </c>
      <c r="F249" s="82">
        <v>168260</v>
      </c>
      <c r="G249" s="105">
        <f t="shared" si="24"/>
        <v>168.26</v>
      </c>
    </row>
    <row r="250" spans="2:11">
      <c r="C250" s="34" t="s">
        <v>197</v>
      </c>
      <c r="D250" t="s">
        <v>267</v>
      </c>
      <c r="F250" s="82">
        <v>166820</v>
      </c>
      <c r="G250" s="105">
        <f t="shared" si="24"/>
        <v>166.82</v>
      </c>
    </row>
    <row r="251" spans="2:11">
      <c r="C251" s="34" t="s">
        <v>198</v>
      </c>
      <c r="D251" t="s">
        <v>268</v>
      </c>
      <c r="F251" s="82">
        <v>158540</v>
      </c>
      <c r="G251" s="105">
        <f t="shared" si="24"/>
        <v>158.54</v>
      </c>
    </row>
    <row r="252" spans="2:11">
      <c r="C252" s="34" t="s">
        <v>199</v>
      </c>
      <c r="D252" t="s">
        <v>269</v>
      </c>
      <c r="F252" s="82">
        <v>140120</v>
      </c>
      <c r="G252" s="105">
        <f t="shared" si="24"/>
        <v>140.12</v>
      </c>
    </row>
    <row r="253" spans="2:11">
      <c r="C253" s="34" t="s">
        <v>200</v>
      </c>
      <c r="D253" t="s">
        <v>270</v>
      </c>
      <c r="F253" s="82">
        <v>136870</v>
      </c>
      <c r="G253" s="105">
        <f t="shared" si="24"/>
        <v>136.87</v>
      </c>
    </row>
    <row r="254" spans="2:11">
      <c r="C254" s="34" t="s">
        <v>201</v>
      </c>
      <c r="D254" t="s">
        <v>271</v>
      </c>
      <c r="F254" s="82">
        <v>133480</v>
      </c>
      <c r="G254" s="105">
        <f t="shared" si="24"/>
        <v>133.47999999999999</v>
      </c>
    </row>
    <row r="255" spans="2:11">
      <c r="C255" s="34" t="s">
        <v>202</v>
      </c>
      <c r="D255" t="s">
        <v>272</v>
      </c>
      <c r="F255" s="82">
        <v>115860</v>
      </c>
      <c r="G255" s="105">
        <f t="shared" si="24"/>
        <v>115.86</v>
      </c>
    </row>
    <row r="256" spans="2:11">
      <c r="C256" s="34" t="s">
        <v>203</v>
      </c>
      <c r="D256" t="s">
        <v>273</v>
      </c>
      <c r="F256" s="82">
        <v>114830</v>
      </c>
      <c r="G256" s="105">
        <f t="shared" si="24"/>
        <v>114.83</v>
      </c>
      <c r="K256" t="s">
        <v>220</v>
      </c>
    </row>
    <row r="257" spans="2:18">
      <c r="C257" s="34" t="s">
        <v>204</v>
      </c>
      <c r="D257" t="s">
        <v>274</v>
      </c>
      <c r="F257" s="82">
        <v>100510</v>
      </c>
      <c r="G257" s="105">
        <f t="shared" si="24"/>
        <v>100.51</v>
      </c>
      <c r="J257">
        <v>1</v>
      </c>
      <c r="K257" t="str">
        <f>C198</f>
        <v>Kalimantan Timur</v>
      </c>
      <c r="M257" s="9">
        <f>I209</f>
        <v>2397.9400000000005</v>
      </c>
    </row>
    <row r="258" spans="2:18">
      <c r="C258" s="34" t="s">
        <v>205</v>
      </c>
      <c r="D258" t="s">
        <v>275</v>
      </c>
      <c r="F258" s="82">
        <v>65460</v>
      </c>
      <c r="G258" s="105">
        <f t="shared" si="24"/>
        <v>65.459999999999994</v>
      </c>
      <c r="J258">
        <v>2</v>
      </c>
      <c r="K258" t="str">
        <f>C211</f>
        <v>Kalimantan Selatan</v>
      </c>
      <c r="M258" s="9">
        <f>I225</f>
        <v>2639.0199999999995</v>
      </c>
    </row>
    <row r="259" spans="2:18">
      <c r="F259" s="36">
        <v>2737200</v>
      </c>
      <c r="G259" s="35">
        <f t="shared" ref="G259" si="25">F259/1000</f>
        <v>2737.2</v>
      </c>
      <c r="H259" s="132">
        <f>0.75*14</f>
        <v>10.5</v>
      </c>
      <c r="I259" s="9">
        <f>G259-H247</f>
        <v>1577.3299999999997</v>
      </c>
      <c r="J259">
        <v>3</v>
      </c>
      <c r="K259" t="str">
        <f>C227</f>
        <v>Kalimantan Barat</v>
      </c>
      <c r="M259" s="9">
        <f>I242</f>
        <v>3660.4290000000001</v>
      </c>
    </row>
    <row r="260" spans="2:18">
      <c r="J260">
        <v>4</v>
      </c>
      <c r="K260" t="str">
        <f>C244</f>
        <v>Kalimantan Tengah</v>
      </c>
      <c r="M260" s="9">
        <f>I259</f>
        <v>1577.3299999999997</v>
      </c>
    </row>
    <row r="261" spans="2:18">
      <c r="B261" s="4">
        <v>5</v>
      </c>
      <c r="C261" s="204" t="s">
        <v>276</v>
      </c>
      <c r="D261" s="204"/>
      <c r="E261" s="33"/>
      <c r="J261">
        <v>5</v>
      </c>
      <c r="K261" t="str">
        <f>C261</f>
        <v>Kalimantan Utara</v>
      </c>
      <c r="M261" s="9">
        <f>I267</f>
        <v>485.86200000000002</v>
      </c>
    </row>
    <row r="262" spans="2:18">
      <c r="C262" s="34" t="s">
        <v>192</v>
      </c>
      <c r="D262" t="s">
        <v>281</v>
      </c>
      <c r="F262" s="81">
        <v>253916</v>
      </c>
      <c r="G262" s="102">
        <f t="shared" ref="G262:G267" si="26">F262/1000</f>
        <v>253.916</v>
      </c>
      <c r="M262" s="45">
        <f>SUM(M257:M261)</f>
        <v>10760.580999999998</v>
      </c>
    </row>
    <row r="263" spans="2:18">
      <c r="C263" s="34" t="s">
        <v>193</v>
      </c>
      <c r="D263" t="s">
        <v>280</v>
      </c>
      <c r="F263" s="36">
        <v>210937</v>
      </c>
      <c r="G263" s="105">
        <f t="shared" si="26"/>
        <v>210.93700000000001</v>
      </c>
    </row>
    <row r="264" spans="2:18">
      <c r="C264" s="34" t="s">
        <v>194</v>
      </c>
      <c r="D264" t="s">
        <v>278</v>
      </c>
      <c r="F264" s="36">
        <v>160241</v>
      </c>
      <c r="G264" s="105">
        <f t="shared" si="26"/>
        <v>160.24100000000001</v>
      </c>
    </row>
    <row r="265" spans="2:18">
      <c r="C265" s="34" t="s">
        <v>195</v>
      </c>
      <c r="D265" t="s">
        <v>277</v>
      </c>
      <c r="F265" s="36">
        <v>86523</v>
      </c>
      <c r="G265" s="105">
        <f t="shared" si="26"/>
        <v>86.522999999999996</v>
      </c>
    </row>
    <row r="266" spans="2:18">
      <c r="C266" s="34" t="s">
        <v>196</v>
      </c>
      <c r="D266" t="s">
        <v>279</v>
      </c>
      <c r="F266" s="36">
        <v>28161</v>
      </c>
      <c r="G266" s="105">
        <f t="shared" si="26"/>
        <v>28.161000000000001</v>
      </c>
    </row>
    <row r="267" spans="2:18">
      <c r="F267" s="36">
        <f>SUM(F262:F266)</f>
        <v>739778</v>
      </c>
      <c r="G267" s="35">
        <f t="shared" si="26"/>
        <v>739.77800000000002</v>
      </c>
      <c r="H267" s="132">
        <f>0.75*5</f>
        <v>3.75</v>
      </c>
      <c r="I267" s="14">
        <f>G267-G262</f>
        <v>485.86200000000002</v>
      </c>
    </row>
    <row r="268" spans="2:18">
      <c r="C268" s="33">
        <f>C266+C258+C241+C224+C208</f>
        <v>56</v>
      </c>
      <c r="D268" s="21" t="s">
        <v>648</v>
      </c>
      <c r="E268" s="21"/>
      <c r="H268" s="59">
        <f>H267+H259+H242+H225+H209</f>
        <v>42</v>
      </c>
      <c r="J268" s="46">
        <f>I267+I259+I242+I225+I209</f>
        <v>10760.581</v>
      </c>
    </row>
    <row r="269" spans="2:18">
      <c r="D269" s="21"/>
      <c r="E269" s="21"/>
      <c r="H269" s="35"/>
    </row>
    <row r="270" spans="2:18">
      <c r="C270" s="213" t="s">
        <v>663</v>
      </c>
      <c r="D270" s="213"/>
      <c r="E270" s="213"/>
      <c r="F270" s="213"/>
      <c r="G270" s="213"/>
      <c r="M270" s="73" t="s">
        <v>23</v>
      </c>
      <c r="N270" s="200" t="s">
        <v>33</v>
      </c>
      <c r="O270" s="200"/>
      <c r="P270" s="200" t="s">
        <v>717</v>
      </c>
      <c r="Q270" s="200"/>
      <c r="R270" s="200"/>
    </row>
    <row r="271" spans="2:18" ht="66" customHeight="1">
      <c r="C271" s="50">
        <v>1</v>
      </c>
      <c r="D271" s="204" t="s">
        <v>282</v>
      </c>
      <c r="E271" s="204"/>
      <c r="F271" s="204"/>
      <c r="G271" s="204"/>
      <c r="M271" s="69" t="s">
        <v>730</v>
      </c>
      <c r="N271" s="68" t="s">
        <v>711</v>
      </c>
      <c r="O271" s="69" t="s">
        <v>719</v>
      </c>
      <c r="P271" s="69" t="s">
        <v>714</v>
      </c>
      <c r="Q271" s="69" t="s">
        <v>734</v>
      </c>
      <c r="R271" s="69" t="s">
        <v>716</v>
      </c>
    </row>
    <row r="272" spans="2:18">
      <c r="C272" s="34" t="s">
        <v>192</v>
      </c>
      <c r="D272" t="s">
        <v>324</v>
      </c>
      <c r="F272" s="80">
        <v>602793</v>
      </c>
      <c r="G272" s="80">
        <f>F272/1000</f>
        <v>602.79300000000001</v>
      </c>
      <c r="M272" s="26" t="s">
        <v>691</v>
      </c>
      <c r="N272" s="27">
        <v>23</v>
      </c>
      <c r="O272" s="71">
        <f>0.75*N272</f>
        <v>17.25</v>
      </c>
      <c r="P272" s="72">
        <v>5.27</v>
      </c>
      <c r="Q272" s="72">
        <v>5.27</v>
      </c>
      <c r="R272" s="72">
        <v>2.68</v>
      </c>
    </row>
    <row r="273" spans="3:18">
      <c r="C273" s="34" t="s">
        <v>193</v>
      </c>
      <c r="D273" t="s">
        <v>323</v>
      </c>
      <c r="F273" s="80">
        <v>436418</v>
      </c>
      <c r="G273" s="80">
        <f t="shared" ref="G273:G295" si="27">F273/1000</f>
        <v>436.41800000000001</v>
      </c>
      <c r="M273" s="26" t="s">
        <v>692</v>
      </c>
      <c r="N273" s="27">
        <v>33</v>
      </c>
      <c r="O273" s="71">
        <f t="shared" ref="O273:O281" si="28">0.75*N273</f>
        <v>24.75</v>
      </c>
      <c r="P273" s="72">
        <v>15.59</v>
      </c>
      <c r="Q273" s="72">
        <v>12.92</v>
      </c>
      <c r="R273" s="72">
        <v>6.39</v>
      </c>
    </row>
    <row r="274" spans="3:18">
      <c r="C274" s="34" t="s">
        <v>194</v>
      </c>
      <c r="D274" t="s">
        <v>322</v>
      </c>
      <c r="F274" s="80">
        <v>435275</v>
      </c>
      <c r="G274" s="80">
        <f t="shared" si="27"/>
        <v>435.27499999999998</v>
      </c>
      <c r="M274" s="26" t="s">
        <v>693</v>
      </c>
      <c r="N274" s="27">
        <v>19</v>
      </c>
      <c r="O274" s="71">
        <f t="shared" si="28"/>
        <v>14.25</v>
      </c>
      <c r="P274" s="72">
        <v>5.64</v>
      </c>
      <c r="Q274" s="72">
        <v>5.64</v>
      </c>
      <c r="R274" s="72">
        <v>2.79</v>
      </c>
    </row>
    <row r="275" spans="3:18">
      <c r="C275" s="34" t="s">
        <v>195</v>
      </c>
      <c r="D275" t="s">
        <v>318</v>
      </c>
      <c r="F275" s="80">
        <v>422401</v>
      </c>
      <c r="G275" s="80">
        <f t="shared" si="27"/>
        <v>422.40100000000001</v>
      </c>
      <c r="M275" s="31" t="s">
        <v>694</v>
      </c>
      <c r="N275" s="27">
        <v>12</v>
      </c>
      <c r="O275" s="71">
        <f t="shared" si="28"/>
        <v>9</v>
      </c>
      <c r="P275" s="72">
        <v>6.24</v>
      </c>
      <c r="Q275" s="72">
        <v>6.23</v>
      </c>
      <c r="R275" s="72">
        <v>3.67</v>
      </c>
    </row>
    <row r="276" spans="3:18">
      <c r="C276" s="34" t="s">
        <v>196</v>
      </c>
      <c r="D276" t="s">
        <v>321</v>
      </c>
      <c r="F276" s="80">
        <v>405535</v>
      </c>
      <c r="G276" s="80">
        <f t="shared" si="27"/>
        <v>405.53500000000003</v>
      </c>
      <c r="M276" s="31" t="s">
        <v>695</v>
      </c>
      <c r="N276" s="27">
        <v>7</v>
      </c>
      <c r="O276" s="71">
        <f t="shared" si="28"/>
        <v>5.25</v>
      </c>
      <c r="P276" s="72">
        <v>1.68</v>
      </c>
      <c r="Q276" s="72">
        <v>1.68</v>
      </c>
      <c r="R276" s="72">
        <v>0.52</v>
      </c>
    </row>
    <row r="277" spans="3:18">
      <c r="C277" s="34" t="s">
        <v>197</v>
      </c>
      <c r="D277" t="s">
        <v>327</v>
      </c>
      <c r="F277" s="80">
        <v>294356</v>
      </c>
      <c r="G277" s="80">
        <f t="shared" si="27"/>
        <v>294.35599999999999</v>
      </c>
      <c r="H277" s="36">
        <f>SUM(G272:G277)</f>
        <v>2596.7780000000002</v>
      </c>
      <c r="M277" s="31" t="s">
        <v>700</v>
      </c>
      <c r="N277" s="27">
        <v>7</v>
      </c>
      <c r="O277" s="71">
        <f t="shared" si="28"/>
        <v>5.25</v>
      </c>
      <c r="P277" s="72">
        <v>1.49</v>
      </c>
      <c r="Q277" s="72">
        <v>1.49</v>
      </c>
      <c r="R277" s="72">
        <v>0.93</v>
      </c>
    </row>
    <row r="278" spans="3:18">
      <c r="C278" s="34" t="s">
        <v>198</v>
      </c>
      <c r="D278" t="s">
        <v>332</v>
      </c>
      <c r="F278" s="82">
        <v>252899</v>
      </c>
      <c r="G278" s="82">
        <f t="shared" si="27"/>
        <v>252.899</v>
      </c>
      <c r="H278" s="36"/>
      <c r="M278" s="31" t="s">
        <v>696</v>
      </c>
      <c r="N278" s="32">
        <v>11</v>
      </c>
      <c r="O278" s="71">
        <f t="shared" si="28"/>
        <v>8.25</v>
      </c>
      <c r="P278" s="72">
        <v>3.72</v>
      </c>
      <c r="Q278" s="72">
        <v>3.72</v>
      </c>
      <c r="R278" s="72">
        <v>2.2799999999999998</v>
      </c>
    </row>
    <row r="279" spans="3:18">
      <c r="C279" s="34" t="s">
        <v>199</v>
      </c>
      <c r="D279" t="s">
        <v>315</v>
      </c>
      <c r="F279" s="82">
        <v>232414</v>
      </c>
      <c r="G279" s="82">
        <f t="shared" si="27"/>
        <v>232.41399999999999</v>
      </c>
      <c r="M279" s="31" t="s">
        <v>697</v>
      </c>
      <c r="N279" s="32">
        <v>10</v>
      </c>
      <c r="O279" s="71">
        <f t="shared" si="28"/>
        <v>7.5</v>
      </c>
      <c r="P279" s="72">
        <v>2.09</v>
      </c>
      <c r="Q279" s="72">
        <v>2.09</v>
      </c>
      <c r="R279" s="72">
        <v>1.39</v>
      </c>
    </row>
    <row r="280" spans="3:18">
      <c r="C280" s="34" t="s">
        <v>200</v>
      </c>
      <c r="D280" t="s">
        <v>317</v>
      </c>
      <c r="F280" s="82">
        <v>220860</v>
      </c>
      <c r="G280" s="82">
        <f t="shared" si="27"/>
        <v>220.86</v>
      </c>
      <c r="M280" s="31" t="s">
        <v>698</v>
      </c>
      <c r="N280" s="32">
        <v>17</v>
      </c>
      <c r="O280" s="71">
        <f t="shared" si="28"/>
        <v>12.75</v>
      </c>
      <c r="P280" s="72">
        <v>8.84</v>
      </c>
      <c r="Q280" s="72">
        <v>8.11</v>
      </c>
      <c r="R280" s="72">
        <v>4.75</v>
      </c>
    </row>
    <row r="281" spans="3:18">
      <c r="C281" s="34" t="s">
        <v>201</v>
      </c>
      <c r="D281" t="s">
        <v>319</v>
      </c>
      <c r="F281" s="82">
        <v>215576</v>
      </c>
      <c r="G281" s="82">
        <f t="shared" si="27"/>
        <v>215.57599999999999</v>
      </c>
      <c r="M281" s="31" t="s">
        <v>699</v>
      </c>
      <c r="N281" s="32">
        <v>15</v>
      </c>
      <c r="O281" s="71">
        <f t="shared" si="28"/>
        <v>11.25</v>
      </c>
      <c r="P281" s="72">
        <v>9.18</v>
      </c>
      <c r="Q281" s="72">
        <v>8.26</v>
      </c>
      <c r="R281" s="72">
        <v>4.26</v>
      </c>
    </row>
    <row r="282" spans="3:18">
      <c r="C282" s="34" t="s">
        <v>202</v>
      </c>
      <c r="D282" t="s">
        <v>320</v>
      </c>
      <c r="F282" s="82">
        <v>198736</v>
      </c>
      <c r="G282" s="82">
        <f t="shared" si="27"/>
        <v>198.73599999999999</v>
      </c>
      <c r="M282" s="26" t="s">
        <v>718</v>
      </c>
      <c r="N282" s="27">
        <f>SUM(N272:N281)</f>
        <v>154</v>
      </c>
      <c r="O282" s="27">
        <f>SUM(O272:O281)</f>
        <v>115.5</v>
      </c>
      <c r="P282" s="72">
        <f>SUM(P272:P281)</f>
        <v>59.74</v>
      </c>
      <c r="Q282" s="72">
        <f>SUM(Q272:Q281)</f>
        <v>55.409999999999989</v>
      </c>
      <c r="R282" s="72">
        <f>SUM(R272:R281)</f>
        <v>29.660000000000004</v>
      </c>
    </row>
    <row r="283" spans="3:18">
      <c r="C283" s="34" t="s">
        <v>203</v>
      </c>
      <c r="D283" t="s">
        <v>335</v>
      </c>
      <c r="F283" s="82">
        <v>188713</v>
      </c>
      <c r="G283" s="82">
        <f t="shared" si="27"/>
        <v>188.71299999999999</v>
      </c>
      <c r="M283" s="31" t="s">
        <v>720</v>
      </c>
    </row>
    <row r="284" spans="3:18">
      <c r="C284" s="34" t="s">
        <v>204</v>
      </c>
      <c r="D284" t="s">
        <v>334</v>
      </c>
      <c r="F284" s="82">
        <v>185971</v>
      </c>
      <c r="G284" s="82">
        <f t="shared" si="27"/>
        <v>185.971</v>
      </c>
    </row>
    <row r="285" spans="3:18">
      <c r="C285" s="34" t="s">
        <v>205</v>
      </c>
      <c r="D285" t="s">
        <v>328</v>
      </c>
      <c r="F285" s="82">
        <v>168392</v>
      </c>
      <c r="G285" s="82">
        <f t="shared" si="27"/>
        <v>168.392</v>
      </c>
    </row>
    <row r="286" spans="3:18">
      <c r="C286" s="34" t="s">
        <v>206</v>
      </c>
      <c r="D286" t="s">
        <v>330</v>
      </c>
      <c r="F286" s="82">
        <v>161342</v>
      </c>
      <c r="G286" s="82">
        <f t="shared" si="27"/>
        <v>161.34200000000001</v>
      </c>
    </row>
    <row r="287" spans="3:18">
      <c r="C287" s="34" t="s">
        <v>207</v>
      </c>
      <c r="D287" t="s">
        <v>331</v>
      </c>
      <c r="F287" s="82">
        <v>158397</v>
      </c>
      <c r="G287" s="82">
        <f t="shared" si="27"/>
        <v>158.39699999999999</v>
      </c>
    </row>
    <row r="288" spans="3:18">
      <c r="C288" s="34" t="s">
        <v>208</v>
      </c>
      <c r="D288" t="s">
        <v>325</v>
      </c>
      <c r="F288" s="82">
        <v>150775</v>
      </c>
      <c r="G288" s="82">
        <f t="shared" si="27"/>
        <v>150.77500000000001</v>
      </c>
    </row>
    <row r="289" spans="3:9">
      <c r="C289" s="34" t="s">
        <v>209</v>
      </c>
      <c r="D289" t="s">
        <v>316</v>
      </c>
      <c r="F289" s="82">
        <v>126514</v>
      </c>
      <c r="G289" s="82">
        <f t="shared" si="27"/>
        <v>126.514</v>
      </c>
    </row>
    <row r="290" spans="3:9">
      <c r="C290" s="34" t="s">
        <v>210</v>
      </c>
      <c r="D290" t="s">
        <v>326</v>
      </c>
      <c r="F290" s="82">
        <v>99532</v>
      </c>
      <c r="G290" s="82">
        <f t="shared" si="27"/>
        <v>99.531999999999996</v>
      </c>
    </row>
    <row r="291" spans="3:9">
      <c r="C291" s="34" t="s">
        <v>211</v>
      </c>
      <c r="D291" t="s">
        <v>329</v>
      </c>
      <c r="F291" s="82">
        <v>93159</v>
      </c>
      <c r="G291" s="82">
        <f t="shared" si="27"/>
        <v>93.159000000000006</v>
      </c>
    </row>
    <row r="292" spans="3:9">
      <c r="C292" s="34" t="s">
        <v>212</v>
      </c>
      <c r="D292" t="s">
        <v>314</v>
      </c>
      <c r="F292" s="82">
        <v>92865</v>
      </c>
      <c r="G292" s="82">
        <f t="shared" si="27"/>
        <v>92.864999999999995</v>
      </c>
    </row>
    <row r="293" spans="3:9">
      <c r="C293" s="34" t="s">
        <v>213</v>
      </c>
      <c r="D293" t="s">
        <v>336</v>
      </c>
      <c r="F293" s="82">
        <v>90751</v>
      </c>
      <c r="G293" s="82">
        <f t="shared" si="27"/>
        <v>90.751000000000005</v>
      </c>
    </row>
    <row r="294" spans="3:9">
      <c r="C294" s="34" t="s">
        <v>214</v>
      </c>
      <c r="D294" t="s">
        <v>333</v>
      </c>
      <c r="F294" s="82">
        <v>41197</v>
      </c>
      <c r="G294" s="82">
        <f t="shared" si="27"/>
        <v>41.197000000000003</v>
      </c>
    </row>
    <row r="295" spans="3:9">
      <c r="F295" s="36">
        <f>SUM(F272:F294)</f>
        <v>5274871</v>
      </c>
      <c r="G295" s="36">
        <f t="shared" si="27"/>
        <v>5274.8710000000001</v>
      </c>
      <c r="H295" s="132">
        <f>0.75*23</f>
        <v>17.25</v>
      </c>
      <c r="I295" s="46">
        <f>G295-H277</f>
        <v>2678.0929999999998</v>
      </c>
    </row>
    <row r="296" spans="3:9">
      <c r="F296" s="36"/>
      <c r="G296" s="36"/>
      <c r="H296" s="35"/>
      <c r="I296" s="46"/>
    </row>
    <row r="297" spans="3:9">
      <c r="C297" s="50">
        <v>2</v>
      </c>
      <c r="D297" s="40" t="s">
        <v>283</v>
      </c>
      <c r="E297" s="40"/>
    </row>
    <row r="298" spans="3:9">
      <c r="C298" s="34" t="s">
        <v>192</v>
      </c>
      <c r="D298" s="22" t="s">
        <v>365</v>
      </c>
      <c r="E298" s="22"/>
      <c r="F298" s="80">
        <v>2486283</v>
      </c>
      <c r="G298" s="80">
        <v>1000</v>
      </c>
    </row>
    <row r="299" spans="3:9">
      <c r="C299" s="34" t="s">
        <v>193</v>
      </c>
      <c r="D299" s="22" t="s">
        <v>348</v>
      </c>
      <c r="E299" s="22"/>
      <c r="F299" s="80">
        <v>2048480</v>
      </c>
      <c r="G299" s="80">
        <v>1000</v>
      </c>
    </row>
    <row r="300" spans="3:9">
      <c r="C300" s="34" t="s">
        <v>194</v>
      </c>
      <c r="D300" s="22" t="s">
        <v>349</v>
      </c>
      <c r="E300" s="22"/>
      <c r="F300" s="80">
        <v>1078676</v>
      </c>
      <c r="G300" s="80">
        <v>1000</v>
      </c>
    </row>
    <row r="301" spans="3:9">
      <c r="C301" s="34" t="s">
        <v>195</v>
      </c>
      <c r="D301" s="22" t="s">
        <v>345</v>
      </c>
      <c r="E301" s="22"/>
      <c r="F301" s="80">
        <v>1051845</v>
      </c>
      <c r="G301" s="80">
        <v>1000</v>
      </c>
    </row>
    <row r="302" spans="3:9">
      <c r="C302" s="34" t="s">
        <v>196</v>
      </c>
      <c r="D302" s="22" t="s">
        <v>344</v>
      </c>
      <c r="E302" s="22"/>
      <c r="F302" s="80">
        <v>813720</v>
      </c>
      <c r="G302" s="80">
        <f t="shared" ref="G302:G330" si="29">F302/1000</f>
        <v>813.72</v>
      </c>
    </row>
    <row r="303" spans="3:9">
      <c r="C303" s="34" t="s">
        <v>197</v>
      </c>
      <c r="D303" s="22" t="s">
        <v>354</v>
      </c>
      <c r="E303" s="22"/>
      <c r="F303" s="80">
        <v>691638</v>
      </c>
      <c r="G303" s="80">
        <f t="shared" si="29"/>
        <v>691.63800000000003</v>
      </c>
    </row>
    <row r="304" spans="3:9">
      <c r="C304" s="34" t="s">
        <v>198</v>
      </c>
      <c r="D304" s="22" t="s">
        <v>343</v>
      </c>
      <c r="E304" s="22"/>
      <c r="F304" s="80">
        <v>520545</v>
      </c>
      <c r="G304" s="80">
        <f t="shared" si="29"/>
        <v>520.54499999999996</v>
      </c>
    </row>
    <row r="305" spans="3:8">
      <c r="C305" s="34" t="s">
        <v>199</v>
      </c>
      <c r="D305" s="22" t="s">
        <v>338</v>
      </c>
      <c r="E305" s="22"/>
      <c r="F305" s="80">
        <v>505360</v>
      </c>
      <c r="G305" s="80">
        <f t="shared" si="29"/>
        <v>505.36</v>
      </c>
      <c r="H305" s="36">
        <f>SUM(G298:G305)</f>
        <v>6531.2629999999999</v>
      </c>
    </row>
    <row r="306" spans="3:8">
      <c r="C306" s="34" t="s">
        <v>200</v>
      </c>
      <c r="D306" t="s">
        <v>355</v>
      </c>
      <c r="F306" s="36">
        <v>437360</v>
      </c>
      <c r="G306" s="36">
        <f t="shared" si="29"/>
        <v>437.36</v>
      </c>
    </row>
    <row r="307" spans="3:8">
      <c r="C307" s="34" t="s">
        <v>201</v>
      </c>
      <c r="D307" t="s">
        <v>347</v>
      </c>
      <c r="F307" s="36">
        <v>426471</v>
      </c>
      <c r="G307" s="36">
        <f t="shared" si="29"/>
        <v>426.471</v>
      </c>
    </row>
    <row r="308" spans="3:8">
      <c r="C308" s="34" t="s">
        <v>202</v>
      </c>
      <c r="D308" t="s">
        <v>358</v>
      </c>
      <c r="F308" s="36">
        <v>408749</v>
      </c>
      <c r="G308" s="36">
        <f t="shared" si="29"/>
        <v>408.74900000000002</v>
      </c>
    </row>
    <row r="309" spans="3:8">
      <c r="C309" s="34" t="s">
        <v>203</v>
      </c>
      <c r="D309" t="s">
        <v>340</v>
      </c>
      <c r="F309" s="36">
        <v>394910</v>
      </c>
      <c r="G309" s="36">
        <f t="shared" si="29"/>
        <v>394.91</v>
      </c>
    </row>
    <row r="310" spans="3:8">
      <c r="C310" s="34" t="s">
        <v>204</v>
      </c>
      <c r="D310" t="s">
        <v>350</v>
      </c>
      <c r="F310" s="36">
        <v>389957</v>
      </c>
      <c r="G310" s="36">
        <f t="shared" si="29"/>
        <v>389.95699999999999</v>
      </c>
    </row>
    <row r="311" spans="3:8">
      <c r="C311" s="34" t="s">
        <v>205</v>
      </c>
      <c r="D311" t="s">
        <v>357</v>
      </c>
      <c r="F311" s="36">
        <v>336557</v>
      </c>
      <c r="G311" s="36">
        <f t="shared" si="29"/>
        <v>336.55700000000002</v>
      </c>
    </row>
    <row r="312" spans="3:8">
      <c r="C312" s="34" t="s">
        <v>206</v>
      </c>
      <c r="D312" t="s">
        <v>346</v>
      </c>
      <c r="F312" s="36">
        <v>330586</v>
      </c>
      <c r="G312" s="36">
        <f t="shared" si="29"/>
        <v>330.58600000000001</v>
      </c>
    </row>
    <row r="313" spans="3:8">
      <c r="C313" s="34" t="s">
        <v>207</v>
      </c>
      <c r="D313" t="s">
        <v>341</v>
      </c>
      <c r="F313" s="36">
        <v>326993</v>
      </c>
      <c r="G313" s="36">
        <f t="shared" si="29"/>
        <v>326.99299999999999</v>
      </c>
    </row>
    <row r="314" spans="3:8">
      <c r="C314" s="34" t="s">
        <v>208</v>
      </c>
      <c r="D314" t="s">
        <v>339</v>
      </c>
      <c r="F314" s="36">
        <v>316486</v>
      </c>
      <c r="G314" s="36">
        <f t="shared" si="29"/>
        <v>316.48599999999999</v>
      </c>
    </row>
    <row r="315" spans="3:8">
      <c r="C315" s="34" t="s">
        <v>209</v>
      </c>
      <c r="D315" t="s">
        <v>366</v>
      </c>
      <c r="F315" s="36">
        <v>307170</v>
      </c>
      <c r="G315" s="36">
        <f t="shared" si="29"/>
        <v>307.17</v>
      </c>
    </row>
    <row r="316" spans="3:8">
      <c r="C316" s="34" t="s">
        <v>210</v>
      </c>
      <c r="D316" t="s">
        <v>369</v>
      </c>
      <c r="F316" s="36">
        <v>280764</v>
      </c>
      <c r="G316" s="36">
        <f t="shared" si="29"/>
        <v>280.76400000000001</v>
      </c>
    </row>
    <row r="317" spans="3:8">
      <c r="C317" s="34" t="s">
        <v>211</v>
      </c>
      <c r="D317" t="s">
        <v>356</v>
      </c>
      <c r="F317" s="36">
        <v>280595</v>
      </c>
      <c r="G317" s="36">
        <f t="shared" si="29"/>
        <v>280.59500000000003</v>
      </c>
    </row>
    <row r="318" spans="3:8">
      <c r="C318" s="34" t="s">
        <v>212</v>
      </c>
      <c r="D318" t="s">
        <v>363</v>
      </c>
      <c r="F318" s="36">
        <v>277054</v>
      </c>
      <c r="G318" s="36">
        <f t="shared" si="29"/>
        <v>277.05399999999997</v>
      </c>
    </row>
    <row r="319" spans="3:8">
      <c r="C319" s="34" t="s">
        <v>213</v>
      </c>
      <c r="D319" t="s">
        <v>367</v>
      </c>
      <c r="F319" s="36">
        <v>240067</v>
      </c>
      <c r="G319" s="36">
        <f t="shared" si="29"/>
        <v>240.06700000000001</v>
      </c>
    </row>
    <row r="320" spans="3:8">
      <c r="C320" s="34" t="s">
        <v>214</v>
      </c>
      <c r="D320" t="s">
        <v>342</v>
      </c>
      <c r="F320" s="36">
        <v>216720</v>
      </c>
      <c r="G320" s="36">
        <f t="shared" si="29"/>
        <v>216.72</v>
      </c>
    </row>
    <row r="321" spans="3:10">
      <c r="C321" s="34" t="s">
        <v>219</v>
      </c>
      <c r="D321" t="s">
        <v>351</v>
      </c>
      <c r="F321" s="36">
        <v>207076</v>
      </c>
      <c r="G321" s="36">
        <f t="shared" si="29"/>
        <v>207.07599999999999</v>
      </c>
    </row>
    <row r="322" spans="3:10">
      <c r="C322" s="34" t="s">
        <v>372</v>
      </c>
      <c r="D322" t="s">
        <v>362</v>
      </c>
      <c r="F322" s="36">
        <v>185647</v>
      </c>
      <c r="G322" s="36">
        <f t="shared" si="29"/>
        <v>185.64699999999999</v>
      </c>
    </row>
    <row r="323" spans="3:10">
      <c r="C323" s="34" t="s">
        <v>373</v>
      </c>
      <c r="D323" t="s">
        <v>364</v>
      </c>
      <c r="F323" s="36">
        <v>180977</v>
      </c>
      <c r="G323" s="36">
        <f t="shared" si="29"/>
        <v>180.977</v>
      </c>
    </row>
    <row r="324" spans="3:10">
      <c r="C324" s="34" t="s">
        <v>374</v>
      </c>
      <c r="D324" t="s">
        <v>359</v>
      </c>
      <c r="F324" s="36">
        <v>158676</v>
      </c>
      <c r="G324" s="36">
        <f t="shared" si="29"/>
        <v>158.67599999999999</v>
      </c>
    </row>
    <row r="325" spans="3:10">
      <c r="C325" s="34" t="s">
        <v>375</v>
      </c>
      <c r="D325" t="s">
        <v>337</v>
      </c>
      <c r="F325" s="36">
        <v>155629</v>
      </c>
      <c r="G325" s="36">
        <f t="shared" si="29"/>
        <v>155.62899999999999</v>
      </c>
    </row>
    <row r="326" spans="3:10">
      <c r="C326" s="34" t="s">
        <v>376</v>
      </c>
      <c r="D326" t="s">
        <v>368</v>
      </c>
      <c r="F326" s="36">
        <v>145233</v>
      </c>
      <c r="G326" s="36">
        <f t="shared" si="29"/>
        <v>145.233</v>
      </c>
    </row>
    <row r="327" spans="3:10">
      <c r="C327" s="34" t="s">
        <v>377</v>
      </c>
      <c r="D327" t="s">
        <v>353</v>
      </c>
      <c r="F327" s="36">
        <v>143071</v>
      </c>
      <c r="G327" s="36">
        <f t="shared" si="29"/>
        <v>143.071</v>
      </c>
    </row>
    <row r="328" spans="3:10">
      <c r="C328" s="34" t="s">
        <v>378</v>
      </c>
      <c r="D328" t="s">
        <v>360</v>
      </c>
      <c r="F328" s="36">
        <v>97251</v>
      </c>
      <c r="G328" s="36">
        <f t="shared" si="29"/>
        <v>97.251000000000005</v>
      </c>
    </row>
    <row r="329" spans="3:10">
      <c r="C329" s="34" t="s">
        <v>379</v>
      </c>
      <c r="D329" t="s">
        <v>361</v>
      </c>
      <c r="F329" s="36">
        <v>91747</v>
      </c>
      <c r="G329" s="36">
        <f t="shared" si="29"/>
        <v>91.747</v>
      </c>
    </row>
    <row r="330" spans="3:10">
      <c r="C330" s="34" t="s">
        <v>380</v>
      </c>
      <c r="D330" t="s">
        <v>352</v>
      </c>
      <c r="F330" s="36">
        <v>56212</v>
      </c>
      <c r="G330" s="36">
        <f t="shared" si="29"/>
        <v>56.212000000000003</v>
      </c>
      <c r="J330" s="9"/>
    </row>
    <row r="331" spans="3:10">
      <c r="F331" s="36">
        <f>SUM(F298:F330)</f>
        <v>15588505</v>
      </c>
      <c r="G331" s="36">
        <f>SUM(G298:G330)</f>
        <v>12923.221</v>
      </c>
      <c r="H331" s="33">
        <f>0.75*33</f>
        <v>24.75</v>
      </c>
      <c r="I331" s="46">
        <f>G331-H305</f>
        <v>6391.9579999999996</v>
      </c>
    </row>
    <row r="332" spans="3:10">
      <c r="D332" t="s">
        <v>370</v>
      </c>
      <c r="F332" s="36">
        <v>15588525</v>
      </c>
      <c r="H332" s="133">
        <v>25</v>
      </c>
    </row>
    <row r="333" spans="3:10">
      <c r="D333" t="s">
        <v>371</v>
      </c>
      <c r="F333" s="36">
        <f>F332-F331</f>
        <v>20</v>
      </c>
    </row>
    <row r="335" spans="3:10">
      <c r="C335" s="50">
        <v>3</v>
      </c>
      <c r="D335" s="40" t="s">
        <v>284</v>
      </c>
      <c r="E335" s="40"/>
    </row>
    <row r="336" spans="3:10">
      <c r="C336" s="34" t="s">
        <v>192</v>
      </c>
      <c r="D336" s="22" t="s">
        <v>393</v>
      </c>
      <c r="E336" s="22"/>
      <c r="F336" s="80">
        <v>919145</v>
      </c>
      <c r="G336" s="80">
        <f t="shared" ref="G336:G354" si="30">F336/1000</f>
        <v>919.14499999999998</v>
      </c>
    </row>
    <row r="337" spans="3:8">
      <c r="C337" s="34" t="s">
        <v>193</v>
      </c>
      <c r="D337" s="22" t="s">
        <v>387</v>
      </c>
      <c r="E337" s="22"/>
      <c r="F337" s="80">
        <v>540905</v>
      </c>
      <c r="G337" s="80">
        <f t="shared" si="30"/>
        <v>540.90499999999997</v>
      </c>
    </row>
    <row r="338" spans="3:8">
      <c r="C338" s="34" t="s">
        <v>194</v>
      </c>
      <c r="D338" s="22" t="s">
        <v>382</v>
      </c>
      <c r="E338" s="22"/>
      <c r="F338" s="80">
        <v>516518</v>
      </c>
      <c r="G338" s="80">
        <f t="shared" si="30"/>
        <v>516.51800000000003</v>
      </c>
    </row>
    <row r="339" spans="3:8">
      <c r="C339" s="34" t="s">
        <v>195</v>
      </c>
      <c r="D339" s="22" t="s">
        <v>392</v>
      </c>
      <c r="E339" s="22"/>
      <c r="F339" s="80">
        <v>442479</v>
      </c>
      <c r="G339" s="80">
        <f t="shared" si="30"/>
        <v>442.47899999999998</v>
      </c>
    </row>
    <row r="340" spans="3:8">
      <c r="C340" s="34" t="s">
        <v>196</v>
      </c>
      <c r="D340" s="22" t="s">
        <v>386</v>
      </c>
      <c r="E340" s="22"/>
      <c r="F340" s="80">
        <v>436129</v>
      </c>
      <c r="G340" s="80">
        <f t="shared" si="30"/>
        <v>436.12900000000002</v>
      </c>
      <c r="H340" s="36">
        <f>SUM(G336:G340)</f>
        <v>2855.1759999999999</v>
      </c>
    </row>
    <row r="341" spans="3:8">
      <c r="C341" s="34" t="s">
        <v>197</v>
      </c>
      <c r="D341" s="21" t="s">
        <v>383</v>
      </c>
      <c r="E341" s="21"/>
      <c r="F341" s="82">
        <v>397829</v>
      </c>
      <c r="G341" s="82">
        <f t="shared" si="30"/>
        <v>397.82900000000001</v>
      </c>
    </row>
    <row r="342" spans="3:8">
      <c r="C342" s="34" t="s">
        <v>198</v>
      </c>
      <c r="D342" s="21" t="s">
        <v>388</v>
      </c>
      <c r="E342" s="21"/>
      <c r="F342" s="82">
        <v>388375</v>
      </c>
      <c r="G342" s="82">
        <f t="shared" si="30"/>
        <v>388.375</v>
      </c>
    </row>
    <row r="343" spans="3:8">
      <c r="C343" s="34" t="s">
        <v>199</v>
      </c>
      <c r="D343" s="21" t="s">
        <v>385</v>
      </c>
      <c r="E343" s="21"/>
      <c r="F343" s="82">
        <v>376276</v>
      </c>
      <c r="G343" s="82">
        <f t="shared" si="30"/>
        <v>376.27600000000001</v>
      </c>
    </row>
    <row r="344" spans="3:8">
      <c r="C344" s="34" t="s">
        <v>200</v>
      </c>
      <c r="D344" s="21" t="s">
        <v>389</v>
      </c>
      <c r="E344" s="21"/>
      <c r="F344" s="82">
        <v>307425</v>
      </c>
      <c r="G344" s="82">
        <f t="shared" si="30"/>
        <v>307.42500000000001</v>
      </c>
    </row>
    <row r="345" spans="3:8">
      <c r="C345" s="34" t="s">
        <v>201</v>
      </c>
      <c r="D345" s="21" t="s">
        <v>384</v>
      </c>
      <c r="E345" s="21"/>
      <c r="F345" s="82">
        <v>240317</v>
      </c>
      <c r="G345" s="82">
        <f t="shared" si="30"/>
        <v>240.31700000000001</v>
      </c>
    </row>
    <row r="346" spans="3:8">
      <c r="C346" s="34" t="s">
        <v>202</v>
      </c>
      <c r="D346" s="21" t="s">
        <v>391</v>
      </c>
      <c r="E346" s="21"/>
      <c r="F346" s="82">
        <v>234713</v>
      </c>
      <c r="G346" s="82">
        <f t="shared" si="30"/>
        <v>234.71299999999999</v>
      </c>
    </row>
    <row r="347" spans="3:8">
      <c r="C347" s="34" t="s">
        <v>203</v>
      </c>
      <c r="D347" s="21" t="s">
        <v>390</v>
      </c>
      <c r="E347" s="21"/>
      <c r="F347" s="82">
        <v>188649</v>
      </c>
      <c r="G347" s="82">
        <f t="shared" si="30"/>
        <v>188.649</v>
      </c>
    </row>
    <row r="348" spans="3:8">
      <c r="C348" s="34" t="s">
        <v>204</v>
      </c>
      <c r="D348" s="21" t="s">
        <v>398</v>
      </c>
      <c r="E348" s="21"/>
      <c r="F348" s="82">
        <v>143325</v>
      </c>
      <c r="G348" s="82">
        <f t="shared" si="30"/>
        <v>143.32499999999999</v>
      </c>
    </row>
    <row r="349" spans="3:8">
      <c r="C349" s="34" t="s">
        <v>205</v>
      </c>
      <c r="D349" s="21" t="s">
        <v>397</v>
      </c>
      <c r="E349" s="21"/>
      <c r="F349" s="82">
        <v>122311</v>
      </c>
      <c r="G349" s="82">
        <f t="shared" si="30"/>
        <v>122.31100000000001</v>
      </c>
    </row>
    <row r="350" spans="3:8">
      <c r="C350" s="34" t="s">
        <v>206</v>
      </c>
      <c r="D350" s="21" t="s">
        <v>399</v>
      </c>
      <c r="E350" s="21"/>
      <c r="F350" s="82">
        <v>96719</v>
      </c>
      <c r="G350" s="82">
        <f t="shared" si="30"/>
        <v>96.718999999999994</v>
      </c>
    </row>
    <row r="351" spans="3:8">
      <c r="C351" s="34" t="s">
        <v>207</v>
      </c>
      <c r="D351" s="21" t="s">
        <v>381</v>
      </c>
      <c r="E351" s="21"/>
      <c r="F351" s="82">
        <v>89401</v>
      </c>
      <c r="G351" s="82">
        <f t="shared" si="30"/>
        <v>89.400999999999996</v>
      </c>
    </row>
    <row r="352" spans="3:8">
      <c r="C352" s="34" t="s">
        <v>208</v>
      </c>
      <c r="D352" s="21" t="s">
        <v>394</v>
      </c>
      <c r="E352" s="21"/>
      <c r="F352" s="82">
        <v>75850</v>
      </c>
      <c r="G352" s="82">
        <f t="shared" si="30"/>
        <v>75.849999999999994</v>
      </c>
    </row>
    <row r="353" spans="3:9">
      <c r="C353" s="34" t="s">
        <v>209</v>
      </c>
      <c r="D353" s="21" t="s">
        <v>395</v>
      </c>
      <c r="E353" s="21"/>
      <c r="F353" s="82">
        <v>66413</v>
      </c>
      <c r="G353" s="82">
        <f t="shared" si="30"/>
        <v>66.412999999999997</v>
      </c>
    </row>
    <row r="354" spans="3:9">
      <c r="C354" s="34" t="s">
        <v>210</v>
      </c>
      <c r="D354" s="21" t="s">
        <v>396</v>
      </c>
      <c r="E354" s="21"/>
      <c r="F354" s="82">
        <v>57850</v>
      </c>
      <c r="G354" s="82">
        <f t="shared" si="30"/>
        <v>57.85</v>
      </c>
    </row>
    <row r="355" spans="3:9">
      <c r="F355" s="36">
        <f>SUM(F336:F354)</f>
        <v>5640629</v>
      </c>
      <c r="G355" s="36">
        <f>SUM(G336:G354)</f>
        <v>5640.6289999999999</v>
      </c>
      <c r="H355" s="33">
        <f>0.75*19</f>
        <v>14.25</v>
      </c>
      <c r="I355" s="9">
        <f>G355-H340</f>
        <v>2785.453</v>
      </c>
    </row>
    <row r="356" spans="3:9">
      <c r="H356" s="133">
        <v>14</v>
      </c>
    </row>
    <row r="357" spans="3:9">
      <c r="C357" s="50">
        <v>4</v>
      </c>
      <c r="D357" s="4" t="s">
        <v>285</v>
      </c>
      <c r="E357" s="4"/>
      <c r="F357" s="40"/>
      <c r="G357" s="40"/>
    </row>
    <row r="358" spans="3:9">
      <c r="C358" s="34" t="s">
        <v>192</v>
      </c>
      <c r="D358" s="22" t="s">
        <v>410</v>
      </c>
      <c r="E358" s="22"/>
      <c r="F358" s="80">
        <v>1016366</v>
      </c>
      <c r="G358" s="80">
        <v>1000</v>
      </c>
    </row>
    <row r="359" spans="3:9">
      <c r="C359" s="34" t="s">
        <v>193</v>
      </c>
      <c r="D359" s="22" t="s">
        <v>405</v>
      </c>
      <c r="E359" s="22"/>
      <c r="F359" s="80">
        <v>881028</v>
      </c>
      <c r="G359" s="80">
        <f t="shared" ref="G359:G369" si="31">F359/1000</f>
        <v>881.02800000000002</v>
      </c>
    </row>
    <row r="360" spans="3:9">
      <c r="C360" s="34" t="s">
        <v>194</v>
      </c>
      <c r="D360" s="22" t="s">
        <v>402</v>
      </c>
      <c r="E360" s="22"/>
      <c r="F360" s="80">
        <v>677290</v>
      </c>
      <c r="G360" s="80">
        <f t="shared" si="31"/>
        <v>677.29</v>
      </c>
      <c r="H360" s="36">
        <f>SUM(G358:G360)</f>
        <v>2558.3180000000002</v>
      </c>
    </row>
    <row r="361" spans="3:9">
      <c r="C361" s="34" t="s">
        <v>195</v>
      </c>
      <c r="D361" t="s">
        <v>408</v>
      </c>
      <c r="F361" s="36">
        <v>663956</v>
      </c>
      <c r="G361" s="36">
        <f t="shared" si="31"/>
        <v>663.95600000000002</v>
      </c>
    </row>
    <row r="362" spans="3:9">
      <c r="C362" s="34" t="s">
        <v>196</v>
      </c>
      <c r="D362" t="s">
        <v>407</v>
      </c>
      <c r="F362" s="36">
        <v>584916</v>
      </c>
      <c r="G362" s="36">
        <f t="shared" si="31"/>
        <v>584.91600000000005</v>
      </c>
    </row>
    <row r="363" spans="3:9">
      <c r="C363" s="34" t="s">
        <v>197</v>
      </c>
      <c r="D363" t="s">
        <v>404</v>
      </c>
      <c r="F363" s="36">
        <v>477064</v>
      </c>
      <c r="G363" s="36">
        <f t="shared" si="31"/>
        <v>477.06400000000002</v>
      </c>
    </row>
    <row r="364" spans="3:9">
      <c r="C364" s="34" t="s">
        <v>198</v>
      </c>
      <c r="D364" t="s">
        <v>401</v>
      </c>
      <c r="F364" s="36">
        <v>462220</v>
      </c>
      <c r="G364" s="36">
        <f t="shared" si="31"/>
        <v>462.22</v>
      </c>
    </row>
    <row r="365" spans="3:9">
      <c r="C365" s="34" t="s">
        <v>199</v>
      </c>
      <c r="D365" t="s">
        <v>403</v>
      </c>
      <c r="F365" s="36">
        <v>408543</v>
      </c>
      <c r="G365" s="36">
        <f t="shared" si="31"/>
        <v>408.54300000000001</v>
      </c>
    </row>
    <row r="366" spans="3:9">
      <c r="C366" s="34" t="s">
        <v>200</v>
      </c>
      <c r="D366" t="s">
        <v>400</v>
      </c>
      <c r="F366" s="36">
        <v>345610</v>
      </c>
      <c r="G366" s="36">
        <f t="shared" si="31"/>
        <v>345.61</v>
      </c>
    </row>
    <row r="367" spans="3:9">
      <c r="C367" s="34" t="s">
        <v>201</v>
      </c>
      <c r="D367" t="s">
        <v>411</v>
      </c>
      <c r="F367" s="36">
        <v>328907</v>
      </c>
      <c r="G367" s="36">
        <f t="shared" si="31"/>
        <v>328.90699999999998</v>
      </c>
    </row>
    <row r="368" spans="3:9">
      <c r="C368" s="34" t="s">
        <v>202</v>
      </c>
      <c r="D368" t="s">
        <v>409</v>
      </c>
      <c r="F368" s="36">
        <v>211791</v>
      </c>
      <c r="G368" s="36">
        <f t="shared" si="31"/>
        <v>211.791</v>
      </c>
    </row>
    <row r="369" spans="3:9">
      <c r="C369" s="34" t="s">
        <v>203</v>
      </c>
      <c r="D369" t="s">
        <v>406</v>
      </c>
      <c r="F369" s="36">
        <v>185183</v>
      </c>
      <c r="G369" s="36">
        <f t="shared" si="31"/>
        <v>185.18299999999999</v>
      </c>
    </row>
    <row r="370" spans="3:9">
      <c r="F370" s="36">
        <f>SUM(F358:F369)</f>
        <v>6242874</v>
      </c>
      <c r="G370" s="36">
        <f>SUM(G358:G369)</f>
        <v>6226.5080000000007</v>
      </c>
      <c r="H370" s="133">
        <f>0.75*12</f>
        <v>9</v>
      </c>
      <c r="I370" s="46">
        <f>G370-H360</f>
        <v>3668.1900000000005</v>
      </c>
    </row>
    <row r="372" spans="3:9">
      <c r="C372" s="50">
        <v>5</v>
      </c>
      <c r="D372" s="40" t="s">
        <v>412</v>
      </c>
      <c r="E372" s="40"/>
    </row>
    <row r="373" spans="3:9">
      <c r="C373" s="34" t="s">
        <v>192</v>
      </c>
      <c r="D373" s="22" t="s">
        <v>418</v>
      </c>
      <c r="E373" s="22"/>
      <c r="F373" s="80">
        <v>944285</v>
      </c>
      <c r="G373" s="80">
        <f t="shared" ref="G373:G379" si="32">F373/1000</f>
        <v>944.28499999999997</v>
      </c>
    </row>
    <row r="374" spans="3:9">
      <c r="C374" s="34" t="s">
        <v>193</v>
      </c>
      <c r="D374" s="22" t="s">
        <v>413</v>
      </c>
      <c r="E374" s="22"/>
      <c r="F374" s="80">
        <v>212561</v>
      </c>
      <c r="G374" s="80">
        <f t="shared" si="32"/>
        <v>212.56100000000001</v>
      </c>
      <c r="H374" s="36">
        <f>SUM(G373:G374)</f>
        <v>1156.846</v>
      </c>
    </row>
    <row r="375" spans="3:9">
      <c r="C375" s="34" t="s">
        <v>194</v>
      </c>
      <c r="D375" t="s">
        <v>419</v>
      </c>
      <c r="F375" s="36">
        <v>187359</v>
      </c>
      <c r="G375" s="82">
        <f t="shared" si="32"/>
        <v>187.35900000000001</v>
      </c>
    </row>
    <row r="376" spans="3:9">
      <c r="C376" s="34" t="s">
        <v>195</v>
      </c>
      <c r="D376" t="s">
        <v>414</v>
      </c>
      <c r="F376" s="36">
        <v>142300</v>
      </c>
      <c r="G376" s="82">
        <f t="shared" si="32"/>
        <v>142.30000000000001</v>
      </c>
    </row>
    <row r="377" spans="3:9">
      <c r="C377" s="34" t="s">
        <v>196</v>
      </c>
      <c r="D377" t="s">
        <v>416</v>
      </c>
      <c r="F377" s="36">
        <v>86244</v>
      </c>
      <c r="G377" s="82">
        <f t="shared" si="32"/>
        <v>86.244</v>
      </c>
    </row>
    <row r="378" spans="3:9">
      <c r="C378" s="34" t="s">
        <v>197</v>
      </c>
      <c r="D378" t="s">
        <v>415</v>
      </c>
      <c r="F378" s="36">
        <v>69003</v>
      </c>
      <c r="G378" s="82">
        <f t="shared" si="32"/>
        <v>69.003</v>
      </c>
    </row>
    <row r="379" spans="3:9">
      <c r="C379" s="34" t="s">
        <v>198</v>
      </c>
      <c r="D379" t="s">
        <v>417</v>
      </c>
      <c r="F379" s="36">
        <v>37411</v>
      </c>
      <c r="G379" s="82">
        <f t="shared" si="32"/>
        <v>37.411000000000001</v>
      </c>
    </row>
    <row r="380" spans="3:9">
      <c r="F380" s="36">
        <f>SUM(F373:F379)</f>
        <v>1679163</v>
      </c>
      <c r="G380" s="36">
        <f>SUM(G373:G379)</f>
        <v>1679.1629999999998</v>
      </c>
      <c r="H380" s="33">
        <f>0.75*7</f>
        <v>5.25</v>
      </c>
      <c r="I380" s="46">
        <f>G380-H374</f>
        <v>522.31699999999978</v>
      </c>
    </row>
    <row r="381" spans="3:9">
      <c r="F381" s="36"/>
      <c r="H381" s="133">
        <v>5</v>
      </c>
    </row>
    <row r="382" spans="3:9">
      <c r="C382" s="50">
        <v>6</v>
      </c>
      <c r="D382" s="204" t="s">
        <v>313</v>
      </c>
      <c r="E382" s="204"/>
      <c r="F382" s="204"/>
    </row>
    <row r="383" spans="3:9">
      <c r="C383" s="34" t="s">
        <v>192</v>
      </c>
      <c r="D383" s="22" t="s">
        <v>420</v>
      </c>
      <c r="E383" s="22"/>
      <c r="F383" s="80">
        <v>334344</v>
      </c>
      <c r="G383" s="80">
        <f t="shared" ref="G383:G389" si="33">F383/1000</f>
        <v>334.34399999999999</v>
      </c>
    </row>
    <row r="384" spans="3:9">
      <c r="C384" s="34" t="s">
        <v>193</v>
      </c>
      <c r="D384" s="22" t="s">
        <v>426</v>
      </c>
      <c r="E384" s="22"/>
      <c r="F384" s="80">
        <v>226297</v>
      </c>
      <c r="G384" s="80">
        <f t="shared" si="33"/>
        <v>226.297</v>
      </c>
      <c r="H384" s="36">
        <f>SUM(G383:G384)</f>
        <v>560.64099999999996</v>
      </c>
    </row>
    <row r="385" spans="3:9">
      <c r="C385" s="34" t="s">
        <v>194</v>
      </c>
      <c r="D385" t="s">
        <v>422</v>
      </c>
      <c r="F385" s="82">
        <v>209413</v>
      </c>
      <c r="G385" s="82">
        <f t="shared" si="33"/>
        <v>209.41300000000001</v>
      </c>
    </row>
    <row r="386" spans="3:9">
      <c r="C386" s="34" t="s">
        <v>195</v>
      </c>
      <c r="D386" t="s">
        <v>423</v>
      </c>
      <c r="F386" s="82">
        <v>205510</v>
      </c>
      <c r="G386" s="82">
        <f t="shared" si="33"/>
        <v>205.51</v>
      </c>
    </row>
    <row r="387" spans="3:9">
      <c r="C387" s="34" t="s">
        <v>196</v>
      </c>
      <c r="D387" t="s">
        <v>424</v>
      </c>
      <c r="F387" s="82">
        <v>202263</v>
      </c>
      <c r="G387" s="82">
        <f t="shared" si="33"/>
        <v>202.26300000000001</v>
      </c>
    </row>
    <row r="388" spans="3:9">
      <c r="C388" s="34" t="s">
        <v>197</v>
      </c>
      <c r="D388" t="s">
        <v>421</v>
      </c>
      <c r="F388" s="82">
        <v>186331</v>
      </c>
      <c r="G388" s="82">
        <f t="shared" si="33"/>
        <v>186.33099999999999</v>
      </c>
    </row>
    <row r="389" spans="3:9">
      <c r="C389" s="34" t="s">
        <v>198</v>
      </c>
      <c r="D389" t="s">
        <v>425</v>
      </c>
      <c r="F389" s="82">
        <v>130463</v>
      </c>
      <c r="G389" s="82">
        <f t="shared" si="33"/>
        <v>130.46299999999999</v>
      </c>
    </row>
    <row r="390" spans="3:9">
      <c r="F390" s="36">
        <f>SUM(F383:F389)</f>
        <v>1494621</v>
      </c>
      <c r="G390" s="36">
        <f>SUM(G383:G389)</f>
        <v>1494.6209999999999</v>
      </c>
      <c r="H390" s="33">
        <f>0.75*7</f>
        <v>5.25</v>
      </c>
      <c r="I390" s="46">
        <f>G390-H384</f>
        <v>933.9799999999999</v>
      </c>
    </row>
    <row r="391" spans="3:9">
      <c r="H391" s="133">
        <v>5</v>
      </c>
    </row>
    <row r="393" spans="3:9">
      <c r="C393" s="50">
        <v>7</v>
      </c>
      <c r="D393" s="33" t="s">
        <v>286</v>
      </c>
      <c r="E393" s="33"/>
    </row>
    <row r="394" spans="3:9">
      <c r="C394" s="34" t="s">
        <v>192</v>
      </c>
      <c r="D394" s="16" t="s">
        <v>436</v>
      </c>
      <c r="E394" s="16"/>
      <c r="F394" s="81">
        <v>635100</v>
      </c>
      <c r="G394" s="81">
        <f t="shared" ref="G394:G404" si="34">F394/1000</f>
        <v>635.1</v>
      </c>
    </row>
    <row r="395" spans="3:9">
      <c r="C395" s="34" t="s">
        <v>193</v>
      </c>
      <c r="D395" s="16" t="s">
        <v>431</v>
      </c>
      <c r="E395" s="16"/>
      <c r="F395" s="81">
        <v>424600</v>
      </c>
      <c r="G395" s="81">
        <f t="shared" si="34"/>
        <v>424.6</v>
      </c>
    </row>
    <row r="396" spans="3:9">
      <c r="C396" s="34" t="s">
        <v>194</v>
      </c>
      <c r="D396" s="16" t="s">
        <v>435</v>
      </c>
      <c r="E396" s="16"/>
      <c r="F396" s="81">
        <v>381300</v>
      </c>
      <c r="G396" s="81">
        <f t="shared" si="34"/>
        <v>381.3</v>
      </c>
      <c r="H396" s="36">
        <f>SUM(G394:G396)</f>
        <v>1441</v>
      </c>
    </row>
    <row r="397" spans="3:9">
      <c r="C397" s="34" t="s">
        <v>195</v>
      </c>
      <c r="D397" t="s">
        <v>428</v>
      </c>
      <c r="F397" s="36">
        <v>373400</v>
      </c>
      <c r="G397" s="82">
        <f t="shared" si="34"/>
        <v>373.4</v>
      </c>
    </row>
    <row r="398" spans="3:9">
      <c r="C398" s="34" t="s">
        <v>196</v>
      </c>
      <c r="D398" t="s">
        <v>434</v>
      </c>
      <c r="F398" s="36">
        <v>355300</v>
      </c>
      <c r="G398" s="82">
        <f t="shared" si="34"/>
        <v>355.3</v>
      </c>
    </row>
    <row r="399" spans="3:9">
      <c r="C399" s="34" t="s">
        <v>197</v>
      </c>
      <c r="D399" t="s">
        <v>433</v>
      </c>
      <c r="F399" s="36">
        <v>335100</v>
      </c>
      <c r="G399" s="82">
        <f t="shared" si="34"/>
        <v>335.1</v>
      </c>
    </row>
    <row r="400" spans="3:9">
      <c r="C400" s="34" t="s">
        <v>198</v>
      </c>
      <c r="D400" t="s">
        <v>430</v>
      </c>
      <c r="F400" s="36">
        <v>316600</v>
      </c>
      <c r="G400" s="82">
        <f t="shared" si="34"/>
        <v>316.60000000000002</v>
      </c>
    </row>
    <row r="401" spans="3:9">
      <c r="C401" s="34" t="s">
        <v>199</v>
      </c>
      <c r="D401" t="s">
        <v>429</v>
      </c>
      <c r="F401" s="36">
        <v>306500</v>
      </c>
      <c r="G401" s="82">
        <f t="shared" si="34"/>
        <v>306.5</v>
      </c>
    </row>
    <row r="402" spans="3:9">
      <c r="C402" s="34" t="s">
        <v>200</v>
      </c>
      <c r="D402" t="s">
        <v>427</v>
      </c>
      <c r="F402" s="36">
        <v>256700</v>
      </c>
      <c r="G402" s="82">
        <f t="shared" si="34"/>
        <v>256.7</v>
      </c>
    </row>
    <row r="403" spans="3:9">
      <c r="C403" s="34" t="s">
        <v>201</v>
      </c>
      <c r="D403" t="s">
        <v>432</v>
      </c>
      <c r="F403" s="36">
        <v>239000</v>
      </c>
      <c r="G403" s="82">
        <f t="shared" si="34"/>
        <v>239</v>
      </c>
    </row>
    <row r="404" spans="3:9">
      <c r="C404" s="34" t="s">
        <v>202</v>
      </c>
      <c r="D404" t="s">
        <v>437</v>
      </c>
      <c r="F404" s="36">
        <v>100800</v>
      </c>
      <c r="G404" s="82">
        <f t="shared" si="34"/>
        <v>100.8</v>
      </c>
    </row>
    <row r="405" spans="3:9">
      <c r="F405" s="36">
        <f>SUM(F394:F404)</f>
        <v>3724400</v>
      </c>
      <c r="G405" s="36">
        <f>SUM(G394:G404)</f>
        <v>3724.4</v>
      </c>
      <c r="H405" s="33">
        <f>0.75*11</f>
        <v>8.25</v>
      </c>
      <c r="I405" s="46">
        <f>G405-H396</f>
        <v>2283.4</v>
      </c>
    </row>
    <row r="406" spans="3:9">
      <c r="D406" t="s">
        <v>438</v>
      </c>
      <c r="F406" s="81">
        <v>3724300</v>
      </c>
      <c r="H406" s="133">
        <v>8</v>
      </c>
    </row>
    <row r="409" spans="3:9">
      <c r="C409" s="50">
        <v>8</v>
      </c>
      <c r="D409" s="33" t="s">
        <v>287</v>
      </c>
      <c r="E409" s="33"/>
    </row>
    <row r="410" spans="3:9">
      <c r="C410" s="34" t="s">
        <v>192</v>
      </c>
      <c r="D410" s="16" t="s">
        <v>448</v>
      </c>
      <c r="E410" s="16"/>
      <c r="F410" s="81">
        <v>391045</v>
      </c>
      <c r="G410" s="81">
        <f t="shared" ref="G410:G419" si="35">F410/1000</f>
        <v>391.04500000000002</v>
      </c>
    </row>
    <row r="411" spans="3:9">
      <c r="C411" s="34" t="s">
        <v>193</v>
      </c>
      <c r="D411" s="16" t="s">
        <v>441</v>
      </c>
      <c r="E411" s="16"/>
      <c r="F411" s="81">
        <v>306201</v>
      </c>
      <c r="G411" s="81">
        <f t="shared" si="35"/>
        <v>306.20100000000002</v>
      </c>
      <c r="H411" s="36">
        <f>SUM(G410:G411)</f>
        <v>697.24600000000009</v>
      </c>
    </row>
    <row r="412" spans="3:9">
      <c r="C412" s="34" t="s">
        <v>194</v>
      </c>
      <c r="D412" t="s">
        <v>440</v>
      </c>
      <c r="F412" s="36">
        <v>283689</v>
      </c>
      <c r="G412" s="82">
        <f t="shared" si="35"/>
        <v>283.68900000000002</v>
      </c>
    </row>
    <row r="413" spans="3:9">
      <c r="C413" s="34" t="s">
        <v>195</v>
      </c>
      <c r="D413" t="s">
        <v>443</v>
      </c>
      <c r="F413" s="36">
        <v>216977</v>
      </c>
      <c r="G413" s="82">
        <f t="shared" si="35"/>
        <v>216.977</v>
      </c>
    </row>
    <row r="414" spans="3:9">
      <c r="C414" s="34" t="s">
        <v>196</v>
      </c>
      <c r="D414" t="s">
        <v>444</v>
      </c>
      <c r="F414" s="36">
        <v>199932</v>
      </c>
      <c r="G414" s="82">
        <f t="shared" si="35"/>
        <v>199.93199999999999</v>
      </c>
    </row>
    <row r="415" spans="3:9">
      <c r="C415" s="34" t="s">
        <v>197</v>
      </c>
      <c r="D415" t="s">
        <v>439</v>
      </c>
      <c r="F415" s="36">
        <v>172162</v>
      </c>
      <c r="G415" s="82">
        <f t="shared" si="35"/>
        <v>172.16200000000001</v>
      </c>
    </row>
    <row r="416" spans="3:9">
      <c r="C416" s="34" t="s">
        <v>198</v>
      </c>
      <c r="D416" t="s">
        <v>446</v>
      </c>
      <c r="F416" s="36">
        <v>156330</v>
      </c>
      <c r="G416" s="82">
        <f t="shared" si="35"/>
        <v>156.33000000000001</v>
      </c>
    </row>
    <row r="417" spans="3:11">
      <c r="C417" s="34" t="s">
        <v>199</v>
      </c>
      <c r="D417" t="s">
        <v>442</v>
      </c>
      <c r="F417" s="36">
        <v>131345</v>
      </c>
      <c r="G417" s="82">
        <f t="shared" si="35"/>
        <v>131.345</v>
      </c>
    </row>
    <row r="418" spans="3:11">
      <c r="C418" s="34" t="s">
        <v>200</v>
      </c>
      <c r="D418" t="s">
        <v>447</v>
      </c>
      <c r="F418" s="36">
        <v>121509</v>
      </c>
      <c r="G418" s="82">
        <f t="shared" si="35"/>
        <v>121.509</v>
      </c>
    </row>
    <row r="419" spans="3:11">
      <c r="C419" s="34" t="s">
        <v>201</v>
      </c>
      <c r="D419" t="s">
        <v>445</v>
      </c>
      <c r="F419" s="36">
        <v>107693</v>
      </c>
      <c r="G419" s="82">
        <f t="shared" si="35"/>
        <v>107.693</v>
      </c>
    </row>
    <row r="420" spans="3:11">
      <c r="F420" s="36">
        <f>SUM(F410:F419)</f>
        <v>2086883</v>
      </c>
      <c r="G420" s="36">
        <f>SUM(G410:G419)</f>
        <v>2086.8830000000003</v>
      </c>
      <c r="H420" s="33">
        <f>0.75*10</f>
        <v>7.5</v>
      </c>
      <c r="I420" s="46">
        <f>G420-H411</f>
        <v>1389.6370000000002</v>
      </c>
    </row>
    <row r="421" spans="3:11">
      <c r="F421" s="36"/>
      <c r="G421" s="36"/>
      <c r="H421" s="133">
        <v>8</v>
      </c>
      <c r="I421" s="46"/>
    </row>
    <row r="422" spans="3:11">
      <c r="C422" s="50">
        <v>9</v>
      </c>
      <c r="D422" s="204" t="s">
        <v>288</v>
      </c>
      <c r="E422" s="204"/>
      <c r="F422" s="204"/>
    </row>
    <row r="423" spans="3:11">
      <c r="C423" s="50"/>
      <c r="D423" s="33" t="s">
        <v>678</v>
      </c>
      <c r="E423" s="33"/>
      <c r="F423" s="33" t="s">
        <v>690</v>
      </c>
      <c r="G423" s="33" t="s">
        <v>667</v>
      </c>
    </row>
    <row r="424" spans="3:11">
      <c r="C424" s="34" t="s">
        <v>192</v>
      </c>
      <c r="D424" s="16" t="s">
        <v>462</v>
      </c>
      <c r="E424" s="16"/>
      <c r="F424" s="81">
        <v>1718440</v>
      </c>
      <c r="G424" s="81">
        <v>1000</v>
      </c>
      <c r="I424" t="s">
        <v>708</v>
      </c>
      <c r="J424" s="33"/>
      <c r="K424" s="33" t="s">
        <v>710</v>
      </c>
    </row>
    <row r="425" spans="3:11">
      <c r="C425" s="34" t="s">
        <v>193</v>
      </c>
      <c r="D425" s="16" t="s">
        <v>455</v>
      </c>
      <c r="E425" s="16"/>
      <c r="F425" s="81">
        <v>885902</v>
      </c>
      <c r="G425" s="81">
        <f t="shared" ref="G425:G440" si="36">F425/1000</f>
        <v>885.90200000000004</v>
      </c>
      <c r="I425" t="s">
        <v>708</v>
      </c>
      <c r="J425" s="33"/>
      <c r="K425" s="33"/>
    </row>
    <row r="426" spans="3:11">
      <c r="C426" s="34" t="s">
        <v>194</v>
      </c>
      <c r="D426" s="16" t="s">
        <v>450</v>
      </c>
      <c r="E426" s="16"/>
      <c r="F426" s="81">
        <v>807085</v>
      </c>
      <c r="G426" s="81">
        <f t="shared" si="36"/>
        <v>807.08500000000004</v>
      </c>
      <c r="I426" t="s">
        <v>708</v>
      </c>
      <c r="J426" s="33"/>
      <c r="K426" s="33"/>
    </row>
    <row r="427" spans="3:11">
      <c r="C427" s="34" t="s">
        <v>195</v>
      </c>
      <c r="D427" s="16" t="s">
        <v>457</v>
      </c>
      <c r="E427" s="16"/>
      <c r="F427" s="81">
        <v>674184</v>
      </c>
      <c r="G427" s="81">
        <f t="shared" si="36"/>
        <v>674.18399999999997</v>
      </c>
      <c r="H427" s="36">
        <f>SUM(G424:G427)</f>
        <v>3367.1710000000003</v>
      </c>
      <c r="I427" t="s">
        <v>708</v>
      </c>
    </row>
    <row r="428" spans="3:11">
      <c r="C428" s="34" t="s">
        <v>196</v>
      </c>
      <c r="D428" t="s">
        <v>454</v>
      </c>
      <c r="F428" s="36">
        <v>651950</v>
      </c>
      <c r="G428" s="82">
        <f t="shared" si="36"/>
        <v>651.95000000000005</v>
      </c>
    </row>
    <row r="429" spans="3:11">
      <c r="C429" s="34" t="s">
        <v>197</v>
      </c>
      <c r="D429" t="s">
        <v>451</v>
      </c>
      <c r="F429" s="36">
        <v>640962</v>
      </c>
      <c r="G429" s="82">
        <f t="shared" si="36"/>
        <v>640.96199999999999</v>
      </c>
    </row>
    <row r="430" spans="3:11">
      <c r="C430" s="34" t="s">
        <v>198</v>
      </c>
      <c r="D430" t="s">
        <v>452</v>
      </c>
      <c r="F430" s="36">
        <v>450281</v>
      </c>
      <c r="G430" s="82">
        <f t="shared" si="36"/>
        <v>450.28100000000001</v>
      </c>
    </row>
    <row r="431" spans="3:11">
      <c r="C431" s="34" t="s">
        <v>199</v>
      </c>
      <c r="D431" t="s">
        <v>458</v>
      </c>
      <c r="F431" s="36">
        <v>436141</v>
      </c>
      <c r="G431" s="82">
        <f t="shared" si="36"/>
        <v>436.14100000000002</v>
      </c>
    </row>
    <row r="432" spans="3:11">
      <c r="C432" s="34" t="s">
        <v>200</v>
      </c>
      <c r="D432" t="s">
        <v>456</v>
      </c>
      <c r="F432" s="36">
        <v>429535</v>
      </c>
      <c r="G432" s="82">
        <f t="shared" si="36"/>
        <v>429.53500000000003</v>
      </c>
    </row>
    <row r="433" spans="3:17">
      <c r="C433" s="34" t="s">
        <v>201</v>
      </c>
      <c r="D433" t="s">
        <v>453</v>
      </c>
      <c r="F433" s="36">
        <v>411787</v>
      </c>
      <c r="G433" s="82">
        <f t="shared" si="36"/>
        <v>411.78699999999998</v>
      </c>
    </row>
    <row r="434" spans="3:17">
      <c r="C434" s="34" t="s">
        <v>202</v>
      </c>
      <c r="D434" t="s">
        <v>449</v>
      </c>
      <c r="F434" s="36">
        <v>383039</v>
      </c>
      <c r="G434" s="82">
        <f t="shared" si="36"/>
        <v>383.03899999999999</v>
      </c>
    </row>
    <row r="435" spans="3:17">
      <c r="C435" s="34" t="s">
        <v>203</v>
      </c>
      <c r="D435" t="s">
        <v>459</v>
      </c>
      <c r="F435" s="36">
        <v>345641</v>
      </c>
      <c r="G435" s="82">
        <f t="shared" si="36"/>
        <v>345.64100000000002</v>
      </c>
    </row>
    <row r="436" spans="3:17">
      <c r="C436" s="34" t="s">
        <v>204</v>
      </c>
      <c r="D436" t="s">
        <v>465</v>
      </c>
      <c r="F436" s="36">
        <v>246046</v>
      </c>
      <c r="G436" s="82">
        <f t="shared" si="36"/>
        <v>246.04599999999999</v>
      </c>
    </row>
    <row r="437" spans="3:17">
      <c r="C437" s="34" t="s">
        <v>205</v>
      </c>
      <c r="D437" t="s">
        <v>460</v>
      </c>
      <c r="F437" s="36">
        <v>205384</v>
      </c>
      <c r="G437" s="82">
        <f t="shared" si="36"/>
        <v>205.38399999999999</v>
      </c>
    </row>
    <row r="438" spans="3:17">
      <c r="C438" s="34" t="s">
        <v>206</v>
      </c>
      <c r="D438" t="s">
        <v>463</v>
      </c>
      <c r="F438" s="36">
        <v>203312</v>
      </c>
      <c r="G438" s="82">
        <f t="shared" si="36"/>
        <v>203.31200000000001</v>
      </c>
    </row>
    <row r="439" spans="3:17">
      <c r="C439" s="34" t="s">
        <v>207</v>
      </c>
      <c r="D439" t="s">
        <v>461</v>
      </c>
      <c r="F439" s="36">
        <v>198413</v>
      </c>
      <c r="G439" s="82">
        <f t="shared" si="36"/>
        <v>198.41300000000001</v>
      </c>
    </row>
    <row r="440" spans="3:17">
      <c r="C440" s="34" t="s">
        <v>208</v>
      </c>
      <c r="D440" t="s">
        <v>464</v>
      </c>
      <c r="F440" s="36">
        <v>149199</v>
      </c>
      <c r="G440" s="82">
        <f t="shared" si="36"/>
        <v>149.19900000000001</v>
      </c>
    </row>
    <row r="441" spans="3:17">
      <c r="F441" s="36">
        <f>SUM(F424:F440)</f>
        <v>8837301</v>
      </c>
      <c r="G441" s="36">
        <f>SUM(G424:G440)</f>
        <v>8118.8609999999999</v>
      </c>
      <c r="H441" s="33">
        <f>0.75*17</f>
        <v>12.75</v>
      </c>
      <c r="I441" s="46">
        <f>G441-H427</f>
        <v>4751.6899999999996</v>
      </c>
    </row>
    <row r="442" spans="3:17">
      <c r="F442" s="36"/>
      <c r="H442" s="133">
        <v>13</v>
      </c>
    </row>
    <row r="443" spans="3:17">
      <c r="C443" s="50">
        <v>10</v>
      </c>
      <c r="D443" s="40" t="s">
        <v>289</v>
      </c>
      <c r="E443" s="40"/>
    </row>
    <row r="444" spans="3:17">
      <c r="C444" s="34" t="s">
        <v>192</v>
      </c>
      <c r="D444" t="s">
        <v>466</v>
      </c>
      <c r="F444" s="81">
        <v>1500022</v>
      </c>
      <c r="G444" s="81">
        <v>1000</v>
      </c>
      <c r="K444" t="s">
        <v>663</v>
      </c>
    </row>
    <row r="445" spans="3:17">
      <c r="C445" s="34" t="s">
        <v>193</v>
      </c>
      <c r="D445" t="s">
        <v>467</v>
      </c>
      <c r="F445" s="81">
        <v>1209937</v>
      </c>
      <c r="G445" s="81">
        <v>1000</v>
      </c>
      <c r="L445" t="s">
        <v>14</v>
      </c>
      <c r="M445" t="s">
        <v>15</v>
      </c>
      <c r="N445" t="s">
        <v>689</v>
      </c>
      <c r="O445" t="s">
        <v>690</v>
      </c>
      <c r="Q445" t="s">
        <v>660</v>
      </c>
    </row>
    <row r="446" spans="3:17">
      <c r="C446" s="34" t="s">
        <v>194</v>
      </c>
      <c r="D446" t="s">
        <v>468</v>
      </c>
      <c r="F446" s="81">
        <v>1127946</v>
      </c>
      <c r="G446" s="81">
        <v>1000</v>
      </c>
      <c r="K446">
        <v>1</v>
      </c>
      <c r="L446" t="s">
        <v>691</v>
      </c>
      <c r="M446">
        <v>23</v>
      </c>
      <c r="N446">
        <v>17</v>
      </c>
      <c r="O446" s="9">
        <f>F295</f>
        <v>5274871</v>
      </c>
      <c r="P446" s="9"/>
      <c r="Q446" s="9">
        <f>I295</f>
        <v>2678.0929999999998</v>
      </c>
    </row>
    <row r="447" spans="3:17">
      <c r="C447" s="34" t="s">
        <v>195</v>
      </c>
      <c r="D447" t="s">
        <v>469</v>
      </c>
      <c r="F447" s="81">
        <v>1081115</v>
      </c>
      <c r="G447" s="81">
        <v>1000</v>
      </c>
      <c r="K447">
        <v>2</v>
      </c>
      <c r="L447" t="s">
        <v>692</v>
      </c>
      <c r="M447">
        <v>33</v>
      </c>
      <c r="N447">
        <v>25</v>
      </c>
      <c r="O447" s="9">
        <f>F331</f>
        <v>15588505</v>
      </c>
      <c r="P447" s="9"/>
      <c r="Q447" s="9">
        <f>I331</f>
        <v>6391.9579999999996</v>
      </c>
    </row>
    <row r="448" spans="3:17">
      <c r="C448" s="34" t="s">
        <v>196</v>
      </c>
      <c r="D448" t="s">
        <v>470</v>
      </c>
      <c r="F448" s="36">
        <v>652898</v>
      </c>
      <c r="G448" s="82">
        <f t="shared" ref="G448:G458" si="37">F448/1000</f>
        <v>652.89800000000002</v>
      </c>
      <c r="H448" s="36">
        <f>SUM(G444:G447)</f>
        <v>4000</v>
      </c>
      <c r="K448">
        <v>3</v>
      </c>
      <c r="L448" t="s">
        <v>693</v>
      </c>
      <c r="M448">
        <v>19</v>
      </c>
      <c r="N448">
        <v>14</v>
      </c>
      <c r="O448" s="9">
        <f>F355</f>
        <v>5640629</v>
      </c>
      <c r="P448" s="9"/>
      <c r="Q448" s="9">
        <f>I355</f>
        <v>2785.453</v>
      </c>
    </row>
    <row r="449" spans="3:18">
      <c r="C449" s="34" t="s">
        <v>197</v>
      </c>
      <c r="D449" t="s">
        <v>471</v>
      </c>
      <c r="F449" s="36">
        <v>635129</v>
      </c>
      <c r="G449" s="82">
        <f t="shared" si="37"/>
        <v>635.12900000000002</v>
      </c>
      <c r="K449">
        <v>4</v>
      </c>
      <c r="L449" t="s">
        <v>694</v>
      </c>
      <c r="M449">
        <v>12</v>
      </c>
      <c r="N449">
        <v>9</v>
      </c>
      <c r="O449" s="9">
        <f>F370</f>
        <v>6242874</v>
      </c>
      <c r="P449" s="9"/>
      <c r="Q449" s="9">
        <f>I370</f>
        <v>3668.1900000000005</v>
      </c>
    </row>
    <row r="450" spans="3:18">
      <c r="C450" s="34" t="s">
        <v>198</v>
      </c>
      <c r="D450" t="s">
        <v>472</v>
      </c>
      <c r="F450" s="36">
        <v>487153</v>
      </c>
      <c r="G450" s="82">
        <f t="shared" si="37"/>
        <v>487.15300000000002</v>
      </c>
      <c r="K450">
        <v>5</v>
      </c>
      <c r="L450" t="s">
        <v>695</v>
      </c>
      <c r="M450">
        <v>7</v>
      </c>
      <c r="N450">
        <v>5</v>
      </c>
      <c r="O450" s="9">
        <f>F380</f>
        <v>1679163</v>
      </c>
      <c r="P450" s="9"/>
      <c r="Q450" s="9">
        <f>I380</f>
        <v>522.31699999999978</v>
      </c>
    </row>
    <row r="451" spans="3:18">
      <c r="C451" s="34" t="s">
        <v>199</v>
      </c>
      <c r="D451" t="s">
        <v>473</v>
      </c>
      <c r="F451" s="36">
        <v>481036</v>
      </c>
      <c r="G451" s="82">
        <f t="shared" si="37"/>
        <v>481.036</v>
      </c>
      <c r="K451">
        <v>6</v>
      </c>
      <c r="L451" t="s">
        <v>700</v>
      </c>
      <c r="M451">
        <v>7</v>
      </c>
      <c r="N451">
        <v>5</v>
      </c>
      <c r="O451" s="9">
        <f>F390</f>
        <v>1494621</v>
      </c>
      <c r="P451" s="9"/>
      <c r="Q451" s="9">
        <f>I390</f>
        <v>933.9799999999999</v>
      </c>
    </row>
    <row r="452" spans="3:18">
      <c r="C452" s="34" t="s">
        <v>200</v>
      </c>
      <c r="D452" t="s">
        <v>474</v>
      </c>
      <c r="F452" s="36">
        <v>431208</v>
      </c>
      <c r="G452" s="82">
        <f t="shared" si="37"/>
        <v>431.20800000000003</v>
      </c>
      <c r="K452">
        <v>7</v>
      </c>
      <c r="L452" t="s">
        <v>696</v>
      </c>
      <c r="M452">
        <v>11</v>
      </c>
      <c r="N452">
        <v>8</v>
      </c>
      <c r="O452" s="9">
        <f>F405</f>
        <v>3724400</v>
      </c>
      <c r="P452" s="9"/>
      <c r="Q452" s="9">
        <f>I405</f>
        <v>2283.4</v>
      </c>
    </row>
    <row r="453" spans="3:18">
      <c r="C453" s="34" t="s">
        <v>201</v>
      </c>
      <c r="D453" t="s">
        <v>475</v>
      </c>
      <c r="F453" s="36">
        <v>408415</v>
      </c>
      <c r="G453" s="82">
        <f t="shared" si="37"/>
        <v>408.41500000000002</v>
      </c>
      <c r="K453">
        <v>8</v>
      </c>
      <c r="L453" t="s">
        <v>697</v>
      </c>
      <c r="M453">
        <v>10</v>
      </c>
      <c r="N453">
        <v>8</v>
      </c>
      <c r="O453" s="9">
        <f>F420</f>
        <v>2086883</v>
      </c>
      <c r="P453" s="9"/>
      <c r="Q453" s="9">
        <f>I420</f>
        <v>1389.6370000000002</v>
      </c>
    </row>
    <row r="454" spans="3:18">
      <c r="C454" s="34" t="s">
        <v>202</v>
      </c>
      <c r="D454" t="s">
        <v>476</v>
      </c>
      <c r="F454" s="36">
        <v>303397</v>
      </c>
      <c r="G454" s="82">
        <f t="shared" si="37"/>
        <v>303.39699999999999</v>
      </c>
      <c r="K454">
        <v>9</v>
      </c>
      <c r="L454" t="s">
        <v>698</v>
      </c>
      <c r="M454">
        <v>17</v>
      </c>
      <c r="N454">
        <v>13</v>
      </c>
      <c r="O454" s="9">
        <f>F441</f>
        <v>8837301</v>
      </c>
      <c r="P454" s="9"/>
      <c r="Q454" s="9">
        <f>I441</f>
        <v>4751.6899999999996</v>
      </c>
    </row>
    <row r="455" spans="3:18">
      <c r="C455" s="34" t="s">
        <v>203</v>
      </c>
      <c r="D455" t="s">
        <v>477</v>
      </c>
      <c r="F455" s="36">
        <v>289620</v>
      </c>
      <c r="G455" s="82">
        <f t="shared" si="37"/>
        <v>289.62</v>
      </c>
      <c r="K455">
        <v>10</v>
      </c>
      <c r="L455" t="s">
        <v>699</v>
      </c>
      <c r="M455">
        <v>15</v>
      </c>
      <c r="N455">
        <v>11</v>
      </c>
      <c r="O455" s="9">
        <f>F459</f>
        <v>9176546</v>
      </c>
      <c r="P455" s="9"/>
      <c r="Q455" s="9">
        <f>I459</f>
        <v>4257.5259999999998</v>
      </c>
    </row>
    <row r="456" spans="3:18">
      <c r="C456" s="34" t="s">
        <v>204</v>
      </c>
      <c r="D456" t="s">
        <v>478</v>
      </c>
      <c r="F456" s="36">
        <v>232685</v>
      </c>
      <c r="G456" s="82">
        <f t="shared" si="37"/>
        <v>232.685</v>
      </c>
      <c r="M456">
        <f>SUM(M446:M455)</f>
        <v>154</v>
      </c>
      <c r="N456">
        <f>SUM(N446:N455)</f>
        <v>115</v>
      </c>
      <c r="O456" s="9">
        <f>SUM(O446:O455)</f>
        <v>59745793</v>
      </c>
      <c r="P456" s="9"/>
      <c r="Q456" s="9">
        <f>SUM(Q446:Q455)</f>
        <v>29662.243999999999</v>
      </c>
    </row>
    <row r="457" spans="3:18">
      <c r="C457" s="34" t="s">
        <v>205</v>
      </c>
      <c r="D457" t="s">
        <v>479</v>
      </c>
      <c r="F457" s="36">
        <v>171169</v>
      </c>
      <c r="G457" s="82">
        <f t="shared" si="37"/>
        <v>171.16900000000001</v>
      </c>
      <c r="M457">
        <f>SUM(M446:M456)</f>
        <v>308</v>
      </c>
      <c r="N457">
        <f t="shared" ref="N457:Q457" si="38">SUM(N446:N456)</f>
        <v>230</v>
      </c>
      <c r="O457" s="9">
        <f t="shared" si="38"/>
        <v>119491586</v>
      </c>
      <c r="P457" s="9"/>
      <c r="Q457" s="9">
        <f t="shared" si="38"/>
        <v>59324.487999999998</v>
      </c>
    </row>
    <row r="458" spans="3:18">
      <c r="C458" s="34" t="s">
        <v>206</v>
      </c>
      <c r="D458" t="s">
        <v>480</v>
      </c>
      <c r="F458" s="36">
        <v>164816</v>
      </c>
      <c r="G458" s="82">
        <f t="shared" si="37"/>
        <v>164.816</v>
      </c>
    </row>
    <row r="459" spans="3:18">
      <c r="F459" s="36">
        <f>SUM(F444:F458)</f>
        <v>9176546</v>
      </c>
      <c r="G459" s="36">
        <f>SUM(G444:G458)</f>
        <v>8257.5259999999998</v>
      </c>
      <c r="H459" s="33">
        <f>0.75*15</f>
        <v>11.25</v>
      </c>
      <c r="I459" s="46">
        <f>G459-H448</f>
        <v>4257.5259999999998</v>
      </c>
    </row>
    <row r="460" spans="3:18">
      <c r="F460" s="36"/>
      <c r="H460" s="133">
        <v>11</v>
      </c>
    </row>
    <row r="461" spans="3:18">
      <c r="F461" s="36"/>
      <c r="G461" s="33" t="s">
        <v>730</v>
      </c>
      <c r="H461" s="132">
        <f>H460+H442+H421+H406+H391+H381+H370+H356+H332+H295</f>
        <v>115.25</v>
      </c>
    </row>
    <row r="462" spans="3:18">
      <c r="C462" s="213" t="s">
        <v>664</v>
      </c>
      <c r="D462" s="213"/>
      <c r="E462" s="213"/>
      <c r="F462" s="213"/>
      <c r="G462" s="213"/>
      <c r="M462" s="73" t="s">
        <v>23</v>
      </c>
      <c r="N462" s="200" t="s">
        <v>33</v>
      </c>
      <c r="O462" s="200"/>
      <c r="P462" s="200" t="s">
        <v>717</v>
      </c>
      <c r="Q462" s="200"/>
      <c r="R462" s="200"/>
    </row>
    <row r="463" spans="3:18" ht="64.5" customHeight="1">
      <c r="C463" s="50">
        <v>1</v>
      </c>
      <c r="D463" s="33" t="s">
        <v>481</v>
      </c>
      <c r="E463" s="33"/>
      <c r="M463" s="69" t="s">
        <v>731</v>
      </c>
      <c r="N463" s="68" t="s">
        <v>711</v>
      </c>
      <c r="O463" s="69" t="s">
        <v>719</v>
      </c>
      <c r="P463" s="69" t="s">
        <v>714</v>
      </c>
      <c r="Q463" s="69" t="s">
        <v>715</v>
      </c>
      <c r="R463" s="69" t="s">
        <v>733</v>
      </c>
    </row>
    <row r="464" spans="3:18">
      <c r="C464" s="34" t="s">
        <v>192</v>
      </c>
      <c r="D464" t="s">
        <v>494</v>
      </c>
      <c r="F464" s="81">
        <v>1399500</v>
      </c>
      <c r="G464" s="81">
        <v>1000</v>
      </c>
      <c r="M464" s="26" t="s">
        <v>707</v>
      </c>
      <c r="N464" s="27">
        <v>35</v>
      </c>
      <c r="O464" s="41">
        <v>26.25</v>
      </c>
      <c r="P464" s="72">
        <v>37.54</v>
      </c>
      <c r="Q464" s="72">
        <v>30.11</v>
      </c>
      <c r="R464" s="72">
        <v>21.16</v>
      </c>
    </row>
    <row r="465" spans="2:18">
      <c r="C465" s="34" t="s">
        <v>193</v>
      </c>
      <c r="D465" t="s">
        <v>666</v>
      </c>
      <c r="F465" s="81">
        <v>1325950</v>
      </c>
      <c r="G465" s="81">
        <v>1000</v>
      </c>
      <c r="M465" s="26" t="s">
        <v>599</v>
      </c>
      <c r="N465" s="27">
        <v>39</v>
      </c>
      <c r="O465" s="41">
        <v>29.25</v>
      </c>
      <c r="P465" s="72">
        <v>41.15</v>
      </c>
      <c r="Q465" s="72">
        <v>30.22</v>
      </c>
      <c r="R465" s="72">
        <v>20.22</v>
      </c>
    </row>
    <row r="466" spans="2:18">
      <c r="C466" s="34" t="s">
        <v>194</v>
      </c>
      <c r="D466" t="s">
        <v>490</v>
      </c>
      <c r="F466" s="82">
        <v>3400490</v>
      </c>
      <c r="G466" s="82">
        <v>1000</v>
      </c>
      <c r="H466" s="36"/>
      <c r="M466" s="26" t="s">
        <v>705</v>
      </c>
      <c r="N466" s="27">
        <v>27</v>
      </c>
      <c r="O466" s="41">
        <v>20.25</v>
      </c>
      <c r="P466" s="72">
        <v>49.94</v>
      </c>
      <c r="Q466" s="72">
        <v>23.49</v>
      </c>
      <c r="R466" s="72">
        <v>17.489999999999998</v>
      </c>
    </row>
    <row r="467" spans="2:18">
      <c r="C467" s="34" t="s">
        <v>195</v>
      </c>
      <c r="D467" t="s">
        <v>491</v>
      </c>
      <c r="F467" s="82">
        <v>1963970</v>
      </c>
      <c r="G467" s="82">
        <v>1000</v>
      </c>
      <c r="M467" s="31" t="s">
        <v>704</v>
      </c>
      <c r="N467" s="27">
        <v>8</v>
      </c>
      <c r="O467" s="41">
        <v>6</v>
      </c>
      <c r="P467" s="72">
        <v>12.43</v>
      </c>
      <c r="Q467" s="72">
        <v>7.19</v>
      </c>
      <c r="R467" s="72">
        <v>5.19</v>
      </c>
    </row>
    <row r="468" spans="2:18">
      <c r="C468" s="34" t="s">
        <v>196</v>
      </c>
      <c r="D468" t="s">
        <v>492</v>
      </c>
      <c r="F468" s="82">
        <v>1701800</v>
      </c>
      <c r="G468" s="82">
        <v>1000</v>
      </c>
      <c r="M468" s="31" t="s">
        <v>732</v>
      </c>
      <c r="N468" s="27">
        <v>6</v>
      </c>
      <c r="O468" s="41">
        <v>4.5</v>
      </c>
      <c r="P468" s="72">
        <v>10.67</v>
      </c>
      <c r="Q468" s="72">
        <v>5.03</v>
      </c>
      <c r="R468" s="72">
        <v>4.03</v>
      </c>
    </row>
    <row r="469" spans="2:18">
      <c r="C469" s="34" t="s">
        <v>197</v>
      </c>
      <c r="D469" t="s">
        <v>493</v>
      </c>
      <c r="F469" s="82">
        <v>1449210</v>
      </c>
      <c r="G469" s="82">
        <v>1000</v>
      </c>
      <c r="H469" s="36">
        <f>G468+G469</f>
        <v>2000</v>
      </c>
      <c r="M469" s="31" t="s">
        <v>706</v>
      </c>
      <c r="N469" s="27">
        <v>5</v>
      </c>
      <c r="O469" s="41">
        <v>3.75</v>
      </c>
      <c r="P469" s="72">
        <v>4.18</v>
      </c>
      <c r="Q469" s="72">
        <v>3.74</v>
      </c>
      <c r="R469" s="72">
        <v>2.74</v>
      </c>
    </row>
    <row r="470" spans="2:18">
      <c r="C470" s="34" t="s">
        <v>198</v>
      </c>
      <c r="D470" t="s">
        <v>495</v>
      </c>
      <c r="F470" s="82">
        <v>734870</v>
      </c>
      <c r="G470" s="82">
        <f>F470/1000</f>
        <v>734.87</v>
      </c>
      <c r="M470" s="26" t="s">
        <v>718</v>
      </c>
      <c r="N470" s="27">
        <v>120</v>
      </c>
      <c r="O470" s="27">
        <v>90</v>
      </c>
      <c r="P470" s="72">
        <f>SUM(P464:P469)</f>
        <v>155.91</v>
      </c>
      <c r="Q470" s="72">
        <f>SUM(Q464:Q469)</f>
        <v>99.779999999999987</v>
      </c>
      <c r="R470" s="72">
        <f>SUM(R464:R469)</f>
        <v>70.829999999999984</v>
      </c>
    </row>
    <row r="471" spans="2:18">
      <c r="C471" s="34" t="s">
        <v>199</v>
      </c>
      <c r="D471" t="s">
        <v>496</v>
      </c>
      <c r="F471" s="82">
        <v>455620</v>
      </c>
      <c r="G471" s="82">
        <f>F471/1000</f>
        <v>455.62</v>
      </c>
      <c r="M471" s="31" t="s">
        <v>720</v>
      </c>
    </row>
    <row r="472" spans="2:18">
      <c r="F472" s="36">
        <f>SUM(F464:F471)</f>
        <v>12431410</v>
      </c>
      <c r="G472" s="36">
        <f>SUM(G464:G471)</f>
        <v>7190.49</v>
      </c>
      <c r="H472" s="133">
        <f>0.75*8</f>
        <v>6</v>
      </c>
      <c r="I472" s="46">
        <f>G472-H469</f>
        <v>5190.49</v>
      </c>
    </row>
    <row r="473" spans="2:18">
      <c r="D473" t="s">
        <v>497</v>
      </c>
      <c r="F473" s="81">
        <v>12431390</v>
      </c>
    </row>
    <row r="475" spans="2:18">
      <c r="B475">
        <v>2</v>
      </c>
      <c r="C475" s="40" t="s">
        <v>482</v>
      </c>
      <c r="D475" s="4" t="s">
        <v>33</v>
      </c>
      <c r="E475" s="4"/>
      <c r="F475" s="40" t="s">
        <v>659</v>
      </c>
      <c r="G475" s="40" t="s">
        <v>297</v>
      </c>
      <c r="H475" s="40" t="s">
        <v>661</v>
      </c>
      <c r="I475" s="4" t="s">
        <v>660</v>
      </c>
    </row>
    <row r="476" spans="2:18">
      <c r="C476" s="34" t="s">
        <v>192</v>
      </c>
      <c r="D476" t="s">
        <v>501</v>
      </c>
      <c r="F476" s="83">
        <v>1049314</v>
      </c>
      <c r="G476" s="81">
        <v>1000</v>
      </c>
    </row>
    <row r="477" spans="2:18">
      <c r="C477" s="34" t="s">
        <v>193</v>
      </c>
      <c r="D477" t="s">
        <v>500</v>
      </c>
      <c r="F477" s="84">
        <v>3079618</v>
      </c>
      <c r="G477" s="82">
        <v>1000</v>
      </c>
    </row>
    <row r="478" spans="2:18">
      <c r="C478" s="34" t="s">
        <v>194</v>
      </c>
      <c r="D478" t="s">
        <v>502</v>
      </c>
      <c r="F478" s="84">
        <v>2470054</v>
      </c>
      <c r="G478" s="82">
        <v>1000</v>
      </c>
      <c r="N478" s="36"/>
      <c r="O478" s="35"/>
    </row>
    <row r="479" spans="2:18">
      <c r="C479" s="34" t="s">
        <v>195</v>
      </c>
      <c r="D479" t="s">
        <v>499</v>
      </c>
      <c r="F479" s="84">
        <v>2235606</v>
      </c>
      <c r="G479" s="82">
        <v>1000</v>
      </c>
      <c r="N479" s="36"/>
      <c r="O479" s="35"/>
    </row>
    <row r="480" spans="2:18">
      <c r="C480" s="34" t="s">
        <v>196</v>
      </c>
      <c r="D480" t="s">
        <v>503</v>
      </c>
      <c r="F480" s="84">
        <v>1808985</v>
      </c>
      <c r="G480" s="82">
        <v>1000</v>
      </c>
      <c r="N480" s="36"/>
      <c r="O480" s="35"/>
    </row>
    <row r="481" spans="2:15">
      <c r="C481" s="34" t="s">
        <v>197</v>
      </c>
      <c r="D481" t="s">
        <v>498</v>
      </c>
      <c r="F481" s="82">
        <v>28523</v>
      </c>
      <c r="G481" s="82">
        <f>F481/1000</f>
        <v>28.523</v>
      </c>
      <c r="N481" s="36"/>
      <c r="O481" s="35"/>
    </row>
    <row r="482" spans="2:15">
      <c r="C482" s="209" t="s">
        <v>662</v>
      </c>
      <c r="D482" s="209"/>
      <c r="E482" s="77"/>
      <c r="F482" s="36">
        <f>SUM(F476:F481)</f>
        <v>10672100</v>
      </c>
      <c r="G482" s="36">
        <f>SUM(G476:G481)</f>
        <v>5028.5230000000001</v>
      </c>
      <c r="H482" s="33">
        <f>0.75*6</f>
        <v>4.5</v>
      </c>
      <c r="I482" s="46">
        <f>G482-G476</f>
        <v>4028.5230000000001</v>
      </c>
    </row>
    <row r="483" spans="2:15">
      <c r="F483" s="36"/>
      <c r="H483" s="33">
        <v>5</v>
      </c>
    </row>
    <row r="484" spans="2:15">
      <c r="B484">
        <v>3</v>
      </c>
      <c r="C484" s="41" t="s">
        <v>483</v>
      </c>
      <c r="D484" s="42" t="s">
        <v>33</v>
      </c>
      <c r="E484" s="42"/>
      <c r="F484" s="43" t="s">
        <v>659</v>
      </c>
      <c r="G484" s="43" t="s">
        <v>667</v>
      </c>
      <c r="H484" s="43" t="s">
        <v>661</v>
      </c>
      <c r="I484" s="42" t="s">
        <v>660</v>
      </c>
    </row>
    <row r="485" spans="2:15">
      <c r="C485" s="44" t="s">
        <v>192</v>
      </c>
      <c r="D485" s="26" t="s">
        <v>518</v>
      </c>
      <c r="E485" s="26"/>
      <c r="F485" s="85">
        <v>1612576</v>
      </c>
      <c r="G485" s="85">
        <v>1000</v>
      </c>
      <c r="H485" s="41"/>
      <c r="I485" s="26"/>
    </row>
    <row r="486" spans="2:15">
      <c r="C486" s="44" t="s">
        <v>193</v>
      </c>
      <c r="D486" s="26" t="s">
        <v>519</v>
      </c>
      <c r="E486" s="26"/>
      <c r="F486" s="85">
        <v>1210709</v>
      </c>
      <c r="G486" s="85">
        <v>1000</v>
      </c>
      <c r="H486" s="41"/>
      <c r="I486" s="26"/>
    </row>
    <row r="487" spans="2:15">
      <c r="C487" s="44" t="s">
        <v>194</v>
      </c>
      <c r="D487" s="26" t="s">
        <v>520</v>
      </c>
      <c r="E487" s="26"/>
      <c r="F487" s="85">
        <v>1201685</v>
      </c>
      <c r="G487" s="85">
        <v>1000</v>
      </c>
      <c r="H487" s="41"/>
      <c r="I487" s="26"/>
    </row>
    <row r="488" spans="2:15">
      <c r="C488" s="44" t="s">
        <v>195</v>
      </c>
      <c r="D488" s="26" t="s">
        <v>521</v>
      </c>
      <c r="E488" s="26"/>
      <c r="F488" s="85">
        <v>1154428</v>
      </c>
      <c r="G488" s="85">
        <v>1000</v>
      </c>
      <c r="H488" s="41"/>
      <c r="I488" s="26"/>
    </row>
    <row r="489" spans="2:15">
      <c r="C489" s="44" t="s">
        <v>196</v>
      </c>
      <c r="D489" s="26" t="s">
        <v>522</v>
      </c>
      <c r="E489" s="26"/>
      <c r="F489" s="85">
        <v>1126927</v>
      </c>
      <c r="G489" s="85">
        <v>1000</v>
      </c>
      <c r="H489" s="41"/>
      <c r="I489" s="26"/>
    </row>
    <row r="490" spans="2:15">
      <c r="C490" s="44" t="s">
        <v>197</v>
      </c>
      <c r="D490" s="26" t="s">
        <v>523</v>
      </c>
      <c r="E490" s="26"/>
      <c r="F490" s="85">
        <v>1087105</v>
      </c>
      <c r="G490" s="85">
        <v>1000</v>
      </c>
      <c r="H490" s="27">
        <f>SUM(G485:G490)</f>
        <v>6000</v>
      </c>
      <c r="I490" s="26"/>
    </row>
    <row r="491" spans="2:15">
      <c r="C491" s="44" t="s">
        <v>198</v>
      </c>
      <c r="D491" s="26" t="s">
        <v>504</v>
      </c>
      <c r="E491" s="26"/>
      <c r="F491" s="86">
        <v>6088233</v>
      </c>
      <c r="G491" s="86">
        <v>1000</v>
      </c>
      <c r="I491" s="26"/>
    </row>
    <row r="492" spans="2:15">
      <c r="C492" s="44" t="s">
        <v>199</v>
      </c>
      <c r="D492" s="26" t="s">
        <v>505</v>
      </c>
      <c r="E492" s="26"/>
      <c r="F492" s="86">
        <v>3899017</v>
      </c>
      <c r="G492" s="86">
        <v>1000</v>
      </c>
      <c r="H492" s="41"/>
      <c r="I492" s="26"/>
    </row>
    <row r="493" spans="2:15">
      <c r="C493" s="44" t="s">
        <v>200</v>
      </c>
      <c r="D493" s="26" t="s">
        <v>506</v>
      </c>
      <c r="E493" s="26"/>
      <c r="F493" s="86">
        <v>3831505</v>
      </c>
      <c r="G493" s="86">
        <v>1000</v>
      </c>
      <c r="H493" s="41"/>
      <c r="I493" s="26"/>
    </row>
    <row r="494" spans="2:15">
      <c r="C494" s="44" t="s">
        <v>201</v>
      </c>
      <c r="D494" s="26" t="s">
        <v>507</v>
      </c>
      <c r="E494" s="26"/>
      <c r="F494" s="86">
        <v>3075690</v>
      </c>
      <c r="G494" s="86">
        <v>1000</v>
      </c>
      <c r="H494" s="41"/>
      <c r="I494" s="26"/>
    </row>
    <row r="495" spans="2:15">
      <c r="C495" s="44" t="s">
        <v>202</v>
      </c>
      <c r="D495" s="26" t="s">
        <v>508</v>
      </c>
      <c r="E495" s="26"/>
      <c r="F495" s="86">
        <v>2636637</v>
      </c>
      <c r="G495" s="86">
        <v>1000</v>
      </c>
      <c r="H495" s="41"/>
      <c r="I495" s="26"/>
    </row>
    <row r="496" spans="2:15">
      <c r="C496" s="44" t="s">
        <v>203</v>
      </c>
      <c r="D496" s="26" t="s">
        <v>509</v>
      </c>
      <c r="E496" s="26"/>
      <c r="F496" s="86">
        <v>2510103</v>
      </c>
      <c r="G496" s="86">
        <v>1000</v>
      </c>
      <c r="H496" s="41"/>
      <c r="I496" s="26"/>
    </row>
    <row r="497" spans="3:9">
      <c r="C497" s="44" t="s">
        <v>204</v>
      </c>
      <c r="D497" s="26" t="s">
        <v>510</v>
      </c>
      <c r="E497" s="26"/>
      <c r="F497" s="86">
        <v>2484186</v>
      </c>
      <c r="G497" s="86">
        <v>1000</v>
      </c>
      <c r="H497" s="41"/>
      <c r="I497" s="26"/>
    </row>
    <row r="498" spans="3:9">
      <c r="C498" s="44" t="s">
        <v>205</v>
      </c>
      <c r="D498" s="26" t="s">
        <v>511</v>
      </c>
      <c r="E498" s="26"/>
      <c r="F498" s="86">
        <v>2470219</v>
      </c>
      <c r="G498" s="86">
        <v>1000</v>
      </c>
      <c r="H498" s="41"/>
      <c r="I498" s="26"/>
    </row>
    <row r="499" spans="3:9">
      <c r="C499" s="44" t="s">
        <v>206</v>
      </c>
      <c r="D499" s="26" t="s">
        <v>512</v>
      </c>
      <c r="E499" s="26"/>
      <c r="F499" s="86">
        <v>2370488</v>
      </c>
      <c r="G499" s="86">
        <v>1000</v>
      </c>
      <c r="H499" s="41"/>
      <c r="I499" s="26"/>
    </row>
    <row r="500" spans="3:9">
      <c r="C500" s="44" t="s">
        <v>207</v>
      </c>
      <c r="D500" s="26" t="s">
        <v>513</v>
      </c>
      <c r="E500" s="26"/>
      <c r="F500" s="86">
        <v>2264328</v>
      </c>
      <c r="G500" s="86">
        <v>1000</v>
      </c>
      <c r="H500" s="41"/>
      <c r="I500" s="26"/>
    </row>
    <row r="501" spans="3:9">
      <c r="C501" s="44" t="s">
        <v>208</v>
      </c>
      <c r="D501" s="26" t="s">
        <v>514</v>
      </c>
      <c r="E501" s="26"/>
      <c r="F501" s="86">
        <v>2209633</v>
      </c>
      <c r="G501" s="86">
        <v>1000</v>
      </c>
      <c r="H501" s="41"/>
      <c r="I501" s="26"/>
    </row>
    <row r="502" spans="3:9">
      <c r="C502" s="44" t="s">
        <v>209</v>
      </c>
      <c r="D502" s="26" t="s">
        <v>515</v>
      </c>
      <c r="E502" s="26"/>
      <c r="F502" s="86">
        <v>1755710</v>
      </c>
      <c r="G502" s="86">
        <v>1000</v>
      </c>
      <c r="H502" s="41"/>
      <c r="I502" s="26"/>
    </row>
    <row r="503" spans="3:9">
      <c r="C503" s="44" t="s">
        <v>210</v>
      </c>
      <c r="D503" s="26" t="s">
        <v>516</v>
      </c>
      <c r="E503" s="26"/>
      <c r="F503" s="86">
        <v>1737624</v>
      </c>
      <c r="G503" s="86">
        <v>1000</v>
      </c>
      <c r="H503" s="41"/>
      <c r="I503" s="26"/>
    </row>
    <row r="504" spans="3:9">
      <c r="C504" s="44" t="s">
        <v>211</v>
      </c>
      <c r="D504" s="26" t="s">
        <v>517</v>
      </c>
      <c r="E504" s="26"/>
      <c r="F504" s="86">
        <v>1714982</v>
      </c>
      <c r="G504" s="86">
        <v>1000</v>
      </c>
      <c r="H504" s="41"/>
      <c r="I504" s="26"/>
    </row>
    <row r="505" spans="3:9">
      <c r="C505" s="44" t="s">
        <v>212</v>
      </c>
      <c r="D505" s="26" t="s">
        <v>524</v>
      </c>
      <c r="E505" s="26"/>
      <c r="F505" s="86">
        <v>971889</v>
      </c>
      <c r="G505" s="86">
        <f t="shared" ref="G505:G511" si="39">F505/1000</f>
        <v>971.88900000000001</v>
      </c>
      <c r="H505" s="41"/>
      <c r="I505" s="26"/>
    </row>
    <row r="506" spans="3:9">
      <c r="C506" s="44" t="s">
        <v>213</v>
      </c>
      <c r="D506" s="26" t="s">
        <v>525</v>
      </c>
      <c r="E506" s="26"/>
      <c r="F506" s="86">
        <v>663986</v>
      </c>
      <c r="G506" s="86">
        <f t="shared" si="39"/>
        <v>663.98599999999999</v>
      </c>
      <c r="H506" s="41"/>
      <c r="I506" s="26"/>
    </row>
    <row r="507" spans="3:9">
      <c r="C507" s="44" t="s">
        <v>214</v>
      </c>
      <c r="D507" s="26" t="s">
        <v>526</v>
      </c>
      <c r="E507" s="26"/>
      <c r="F507" s="86">
        <v>620393</v>
      </c>
      <c r="G507" s="86">
        <f t="shared" si="39"/>
        <v>620.39300000000003</v>
      </c>
      <c r="H507" s="41"/>
      <c r="I507" s="26"/>
    </row>
    <row r="508" spans="3:9">
      <c r="C508" s="44" t="s">
        <v>219</v>
      </c>
      <c r="D508" s="26" t="s">
        <v>527</v>
      </c>
      <c r="E508" s="26"/>
      <c r="F508" s="86">
        <v>401493</v>
      </c>
      <c r="G508" s="86">
        <f t="shared" si="39"/>
        <v>401.49299999999999</v>
      </c>
      <c r="H508" s="41"/>
      <c r="I508" s="26"/>
    </row>
    <row r="509" spans="3:9">
      <c r="C509" s="44" t="s">
        <v>372</v>
      </c>
      <c r="D509" s="26" t="s">
        <v>528</v>
      </c>
      <c r="E509" s="26"/>
      <c r="F509" s="86">
        <v>330691</v>
      </c>
      <c r="G509" s="86">
        <f t="shared" si="39"/>
        <v>330.69099999999997</v>
      </c>
      <c r="H509" s="41"/>
      <c r="I509" s="26"/>
    </row>
    <row r="510" spans="3:9">
      <c r="C510" s="44" t="s">
        <v>373</v>
      </c>
      <c r="D510" s="26" t="s">
        <v>529</v>
      </c>
      <c r="E510" s="26"/>
      <c r="F510" s="86">
        <v>322322</v>
      </c>
      <c r="G510" s="86">
        <f t="shared" si="39"/>
        <v>322.322</v>
      </c>
      <c r="H510" s="41"/>
      <c r="I510" s="26"/>
    </row>
    <row r="511" spans="3:9">
      <c r="C511" s="44" t="s">
        <v>374</v>
      </c>
      <c r="D511" s="26" t="s">
        <v>530</v>
      </c>
      <c r="E511" s="26"/>
      <c r="F511" s="86">
        <v>183299</v>
      </c>
      <c r="G511" s="86">
        <f t="shared" si="39"/>
        <v>183.29900000000001</v>
      </c>
      <c r="H511" s="41"/>
      <c r="I511" s="26"/>
    </row>
    <row r="512" spans="3:9">
      <c r="C512" s="210" t="s">
        <v>483</v>
      </c>
      <c r="D512" s="210"/>
      <c r="E512" s="78"/>
      <c r="F512" s="27">
        <f>SUM(F485:F511)</f>
        <v>49935858</v>
      </c>
      <c r="G512" s="27">
        <f>SUM(G485:G511)</f>
        <v>23494.072999999997</v>
      </c>
      <c r="H512" s="41">
        <f>0.75*27</f>
        <v>20.25</v>
      </c>
      <c r="I512" s="51">
        <f>G512-H490</f>
        <v>17494.072999999997</v>
      </c>
    </row>
    <row r="513" spans="2:9">
      <c r="F513" s="36"/>
      <c r="H513" s="133">
        <v>20</v>
      </c>
    </row>
    <row r="514" spans="2:9">
      <c r="F514" s="36"/>
    </row>
    <row r="515" spans="2:9">
      <c r="B515">
        <v>4</v>
      </c>
      <c r="C515"/>
      <c r="D515" s="33" t="s">
        <v>484</v>
      </c>
      <c r="E515" s="33"/>
    </row>
    <row r="516" spans="2:9">
      <c r="C516" s="34" t="s">
        <v>192</v>
      </c>
      <c r="D516" t="s">
        <v>531</v>
      </c>
      <c r="F516" s="81">
        <v>1106992</v>
      </c>
      <c r="G516" s="81">
        <v>1000</v>
      </c>
    </row>
    <row r="517" spans="2:9">
      <c r="C517" s="34" t="s">
        <v>193</v>
      </c>
      <c r="D517" t="s">
        <v>668</v>
      </c>
      <c r="F517" s="82">
        <v>1335947</v>
      </c>
      <c r="G517" s="82">
        <v>1000</v>
      </c>
    </row>
    <row r="518" spans="2:9">
      <c r="C518" s="34" t="s">
        <v>194</v>
      </c>
      <c r="D518" t="s">
        <v>532</v>
      </c>
      <c r="F518" s="82">
        <v>804842</v>
      </c>
      <c r="G518" s="82">
        <f>F518/1000</f>
        <v>804.84199999999998</v>
      </c>
    </row>
    <row r="519" spans="2:9">
      <c r="C519" s="34" t="s">
        <v>195</v>
      </c>
      <c r="D519" t="s">
        <v>533</v>
      </c>
      <c r="F519" s="82">
        <v>466950</v>
      </c>
      <c r="G519" s="82">
        <f>F519/1000</f>
        <v>466.95</v>
      </c>
    </row>
    <row r="520" spans="2:9">
      <c r="C520" s="34" t="s">
        <v>196</v>
      </c>
      <c r="D520" t="s">
        <v>534</v>
      </c>
      <c r="F520" s="82">
        <v>464602</v>
      </c>
      <c r="G520" s="82">
        <f>F520/1000</f>
        <v>464.60199999999998</v>
      </c>
    </row>
    <row r="521" spans="2:9">
      <c r="F521" s="36">
        <f>SUM(F516:F520)</f>
        <v>4179333</v>
      </c>
      <c r="G521" s="36">
        <f>SUM(G516:G520)</f>
        <v>3736.3939999999998</v>
      </c>
      <c r="H521" s="33">
        <f>0.75*5</f>
        <v>3.75</v>
      </c>
      <c r="I521" s="46">
        <f>G521-G516</f>
        <v>2736.3939999999998</v>
      </c>
    </row>
    <row r="522" spans="2:9">
      <c r="H522" s="133">
        <v>4</v>
      </c>
    </row>
    <row r="524" spans="2:9">
      <c r="B524">
        <v>5</v>
      </c>
      <c r="D524" t="s">
        <v>485</v>
      </c>
      <c r="G524" s="33">
        <v>2023</v>
      </c>
    </row>
    <row r="525" spans="2:9">
      <c r="C525" s="34" t="s">
        <v>192</v>
      </c>
      <c r="D525" t="s">
        <v>546</v>
      </c>
      <c r="F525" s="83">
        <v>1240510</v>
      </c>
      <c r="G525" s="81">
        <v>1000</v>
      </c>
    </row>
    <row r="526" spans="2:9">
      <c r="C526" s="34" t="s">
        <v>193</v>
      </c>
      <c r="D526" t="s">
        <v>547</v>
      </c>
      <c r="F526" s="83">
        <v>1221086</v>
      </c>
      <c r="G526" s="81">
        <v>1000</v>
      </c>
    </row>
    <row r="527" spans="2:9">
      <c r="C527" s="34" t="s">
        <v>194</v>
      </c>
      <c r="D527" t="s">
        <v>548</v>
      </c>
      <c r="F527" s="83">
        <v>1090129</v>
      </c>
      <c r="G527" s="81">
        <v>1000</v>
      </c>
    </row>
    <row r="528" spans="2:9" ht="20.25" customHeight="1">
      <c r="C528" s="34" t="s">
        <v>195</v>
      </c>
      <c r="D528" t="s">
        <v>549</v>
      </c>
      <c r="F528" s="83">
        <v>1080648</v>
      </c>
      <c r="G528" s="81">
        <v>1000</v>
      </c>
    </row>
    <row r="529" spans="3:8">
      <c r="C529" s="34" t="s">
        <v>196</v>
      </c>
      <c r="D529" t="s">
        <v>550</v>
      </c>
      <c r="F529" s="83">
        <v>1052826</v>
      </c>
      <c r="G529" s="81">
        <v>1000</v>
      </c>
    </row>
    <row r="530" spans="3:8">
      <c r="C530" s="34" t="s">
        <v>197</v>
      </c>
      <c r="D530" t="s">
        <v>551</v>
      </c>
      <c r="F530" s="83">
        <v>1051085</v>
      </c>
      <c r="G530" s="81">
        <v>1000</v>
      </c>
    </row>
    <row r="531" spans="3:8">
      <c r="C531" s="34" t="s">
        <v>198</v>
      </c>
      <c r="D531" t="s">
        <v>552</v>
      </c>
      <c r="F531" s="83">
        <v>1047226</v>
      </c>
      <c r="G531" s="81">
        <v>1000</v>
      </c>
    </row>
    <row r="532" spans="3:8">
      <c r="C532" s="34" t="s">
        <v>199</v>
      </c>
      <c r="D532" t="s">
        <v>553</v>
      </c>
      <c r="F532" s="83">
        <v>1027333</v>
      </c>
      <c r="G532" s="81">
        <v>1000</v>
      </c>
    </row>
    <row r="533" spans="3:8">
      <c r="C533" s="34" t="s">
        <v>200</v>
      </c>
      <c r="D533" t="s">
        <v>554</v>
      </c>
      <c r="F533" s="83">
        <v>1007384</v>
      </c>
      <c r="G533" s="81">
        <v>1000</v>
      </c>
      <c r="H533" s="36">
        <f>SUM(G525:G533)</f>
        <v>9000</v>
      </c>
    </row>
    <row r="534" spans="3:8">
      <c r="C534" s="34" t="s">
        <v>201</v>
      </c>
      <c r="D534" t="s">
        <v>535</v>
      </c>
      <c r="F534" s="84">
        <v>2043077</v>
      </c>
      <c r="G534" s="82">
        <v>1000</v>
      </c>
    </row>
    <row r="535" spans="3:8">
      <c r="C535" s="34" t="s">
        <v>202</v>
      </c>
      <c r="D535" t="s">
        <v>536</v>
      </c>
      <c r="F535" s="84">
        <v>2007829</v>
      </c>
      <c r="G535" s="82">
        <v>1000</v>
      </c>
    </row>
    <row r="536" spans="3:8">
      <c r="C536" s="34" t="s">
        <v>203</v>
      </c>
      <c r="D536" t="s">
        <v>537</v>
      </c>
      <c r="F536" s="84">
        <v>1828573</v>
      </c>
      <c r="G536" s="82">
        <v>1000</v>
      </c>
    </row>
    <row r="537" spans="3:8">
      <c r="C537" s="34" t="s">
        <v>204</v>
      </c>
      <c r="D537" t="s">
        <v>538</v>
      </c>
      <c r="F537" s="84">
        <v>1694743</v>
      </c>
      <c r="G537" s="82">
        <v>1000</v>
      </c>
    </row>
    <row r="538" spans="3:8">
      <c r="C538" s="34" t="s">
        <v>205</v>
      </c>
      <c r="D538" t="s">
        <v>539</v>
      </c>
      <c r="F538" s="84">
        <v>1654836</v>
      </c>
      <c r="G538" s="82">
        <v>1000</v>
      </c>
    </row>
    <row r="539" spans="3:8">
      <c r="C539" s="34" t="s">
        <v>206</v>
      </c>
      <c r="D539" t="s">
        <v>540</v>
      </c>
      <c r="F539" s="84">
        <v>1523622</v>
      </c>
      <c r="G539" s="82">
        <v>1000</v>
      </c>
    </row>
    <row r="540" spans="3:8">
      <c r="C540" s="34" t="s">
        <v>207</v>
      </c>
      <c r="D540" t="s">
        <v>541</v>
      </c>
      <c r="F540" s="84">
        <v>1492891</v>
      </c>
      <c r="G540" s="82">
        <v>1000</v>
      </c>
    </row>
    <row r="541" spans="3:8">
      <c r="C541" s="34" t="s">
        <v>208</v>
      </c>
      <c r="D541" t="s">
        <v>542</v>
      </c>
      <c r="F541" s="84">
        <v>1397555</v>
      </c>
      <c r="G541" s="82">
        <v>1000</v>
      </c>
    </row>
    <row r="542" spans="3:8">
      <c r="C542" s="34" t="s">
        <v>209</v>
      </c>
      <c r="D542" t="s">
        <v>543</v>
      </c>
      <c r="F542" s="84">
        <v>1359364</v>
      </c>
      <c r="G542" s="82">
        <v>1000</v>
      </c>
    </row>
    <row r="543" spans="3:8">
      <c r="C543" s="34" t="s">
        <v>210</v>
      </c>
      <c r="D543" t="s">
        <v>544</v>
      </c>
      <c r="F543" s="84">
        <v>1330656</v>
      </c>
      <c r="G543" s="82">
        <v>1000</v>
      </c>
    </row>
    <row r="544" spans="3:8">
      <c r="C544" s="34" t="s">
        <v>211</v>
      </c>
      <c r="D544" t="s">
        <v>545</v>
      </c>
      <c r="F544" s="84">
        <v>1284386</v>
      </c>
      <c r="G544" s="82">
        <v>1000</v>
      </c>
    </row>
    <row r="545" spans="3:9">
      <c r="C545" s="34" t="s">
        <v>212</v>
      </c>
      <c r="D545" t="s">
        <v>555</v>
      </c>
      <c r="F545" s="84">
        <v>997485</v>
      </c>
      <c r="G545" s="82">
        <f t="shared" ref="G545:G559" si="40">F545/1000</f>
        <v>997.48500000000001</v>
      </c>
    </row>
    <row r="546" spans="3:9">
      <c r="C546" s="34" t="s">
        <v>213</v>
      </c>
      <c r="D546" t="s">
        <v>556</v>
      </c>
      <c r="F546" s="84">
        <v>955116</v>
      </c>
      <c r="G546" s="82">
        <f t="shared" si="40"/>
        <v>955.11599999999999</v>
      </c>
    </row>
    <row r="547" spans="3:9">
      <c r="C547" s="34" t="s">
        <v>214</v>
      </c>
      <c r="D547" t="s">
        <v>557</v>
      </c>
      <c r="F547" s="84">
        <v>932680</v>
      </c>
      <c r="G547" s="82">
        <f t="shared" si="40"/>
        <v>932.68</v>
      </c>
    </row>
    <row r="548" spans="3:9">
      <c r="C548" s="34" t="s">
        <v>219</v>
      </c>
      <c r="D548" t="s">
        <v>558</v>
      </c>
      <c r="F548" s="84">
        <v>909664</v>
      </c>
      <c r="G548" s="82">
        <f t="shared" si="40"/>
        <v>909.66399999999999</v>
      </c>
    </row>
    <row r="549" spans="3:9">
      <c r="C549" s="34" t="s">
        <v>372</v>
      </c>
      <c r="D549" t="s">
        <v>559</v>
      </c>
      <c r="F549" s="84">
        <v>901621</v>
      </c>
      <c r="G549" s="82">
        <f t="shared" si="40"/>
        <v>901.62099999999998</v>
      </c>
    </row>
    <row r="550" spans="3:9">
      <c r="C550" s="34" t="s">
        <v>373</v>
      </c>
      <c r="D550" t="s">
        <v>560</v>
      </c>
      <c r="F550" s="84">
        <v>874632</v>
      </c>
      <c r="G550" s="82">
        <f t="shared" si="40"/>
        <v>874.63199999999995</v>
      </c>
    </row>
    <row r="551" spans="3:9">
      <c r="C551" s="34" t="s">
        <v>374</v>
      </c>
      <c r="D551" t="s">
        <v>561</v>
      </c>
      <c r="F551" s="84">
        <v>828883</v>
      </c>
      <c r="G551" s="82">
        <f t="shared" si="40"/>
        <v>828.88300000000004</v>
      </c>
    </row>
    <row r="552" spans="3:9">
      <c r="C552" s="34" t="s">
        <v>375</v>
      </c>
      <c r="D552" t="s">
        <v>562</v>
      </c>
      <c r="F552" s="84">
        <v>808446</v>
      </c>
      <c r="G552" s="82">
        <f t="shared" si="40"/>
        <v>808.44600000000003</v>
      </c>
    </row>
    <row r="553" spans="3:9">
      <c r="C553" s="34" t="s">
        <v>376</v>
      </c>
      <c r="D553" t="s">
        <v>563</v>
      </c>
      <c r="F553" s="84">
        <v>788265</v>
      </c>
      <c r="G553" s="82">
        <f t="shared" si="40"/>
        <v>788.26499999999999</v>
      </c>
    </row>
    <row r="554" spans="3:9">
      <c r="C554" s="34" t="s">
        <v>377</v>
      </c>
      <c r="D554" t="s">
        <v>564</v>
      </c>
      <c r="F554" s="84">
        <v>660166</v>
      </c>
      <c r="G554" s="82">
        <f t="shared" si="40"/>
        <v>660.16600000000005</v>
      </c>
    </row>
    <row r="555" spans="3:9">
      <c r="C555" s="34" t="s">
        <v>378</v>
      </c>
      <c r="D555" t="s">
        <v>565</v>
      </c>
      <c r="F555" s="84">
        <v>526870</v>
      </c>
      <c r="G555" s="82">
        <f t="shared" si="40"/>
        <v>526.87</v>
      </c>
    </row>
    <row r="556" spans="3:9">
      <c r="C556" s="34" t="s">
        <v>379</v>
      </c>
      <c r="D556" t="s">
        <v>566</v>
      </c>
      <c r="F556" s="84">
        <v>317524</v>
      </c>
      <c r="G556" s="82">
        <f t="shared" si="40"/>
        <v>317.524</v>
      </c>
    </row>
    <row r="557" spans="3:9">
      <c r="C557" s="34" t="s">
        <v>380</v>
      </c>
      <c r="D557" t="s">
        <v>567</v>
      </c>
      <c r="F557" s="84">
        <v>282781</v>
      </c>
      <c r="G557" s="82">
        <f t="shared" si="40"/>
        <v>282.78100000000001</v>
      </c>
    </row>
    <row r="558" spans="3:9">
      <c r="C558" s="34" t="s">
        <v>639</v>
      </c>
      <c r="D558" t="s">
        <v>568</v>
      </c>
      <c r="F558" s="84">
        <v>198920</v>
      </c>
      <c r="G558" s="82">
        <f t="shared" si="40"/>
        <v>198.92</v>
      </c>
    </row>
    <row r="559" spans="3:9">
      <c r="C559" s="34" t="s">
        <v>640</v>
      </c>
      <c r="D559" t="s">
        <v>569</v>
      </c>
      <c r="F559" s="84">
        <v>122150</v>
      </c>
      <c r="G559" s="82">
        <f t="shared" si="40"/>
        <v>122.15</v>
      </c>
    </row>
    <row r="560" spans="3:9">
      <c r="F560" s="36">
        <f>SUM(F525:F559)</f>
        <v>37540962</v>
      </c>
      <c r="G560" s="36">
        <f>SUM(G525:G559)</f>
        <v>30105.203000000005</v>
      </c>
      <c r="H560" s="33">
        <f>0.75*35</f>
        <v>26.25</v>
      </c>
      <c r="I560" s="46">
        <f>G560-H533</f>
        <v>21105.203000000005</v>
      </c>
    </row>
    <row r="561" spans="2:18">
      <c r="H561" s="133">
        <v>26</v>
      </c>
    </row>
    <row r="562" spans="2:18">
      <c r="B562">
        <v>6</v>
      </c>
      <c r="D562" s="33" t="s">
        <v>486</v>
      </c>
      <c r="E562" s="33"/>
    </row>
    <row r="563" spans="2:18" ht="28.5" customHeight="1">
      <c r="D563" s="18" t="s">
        <v>678</v>
      </c>
      <c r="E563" s="18"/>
      <c r="F563" s="87" t="s">
        <v>679</v>
      </c>
      <c r="G563" s="87" t="s">
        <v>667</v>
      </c>
      <c r="H563" s="37"/>
    </row>
    <row r="564" spans="2:18">
      <c r="C564" s="34" t="s">
        <v>192</v>
      </c>
      <c r="D564" s="52" t="s">
        <v>591</v>
      </c>
      <c r="E564" s="52"/>
      <c r="F564" s="88">
        <v>1315125</v>
      </c>
      <c r="G564" s="81">
        <v>1000</v>
      </c>
    </row>
    <row r="565" spans="2:18">
      <c r="C565" s="34" t="s">
        <v>193</v>
      </c>
      <c r="D565" s="52" t="s">
        <v>574</v>
      </c>
      <c r="E565" s="52"/>
      <c r="F565" s="88">
        <v>1240322</v>
      </c>
      <c r="G565" s="81">
        <v>1000</v>
      </c>
    </row>
    <row r="566" spans="2:18">
      <c r="C566" s="34" t="s">
        <v>194</v>
      </c>
      <c r="D566" s="52" t="s">
        <v>592</v>
      </c>
      <c r="E566" s="52"/>
      <c r="F566" s="88">
        <v>1209543</v>
      </c>
      <c r="G566" s="81">
        <v>1000</v>
      </c>
    </row>
    <row r="567" spans="2:18" ht="15.75" customHeight="1">
      <c r="C567" s="34" t="s">
        <v>195</v>
      </c>
      <c r="D567" s="52" t="s">
        <v>582</v>
      </c>
      <c r="E567" s="52"/>
      <c r="F567" s="88">
        <v>1159965</v>
      </c>
      <c r="G567" s="81">
        <v>1000</v>
      </c>
    </row>
    <row r="568" spans="2:18">
      <c r="C568" s="34" t="s">
        <v>196</v>
      </c>
      <c r="D568" s="52" t="s">
        <v>577</v>
      </c>
      <c r="E568" s="52"/>
      <c r="F568" s="88">
        <v>1137227</v>
      </c>
      <c r="G568" s="81">
        <v>1000</v>
      </c>
    </row>
    <row r="569" spans="2:18">
      <c r="C569" s="34" t="s">
        <v>197</v>
      </c>
      <c r="D569" s="52" t="s">
        <v>598</v>
      </c>
      <c r="E569" s="52"/>
      <c r="F569" s="88">
        <v>1136632</v>
      </c>
      <c r="G569" s="81">
        <v>1000</v>
      </c>
      <c r="L569" t="s">
        <v>701</v>
      </c>
    </row>
    <row r="570" spans="2:18">
      <c r="C570" s="34" t="s">
        <v>198</v>
      </c>
      <c r="D570" s="52" t="s">
        <v>585</v>
      </c>
      <c r="E570" s="52"/>
      <c r="F570" s="88">
        <v>1133584</v>
      </c>
      <c r="G570" s="81">
        <v>1000</v>
      </c>
      <c r="M570" t="s">
        <v>14</v>
      </c>
      <c r="N570" t="s">
        <v>15</v>
      </c>
      <c r="O570" t="s">
        <v>689</v>
      </c>
      <c r="Q570" t="s">
        <v>690</v>
      </c>
      <c r="R570" t="s">
        <v>660</v>
      </c>
    </row>
    <row r="571" spans="2:18">
      <c r="C571" s="34" t="s">
        <v>199</v>
      </c>
      <c r="D571" s="52" t="s">
        <v>587</v>
      </c>
      <c r="E571" s="52"/>
      <c r="F571" s="88">
        <v>1117033</v>
      </c>
      <c r="G571" s="81">
        <v>1000</v>
      </c>
      <c r="M571" t="s">
        <v>704</v>
      </c>
      <c r="N571" s="9">
        <v>8</v>
      </c>
      <c r="O571">
        <f>H472</f>
        <v>6</v>
      </c>
      <c r="Q571" s="9">
        <f>F472</f>
        <v>12431410</v>
      </c>
      <c r="R571" s="9">
        <f>I472</f>
        <v>5190.49</v>
      </c>
    </row>
    <row r="572" spans="2:18">
      <c r="C572" s="34" t="s">
        <v>200</v>
      </c>
      <c r="D572" s="52" t="s">
        <v>573</v>
      </c>
      <c r="E572" s="52"/>
      <c r="F572" s="88">
        <v>1105337</v>
      </c>
      <c r="G572" s="81">
        <v>1000</v>
      </c>
      <c r="M572" t="s">
        <v>662</v>
      </c>
      <c r="N572" s="9">
        <v>6</v>
      </c>
      <c r="O572">
        <f>H482</f>
        <v>4.5</v>
      </c>
      <c r="Q572" s="9">
        <f>F482</f>
        <v>10672100</v>
      </c>
      <c r="R572" s="9">
        <f>I482</f>
        <v>4028.5230000000001</v>
      </c>
    </row>
    <row r="573" spans="2:18">
      <c r="C573" s="34" t="s">
        <v>201</v>
      </c>
      <c r="D573" s="52" t="s">
        <v>595</v>
      </c>
      <c r="E573" s="52"/>
      <c r="F573" s="88">
        <v>1086620</v>
      </c>
      <c r="G573" s="81">
        <v>1000</v>
      </c>
      <c r="H573" s="36">
        <f>SUM(G564:G573)</f>
        <v>10000</v>
      </c>
      <c r="M573" t="s">
        <v>705</v>
      </c>
      <c r="N573" s="9">
        <v>27</v>
      </c>
      <c r="O573">
        <f>H512</f>
        <v>20.25</v>
      </c>
      <c r="Q573" s="9">
        <f>F512</f>
        <v>49935858</v>
      </c>
      <c r="R573" s="9">
        <f>I512</f>
        <v>17494.072999999997</v>
      </c>
    </row>
    <row r="574" spans="2:18">
      <c r="C574" s="34" t="s">
        <v>202</v>
      </c>
      <c r="D574" s="53" t="s">
        <v>676</v>
      </c>
      <c r="E574" s="53"/>
      <c r="F574" s="89">
        <v>2887223</v>
      </c>
      <c r="G574" s="82">
        <v>1000</v>
      </c>
      <c r="M574" t="s">
        <v>706</v>
      </c>
      <c r="N574" s="9">
        <v>5</v>
      </c>
      <c r="O574">
        <f>H521</f>
        <v>3.75</v>
      </c>
      <c r="Q574" s="9">
        <f>F521</f>
        <v>4179333</v>
      </c>
      <c r="R574" s="9">
        <f>I521</f>
        <v>2736.3939999999998</v>
      </c>
    </row>
    <row r="575" spans="2:18">
      <c r="C575" s="34" t="s">
        <v>203</v>
      </c>
      <c r="D575" s="53" t="s">
        <v>576</v>
      </c>
      <c r="E575" s="53"/>
      <c r="F575" s="89">
        <v>2685900</v>
      </c>
      <c r="G575" s="82">
        <v>1000</v>
      </c>
      <c r="M575" t="s">
        <v>707</v>
      </c>
      <c r="N575" s="9">
        <v>35</v>
      </c>
      <c r="O575">
        <f>H560</f>
        <v>26.25</v>
      </c>
      <c r="Q575" s="9">
        <f>F560</f>
        <v>37540962</v>
      </c>
      <c r="R575" s="46">
        <f>I560</f>
        <v>21105.203000000005</v>
      </c>
    </row>
    <row r="576" spans="2:18">
      <c r="C576" s="34" t="s">
        <v>204</v>
      </c>
      <c r="D576" s="53" t="s">
        <v>578</v>
      </c>
      <c r="E576" s="53"/>
      <c r="F576" s="89">
        <v>2567718</v>
      </c>
      <c r="G576" s="82">
        <v>1000</v>
      </c>
      <c r="M576" t="s">
        <v>599</v>
      </c>
      <c r="N576" s="9">
        <v>39</v>
      </c>
      <c r="O576">
        <f>H602</f>
        <v>29.25</v>
      </c>
      <c r="Q576" s="9">
        <f>F602</f>
        <v>41149974</v>
      </c>
      <c r="R576" s="9">
        <f>I602</f>
        <v>20217.413000000004</v>
      </c>
    </row>
    <row r="577" spans="3:18">
      <c r="C577" s="34" t="s">
        <v>205</v>
      </c>
      <c r="D577" s="53" t="s">
        <v>584</v>
      </c>
      <c r="E577" s="53"/>
      <c r="F577" s="89">
        <v>2103401</v>
      </c>
      <c r="G577" s="82">
        <v>1000</v>
      </c>
      <c r="N577" s="9">
        <f>SUM(N571:N576)</f>
        <v>120</v>
      </c>
      <c r="O577" s="9">
        <f t="shared" ref="O577:R577" si="41">SUM(O571:O576)</f>
        <v>90</v>
      </c>
      <c r="P577" s="9"/>
      <c r="Q577" s="9">
        <f t="shared" si="41"/>
        <v>155909637</v>
      </c>
      <c r="R577" s="9">
        <f t="shared" si="41"/>
        <v>70772.096000000005</v>
      </c>
    </row>
    <row r="578" spans="3:18">
      <c r="C578" s="34" t="s">
        <v>206</v>
      </c>
      <c r="D578" s="53" t="s">
        <v>593</v>
      </c>
      <c r="E578" s="53"/>
      <c r="F578" s="89">
        <v>1731731</v>
      </c>
      <c r="G578" s="82">
        <v>1000</v>
      </c>
    </row>
    <row r="579" spans="3:18">
      <c r="C579" s="34" t="s">
        <v>207</v>
      </c>
      <c r="D579" s="53" t="s">
        <v>575</v>
      </c>
      <c r="E579" s="53"/>
      <c r="F579" s="89">
        <v>1656020</v>
      </c>
      <c r="G579" s="82">
        <v>1000</v>
      </c>
    </row>
    <row r="580" spans="3:18">
      <c r="C580" s="34" t="s">
        <v>208</v>
      </c>
      <c r="D580" s="53" t="s">
        <v>583</v>
      </c>
      <c r="E580" s="53"/>
      <c r="F580" s="89">
        <v>1619035</v>
      </c>
      <c r="G580" s="82">
        <v>1000</v>
      </c>
    </row>
    <row r="581" spans="3:18">
      <c r="C581" s="34" t="s">
        <v>209</v>
      </c>
      <c r="D581" s="53" t="s">
        <v>579</v>
      </c>
      <c r="E581" s="53"/>
      <c r="F581" s="89">
        <v>1371509</v>
      </c>
      <c r="G581" s="82">
        <v>1000</v>
      </c>
    </row>
    <row r="582" spans="3:18">
      <c r="C582" s="34" t="s">
        <v>210</v>
      </c>
      <c r="D582" s="53" t="s">
        <v>586</v>
      </c>
      <c r="E582" s="53"/>
      <c r="F582" s="89">
        <v>1335972</v>
      </c>
      <c r="G582" s="82">
        <v>1000</v>
      </c>
    </row>
    <row r="583" spans="3:18">
      <c r="C583" s="34" t="s">
        <v>211</v>
      </c>
      <c r="D583" s="53" t="s">
        <v>594</v>
      </c>
      <c r="E583" s="53"/>
      <c r="F583" s="89">
        <v>1332664</v>
      </c>
      <c r="G583" s="82">
        <v>1000</v>
      </c>
      <c r="J583" s="17">
        <v>1086620</v>
      </c>
    </row>
    <row r="584" spans="3:18">
      <c r="C584" s="34" t="s">
        <v>212</v>
      </c>
      <c r="D584" s="53" t="s">
        <v>596</v>
      </c>
      <c r="E584" s="53"/>
      <c r="F584" s="89">
        <v>984162</v>
      </c>
      <c r="G584" s="82">
        <f t="shared" ref="G584:G601" si="42">(1/1000)*F584</f>
        <v>984.16200000000003</v>
      </c>
    </row>
    <row r="585" spans="3:18">
      <c r="C585" s="34" t="s">
        <v>213</v>
      </c>
      <c r="D585" s="53" t="s">
        <v>571</v>
      </c>
      <c r="E585" s="53"/>
      <c r="F585" s="89">
        <v>964253</v>
      </c>
      <c r="G585" s="82">
        <f t="shared" si="42"/>
        <v>964.25300000000004</v>
      </c>
    </row>
    <row r="586" spans="3:18">
      <c r="C586" s="34" t="s">
        <v>214</v>
      </c>
      <c r="D586" s="53" t="s">
        <v>590</v>
      </c>
      <c r="E586" s="53"/>
      <c r="F586" s="89">
        <v>877432</v>
      </c>
      <c r="G586" s="82">
        <f t="shared" si="42"/>
        <v>877.43200000000002</v>
      </c>
    </row>
    <row r="587" spans="3:18">
      <c r="C587" s="34" t="s">
        <v>219</v>
      </c>
      <c r="D587" s="53" t="s">
        <v>597</v>
      </c>
      <c r="E587" s="53"/>
      <c r="F587" s="89">
        <v>857818</v>
      </c>
      <c r="G587" s="82">
        <f t="shared" si="42"/>
        <v>857.81799999999998</v>
      </c>
    </row>
    <row r="588" spans="3:18">
      <c r="C588" s="34" t="s">
        <v>372</v>
      </c>
      <c r="D588" s="53" t="s">
        <v>671</v>
      </c>
      <c r="E588" s="53"/>
      <c r="F588" s="89">
        <v>846126</v>
      </c>
      <c r="G588" s="82">
        <f t="shared" si="42"/>
        <v>846.12599999999998</v>
      </c>
    </row>
    <row r="589" spans="3:18">
      <c r="C589" s="34" t="s">
        <v>373</v>
      </c>
      <c r="D589" s="53" t="s">
        <v>580</v>
      </c>
      <c r="E589" s="53"/>
      <c r="F589" s="89">
        <v>781417</v>
      </c>
      <c r="G589" s="82">
        <f t="shared" si="42"/>
        <v>781.41700000000003</v>
      </c>
    </row>
    <row r="590" spans="3:18">
      <c r="C590" s="34" t="s">
        <v>374</v>
      </c>
      <c r="D590" s="53" t="s">
        <v>588</v>
      </c>
      <c r="E590" s="53"/>
      <c r="F590" s="89">
        <v>757665</v>
      </c>
      <c r="G590" s="82">
        <f t="shared" si="42"/>
        <v>757.66499999999996</v>
      </c>
    </row>
    <row r="591" spans="3:18">
      <c r="C591" s="34" t="s">
        <v>375</v>
      </c>
      <c r="D591" s="53" t="s">
        <v>572</v>
      </c>
      <c r="E591" s="53"/>
      <c r="F591" s="89">
        <v>739669</v>
      </c>
      <c r="G591" s="82">
        <f t="shared" si="42"/>
        <v>739.66899999999998</v>
      </c>
    </row>
    <row r="592" spans="3:18">
      <c r="C592" s="34" t="s">
        <v>376</v>
      </c>
      <c r="D592" s="53" t="s">
        <v>581</v>
      </c>
      <c r="E592" s="53"/>
      <c r="F592" s="89">
        <v>691260</v>
      </c>
      <c r="G592" s="82">
        <f t="shared" si="42"/>
        <v>691.26</v>
      </c>
    </row>
    <row r="593" spans="3:18">
      <c r="C593" s="34" t="s">
        <v>378</v>
      </c>
      <c r="D593" s="53" t="s">
        <v>589</v>
      </c>
      <c r="E593" s="53"/>
      <c r="F593" s="89">
        <v>678343</v>
      </c>
      <c r="G593" s="82">
        <f t="shared" si="42"/>
        <v>678.34299999999996</v>
      </c>
    </row>
    <row r="594" spans="3:18">
      <c r="C594" s="34" t="s">
        <v>379</v>
      </c>
      <c r="D594" s="53" t="s">
        <v>570</v>
      </c>
      <c r="E594" s="53"/>
      <c r="F594" s="89">
        <v>592916</v>
      </c>
      <c r="G594" s="82">
        <f t="shared" si="42"/>
        <v>592.91600000000005</v>
      </c>
    </row>
    <row r="595" spans="3:18">
      <c r="C595" s="34" t="s">
        <v>380</v>
      </c>
      <c r="D595" s="53" t="s">
        <v>669</v>
      </c>
      <c r="E595" s="53"/>
      <c r="F595" s="89">
        <v>289418</v>
      </c>
      <c r="G595" s="82">
        <f t="shared" si="42"/>
        <v>289.41800000000001</v>
      </c>
    </row>
    <row r="596" spans="3:18">
      <c r="C596" s="34" t="s">
        <v>639</v>
      </c>
      <c r="D596" s="53" t="s">
        <v>672</v>
      </c>
      <c r="E596" s="53"/>
      <c r="F596" s="89">
        <v>243200</v>
      </c>
      <c r="G596" s="82">
        <f t="shared" si="42"/>
        <v>243.20000000000002</v>
      </c>
    </row>
    <row r="597" spans="3:18">
      <c r="C597" s="34" t="s">
        <v>640</v>
      </c>
      <c r="D597" s="53" t="s">
        <v>677</v>
      </c>
      <c r="E597" s="53"/>
      <c r="F597" s="89">
        <v>216735</v>
      </c>
      <c r="G597" s="82">
        <f t="shared" si="42"/>
        <v>216.73500000000001</v>
      </c>
    </row>
    <row r="598" spans="3:18">
      <c r="C598" s="34" t="s">
        <v>641</v>
      </c>
      <c r="D598" s="53" t="s">
        <v>673</v>
      </c>
      <c r="E598" s="53"/>
      <c r="F598" s="89">
        <v>211497</v>
      </c>
      <c r="G598" s="82">
        <f t="shared" si="42"/>
        <v>211.49700000000001</v>
      </c>
    </row>
    <row r="599" spans="3:18">
      <c r="C599" s="34" t="s">
        <v>642</v>
      </c>
      <c r="D599" s="53" t="s">
        <v>675</v>
      </c>
      <c r="E599" s="53"/>
      <c r="F599" s="89">
        <v>199192</v>
      </c>
      <c r="G599" s="82">
        <f t="shared" si="42"/>
        <v>199.19200000000001</v>
      </c>
    </row>
    <row r="600" spans="3:18">
      <c r="C600" s="34" t="s">
        <v>643</v>
      </c>
      <c r="D600" s="53" t="s">
        <v>670</v>
      </c>
      <c r="E600" s="53"/>
      <c r="F600" s="89">
        <v>151960</v>
      </c>
      <c r="G600" s="82">
        <f t="shared" si="42"/>
        <v>151.96</v>
      </c>
    </row>
    <row r="601" spans="3:18">
      <c r="C601" s="34" t="s">
        <v>644</v>
      </c>
      <c r="D601" s="53" t="s">
        <v>674</v>
      </c>
      <c r="E601" s="53"/>
      <c r="F601" s="89">
        <v>134350</v>
      </c>
      <c r="G601" s="82">
        <f t="shared" si="42"/>
        <v>134.35</v>
      </c>
    </row>
    <row r="602" spans="3:18">
      <c r="C602" s="34"/>
      <c r="D602" s="19" t="s">
        <v>599</v>
      </c>
      <c r="E602" s="19"/>
      <c r="F602" s="90">
        <f>SUM(F564:F601)</f>
        <v>41149974</v>
      </c>
      <c r="G602" s="36">
        <f>SUM(G564:G601)</f>
        <v>30217.413000000004</v>
      </c>
      <c r="H602">
        <f>0.75*39</f>
        <v>29.25</v>
      </c>
      <c r="I602" s="46">
        <f>G602-H573</f>
        <v>20217.413000000004</v>
      </c>
    </row>
    <row r="603" spans="3:18">
      <c r="C603" s="34"/>
      <c r="D603" s="19"/>
      <c r="E603" s="19"/>
      <c r="F603" s="90"/>
      <c r="G603" s="36"/>
      <c r="H603" s="134">
        <v>29</v>
      </c>
      <c r="I603" s="46"/>
    </row>
    <row r="604" spans="3:18">
      <c r="C604" s="33">
        <f>C601+C559+C520+C511+C480+C471</f>
        <v>119</v>
      </c>
      <c r="D604" s="53" t="s">
        <v>712</v>
      </c>
      <c r="E604" s="53"/>
      <c r="F604" s="36">
        <f>F602+F560+F521+F512+F482+F472</f>
        <v>155909637</v>
      </c>
      <c r="H604" s="33">
        <f>H603+H561+H522+H513+H483+H472</f>
        <v>90</v>
      </c>
      <c r="I604" s="9">
        <f>I602+I560+I521+I512+I482+I472</f>
        <v>70772.096000000005</v>
      </c>
    </row>
    <row r="605" spans="3:18">
      <c r="L605" t="s">
        <v>702</v>
      </c>
    </row>
    <row r="606" spans="3:18" ht="15" customHeight="1">
      <c r="M606" s="70" t="s">
        <v>23</v>
      </c>
      <c r="N606" s="208" t="s">
        <v>33</v>
      </c>
      <c r="O606" s="208"/>
      <c r="P606" s="208" t="s">
        <v>717</v>
      </c>
      <c r="Q606" s="208"/>
      <c r="R606" s="208"/>
    </row>
    <row r="607" spans="3:18" ht="81.75" customHeight="1">
      <c r="C607" s="60" t="s">
        <v>487</v>
      </c>
      <c r="D607" s="61" t="s">
        <v>678</v>
      </c>
      <c r="E607" s="61"/>
      <c r="F607" s="60" t="s">
        <v>690</v>
      </c>
      <c r="G607" s="106" t="s">
        <v>667</v>
      </c>
      <c r="M607" s="69" t="s">
        <v>713</v>
      </c>
      <c r="N607" s="68" t="s">
        <v>711</v>
      </c>
      <c r="O607" s="69" t="s">
        <v>719</v>
      </c>
      <c r="P607" s="69" t="s">
        <v>714</v>
      </c>
      <c r="Q607" s="69" t="s">
        <v>715</v>
      </c>
      <c r="R607" s="69" t="s">
        <v>716</v>
      </c>
    </row>
    <row r="608" spans="3:18">
      <c r="C608" s="34" t="s">
        <v>192</v>
      </c>
      <c r="D608" s="20" t="s">
        <v>608</v>
      </c>
      <c r="E608" s="20"/>
      <c r="F608" s="91">
        <v>820480</v>
      </c>
      <c r="G608" s="107">
        <f t="shared" ref="G608:G616" si="43">(1/1000)*F608</f>
        <v>820.48</v>
      </c>
      <c r="H608" s="55"/>
      <c r="I608" s="23"/>
      <c r="J608" s="23"/>
      <c r="M608" s="26" t="s">
        <v>703</v>
      </c>
      <c r="N608" s="41">
        <v>9</v>
      </c>
      <c r="O608" s="41">
        <f>H618</f>
        <v>6.75</v>
      </c>
      <c r="P608" s="41">
        <v>4.5</v>
      </c>
      <c r="Q608" s="41">
        <v>4.5</v>
      </c>
      <c r="R608" s="41">
        <v>2.9</v>
      </c>
    </row>
    <row r="609" spans="3:18">
      <c r="C609" s="34" t="s">
        <v>193</v>
      </c>
      <c r="D609" s="20" t="s">
        <v>609</v>
      </c>
      <c r="E609" s="20"/>
      <c r="F609" s="92">
        <v>762480</v>
      </c>
      <c r="G609" s="107">
        <f t="shared" si="43"/>
        <v>762.48</v>
      </c>
      <c r="H609" s="55"/>
      <c r="I609" s="23"/>
      <c r="J609" s="23"/>
      <c r="M609" s="26" t="s">
        <v>488</v>
      </c>
      <c r="N609" s="41">
        <v>10</v>
      </c>
      <c r="O609" s="41">
        <f>H632</f>
        <v>7.5</v>
      </c>
      <c r="P609" s="41">
        <v>5.7</v>
      </c>
      <c r="Q609" s="41">
        <v>5.2</v>
      </c>
      <c r="R609" s="41">
        <v>3.2</v>
      </c>
    </row>
    <row r="610" spans="3:18">
      <c r="C610" s="34" t="s">
        <v>194</v>
      </c>
      <c r="D610" s="20" t="s">
        <v>603</v>
      </c>
      <c r="E610" s="20"/>
      <c r="F610" s="93">
        <v>573700</v>
      </c>
      <c r="G610" s="108">
        <f t="shared" si="43"/>
        <v>573.70000000000005</v>
      </c>
      <c r="H610" s="38">
        <f>SUM(G608:G609)</f>
        <v>1582.96</v>
      </c>
      <c r="I610" s="23"/>
      <c r="J610" s="23"/>
      <c r="M610" s="26" t="s">
        <v>489</v>
      </c>
      <c r="N610" s="41">
        <v>22</v>
      </c>
      <c r="O610" s="41">
        <f>H661</f>
        <v>16.5</v>
      </c>
      <c r="P610" s="41">
        <v>2.9</v>
      </c>
      <c r="Q610" s="41">
        <v>2.9</v>
      </c>
      <c r="R610" s="41">
        <v>1.8</v>
      </c>
    </row>
    <row r="611" spans="3:18">
      <c r="C611" s="34" t="s">
        <v>195</v>
      </c>
      <c r="D611" s="20" t="s">
        <v>604</v>
      </c>
      <c r="E611" s="20"/>
      <c r="F611" s="94">
        <v>530120</v>
      </c>
      <c r="G611" s="108">
        <f t="shared" si="43"/>
        <v>530.12</v>
      </c>
      <c r="H611" s="55"/>
      <c r="I611" s="23"/>
      <c r="J611" s="23"/>
      <c r="M611" s="26" t="s">
        <v>718</v>
      </c>
      <c r="N611" s="41">
        <f>SUM(N608:N610)</f>
        <v>41</v>
      </c>
      <c r="O611" s="27">
        <v>32</v>
      </c>
      <c r="P611" s="27">
        <f>SUM(P608:P610)</f>
        <v>13.1</v>
      </c>
      <c r="Q611" s="41">
        <f>SUM(Q608:Q610)</f>
        <v>12.6</v>
      </c>
      <c r="R611" s="41">
        <v>7.9</v>
      </c>
    </row>
    <row r="612" spans="3:18">
      <c r="C612" s="34" t="s">
        <v>196</v>
      </c>
      <c r="D612" s="20" t="s">
        <v>607</v>
      </c>
      <c r="E612" s="20"/>
      <c r="F612" s="93">
        <v>504610</v>
      </c>
      <c r="G612" s="108">
        <f t="shared" si="43"/>
        <v>504.61</v>
      </c>
      <c r="H612" s="55"/>
      <c r="I612" s="23"/>
      <c r="J612" s="23"/>
      <c r="M612" s="31" t="s">
        <v>720</v>
      </c>
    </row>
    <row r="613" spans="3:18">
      <c r="C613" s="34" t="s">
        <v>197</v>
      </c>
      <c r="D613" s="20" t="s">
        <v>602</v>
      </c>
      <c r="E613" s="20"/>
      <c r="F613" s="94">
        <v>469130</v>
      </c>
      <c r="G613" s="108">
        <f t="shared" si="43"/>
        <v>469.13</v>
      </c>
      <c r="H613" s="55"/>
      <c r="I613" s="23"/>
      <c r="J613" s="23"/>
    </row>
    <row r="614" spans="3:18">
      <c r="C614" s="34" t="s">
        <v>198</v>
      </c>
      <c r="D614" s="20" t="s">
        <v>601</v>
      </c>
      <c r="E614" s="20"/>
      <c r="F614" s="94">
        <v>327710</v>
      </c>
      <c r="G614" s="108">
        <f t="shared" si="43"/>
        <v>327.71</v>
      </c>
      <c r="H614" s="55"/>
      <c r="I614" s="23"/>
      <c r="J614" s="23"/>
    </row>
    <row r="615" spans="3:18">
      <c r="C615" s="34" t="s">
        <v>199</v>
      </c>
      <c r="D615" s="20" t="s">
        <v>606</v>
      </c>
      <c r="E615" s="20"/>
      <c r="F615" s="94">
        <v>263170</v>
      </c>
      <c r="G615" s="108">
        <f t="shared" si="43"/>
        <v>263.17</v>
      </c>
      <c r="H615" s="55"/>
      <c r="I615" s="23"/>
      <c r="J615" s="23"/>
    </row>
    <row r="616" spans="3:18">
      <c r="C616" s="34" t="s">
        <v>200</v>
      </c>
      <c r="D616" s="20" t="s">
        <v>605</v>
      </c>
      <c r="E616" s="20"/>
      <c r="F616" s="94">
        <v>209870</v>
      </c>
      <c r="G616" s="108">
        <f t="shared" si="43"/>
        <v>209.87</v>
      </c>
      <c r="H616" s="55"/>
      <c r="I616" s="23"/>
      <c r="J616" s="23"/>
    </row>
    <row r="617" spans="3:18">
      <c r="D617" s="20"/>
      <c r="E617" s="20"/>
      <c r="F617" s="95">
        <f>SUM(F608:F616)</f>
        <v>4461270</v>
      </c>
      <c r="G617" s="38">
        <f>SUM(G608:G616)</f>
        <v>4461.2699999999995</v>
      </c>
      <c r="H617" s="55"/>
      <c r="I617" s="23"/>
      <c r="J617" s="23"/>
    </row>
    <row r="618" spans="3:18">
      <c r="D618" s="54" t="s">
        <v>610</v>
      </c>
      <c r="E618" s="54"/>
      <c r="F618" s="96"/>
      <c r="G618" s="109"/>
      <c r="H618" s="55">
        <f>0.75*9</f>
        <v>6.75</v>
      </c>
      <c r="I618" s="56">
        <f>G617-H610</f>
        <v>2878.3099999999995</v>
      </c>
      <c r="J618" s="23"/>
    </row>
    <row r="619" spans="3:18">
      <c r="H619" s="133">
        <v>7</v>
      </c>
    </row>
    <row r="621" spans="3:18" ht="15.75" thickBot="1">
      <c r="C621" s="55"/>
      <c r="D621" s="55" t="s">
        <v>613</v>
      </c>
      <c r="E621" s="55"/>
      <c r="F621" s="55"/>
      <c r="G621" s="55"/>
      <c r="H621" s="55"/>
    </row>
    <row r="622" spans="3:18" ht="15.75" thickBot="1">
      <c r="C622" s="57" t="s">
        <v>192</v>
      </c>
      <c r="D622" s="58" t="s">
        <v>680</v>
      </c>
      <c r="E622" s="111"/>
      <c r="F622" s="97">
        <v>1437357</v>
      </c>
      <c r="G622" s="107">
        <v>1000</v>
      </c>
      <c r="H622" s="55"/>
    </row>
    <row r="623" spans="3:18" ht="15.75" thickBot="1">
      <c r="C623" s="57" t="s">
        <v>193</v>
      </c>
      <c r="D623" s="58" t="s">
        <v>681</v>
      </c>
      <c r="E623" s="111"/>
      <c r="F623" s="97">
        <v>1129778</v>
      </c>
      <c r="G623" s="107">
        <v>1000</v>
      </c>
      <c r="H623" s="55"/>
    </row>
    <row r="624" spans="3:18" ht="15.75" thickBot="1">
      <c r="C624" s="57" t="s">
        <v>194</v>
      </c>
      <c r="D624" s="58" t="s">
        <v>682</v>
      </c>
      <c r="E624" s="111"/>
      <c r="F624" s="98">
        <v>776300</v>
      </c>
      <c r="G624" s="38">
        <f t="shared" ref="G624:G631" si="44">F624/1000</f>
        <v>776.3</v>
      </c>
      <c r="H624" s="38">
        <f>SUM(G622:G623)</f>
        <v>2000</v>
      </c>
    </row>
    <row r="625" spans="3:9" ht="15.75" thickBot="1">
      <c r="C625" s="57" t="s">
        <v>195</v>
      </c>
      <c r="D625" s="58" t="s">
        <v>683</v>
      </c>
      <c r="E625" s="111"/>
      <c r="F625" s="98">
        <v>551404</v>
      </c>
      <c r="G625" s="38">
        <f t="shared" si="44"/>
        <v>551.404</v>
      </c>
      <c r="H625" s="55"/>
    </row>
    <row r="626" spans="3:9" ht="15.75" thickBot="1">
      <c r="C626" s="57" t="s">
        <v>196</v>
      </c>
      <c r="D626" s="58" t="s">
        <v>684</v>
      </c>
      <c r="E626" s="111"/>
      <c r="F626" s="98">
        <v>543676</v>
      </c>
      <c r="G626" s="38">
        <f t="shared" si="44"/>
        <v>543.67600000000004</v>
      </c>
      <c r="H626" s="55"/>
    </row>
    <row r="627" spans="3:9" ht="15.75" thickBot="1">
      <c r="C627" s="57" t="s">
        <v>197</v>
      </c>
      <c r="D627" s="58" t="s">
        <v>685</v>
      </c>
      <c r="E627" s="111"/>
      <c r="F627" s="98">
        <v>448775</v>
      </c>
      <c r="G627" s="38">
        <f t="shared" si="44"/>
        <v>448.77499999999998</v>
      </c>
      <c r="H627" s="55"/>
    </row>
    <row r="628" spans="3:9" ht="15.75" thickBot="1">
      <c r="C628" s="57" t="s">
        <v>198</v>
      </c>
      <c r="D628" s="58" t="s">
        <v>686</v>
      </c>
      <c r="E628" s="111"/>
      <c r="F628" s="98">
        <v>265176</v>
      </c>
      <c r="G628" s="38">
        <f t="shared" si="44"/>
        <v>265.17599999999999</v>
      </c>
      <c r="H628" s="55"/>
    </row>
    <row r="629" spans="3:9" ht="15.75" thickBot="1">
      <c r="C629" s="57" t="s">
        <v>199</v>
      </c>
      <c r="D629" s="58" t="s">
        <v>687</v>
      </c>
      <c r="E629" s="111"/>
      <c r="F629" s="98">
        <v>254667</v>
      </c>
      <c r="G629" s="38">
        <f t="shared" si="44"/>
        <v>254.667</v>
      </c>
      <c r="H629" s="55"/>
    </row>
    <row r="630" spans="3:9" ht="15.75" thickBot="1">
      <c r="C630" s="57" t="s">
        <v>200</v>
      </c>
      <c r="D630" s="58" t="s">
        <v>611</v>
      </c>
      <c r="E630" s="111"/>
      <c r="F630" s="98">
        <v>165844</v>
      </c>
      <c r="G630" s="38">
        <f t="shared" si="44"/>
        <v>165.84399999999999</v>
      </c>
      <c r="H630" s="55"/>
    </row>
    <row r="631" spans="3:9" ht="15.75" thickBot="1">
      <c r="C631" s="57" t="s">
        <v>201</v>
      </c>
      <c r="D631" s="58" t="s">
        <v>612</v>
      </c>
      <c r="E631" s="111"/>
      <c r="F631" s="98">
        <v>158130</v>
      </c>
      <c r="G631" s="38">
        <f t="shared" si="44"/>
        <v>158.13</v>
      </c>
      <c r="H631" s="55"/>
    </row>
    <row r="632" spans="3:9" ht="15.75" thickBot="1">
      <c r="C632" s="55"/>
      <c r="D632" s="58"/>
      <c r="E632" s="111"/>
      <c r="F632" s="98">
        <f>SUM(F622:F631)</f>
        <v>5731107</v>
      </c>
      <c r="G632" s="38">
        <f>SUM(G622:G631)</f>
        <v>5163.9720000000007</v>
      </c>
      <c r="H632" s="55">
        <f>0.75*10</f>
        <v>7.5</v>
      </c>
      <c r="I632" s="46">
        <f>G632-H624</f>
        <v>3163.9720000000007</v>
      </c>
    </row>
    <row r="633" spans="3:9" ht="28.5">
      <c r="C633" s="55"/>
      <c r="D633" s="58" t="s">
        <v>613</v>
      </c>
      <c r="E633" s="111"/>
      <c r="F633" s="99" t="s">
        <v>614</v>
      </c>
      <c r="G633" s="55"/>
      <c r="H633" s="135">
        <v>8</v>
      </c>
    </row>
    <row r="634" spans="3:9">
      <c r="C634" s="55"/>
      <c r="D634" s="23"/>
      <c r="E634" s="23"/>
      <c r="F634" s="55"/>
      <c r="G634" s="55"/>
      <c r="H634" s="55"/>
    </row>
    <row r="635" spans="3:9">
      <c r="C635" s="55"/>
      <c r="D635" s="23"/>
      <c r="E635" s="23"/>
      <c r="F635" s="55"/>
      <c r="G635" s="55"/>
      <c r="H635" s="55"/>
    </row>
    <row r="636" spans="3:9">
      <c r="C636" s="55"/>
      <c r="D636" s="23"/>
      <c r="E636" s="23"/>
      <c r="F636" s="55"/>
      <c r="G636" s="55"/>
      <c r="H636" s="55"/>
    </row>
    <row r="637" spans="3:9">
      <c r="C637" s="55"/>
      <c r="D637" s="23"/>
      <c r="E637" s="23"/>
      <c r="F637" s="55"/>
      <c r="G637" s="55"/>
      <c r="H637" s="55"/>
    </row>
    <row r="638" spans="3:9" ht="15.75" thickBot="1">
      <c r="C638" s="55"/>
      <c r="D638" s="23" t="s">
        <v>637</v>
      </c>
      <c r="E638" s="23"/>
      <c r="F638" s="55"/>
      <c r="G638" s="55"/>
      <c r="H638" s="55"/>
    </row>
    <row r="639" spans="3:9" ht="15.75" thickBot="1">
      <c r="C639" s="57" t="s">
        <v>192</v>
      </c>
      <c r="D639" s="58" t="s">
        <v>615</v>
      </c>
      <c r="E639" s="111"/>
      <c r="F639" s="97">
        <v>245988</v>
      </c>
      <c r="G639" s="107">
        <f t="shared" ref="G639:G660" si="45">F639/1000</f>
        <v>245.988</v>
      </c>
      <c r="H639" s="55"/>
    </row>
    <row r="640" spans="3:9" ht="15.75" thickBot="1">
      <c r="C640" s="57" t="s">
        <v>193</v>
      </c>
      <c r="D640" s="58" t="s">
        <v>616</v>
      </c>
      <c r="E640" s="111"/>
      <c r="F640" s="97">
        <v>239831</v>
      </c>
      <c r="G640" s="107">
        <f t="shared" si="45"/>
        <v>239.83099999999999</v>
      </c>
      <c r="H640" s="55"/>
    </row>
    <row r="641" spans="3:8" ht="15.75" thickBot="1">
      <c r="C641" s="57" t="s">
        <v>194</v>
      </c>
      <c r="D641" s="58" t="s">
        <v>617</v>
      </c>
      <c r="E641" s="111"/>
      <c r="F641" s="97">
        <v>189367</v>
      </c>
      <c r="G641" s="107">
        <f t="shared" si="45"/>
        <v>189.36699999999999</v>
      </c>
      <c r="H641" s="55"/>
    </row>
    <row r="642" spans="3:8" ht="29.25" thickBot="1">
      <c r="C642" s="57" t="s">
        <v>195</v>
      </c>
      <c r="D642" s="58" t="s">
        <v>618</v>
      </c>
      <c r="E642" s="111"/>
      <c r="F642" s="97">
        <v>176983</v>
      </c>
      <c r="G642" s="107">
        <f t="shared" si="45"/>
        <v>176.983</v>
      </c>
      <c r="H642" s="55"/>
    </row>
    <row r="643" spans="3:8" ht="15.75" thickBot="1">
      <c r="C643" s="57" t="s">
        <v>196</v>
      </c>
      <c r="D643" s="58" t="s">
        <v>619</v>
      </c>
      <c r="E643" s="111"/>
      <c r="F643" s="97">
        <v>169968</v>
      </c>
      <c r="G643" s="107">
        <f t="shared" si="45"/>
        <v>169.96799999999999</v>
      </c>
      <c r="H643" s="55"/>
    </row>
    <row r="644" spans="3:8" ht="15.75" thickBot="1">
      <c r="C644" s="57" t="s">
        <v>197</v>
      </c>
      <c r="D644" s="58" t="s">
        <v>620</v>
      </c>
      <c r="E644" s="111"/>
      <c r="F644" s="100">
        <v>163987</v>
      </c>
      <c r="G644" s="108">
        <f t="shared" si="45"/>
        <v>163.98699999999999</v>
      </c>
      <c r="H644" s="38">
        <f>SUM(G639:G643)</f>
        <v>1022.1369999999998</v>
      </c>
    </row>
    <row r="645" spans="3:8" ht="15.75" thickBot="1">
      <c r="C645" s="57" t="s">
        <v>198</v>
      </c>
      <c r="D645" s="58" t="s">
        <v>621</v>
      </c>
      <c r="E645" s="111"/>
      <c r="F645" s="100">
        <v>150641</v>
      </c>
      <c r="G645" s="108">
        <f t="shared" si="45"/>
        <v>150.64099999999999</v>
      </c>
      <c r="H645" s="55"/>
    </row>
    <row r="646" spans="3:8" ht="15.75" thickBot="1">
      <c r="C646" s="57" t="s">
        <v>199</v>
      </c>
      <c r="D646" s="58" t="s">
        <v>622</v>
      </c>
      <c r="E646" s="111"/>
      <c r="F646" s="100">
        <v>149119</v>
      </c>
      <c r="G646" s="108">
        <f t="shared" si="45"/>
        <v>149.119</v>
      </c>
      <c r="H646" s="55"/>
    </row>
    <row r="647" spans="3:8" ht="15.75" thickBot="1">
      <c r="C647" s="57" t="s">
        <v>200</v>
      </c>
      <c r="D647" s="58" t="s">
        <v>623</v>
      </c>
      <c r="E647" s="111"/>
      <c r="F647" s="100">
        <v>144775</v>
      </c>
      <c r="G647" s="108">
        <f t="shared" si="45"/>
        <v>144.77500000000001</v>
      </c>
      <c r="H647" s="55"/>
    </row>
    <row r="648" spans="3:8" ht="15.75" thickBot="1">
      <c r="C648" s="57" t="s">
        <v>201</v>
      </c>
      <c r="D648" s="58" t="s">
        <v>624</v>
      </c>
      <c r="E648" s="111"/>
      <c r="F648" s="100">
        <v>140372</v>
      </c>
      <c r="G648" s="108">
        <f t="shared" si="45"/>
        <v>140.37200000000001</v>
      </c>
      <c r="H648" s="55"/>
    </row>
    <row r="649" spans="3:8" ht="15.75" thickBot="1">
      <c r="C649" s="57" t="s">
        <v>202</v>
      </c>
      <c r="D649" s="58" t="s">
        <v>625</v>
      </c>
      <c r="E649" s="111"/>
      <c r="F649" s="100">
        <v>139280</v>
      </c>
      <c r="G649" s="108">
        <f t="shared" si="45"/>
        <v>139.28</v>
      </c>
      <c r="H649" s="55"/>
    </row>
    <row r="650" spans="3:8" ht="15.75" thickBot="1">
      <c r="C650" s="57" t="s">
        <v>203</v>
      </c>
      <c r="D650" s="58" t="s">
        <v>626</v>
      </c>
      <c r="E650" s="111"/>
      <c r="F650" s="100">
        <v>128293</v>
      </c>
      <c r="G650" s="108">
        <f t="shared" si="45"/>
        <v>128.29300000000001</v>
      </c>
      <c r="H650" s="55"/>
    </row>
    <row r="651" spans="3:8" ht="15.75" thickBot="1">
      <c r="C651" s="57" t="s">
        <v>204</v>
      </c>
      <c r="D651" s="58" t="s">
        <v>627</v>
      </c>
      <c r="E651" s="111"/>
      <c r="F651" s="100">
        <v>120176</v>
      </c>
      <c r="G651" s="108">
        <f t="shared" si="45"/>
        <v>120.176</v>
      </c>
      <c r="H651" s="55"/>
    </row>
    <row r="652" spans="3:8" ht="15.75" thickBot="1">
      <c r="C652" s="57" t="s">
        <v>205</v>
      </c>
      <c r="D652" s="58" t="s">
        <v>628</v>
      </c>
      <c r="E652" s="111"/>
      <c r="F652" s="100">
        <v>115301</v>
      </c>
      <c r="G652" s="108">
        <f t="shared" si="45"/>
        <v>115.301</v>
      </c>
      <c r="H652" s="55"/>
    </row>
    <row r="653" spans="3:8" ht="15.75" thickBot="1">
      <c r="C653" s="57" t="s">
        <v>206</v>
      </c>
      <c r="D653" s="58" t="s">
        <v>629</v>
      </c>
      <c r="E653" s="111"/>
      <c r="F653" s="100">
        <v>99214</v>
      </c>
      <c r="G653" s="108">
        <f t="shared" si="45"/>
        <v>99.213999999999999</v>
      </c>
      <c r="H653" s="55"/>
    </row>
    <row r="654" spans="3:8" ht="15.75" thickBot="1">
      <c r="C654" s="57" t="s">
        <v>207</v>
      </c>
      <c r="D654" s="58" t="s">
        <v>630</v>
      </c>
      <c r="E654" s="111"/>
      <c r="F654" s="100">
        <v>89391</v>
      </c>
      <c r="G654" s="108">
        <f t="shared" si="45"/>
        <v>89.391000000000005</v>
      </c>
      <c r="H654" s="55"/>
    </row>
    <row r="655" spans="3:8" ht="15.75" thickBot="1">
      <c r="C655" s="57" t="s">
        <v>208</v>
      </c>
      <c r="D655" s="58" t="s">
        <v>631</v>
      </c>
      <c r="E655" s="111"/>
      <c r="F655" s="100">
        <v>86335</v>
      </c>
      <c r="G655" s="108">
        <f t="shared" si="45"/>
        <v>86.334999999999994</v>
      </c>
      <c r="H655" s="55"/>
    </row>
    <row r="656" spans="3:8" ht="15.75" thickBot="1">
      <c r="C656" s="57" t="s">
        <v>209</v>
      </c>
      <c r="D656" s="58" t="s">
        <v>632</v>
      </c>
      <c r="E656" s="111"/>
      <c r="F656" s="100">
        <v>77199</v>
      </c>
      <c r="G656" s="108">
        <f t="shared" si="45"/>
        <v>77.198999999999998</v>
      </c>
      <c r="H656" s="55"/>
    </row>
    <row r="657" spans="3:16" ht="15.75" thickBot="1">
      <c r="C657" s="57" t="s">
        <v>210</v>
      </c>
      <c r="D657" s="58" t="s">
        <v>633</v>
      </c>
      <c r="E657" s="111"/>
      <c r="F657" s="100">
        <v>77068</v>
      </c>
      <c r="G657" s="108">
        <f t="shared" si="45"/>
        <v>77.067999999999998</v>
      </c>
      <c r="H657" s="55"/>
    </row>
    <row r="658" spans="3:16" ht="15.75" thickBot="1">
      <c r="C658" s="57" t="s">
        <v>211</v>
      </c>
      <c r="D658" s="58" t="s">
        <v>634</v>
      </c>
      <c r="E658" s="111"/>
      <c r="F658" s="100">
        <v>74819</v>
      </c>
      <c r="G658" s="108">
        <f t="shared" si="45"/>
        <v>74.819000000000003</v>
      </c>
      <c r="H658" s="55"/>
    </row>
    <row r="659" spans="3:16" ht="15.75" thickBot="1">
      <c r="C659" s="57" t="s">
        <v>212</v>
      </c>
      <c r="D659" s="58" t="s">
        <v>635</v>
      </c>
      <c r="E659" s="111"/>
      <c r="F659" s="100">
        <v>47287</v>
      </c>
      <c r="G659" s="108">
        <f t="shared" si="45"/>
        <v>47.286999999999999</v>
      </c>
      <c r="H659" s="55"/>
    </row>
    <row r="660" spans="3:16" ht="15.75" thickBot="1">
      <c r="C660" s="57" t="s">
        <v>213</v>
      </c>
      <c r="D660" s="58" t="s">
        <v>636</v>
      </c>
      <c r="E660" s="111"/>
      <c r="F660" s="100">
        <v>45913</v>
      </c>
      <c r="G660" s="108">
        <f t="shared" si="45"/>
        <v>45.912999999999997</v>
      </c>
      <c r="H660" s="55"/>
    </row>
    <row r="661" spans="3:16" ht="15.75" thickBot="1">
      <c r="C661" s="55"/>
      <c r="D661" s="58" t="s">
        <v>489</v>
      </c>
      <c r="E661" s="111"/>
      <c r="F661" s="98">
        <f>SUM(F639:F660)</f>
        <v>2871307</v>
      </c>
      <c r="G661" s="38">
        <f>SUM(G639:G660)</f>
        <v>2871.3069999999998</v>
      </c>
      <c r="H661" s="55">
        <f>0.75*22</f>
        <v>16.5</v>
      </c>
      <c r="I661" s="46">
        <f>G661-H644</f>
        <v>1849.17</v>
      </c>
    </row>
    <row r="662" spans="3:16" ht="28.5">
      <c r="C662" s="55"/>
      <c r="D662" s="58" t="s">
        <v>637</v>
      </c>
      <c r="E662" s="111"/>
      <c r="F662" s="99" t="s">
        <v>638</v>
      </c>
      <c r="G662" s="110" t="s">
        <v>600</v>
      </c>
      <c r="H662" s="135">
        <v>17</v>
      </c>
    </row>
    <row r="663" spans="3:16">
      <c r="C663" s="55"/>
      <c r="D663" s="25"/>
      <c r="E663" s="25"/>
      <c r="F663" s="101"/>
      <c r="G663" s="101"/>
      <c r="H663" s="55"/>
    </row>
    <row r="664" spans="3:16" ht="28.5">
      <c r="C664" s="55">
        <f>C660+C631+C616</f>
        <v>41</v>
      </c>
      <c r="D664" s="25" t="s">
        <v>713</v>
      </c>
      <c r="E664" s="25"/>
      <c r="F664" s="101"/>
      <c r="G664" s="101"/>
      <c r="H664" s="135">
        <f>H662+H633+H619</f>
        <v>32</v>
      </c>
      <c r="I664">
        <f>H662+H633+H619</f>
        <v>32</v>
      </c>
    </row>
    <row r="666" spans="3:16" ht="15.75">
      <c r="C666" s="33" t="s">
        <v>36</v>
      </c>
      <c r="M666" s="30" t="s">
        <v>36</v>
      </c>
      <c r="N666" s="30" t="s">
        <v>652</v>
      </c>
      <c r="O666" s="30" t="s">
        <v>653</v>
      </c>
      <c r="P666" s="65"/>
    </row>
    <row r="667" spans="3:16">
      <c r="D667" s="25" t="s">
        <v>37</v>
      </c>
      <c r="E667" s="25"/>
      <c r="F667" s="55"/>
      <c r="G667" s="55"/>
      <c r="H667" s="38" t="e">
        <f>#REF!+H23+H32+H43+H54+H60</f>
        <v>#REF!</v>
      </c>
      <c r="I667" s="24">
        <f>J61</f>
        <v>3113.3870000000002</v>
      </c>
      <c r="M667" s="26" t="s">
        <v>37</v>
      </c>
      <c r="N667" s="27">
        <v>30</v>
      </c>
      <c r="O667" s="27">
        <v>4071.1380000000008</v>
      </c>
      <c r="P667" s="36"/>
    </row>
    <row r="668" spans="3:16">
      <c r="D668" s="25" t="s">
        <v>84</v>
      </c>
      <c r="E668" s="25"/>
      <c r="F668" s="55"/>
      <c r="G668" s="55"/>
      <c r="H668" s="38">
        <f>H79+H92</f>
        <v>15.75</v>
      </c>
      <c r="I668" s="24">
        <f>J93</f>
        <v>1772.9169999999999</v>
      </c>
      <c r="M668" s="26" t="s">
        <v>84</v>
      </c>
      <c r="N668" s="27">
        <v>15.75</v>
      </c>
      <c r="O668" s="27">
        <v>2624.12</v>
      </c>
      <c r="P668" s="36"/>
    </row>
    <row r="669" spans="3:16">
      <c r="D669" s="25" t="s">
        <v>108</v>
      </c>
      <c r="E669" s="25"/>
      <c r="F669" s="55"/>
      <c r="G669" s="55"/>
      <c r="H669" s="38">
        <f>H113+H133+H142+H158+H166+H193</f>
        <v>60.75</v>
      </c>
      <c r="I669" s="24">
        <f>I193</f>
        <v>5180.2220000000007</v>
      </c>
      <c r="M669" s="26" t="s">
        <v>108</v>
      </c>
      <c r="N669" s="27">
        <v>60.75</v>
      </c>
      <c r="O669" s="27">
        <v>4634.8490000000011</v>
      </c>
      <c r="P669" s="36"/>
    </row>
    <row r="670" spans="3:16">
      <c r="D670" s="25" t="s">
        <v>220</v>
      </c>
      <c r="E670" s="25"/>
      <c r="F670" s="55"/>
      <c r="G670" s="55"/>
      <c r="H670" s="38">
        <f>H267+H259+H242+H225+H209</f>
        <v>42</v>
      </c>
      <c r="I670" s="24">
        <f>J268</f>
        <v>10760.581</v>
      </c>
      <c r="M670" s="26" t="s">
        <v>220</v>
      </c>
      <c r="N670" s="27">
        <v>41.25</v>
      </c>
      <c r="O670" s="27">
        <v>10785.421</v>
      </c>
      <c r="P670" s="36"/>
    </row>
    <row r="671" spans="3:16">
      <c r="D671" s="25" t="s">
        <v>649</v>
      </c>
      <c r="E671" s="25"/>
      <c r="F671" s="55"/>
      <c r="G671" s="55"/>
      <c r="H671" s="38">
        <f>H459+H441+H420+H405+H390+H380+H370+H355+H331+H295</f>
        <v>115.5</v>
      </c>
      <c r="I671" s="24">
        <f>I459+I441+I420+I405+I390+I380+I370+I355+I331+I295</f>
        <v>29662.243999999999</v>
      </c>
      <c r="M671" s="26" t="s">
        <v>649</v>
      </c>
      <c r="N671" s="27">
        <v>115.5</v>
      </c>
      <c r="O671" s="27">
        <v>29409.344999999998</v>
      </c>
      <c r="P671" s="36"/>
    </row>
    <row r="672" spans="3:16">
      <c r="D672" s="25" t="s">
        <v>650</v>
      </c>
      <c r="E672" s="25"/>
      <c r="F672" s="55"/>
      <c r="G672" s="55"/>
      <c r="H672" s="38" t="e">
        <f>#REF!+H560+H521+H512+H482+H472</f>
        <v>#REF!</v>
      </c>
      <c r="I672" s="24" t="e">
        <f>#REF!+I560+I521+I512+I482+I472</f>
        <v>#REF!</v>
      </c>
      <c r="M672" s="26" t="s">
        <v>650</v>
      </c>
      <c r="N672" s="27">
        <v>90</v>
      </c>
      <c r="O672" s="27">
        <v>89794.764000000025</v>
      </c>
      <c r="P672" s="36"/>
    </row>
    <row r="673" spans="3:21" ht="28.5">
      <c r="D673" s="25" t="s">
        <v>651</v>
      </c>
      <c r="E673" s="25"/>
      <c r="F673" s="55"/>
      <c r="G673" s="55"/>
      <c r="H673" s="38">
        <f>H661+H632+H618</f>
        <v>30.75</v>
      </c>
      <c r="I673" s="24">
        <f>I661+I632+I618</f>
        <v>7891.4520000000002</v>
      </c>
      <c r="M673" s="28" t="s">
        <v>654</v>
      </c>
      <c r="N673" s="29">
        <f>H664</f>
        <v>32</v>
      </c>
      <c r="O673" s="29">
        <v>7738.5420000000013</v>
      </c>
      <c r="P673" s="66"/>
    </row>
    <row r="674" spans="3:21">
      <c r="D674" s="23"/>
      <c r="E674" s="23"/>
      <c r="F674" s="55"/>
      <c r="G674" s="55"/>
      <c r="H674" s="39" t="e">
        <f>SUM(H667:H673)</f>
        <v>#REF!</v>
      </c>
      <c r="I674" s="24" t="e">
        <f>SUM(I667:I673)</f>
        <v>#REF!</v>
      </c>
      <c r="M674" s="26" t="s">
        <v>655</v>
      </c>
      <c r="N674" s="27">
        <v>384</v>
      </c>
      <c r="O674" s="27">
        <v>149058.179</v>
      </c>
      <c r="P674" s="36"/>
    </row>
    <row r="675" spans="3:21">
      <c r="M675" s="31" t="s">
        <v>656</v>
      </c>
      <c r="O675" s="32">
        <v>150000</v>
      </c>
      <c r="P675" s="36"/>
    </row>
    <row r="676" spans="3:21">
      <c r="M676" s="31" t="s">
        <v>657</v>
      </c>
      <c r="N676" t="s">
        <v>658</v>
      </c>
    </row>
    <row r="678" spans="3:21" ht="30" customHeight="1">
      <c r="J678" s="191" t="s">
        <v>36</v>
      </c>
      <c r="K678" s="193" t="s">
        <v>752</v>
      </c>
      <c r="L678" s="211" t="s">
        <v>33</v>
      </c>
      <c r="M678" s="212"/>
      <c r="N678" s="195" t="s">
        <v>735</v>
      </c>
      <c r="R678" s="191" t="s">
        <v>36</v>
      </c>
      <c r="S678" s="193" t="s">
        <v>752</v>
      </c>
      <c r="T678" s="130" t="s">
        <v>754</v>
      </c>
      <c r="U678" s="195" t="s">
        <v>755</v>
      </c>
    </row>
    <row r="679" spans="3:21" ht="18.75" customHeight="1">
      <c r="J679" s="192"/>
      <c r="K679" s="194"/>
      <c r="L679" s="43" t="s">
        <v>711</v>
      </c>
      <c r="M679" s="67" t="s">
        <v>748</v>
      </c>
      <c r="N679" s="196"/>
      <c r="R679" s="192"/>
      <c r="S679" s="194"/>
      <c r="T679" s="131"/>
      <c r="U679" s="196"/>
    </row>
    <row r="680" spans="3:21">
      <c r="C680" s="33">
        <f>0.75*403</f>
        <v>302.25</v>
      </c>
      <c r="J680" s="121" t="s">
        <v>650</v>
      </c>
      <c r="K680" s="124">
        <v>6</v>
      </c>
      <c r="L680" s="124">
        <v>119</v>
      </c>
      <c r="M680" s="125">
        <v>90</v>
      </c>
      <c r="N680" s="126">
        <v>70.77</v>
      </c>
      <c r="O680">
        <f>0.75*L680</f>
        <v>89.25</v>
      </c>
      <c r="R680" s="121" t="s">
        <v>649</v>
      </c>
      <c r="S680" s="124">
        <v>10</v>
      </c>
      <c r="T680" s="114">
        <f>H461</f>
        <v>115.25</v>
      </c>
      <c r="U680" s="126">
        <v>59.32</v>
      </c>
    </row>
    <row r="681" spans="3:21">
      <c r="J681" s="121" t="s">
        <v>649</v>
      </c>
      <c r="K681" s="124">
        <v>10</v>
      </c>
      <c r="L681" s="124">
        <v>154</v>
      </c>
      <c r="M681" s="125">
        <v>115.5</v>
      </c>
      <c r="N681" s="126">
        <v>59.32</v>
      </c>
      <c r="O681">
        <f>0.75*L681</f>
        <v>115.5</v>
      </c>
      <c r="R681" s="121" t="s">
        <v>650</v>
      </c>
      <c r="S681" s="124">
        <v>6</v>
      </c>
      <c r="T681" s="124">
        <f>H603</f>
        <v>29</v>
      </c>
      <c r="U681" s="126">
        <v>70.77</v>
      </c>
    </row>
    <row r="682" spans="3:21">
      <c r="J682" s="121" t="s">
        <v>108</v>
      </c>
      <c r="K682" s="124">
        <v>6</v>
      </c>
      <c r="L682" s="124">
        <v>79</v>
      </c>
      <c r="M682" s="125">
        <v>59</v>
      </c>
      <c r="N682" s="126">
        <v>11.52</v>
      </c>
      <c r="O682">
        <f>0.75*L682</f>
        <v>59.25</v>
      </c>
      <c r="R682" s="121" t="s">
        <v>108</v>
      </c>
      <c r="S682" s="124">
        <v>6</v>
      </c>
      <c r="T682" s="114">
        <f>H194</f>
        <v>60.75</v>
      </c>
      <c r="U682" s="126">
        <v>11.52</v>
      </c>
    </row>
    <row r="683" spans="3:21">
      <c r="J683" s="121" t="s">
        <v>220</v>
      </c>
      <c r="K683" s="124">
        <v>5</v>
      </c>
      <c r="L683" s="124">
        <v>56</v>
      </c>
      <c r="M683" s="125">
        <v>42</v>
      </c>
      <c r="N683" s="126">
        <v>10.76</v>
      </c>
      <c r="O683">
        <f>0.75*L683</f>
        <v>42</v>
      </c>
      <c r="R683" s="121" t="s">
        <v>220</v>
      </c>
      <c r="S683" s="124">
        <v>5</v>
      </c>
      <c r="T683" s="114">
        <f>H268</f>
        <v>42</v>
      </c>
      <c r="U683" s="126">
        <v>10.76</v>
      </c>
    </row>
    <row r="684" spans="3:21">
      <c r="J684" s="127" t="s">
        <v>654</v>
      </c>
      <c r="K684" s="124">
        <v>3</v>
      </c>
      <c r="L684" s="124">
        <v>41</v>
      </c>
      <c r="M684" s="128">
        <v>31</v>
      </c>
      <c r="N684" s="129">
        <v>7.9</v>
      </c>
      <c r="O684">
        <f>0.75*L684</f>
        <v>30.75</v>
      </c>
      <c r="R684" s="127" t="s">
        <v>654</v>
      </c>
      <c r="S684" s="124">
        <v>3</v>
      </c>
      <c r="T684" s="124">
        <f>H664</f>
        <v>32</v>
      </c>
      <c r="U684" s="129">
        <v>7.9</v>
      </c>
    </row>
    <row r="685" spans="3:21">
      <c r="J685" s="121" t="s">
        <v>37</v>
      </c>
      <c r="K685" s="124">
        <v>6</v>
      </c>
      <c r="L685" s="124">
        <v>40</v>
      </c>
      <c r="M685" s="125">
        <v>30</v>
      </c>
      <c r="N685" s="126">
        <v>3.11</v>
      </c>
      <c r="R685" s="121" t="s">
        <v>37</v>
      </c>
      <c r="S685" s="124">
        <v>6</v>
      </c>
      <c r="T685" s="103">
        <f>H61</f>
        <v>30</v>
      </c>
      <c r="U685" s="126">
        <v>3.11</v>
      </c>
    </row>
    <row r="686" spans="3:21">
      <c r="J686" s="121" t="s">
        <v>84</v>
      </c>
      <c r="K686" s="124">
        <v>2</v>
      </c>
      <c r="L686" s="124">
        <v>21</v>
      </c>
      <c r="M686" s="125">
        <v>15.75</v>
      </c>
      <c r="N686" s="126">
        <v>1.77</v>
      </c>
      <c r="O686">
        <f>0.75*L686</f>
        <v>15.75</v>
      </c>
      <c r="R686" s="121" t="s">
        <v>84</v>
      </c>
      <c r="S686" s="124">
        <v>2</v>
      </c>
      <c r="T686" s="114">
        <f>H93</f>
        <v>15.75</v>
      </c>
      <c r="U686" s="126">
        <v>1.77</v>
      </c>
    </row>
    <row r="687" spans="3:21">
      <c r="J687" s="123" t="s">
        <v>655</v>
      </c>
      <c r="K687" s="41">
        <f>SUM(K680:K686)</f>
        <v>38</v>
      </c>
      <c r="L687" s="33">
        <f>SUM(L680:L686)</f>
        <v>510</v>
      </c>
      <c r="M687" s="27">
        <f>SUM(M680:M686)</f>
        <v>383.25</v>
      </c>
      <c r="N687" s="144">
        <f>SUM(N680:N686)</f>
        <v>165.15000000000003</v>
      </c>
      <c r="O687">
        <f>0.75*L687</f>
        <v>382.5</v>
      </c>
      <c r="R687" s="123" t="s">
        <v>655</v>
      </c>
      <c r="S687" s="41">
        <f>SUM(S680:S686)</f>
        <v>38</v>
      </c>
      <c r="T687" s="71">
        <f>SUM(T680:T686)</f>
        <v>324.75</v>
      </c>
      <c r="U687" s="72">
        <f>SUM(U680:U686)</f>
        <v>165.15000000000003</v>
      </c>
    </row>
    <row r="688" spans="3:21">
      <c r="J688" s="74" t="s">
        <v>656</v>
      </c>
      <c r="K688" s="75"/>
      <c r="L688" s="75"/>
      <c r="M688" s="76"/>
      <c r="N688" s="145">
        <v>165000</v>
      </c>
      <c r="R688" s="74" t="s">
        <v>656</v>
      </c>
      <c r="S688" s="75"/>
      <c r="T688" s="75"/>
      <c r="U688" s="27">
        <v>165000</v>
      </c>
    </row>
    <row r="689" spans="3:15">
      <c r="J689" s="31" t="s">
        <v>657</v>
      </c>
      <c r="K689" t="s">
        <v>658</v>
      </c>
      <c r="O689" s="9"/>
    </row>
    <row r="690" spans="3:15">
      <c r="J690" s="31" t="s">
        <v>688</v>
      </c>
    </row>
    <row r="691" spans="3:15">
      <c r="N691" s="9">
        <f>1.1*N687</f>
        <v>181.66500000000005</v>
      </c>
    </row>
    <row r="692" spans="3:15">
      <c r="M692">
        <f>0.75*40</f>
        <v>30</v>
      </c>
    </row>
    <row r="693" spans="3:15">
      <c r="M693">
        <f>0.75*21</f>
        <v>15.75</v>
      </c>
    </row>
    <row r="695" spans="3:15">
      <c r="O695">
        <f t="shared" ref="O695:O701" si="46">0.75*J703</f>
        <v>30</v>
      </c>
    </row>
    <row r="696" spans="3:15">
      <c r="O696">
        <f t="shared" si="46"/>
        <v>15.75</v>
      </c>
    </row>
    <row r="697" spans="3:15">
      <c r="O697">
        <f t="shared" si="46"/>
        <v>59.25</v>
      </c>
    </row>
    <row r="698" spans="3:15">
      <c r="O698">
        <f t="shared" si="46"/>
        <v>42</v>
      </c>
    </row>
    <row r="699" spans="3:15">
      <c r="O699">
        <f t="shared" si="46"/>
        <v>115.5</v>
      </c>
    </row>
    <row r="700" spans="3:15">
      <c r="C700" s="33">
        <f>0.75*403</f>
        <v>302.25</v>
      </c>
      <c r="O700">
        <f t="shared" si="46"/>
        <v>89.25</v>
      </c>
    </row>
    <row r="701" spans="3:15">
      <c r="I701" s="202" t="s">
        <v>36</v>
      </c>
      <c r="J701" s="201" t="s">
        <v>33</v>
      </c>
      <c r="K701" s="201"/>
      <c r="O701">
        <f t="shared" si="46"/>
        <v>30.75</v>
      </c>
    </row>
    <row r="702" spans="3:15">
      <c r="I702" s="202"/>
      <c r="J702" s="26" t="s">
        <v>747</v>
      </c>
      <c r="K702" s="26" t="s">
        <v>748</v>
      </c>
      <c r="L702" t="s">
        <v>750</v>
      </c>
      <c r="M702" t="s">
        <v>749</v>
      </c>
      <c r="O702">
        <f>SUM(O695:O701)</f>
        <v>382.5</v>
      </c>
    </row>
    <row r="703" spans="3:15">
      <c r="I703" s="26" t="s">
        <v>37</v>
      </c>
      <c r="J703" s="41">
        <v>40</v>
      </c>
      <c r="K703" s="72">
        <f t="shared" ref="K703:K709" si="47">0.75*J703</f>
        <v>30</v>
      </c>
      <c r="L703" s="116">
        <v>30</v>
      </c>
      <c r="M703" s="116">
        <f>K703-L703</f>
        <v>0</v>
      </c>
    </row>
    <row r="704" spans="3:15">
      <c r="I704" s="26" t="s">
        <v>84</v>
      </c>
      <c r="J704" s="41">
        <v>21</v>
      </c>
      <c r="K704" s="41">
        <f t="shared" si="47"/>
        <v>15.75</v>
      </c>
      <c r="L704" s="116">
        <v>15.75</v>
      </c>
      <c r="M704" s="116">
        <f t="shared" ref="M704:M710" si="48">K704-L704</f>
        <v>0</v>
      </c>
    </row>
    <row r="705" spans="9:13">
      <c r="I705" s="117" t="s">
        <v>108</v>
      </c>
      <c r="J705" s="118">
        <v>79</v>
      </c>
      <c r="K705" s="118">
        <f t="shared" si="47"/>
        <v>59.25</v>
      </c>
      <c r="L705" s="119">
        <v>60.75</v>
      </c>
      <c r="M705" s="119">
        <f t="shared" si="48"/>
        <v>-1.5</v>
      </c>
    </row>
    <row r="706" spans="9:13">
      <c r="I706" s="26" t="s">
        <v>220</v>
      </c>
      <c r="J706" s="41">
        <v>56</v>
      </c>
      <c r="K706" s="72">
        <f t="shared" si="47"/>
        <v>42</v>
      </c>
      <c r="L706" s="116">
        <v>42</v>
      </c>
      <c r="M706" s="116">
        <f t="shared" si="48"/>
        <v>0</v>
      </c>
    </row>
    <row r="707" spans="9:13">
      <c r="I707" s="26" t="s">
        <v>649</v>
      </c>
      <c r="J707" s="41">
        <v>154</v>
      </c>
      <c r="K707" s="41">
        <f t="shared" si="47"/>
        <v>115.5</v>
      </c>
      <c r="L707" s="116">
        <v>115.5</v>
      </c>
      <c r="M707" s="116">
        <f t="shared" si="48"/>
        <v>0</v>
      </c>
    </row>
    <row r="708" spans="9:13">
      <c r="I708" s="117" t="s">
        <v>650</v>
      </c>
      <c r="J708" s="118">
        <v>119</v>
      </c>
      <c r="K708" s="118">
        <f t="shared" si="47"/>
        <v>89.25</v>
      </c>
      <c r="L708" s="119">
        <v>90</v>
      </c>
      <c r="M708" s="119">
        <f t="shared" si="48"/>
        <v>-0.75</v>
      </c>
    </row>
    <row r="709" spans="9:13">
      <c r="I709" s="120" t="s">
        <v>654</v>
      </c>
      <c r="J709" s="118">
        <v>41</v>
      </c>
      <c r="K709" s="118">
        <f t="shared" si="47"/>
        <v>30.75</v>
      </c>
      <c r="L709" s="119">
        <v>32</v>
      </c>
      <c r="M709" s="119">
        <f t="shared" si="48"/>
        <v>-1.25</v>
      </c>
    </row>
    <row r="710" spans="9:13">
      <c r="I710" s="26" t="s">
        <v>655</v>
      </c>
      <c r="J710" s="41">
        <v>510</v>
      </c>
      <c r="K710" s="41">
        <f>SUM(K703:K709)</f>
        <v>382.5</v>
      </c>
      <c r="L710" s="116">
        <v>386</v>
      </c>
      <c r="M710" s="116">
        <f t="shared" si="48"/>
        <v>-3.5</v>
      </c>
    </row>
  </sheetData>
  <sortState xmlns:xlrd2="http://schemas.microsoft.com/office/spreadsheetml/2017/richdata2" ref="J680:N686">
    <sortCondition descending="1" ref="N680:N686"/>
  </sortState>
  <mergeCells count="40">
    <mergeCell ref="C2:H2"/>
    <mergeCell ref="N678:N679"/>
    <mergeCell ref="N606:O606"/>
    <mergeCell ref="P606:R606"/>
    <mergeCell ref="C482:D482"/>
    <mergeCell ref="C512:D512"/>
    <mergeCell ref="L678:M678"/>
    <mergeCell ref="D382:F382"/>
    <mergeCell ref="D422:F422"/>
    <mergeCell ref="C462:G462"/>
    <mergeCell ref="D271:G271"/>
    <mergeCell ref="C244:D244"/>
    <mergeCell ref="C261:D261"/>
    <mergeCell ref="C270:G270"/>
    <mergeCell ref="C198:D198"/>
    <mergeCell ref="C211:D211"/>
    <mergeCell ref="J701:K701"/>
    <mergeCell ref="I701:I702"/>
    <mergeCell ref="D3:E3"/>
    <mergeCell ref="C14:D14"/>
    <mergeCell ref="F3:H3"/>
    <mergeCell ref="C227:D227"/>
    <mergeCell ref="K678:K679"/>
    <mergeCell ref="J678:J679"/>
    <mergeCell ref="R678:R679"/>
    <mergeCell ref="S678:S679"/>
    <mergeCell ref="U678:U679"/>
    <mergeCell ref="C15:H15"/>
    <mergeCell ref="C3:C4"/>
    <mergeCell ref="N4:O4"/>
    <mergeCell ref="P4:R4"/>
    <mergeCell ref="N94:O94"/>
    <mergeCell ref="P94:R94"/>
    <mergeCell ref="P68:R68"/>
    <mergeCell ref="N270:O270"/>
    <mergeCell ref="P270:R270"/>
    <mergeCell ref="N462:O462"/>
    <mergeCell ref="P462:R462"/>
    <mergeCell ref="N196:O196"/>
    <mergeCell ref="P196:R196"/>
  </mergeCells>
  <phoneticPr fontId="3" type="noConversion"/>
  <pageMargins left="0.7" right="0.7" top="0.75" bottom="0.75" header="0.3" footer="0.3"/>
  <pageSetup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EF90B-E097-477F-8445-10220C1A54B6}">
  <dimension ref="A1:AG1180"/>
  <sheetViews>
    <sheetView tabSelected="1" topLeftCell="A530" workbookViewId="0">
      <selection activeCell="C541" sqref="C541:H553"/>
    </sheetView>
  </sheetViews>
  <sheetFormatPr defaultRowHeight="15"/>
  <cols>
    <col min="3" max="3" width="6.7109375" customWidth="1"/>
    <col min="4" max="4" width="21.85546875" customWidth="1"/>
    <col min="5" max="5" width="9.7109375" customWidth="1"/>
    <col min="6" max="6" width="12.85546875" customWidth="1"/>
    <col min="7" max="7" width="11.7109375" customWidth="1"/>
    <col min="8" max="8" width="11.28515625" customWidth="1"/>
    <col min="9" max="9" width="14.28515625" customWidth="1"/>
    <col min="12" max="12" width="13.42578125" customWidth="1"/>
    <col min="13" max="13" width="19.28515625" customWidth="1"/>
    <col min="14" max="14" width="10" customWidth="1"/>
    <col min="15" max="15" width="11.140625" customWidth="1"/>
    <col min="16" max="16" width="18.7109375" customWidth="1"/>
    <col min="21" max="21" width="28.140625" customWidth="1"/>
    <col min="23" max="23" width="10.140625" bestFit="1" customWidth="1"/>
    <col min="24" max="24" width="30" customWidth="1"/>
    <col min="26" max="26" width="12.7109375" customWidth="1"/>
    <col min="27" max="27" width="11.85546875" customWidth="1"/>
    <col min="28" max="28" width="9.28515625" bestFit="1" customWidth="1"/>
    <col min="29" max="29" width="11.42578125" customWidth="1"/>
    <col min="31" max="31" width="12" customWidth="1"/>
  </cols>
  <sheetData>
    <row r="1" spans="2:32" ht="15.75">
      <c r="Z1" s="211" t="s">
        <v>741</v>
      </c>
      <c r="AA1" s="214"/>
      <c r="AB1" s="214"/>
      <c r="AC1" s="214"/>
      <c r="AD1" s="214"/>
      <c r="AE1" s="214"/>
      <c r="AF1" s="212"/>
    </row>
    <row r="2" spans="2:32">
      <c r="Z2" s="220" t="s">
        <v>742</v>
      </c>
      <c r="AA2" s="221"/>
      <c r="AB2" s="221"/>
      <c r="AC2" s="221"/>
      <c r="AD2" s="221"/>
      <c r="AE2" s="221"/>
      <c r="AF2" s="222"/>
    </row>
    <row r="3" spans="2:32" ht="15.75">
      <c r="C3" s="211" t="s">
        <v>741</v>
      </c>
      <c r="D3" s="214"/>
      <c r="E3" s="214"/>
      <c r="F3" s="214"/>
      <c r="G3" s="214"/>
      <c r="H3" s="212"/>
      <c r="Z3" s="198" t="s">
        <v>767</v>
      </c>
      <c r="AA3" s="203" t="s">
        <v>739</v>
      </c>
      <c r="AB3" s="203"/>
      <c r="AC3" s="203" t="s">
        <v>738</v>
      </c>
      <c r="AD3" s="203"/>
      <c r="AE3" s="203"/>
      <c r="AF3" s="203"/>
    </row>
    <row r="4" spans="2:32" ht="15.75" customHeight="1">
      <c r="B4">
        <v>1</v>
      </c>
      <c r="C4" s="230" t="s">
        <v>742</v>
      </c>
      <c r="D4" s="231"/>
      <c r="E4" s="231"/>
      <c r="F4" s="231"/>
      <c r="G4" s="231"/>
      <c r="H4" s="232"/>
      <c r="Z4" s="199"/>
      <c r="AA4" s="68" t="s">
        <v>740</v>
      </c>
      <c r="AB4" s="112" t="s">
        <v>743</v>
      </c>
      <c r="AC4" s="112" t="s">
        <v>737</v>
      </c>
      <c r="AD4" s="112" t="s">
        <v>751</v>
      </c>
      <c r="AE4" s="112" t="s">
        <v>809</v>
      </c>
      <c r="AF4" s="69" t="s">
        <v>746</v>
      </c>
    </row>
    <row r="5" spans="2:32">
      <c r="C5" s="198" t="s">
        <v>767</v>
      </c>
      <c r="D5" s="203" t="s">
        <v>739</v>
      </c>
      <c r="E5" s="203"/>
      <c r="F5" s="203" t="s">
        <v>738</v>
      </c>
      <c r="G5" s="203"/>
      <c r="H5" s="203"/>
      <c r="Z5" s="44">
        <v>1</v>
      </c>
      <c r="AA5" s="26" t="s">
        <v>63</v>
      </c>
      <c r="AB5" s="41"/>
      <c r="AC5" s="85">
        <v>420577</v>
      </c>
      <c r="AD5" s="113">
        <f t="shared" ref="AD5:AD14" si="0">AC5/1000</f>
        <v>420.577</v>
      </c>
      <c r="AE5" s="113">
        <f>AC5/AD5</f>
        <v>1000</v>
      </c>
      <c r="AF5" s="26"/>
    </row>
    <row r="6" spans="2:32" ht="90">
      <c r="C6" s="199"/>
      <c r="D6" s="68" t="s">
        <v>740</v>
      </c>
      <c r="E6" s="112" t="s">
        <v>743</v>
      </c>
      <c r="F6" s="112" t="s">
        <v>737</v>
      </c>
      <c r="G6" s="112" t="s">
        <v>751</v>
      </c>
      <c r="H6" s="69" t="s">
        <v>746</v>
      </c>
      <c r="Z6" s="44">
        <v>2</v>
      </c>
      <c r="AA6" s="26" t="s">
        <v>55</v>
      </c>
      <c r="AB6" s="71"/>
      <c r="AC6" s="85">
        <v>173281</v>
      </c>
      <c r="AD6" s="113">
        <f t="shared" si="0"/>
        <v>173.28100000000001</v>
      </c>
      <c r="AE6" s="113">
        <f t="shared" ref="AE6:AE13" si="1">AC6/AD6</f>
        <v>1000</v>
      </c>
      <c r="AF6" s="122"/>
    </row>
    <row r="7" spans="2:32">
      <c r="C7" s="44">
        <v>1</v>
      </c>
      <c r="D7" s="26" t="s">
        <v>63</v>
      </c>
      <c r="E7" s="41"/>
      <c r="F7" s="85">
        <v>420577</v>
      </c>
      <c r="G7" s="113">
        <f t="shared" ref="G7:G16" si="2">F7/1000</f>
        <v>420.577</v>
      </c>
      <c r="H7" s="26"/>
      <c r="Z7" s="44">
        <v>3</v>
      </c>
      <c r="AA7" s="26" t="s">
        <v>57</v>
      </c>
      <c r="AB7" s="41"/>
      <c r="AC7" s="125">
        <v>141103</v>
      </c>
      <c r="AD7" s="114">
        <f t="shared" si="0"/>
        <v>141.10300000000001</v>
      </c>
      <c r="AE7" s="113">
        <f t="shared" si="1"/>
        <v>999.99999999999989</v>
      </c>
      <c r="AF7" s="26"/>
    </row>
    <row r="8" spans="2:32">
      <c r="C8" s="44">
        <v>2</v>
      </c>
      <c r="D8" s="26" t="s">
        <v>55</v>
      </c>
      <c r="E8" s="71"/>
      <c r="F8" s="85">
        <v>173281</v>
      </c>
      <c r="G8" s="113">
        <f t="shared" si="2"/>
        <v>173.28100000000001</v>
      </c>
      <c r="H8" s="122"/>
      <c r="Z8" s="44">
        <v>4</v>
      </c>
      <c r="AA8" s="26" t="s">
        <v>56</v>
      </c>
      <c r="AB8" s="41"/>
      <c r="AC8" s="125">
        <v>118590</v>
      </c>
      <c r="AD8" s="114">
        <f t="shared" si="0"/>
        <v>118.59</v>
      </c>
      <c r="AE8" s="113">
        <f t="shared" si="1"/>
        <v>1000</v>
      </c>
      <c r="AF8" s="26"/>
    </row>
    <row r="9" spans="2:32">
      <c r="C9" s="44">
        <v>3</v>
      </c>
      <c r="D9" s="26" t="s">
        <v>57</v>
      </c>
      <c r="E9" s="41"/>
      <c r="F9" s="240">
        <v>141103</v>
      </c>
      <c r="G9" s="241">
        <f t="shared" si="2"/>
        <v>141.10300000000001</v>
      </c>
      <c r="H9" s="26"/>
      <c r="Z9" s="44">
        <v>5</v>
      </c>
      <c r="AA9" s="26" t="s">
        <v>59</v>
      </c>
      <c r="AB9" s="41"/>
      <c r="AC9" s="125">
        <v>64179</v>
      </c>
      <c r="AD9" s="114">
        <f t="shared" si="0"/>
        <v>64.179000000000002</v>
      </c>
      <c r="AE9" s="113">
        <f t="shared" si="1"/>
        <v>1000</v>
      </c>
      <c r="AF9" s="26"/>
    </row>
    <row r="10" spans="2:32">
      <c r="C10" s="44">
        <v>4</v>
      </c>
      <c r="D10" s="26" t="s">
        <v>56</v>
      </c>
      <c r="E10" s="41"/>
      <c r="F10" s="240">
        <v>118590</v>
      </c>
      <c r="G10" s="241">
        <f t="shared" si="2"/>
        <v>118.59</v>
      </c>
      <c r="H10" s="26"/>
      <c r="Z10" s="44">
        <v>6</v>
      </c>
      <c r="AA10" s="26" t="s">
        <v>58</v>
      </c>
      <c r="AB10" s="41"/>
      <c r="AC10" s="125">
        <v>43092</v>
      </c>
      <c r="AD10" s="114">
        <f t="shared" si="0"/>
        <v>43.091999999999999</v>
      </c>
      <c r="AE10" s="113">
        <f t="shared" si="1"/>
        <v>1000</v>
      </c>
      <c r="AF10" s="122">
        <f>SUM(AD7:AD13)</f>
        <v>466.69299999999993</v>
      </c>
    </row>
    <row r="11" spans="2:32">
      <c r="C11" s="44">
        <v>5</v>
      </c>
      <c r="D11" s="26" t="s">
        <v>59</v>
      </c>
      <c r="E11" s="41"/>
      <c r="F11" s="240">
        <v>64179</v>
      </c>
      <c r="G11" s="241">
        <f t="shared" si="2"/>
        <v>64.179000000000002</v>
      </c>
      <c r="H11" s="26"/>
      <c r="Z11" s="44">
        <v>7</v>
      </c>
      <c r="AA11" s="26" t="s">
        <v>62</v>
      </c>
      <c r="AB11" s="41"/>
      <c r="AC11" s="125">
        <v>39388</v>
      </c>
      <c r="AD11" s="114">
        <f t="shared" si="0"/>
        <v>39.387999999999998</v>
      </c>
      <c r="AE11" s="113">
        <f t="shared" si="1"/>
        <v>1000</v>
      </c>
      <c r="AF11" s="26"/>
    </row>
    <row r="12" spans="2:32">
      <c r="C12" s="44">
        <v>6</v>
      </c>
      <c r="D12" s="26" t="s">
        <v>58</v>
      </c>
      <c r="E12" s="41"/>
      <c r="F12" s="240">
        <v>43092</v>
      </c>
      <c r="G12" s="241">
        <f t="shared" si="2"/>
        <v>43.091999999999999</v>
      </c>
      <c r="H12" s="122">
        <f>SUM(G9:G15)</f>
        <v>466.69299999999993</v>
      </c>
      <c r="Z12" s="44">
        <v>8</v>
      </c>
      <c r="AA12" s="26" t="s">
        <v>60</v>
      </c>
      <c r="AB12" s="41"/>
      <c r="AC12" s="125">
        <v>35814</v>
      </c>
      <c r="AD12" s="114">
        <f t="shared" si="0"/>
        <v>35.814</v>
      </c>
      <c r="AE12" s="113">
        <f t="shared" si="1"/>
        <v>1000</v>
      </c>
      <c r="AF12" s="26"/>
    </row>
    <row r="13" spans="2:32">
      <c r="C13" s="44">
        <v>7</v>
      </c>
      <c r="D13" s="26" t="s">
        <v>62</v>
      </c>
      <c r="E13" s="41"/>
      <c r="F13" s="240">
        <v>39388</v>
      </c>
      <c r="G13" s="241">
        <f t="shared" si="2"/>
        <v>39.387999999999998</v>
      </c>
      <c r="H13" s="26"/>
      <c r="Z13" s="44">
        <v>9</v>
      </c>
      <c r="AA13" s="26" t="s">
        <v>61</v>
      </c>
      <c r="AB13" s="41"/>
      <c r="AC13" s="125">
        <v>24527</v>
      </c>
      <c r="AD13" s="114">
        <f t="shared" si="0"/>
        <v>24.527000000000001</v>
      </c>
      <c r="AE13" s="113">
        <f t="shared" si="1"/>
        <v>1000</v>
      </c>
      <c r="AF13" s="26"/>
    </row>
    <row r="14" spans="2:32">
      <c r="C14" s="44">
        <v>8</v>
      </c>
      <c r="D14" s="26" t="s">
        <v>60</v>
      </c>
      <c r="E14" s="41"/>
      <c r="F14" s="240">
        <v>35814</v>
      </c>
      <c r="G14" s="241">
        <f t="shared" si="2"/>
        <v>35.814</v>
      </c>
      <c r="H14" s="26"/>
      <c r="Z14" s="41">
        <f>Z13</f>
        <v>9</v>
      </c>
      <c r="AA14" s="178" t="s">
        <v>742</v>
      </c>
      <c r="AB14" s="168">
        <f>0.75*Z14</f>
        <v>6.75</v>
      </c>
      <c r="AC14" s="27">
        <f>SUM(AC5:AC13)</f>
        <v>1060551</v>
      </c>
      <c r="AD14" s="71">
        <f t="shared" si="0"/>
        <v>1060.5509999999999</v>
      </c>
      <c r="AE14" s="71"/>
      <c r="AF14" s="115">
        <f>AD14-AD5-AD6</f>
        <v>466.69299999999993</v>
      </c>
    </row>
    <row r="15" spans="2:32">
      <c r="C15" s="44">
        <v>9</v>
      </c>
      <c r="D15" s="26" t="s">
        <v>61</v>
      </c>
      <c r="E15" s="41"/>
      <c r="F15" s="240">
        <v>24527</v>
      </c>
      <c r="G15" s="241">
        <f t="shared" si="2"/>
        <v>24.527000000000001</v>
      </c>
      <c r="H15" s="26"/>
    </row>
    <row r="16" spans="2:32">
      <c r="B16">
        <v>1</v>
      </c>
      <c r="C16" s="41">
        <f>C15</f>
        <v>9</v>
      </c>
      <c r="D16" s="178" t="s">
        <v>742</v>
      </c>
      <c r="E16" s="168">
        <f>0.75*C16</f>
        <v>6.75</v>
      </c>
      <c r="F16" s="27">
        <f>SUM(F7:F15)</f>
        <v>1060551</v>
      </c>
      <c r="G16" s="27">
        <f t="shared" si="2"/>
        <v>1060.5509999999999</v>
      </c>
      <c r="H16" s="241">
        <f>G16-G7-G8</f>
        <v>466.69299999999993</v>
      </c>
    </row>
    <row r="18" spans="2:17" ht="15.75">
      <c r="C18" s="225" t="s">
        <v>797</v>
      </c>
      <c r="D18" s="225"/>
      <c r="E18" s="225"/>
      <c r="F18" s="225"/>
      <c r="G18" s="225"/>
      <c r="H18" s="225"/>
    </row>
    <row r="19" spans="2:17">
      <c r="B19">
        <v>2</v>
      </c>
      <c r="C19" s="202" t="s">
        <v>767</v>
      </c>
      <c r="D19" s="219" t="s">
        <v>739</v>
      </c>
      <c r="E19" s="203"/>
      <c r="F19" s="203" t="s">
        <v>738</v>
      </c>
      <c r="G19" s="203"/>
      <c r="H19" s="203"/>
    </row>
    <row r="20" spans="2:17" ht="90">
      <c r="C20" s="202"/>
      <c r="D20" s="165" t="s">
        <v>740</v>
      </c>
      <c r="E20" s="112" t="s">
        <v>743</v>
      </c>
      <c r="F20" s="112" t="s">
        <v>737</v>
      </c>
      <c r="G20" s="112" t="s">
        <v>751</v>
      </c>
      <c r="H20" s="69" t="s">
        <v>746</v>
      </c>
    </row>
    <row r="21" spans="2:17">
      <c r="C21" s="44">
        <v>1</v>
      </c>
      <c r="D21" t="s">
        <v>54</v>
      </c>
      <c r="F21" s="81">
        <v>204955</v>
      </c>
      <c r="G21" s="102">
        <f>F21/1000</f>
        <v>204.95500000000001</v>
      </c>
      <c r="H21" s="35"/>
    </row>
    <row r="22" spans="2:17">
      <c r="C22" s="44">
        <v>2</v>
      </c>
      <c r="D22" t="s">
        <v>53</v>
      </c>
      <c r="F22" s="81">
        <v>91064</v>
      </c>
      <c r="G22" s="102">
        <f>F22/1000</f>
        <v>91.063999999999993</v>
      </c>
      <c r="H22" s="33"/>
    </row>
    <row r="23" spans="2:17">
      <c r="C23" s="44">
        <v>3</v>
      </c>
      <c r="D23" t="s">
        <v>50</v>
      </c>
      <c r="F23" s="242">
        <v>90171</v>
      </c>
      <c r="G23" s="243">
        <f>F23/1000</f>
        <v>90.171000000000006</v>
      </c>
      <c r="H23" s="35">
        <f>SUM(G22:G25)</f>
        <v>293.45100000000002</v>
      </c>
      <c r="K23">
        <v>1</v>
      </c>
      <c r="L23">
        <v>9</v>
      </c>
      <c r="M23" t="s">
        <v>742</v>
      </c>
      <c r="N23" s="9">
        <v>6.75</v>
      </c>
      <c r="O23" s="9">
        <v>1060551</v>
      </c>
      <c r="P23" s="9">
        <v>1060.5509999999999</v>
      </c>
      <c r="Q23" s="9">
        <v>466.69299999999993</v>
      </c>
    </row>
    <row r="24" spans="2:17">
      <c r="C24" s="44">
        <v>4</v>
      </c>
      <c r="D24" t="s">
        <v>51</v>
      </c>
      <c r="F24" s="242">
        <v>66655</v>
      </c>
      <c r="G24" s="243">
        <f>F24/1000</f>
        <v>66.655000000000001</v>
      </c>
      <c r="H24" s="33"/>
      <c r="K24">
        <v>2</v>
      </c>
      <c r="L24">
        <v>7</v>
      </c>
      <c r="M24" t="s">
        <v>797</v>
      </c>
      <c r="N24" s="9">
        <v>5.25</v>
      </c>
      <c r="O24" s="9">
        <v>498406</v>
      </c>
      <c r="P24" s="9">
        <v>517.26599999999996</v>
      </c>
      <c r="Q24" s="9">
        <v>312.31099999999992</v>
      </c>
    </row>
    <row r="25" spans="2:17">
      <c r="C25" s="44">
        <v>5</v>
      </c>
      <c r="D25" t="s">
        <v>52</v>
      </c>
      <c r="F25" s="242">
        <v>45561</v>
      </c>
      <c r="G25" s="243">
        <f>F25/1000</f>
        <v>45.561</v>
      </c>
      <c r="H25" s="33"/>
      <c r="K25">
        <v>3</v>
      </c>
      <c r="L25">
        <v>6</v>
      </c>
      <c r="M25" t="s">
        <v>798</v>
      </c>
      <c r="N25" s="9">
        <v>4.5</v>
      </c>
      <c r="O25" s="9">
        <v>627127</v>
      </c>
      <c r="P25" s="9">
        <v>627.12700000000018</v>
      </c>
      <c r="Q25" s="9">
        <v>328.38500000000016</v>
      </c>
    </row>
    <row r="26" spans="2:17">
      <c r="C26" s="44">
        <v>6</v>
      </c>
      <c r="D26" t="s">
        <v>795</v>
      </c>
      <c r="F26" s="242">
        <v>18604</v>
      </c>
      <c r="G26" s="243">
        <f t="shared" ref="G26:G27" si="3">F26/1000</f>
        <v>18.603999999999999</v>
      </c>
      <c r="H26" s="33"/>
      <c r="K26">
        <v>4</v>
      </c>
      <c r="L26">
        <v>8</v>
      </c>
      <c r="M26" t="s">
        <v>799</v>
      </c>
      <c r="N26" s="9">
        <v>6</v>
      </c>
      <c r="O26" s="9">
        <v>1467050</v>
      </c>
      <c r="P26" s="9">
        <v>1467.05</v>
      </c>
      <c r="Q26" s="9">
        <v>813.56000000000017</v>
      </c>
    </row>
    <row r="27" spans="2:17">
      <c r="C27" s="44">
        <v>7</v>
      </c>
      <c r="D27" t="s">
        <v>796</v>
      </c>
      <c r="F27" s="242">
        <v>256</v>
      </c>
      <c r="G27" s="244">
        <f t="shared" si="3"/>
        <v>0.25600000000000001</v>
      </c>
      <c r="H27" s="33"/>
      <c r="K27">
        <v>5</v>
      </c>
      <c r="L27">
        <v>8</v>
      </c>
      <c r="M27" t="s">
        <v>802</v>
      </c>
      <c r="N27" s="9">
        <v>6</v>
      </c>
      <c r="O27" s="9">
        <v>1472928</v>
      </c>
      <c r="P27" s="9">
        <v>1472.9280000000001</v>
      </c>
      <c r="Q27" s="9">
        <v>908.61800000000005</v>
      </c>
    </row>
    <row r="28" spans="2:17">
      <c r="B28">
        <v>2</v>
      </c>
      <c r="C28" s="41">
        <f>C27</f>
        <v>7</v>
      </c>
      <c r="D28" s="178" t="s">
        <v>814</v>
      </c>
      <c r="E28" s="168">
        <f>0.75*C28</f>
        <v>5.25</v>
      </c>
      <c r="F28" s="27">
        <f>SUM(F21:F25)</f>
        <v>498406</v>
      </c>
      <c r="G28" s="71">
        <f>SUM(G21:G27)</f>
        <v>517.26599999999996</v>
      </c>
      <c r="H28" s="241">
        <f>G28-G21</f>
        <v>312.31099999999992</v>
      </c>
      <c r="K28">
        <v>6</v>
      </c>
      <c r="L28">
        <v>4</v>
      </c>
      <c r="M28" t="s">
        <v>801</v>
      </c>
      <c r="N28" s="9">
        <v>3</v>
      </c>
      <c r="O28" s="9">
        <v>542080</v>
      </c>
      <c r="P28" s="9">
        <v>542.08000000000004</v>
      </c>
      <c r="Q28" s="9">
        <v>302.68000000000006</v>
      </c>
    </row>
    <row r="29" spans="2:17">
      <c r="L29">
        <f>SUM(L23:L28)</f>
        <v>42</v>
      </c>
      <c r="N29" s="9">
        <f>SUM(N23:N28)</f>
        <v>31.5</v>
      </c>
      <c r="O29" s="9">
        <f>SUM(O23:O28)</f>
        <v>5668142</v>
      </c>
      <c r="P29" s="9">
        <f>SUM(P23:P28)</f>
        <v>5687.0020000000004</v>
      </c>
      <c r="Q29" s="9">
        <f>SUM(Q23:Q28)</f>
        <v>3132.2470000000003</v>
      </c>
    </row>
    <row r="30" spans="2:17">
      <c r="B30">
        <v>3</v>
      </c>
      <c r="C30" s="208" t="s">
        <v>798</v>
      </c>
      <c r="D30" s="208"/>
      <c r="E30" s="208"/>
      <c r="F30" s="208"/>
      <c r="G30" s="208"/>
      <c r="H30" s="208"/>
    </row>
    <row r="31" spans="2:17">
      <c r="C31" s="202" t="s">
        <v>767</v>
      </c>
      <c r="D31" s="203" t="s">
        <v>739</v>
      </c>
      <c r="E31" s="203"/>
      <c r="F31" s="203" t="s">
        <v>738</v>
      </c>
      <c r="G31" s="203"/>
      <c r="H31" s="203"/>
    </row>
    <row r="32" spans="2:17" ht="90">
      <c r="C32" s="202"/>
      <c r="D32" s="68" t="s">
        <v>740</v>
      </c>
      <c r="E32" s="112" t="s">
        <v>743</v>
      </c>
      <c r="F32" s="112" t="s">
        <v>737</v>
      </c>
      <c r="G32" s="112" t="s">
        <v>751</v>
      </c>
      <c r="H32" s="69" t="s">
        <v>746</v>
      </c>
    </row>
    <row r="33" spans="2:8">
      <c r="C33" s="44">
        <v>1</v>
      </c>
      <c r="D33" s="26" t="s">
        <v>665</v>
      </c>
      <c r="E33" s="26"/>
      <c r="F33" s="85">
        <v>298742</v>
      </c>
      <c r="G33" s="113">
        <f t="shared" ref="G33:G38" si="4">F33/1000</f>
        <v>298.74200000000002</v>
      </c>
      <c r="H33" s="71">
        <f>G33</f>
        <v>298.74200000000002</v>
      </c>
    </row>
    <row r="34" spans="2:8">
      <c r="C34" s="44">
        <v>2</v>
      </c>
      <c r="D34" s="26" t="s">
        <v>46</v>
      </c>
      <c r="E34" s="26"/>
      <c r="F34" s="240">
        <v>123136</v>
      </c>
      <c r="G34" s="241">
        <f t="shared" si="4"/>
        <v>123.136</v>
      </c>
      <c r="H34" s="41"/>
    </row>
    <row r="35" spans="2:8">
      <c r="C35" s="44">
        <v>3</v>
      </c>
      <c r="D35" s="26" t="s">
        <v>45</v>
      </c>
      <c r="E35" s="26"/>
      <c r="F35" s="240">
        <v>70061</v>
      </c>
      <c r="G35" s="241">
        <f t="shared" si="4"/>
        <v>70.061000000000007</v>
      </c>
      <c r="H35" s="41"/>
    </row>
    <row r="36" spans="2:8">
      <c r="C36" s="44">
        <v>4</v>
      </c>
      <c r="D36" s="26" t="s">
        <v>47</v>
      </c>
      <c r="E36" s="26"/>
      <c r="F36" s="240">
        <v>56292</v>
      </c>
      <c r="G36" s="241">
        <f t="shared" si="4"/>
        <v>56.292000000000002</v>
      </c>
      <c r="H36" s="71"/>
    </row>
    <row r="37" spans="2:8">
      <c r="C37" s="44">
        <v>5</v>
      </c>
      <c r="D37" s="26" t="s">
        <v>48</v>
      </c>
      <c r="E37" s="26"/>
      <c r="F37" s="240">
        <v>47542</v>
      </c>
      <c r="G37" s="241">
        <f t="shared" si="4"/>
        <v>47.542000000000002</v>
      </c>
      <c r="H37" s="41"/>
    </row>
    <row r="38" spans="2:8">
      <c r="C38" s="44">
        <v>6</v>
      </c>
      <c r="D38" s="26" t="s">
        <v>49</v>
      </c>
      <c r="E38" s="26"/>
      <c r="F38" s="240">
        <v>31354</v>
      </c>
      <c r="G38" s="241">
        <f t="shared" si="4"/>
        <v>31.353999999999999</v>
      </c>
      <c r="H38" s="41"/>
    </row>
    <row r="39" spans="2:8">
      <c r="B39">
        <v>3</v>
      </c>
      <c r="C39" s="41">
        <f>C38</f>
        <v>6</v>
      </c>
      <c r="D39" s="178" t="s">
        <v>815</v>
      </c>
      <c r="E39" s="168">
        <f>0.75*C39</f>
        <v>4.5</v>
      </c>
      <c r="F39" s="27">
        <f>SUM(F33:F38)</f>
        <v>627127</v>
      </c>
      <c r="G39" s="71">
        <f>SUM(G33:G38)</f>
        <v>627.12700000000018</v>
      </c>
      <c r="H39" s="241">
        <f>G39-G33</f>
        <v>328.38500000000016</v>
      </c>
    </row>
    <row r="41" spans="2:8" ht="15.75">
      <c r="B41">
        <v>4</v>
      </c>
      <c r="C41" s="217" t="s">
        <v>799</v>
      </c>
      <c r="D41" s="217"/>
      <c r="E41" s="217"/>
      <c r="F41" s="217"/>
      <c r="G41" s="217"/>
      <c r="H41" s="217"/>
    </row>
    <row r="42" spans="2:8">
      <c r="C42" s="202" t="s">
        <v>767</v>
      </c>
      <c r="D42" s="203" t="s">
        <v>739</v>
      </c>
      <c r="E42" s="203"/>
      <c r="F42" s="203" t="s">
        <v>738</v>
      </c>
      <c r="G42" s="203"/>
      <c r="H42" s="203"/>
    </row>
    <row r="43" spans="2:8" ht="90">
      <c r="C43" s="202"/>
      <c r="D43" s="68" t="s">
        <v>740</v>
      </c>
      <c r="E43" s="112" t="s">
        <v>743</v>
      </c>
      <c r="F43" s="112" t="s">
        <v>737</v>
      </c>
      <c r="G43" s="112" t="s">
        <v>751</v>
      </c>
      <c r="H43" s="69" t="s">
        <v>746</v>
      </c>
    </row>
    <row r="44" spans="2:8">
      <c r="C44" s="44">
        <v>1</v>
      </c>
      <c r="D44" s="26" t="s">
        <v>74</v>
      </c>
      <c r="E44" s="26"/>
      <c r="F44" s="85">
        <v>372400</v>
      </c>
      <c r="G44" s="113">
        <f t="shared" ref="G44:G52" si="5">F44/1000</f>
        <v>372.4</v>
      </c>
      <c r="H44" s="41"/>
    </row>
    <row r="45" spans="2:8">
      <c r="C45" s="44">
        <v>2</v>
      </c>
      <c r="D45" s="26" t="s">
        <v>69</v>
      </c>
      <c r="E45" s="26"/>
      <c r="F45" s="85">
        <v>281090</v>
      </c>
      <c r="G45" s="113">
        <f t="shared" si="5"/>
        <v>281.08999999999997</v>
      </c>
      <c r="H45" s="71"/>
    </row>
    <row r="46" spans="2:8">
      <c r="C46" s="44">
        <v>3</v>
      </c>
      <c r="D46" s="26" t="s">
        <v>71</v>
      </c>
      <c r="E46" s="26"/>
      <c r="F46" s="240">
        <v>246380</v>
      </c>
      <c r="G46" s="241">
        <f t="shared" si="5"/>
        <v>246.38</v>
      </c>
      <c r="H46" s="41"/>
    </row>
    <row r="47" spans="2:8">
      <c r="C47" s="44">
        <v>4</v>
      </c>
      <c r="D47" s="26" t="s">
        <v>70</v>
      </c>
      <c r="E47" s="26"/>
      <c r="F47" s="240">
        <v>208540</v>
      </c>
      <c r="G47" s="241">
        <f t="shared" si="5"/>
        <v>208.54</v>
      </c>
      <c r="H47" s="41"/>
    </row>
    <row r="48" spans="2:8">
      <c r="C48" s="44">
        <v>5</v>
      </c>
      <c r="D48" s="26" t="s">
        <v>68</v>
      </c>
      <c r="E48" s="26"/>
      <c r="F48" s="240">
        <v>113340</v>
      </c>
      <c r="G48" s="241">
        <f t="shared" si="5"/>
        <v>113.34</v>
      </c>
      <c r="H48" s="71">
        <f>H52</f>
        <v>813.56000000000017</v>
      </c>
    </row>
    <row r="49" spans="2:12">
      <c r="C49" s="44">
        <v>6</v>
      </c>
      <c r="D49" s="26" t="s">
        <v>73</v>
      </c>
      <c r="E49" s="26"/>
      <c r="F49" s="240">
        <v>108340</v>
      </c>
      <c r="G49" s="241">
        <f t="shared" si="5"/>
        <v>108.34</v>
      </c>
      <c r="H49" s="41"/>
    </row>
    <row r="50" spans="2:12">
      <c r="C50" s="44">
        <v>7</v>
      </c>
      <c r="D50" s="26" t="s">
        <v>75</v>
      </c>
      <c r="E50" s="26"/>
      <c r="F50" s="240">
        <v>83330</v>
      </c>
      <c r="G50" s="241">
        <f t="shared" si="5"/>
        <v>83.33</v>
      </c>
      <c r="H50" s="41"/>
    </row>
    <row r="51" spans="2:12">
      <c r="C51" s="44">
        <v>8</v>
      </c>
      <c r="D51" s="26" t="s">
        <v>72</v>
      </c>
      <c r="E51" s="26"/>
      <c r="F51" s="240">
        <v>53630</v>
      </c>
      <c r="G51" s="241">
        <f t="shared" si="5"/>
        <v>53.63</v>
      </c>
      <c r="H51" s="41"/>
    </row>
    <row r="52" spans="2:12">
      <c r="B52">
        <v>4</v>
      </c>
      <c r="C52" s="41">
        <f>C51</f>
        <v>8</v>
      </c>
      <c r="D52" s="42" t="s">
        <v>816</v>
      </c>
      <c r="E52" s="143">
        <f>0.75*C52</f>
        <v>6</v>
      </c>
      <c r="F52" s="27">
        <f>SUM(F44:F51)</f>
        <v>1467050</v>
      </c>
      <c r="G52" s="71">
        <f t="shared" si="5"/>
        <v>1467.05</v>
      </c>
      <c r="H52" s="241">
        <f>G52-G44-G45</f>
        <v>813.56000000000017</v>
      </c>
    </row>
    <row r="54" spans="2:12" ht="15.75">
      <c r="B54">
        <v>5</v>
      </c>
      <c r="C54" s="217" t="s">
        <v>800</v>
      </c>
      <c r="D54" s="217"/>
      <c r="E54" s="217"/>
      <c r="F54" s="217"/>
      <c r="G54" s="217"/>
      <c r="H54" s="217"/>
    </row>
    <row r="55" spans="2:12">
      <c r="C55" s="202" t="s">
        <v>767</v>
      </c>
      <c r="D55" s="203" t="s">
        <v>739</v>
      </c>
      <c r="E55" s="203"/>
      <c r="F55" s="203" t="s">
        <v>738</v>
      </c>
      <c r="G55" s="203"/>
      <c r="H55" s="203"/>
    </row>
    <row r="56" spans="2:12" ht="90">
      <c r="C56" s="202"/>
      <c r="D56" s="68" t="s">
        <v>740</v>
      </c>
      <c r="E56" s="112" t="s">
        <v>743</v>
      </c>
      <c r="F56" s="112" t="s">
        <v>737</v>
      </c>
      <c r="G56" s="112" t="s">
        <v>751</v>
      </c>
      <c r="H56" s="69" t="s">
        <v>746</v>
      </c>
    </row>
    <row r="57" spans="2:12">
      <c r="C57" s="44">
        <v>1</v>
      </c>
      <c r="D57" s="26" t="s">
        <v>76</v>
      </c>
      <c r="E57" s="26"/>
      <c r="F57" s="85">
        <v>327780</v>
      </c>
      <c r="G57" s="113">
        <f t="shared" ref="G57:G65" si="6">F57/1000</f>
        <v>327.78</v>
      </c>
      <c r="H57" s="41"/>
    </row>
    <row r="58" spans="2:12">
      <c r="C58" s="44">
        <v>2</v>
      </c>
      <c r="D58" s="26" t="s">
        <v>80</v>
      </c>
      <c r="E58" s="26"/>
      <c r="F58" s="85">
        <v>236530</v>
      </c>
      <c r="G58" s="113">
        <f t="shared" si="6"/>
        <v>236.53</v>
      </c>
      <c r="H58" s="71"/>
      <c r="K58">
        <v>1</v>
      </c>
      <c r="L58" s="14">
        <f>E16</f>
        <v>6.75</v>
      </c>
    </row>
    <row r="59" spans="2:12">
      <c r="C59" s="44">
        <v>3</v>
      </c>
      <c r="D59" s="26" t="s">
        <v>83</v>
      </c>
      <c r="E59" s="26"/>
      <c r="F59" s="240">
        <v>236053</v>
      </c>
      <c r="G59" s="241">
        <f t="shared" si="6"/>
        <v>236.053</v>
      </c>
      <c r="H59" s="41"/>
      <c r="K59">
        <v>2</v>
      </c>
      <c r="L59" s="9">
        <f>E28</f>
        <v>5.25</v>
      </c>
    </row>
    <row r="60" spans="2:12">
      <c r="C60" s="44">
        <v>4</v>
      </c>
      <c r="D60" s="26" t="s">
        <v>79</v>
      </c>
      <c r="E60" s="26"/>
      <c r="F60" s="240">
        <v>175360</v>
      </c>
      <c r="G60" s="241">
        <f t="shared" si="6"/>
        <v>175.36</v>
      </c>
      <c r="H60" s="41"/>
      <c r="K60">
        <v>3</v>
      </c>
      <c r="L60" s="9">
        <f>E39</f>
        <v>4.5</v>
      </c>
    </row>
    <row r="61" spans="2:12">
      <c r="C61" s="44">
        <v>5</v>
      </c>
      <c r="D61" s="26" t="s">
        <v>81</v>
      </c>
      <c r="E61" s="26"/>
      <c r="F61" s="240">
        <v>143385</v>
      </c>
      <c r="G61" s="241">
        <f t="shared" si="6"/>
        <v>143.38499999999999</v>
      </c>
      <c r="H61" s="71">
        <f>SUM(G59:G64)</f>
        <v>908.61800000000005</v>
      </c>
      <c r="K61">
        <v>4</v>
      </c>
      <c r="L61" s="9">
        <f>E52</f>
        <v>6</v>
      </c>
    </row>
    <row r="62" spans="2:12">
      <c r="C62" s="44">
        <v>6</v>
      </c>
      <c r="D62" s="26" t="s">
        <v>77</v>
      </c>
      <c r="E62" s="26"/>
      <c r="F62" s="240">
        <v>125180</v>
      </c>
      <c r="G62" s="241">
        <f t="shared" si="6"/>
        <v>125.18</v>
      </c>
      <c r="H62" s="41"/>
      <c r="K62">
        <v>5</v>
      </c>
      <c r="L62">
        <f>E52</f>
        <v>6</v>
      </c>
    </row>
    <row r="63" spans="2:12">
      <c r="C63" s="44">
        <v>7</v>
      </c>
      <c r="D63" s="26" t="s">
        <v>82</v>
      </c>
      <c r="E63" s="26"/>
      <c r="F63" s="240">
        <v>122590</v>
      </c>
      <c r="G63" s="241">
        <f t="shared" si="6"/>
        <v>122.59</v>
      </c>
      <c r="H63" s="41"/>
      <c r="K63">
        <v>6</v>
      </c>
      <c r="L63">
        <f>E65</f>
        <v>6</v>
      </c>
    </row>
    <row r="64" spans="2:12">
      <c r="C64" s="44">
        <v>8</v>
      </c>
      <c r="D64" s="26" t="s">
        <v>78</v>
      </c>
      <c r="E64" s="26"/>
      <c r="F64" s="240">
        <v>106050</v>
      </c>
      <c r="G64" s="241">
        <f t="shared" si="6"/>
        <v>106.05</v>
      </c>
      <c r="H64" s="41"/>
      <c r="L64" s="14">
        <f>SUM(L58:L63)</f>
        <v>34.5</v>
      </c>
    </row>
    <row r="65" spans="2:17">
      <c r="B65">
        <v>5</v>
      </c>
      <c r="C65" s="41">
        <f>C64</f>
        <v>8</v>
      </c>
      <c r="D65" s="42" t="s">
        <v>817</v>
      </c>
      <c r="E65" s="41">
        <f>0.75*C65</f>
        <v>6</v>
      </c>
      <c r="F65" s="27">
        <f>SUM(F57:F64)</f>
        <v>1472928</v>
      </c>
      <c r="G65" s="71">
        <f t="shared" si="6"/>
        <v>1472.9280000000001</v>
      </c>
      <c r="H65" s="241">
        <f>H61</f>
        <v>908.61800000000005</v>
      </c>
    </row>
    <row r="67" spans="2:17" ht="15.75">
      <c r="B67">
        <v>6</v>
      </c>
      <c r="C67" s="217" t="s">
        <v>801</v>
      </c>
      <c r="D67" s="217"/>
      <c r="E67" s="217"/>
      <c r="F67" s="217"/>
      <c r="G67" s="217"/>
      <c r="H67" s="217"/>
    </row>
    <row r="68" spans="2:17">
      <c r="C68" s="202" t="s">
        <v>767</v>
      </c>
      <c r="D68" s="203" t="s">
        <v>739</v>
      </c>
      <c r="E68" s="203"/>
      <c r="F68" s="203" t="s">
        <v>738</v>
      </c>
      <c r="G68" s="203"/>
      <c r="H68" s="203"/>
    </row>
    <row r="69" spans="2:17" ht="90">
      <c r="C69" s="202"/>
      <c r="D69" s="68" t="s">
        <v>740</v>
      </c>
      <c r="E69" s="112" t="s">
        <v>743</v>
      </c>
      <c r="F69" s="112" t="s">
        <v>737</v>
      </c>
      <c r="G69" s="112" t="s">
        <v>751</v>
      </c>
      <c r="H69" s="69" t="s">
        <v>746</v>
      </c>
    </row>
    <row r="70" spans="2:17">
      <c r="C70" s="44">
        <v>1</v>
      </c>
      <c r="D70" s="26" t="s">
        <v>64</v>
      </c>
      <c r="E70" s="26"/>
      <c r="F70" s="85">
        <v>239400</v>
      </c>
      <c r="G70" s="113">
        <f>F70/1000</f>
        <v>239.4</v>
      </c>
      <c r="H70" s="41"/>
    </row>
    <row r="71" spans="2:17">
      <c r="C71" s="44">
        <v>2</v>
      </c>
      <c r="D71" s="26" t="s">
        <v>67</v>
      </c>
      <c r="E71" s="26"/>
      <c r="F71" s="240">
        <v>118530</v>
      </c>
      <c r="G71" s="241">
        <f>F71/1000</f>
        <v>118.53</v>
      </c>
      <c r="H71" s="41"/>
    </row>
    <row r="72" spans="2:17">
      <c r="C72" s="44">
        <v>3</v>
      </c>
      <c r="D72" s="26" t="s">
        <v>66</v>
      </c>
      <c r="E72" s="26"/>
      <c r="F72" s="240">
        <v>115110</v>
      </c>
      <c r="G72" s="241">
        <f>F72/1000</f>
        <v>115.11</v>
      </c>
      <c r="H72" s="71">
        <f>SUM(G71:G73)</f>
        <v>302.68</v>
      </c>
    </row>
    <row r="73" spans="2:17">
      <c r="C73" s="44">
        <v>4</v>
      </c>
      <c r="D73" s="26" t="s">
        <v>65</v>
      </c>
      <c r="E73" s="26"/>
      <c r="F73" s="240">
        <v>69040</v>
      </c>
      <c r="G73" s="241">
        <f>F73/1000</f>
        <v>69.040000000000006</v>
      </c>
      <c r="H73" s="41"/>
    </row>
    <row r="74" spans="2:17">
      <c r="B74">
        <v>6</v>
      </c>
      <c r="C74" s="41">
        <f>C73</f>
        <v>4</v>
      </c>
      <c r="D74" s="42" t="s">
        <v>818</v>
      </c>
      <c r="E74" s="41">
        <f>0.75*C74</f>
        <v>3</v>
      </c>
      <c r="F74" s="27">
        <f>SUM(F70:F73)</f>
        <v>542080</v>
      </c>
      <c r="G74" s="71">
        <f t="shared" ref="G74" si="7">F74/1000</f>
        <v>542.08000000000004</v>
      </c>
      <c r="H74" s="241">
        <f>G74-G70</f>
        <v>302.68000000000006</v>
      </c>
    </row>
    <row r="76" spans="2:17">
      <c r="B76" s="134">
        <f>B67</f>
        <v>6</v>
      </c>
      <c r="C76" s="133">
        <f>C73+C64+C51+C38+C27+C15</f>
        <v>42</v>
      </c>
      <c r="D76" s="134" t="s">
        <v>741</v>
      </c>
      <c r="E76" s="132">
        <f>N29</f>
        <v>31.5</v>
      </c>
      <c r="F76" s="171">
        <f>F74+F65+F52+F39+F28+F16</f>
        <v>5668142</v>
      </c>
      <c r="G76" s="172">
        <f>G74+G65+G52+G39+G28+G16</f>
        <v>5687.0020000000004</v>
      </c>
      <c r="H76" s="172">
        <f>H74+H65+H52+H39+H28+H16</f>
        <v>3132.2469999999998</v>
      </c>
    </row>
    <row r="78" spans="2:17">
      <c r="C78" s="220" t="s">
        <v>758</v>
      </c>
      <c r="D78" s="221"/>
      <c r="E78" s="221"/>
      <c r="F78" s="221"/>
      <c r="G78" s="221"/>
      <c r="H78" s="222"/>
      <c r="L78" s="34" t="s">
        <v>192</v>
      </c>
      <c r="M78" t="s">
        <v>89</v>
      </c>
      <c r="O78" s="36">
        <v>255800</v>
      </c>
      <c r="P78" s="104">
        <f t="shared" ref="P78:P88" si="8">O78/1000</f>
        <v>255.8</v>
      </c>
      <c r="Q78" s="33"/>
    </row>
    <row r="79" spans="2:17" ht="15.75">
      <c r="B79">
        <v>1</v>
      </c>
      <c r="C79" s="217" t="s">
        <v>757</v>
      </c>
      <c r="D79" s="217"/>
      <c r="E79" s="217"/>
      <c r="F79" s="217"/>
      <c r="G79" s="217"/>
      <c r="H79" s="217"/>
      <c r="L79" s="34" t="s">
        <v>193</v>
      </c>
      <c r="M79" t="s">
        <v>94</v>
      </c>
      <c r="O79" s="36">
        <v>206700</v>
      </c>
      <c r="P79" s="104">
        <f t="shared" si="8"/>
        <v>206.7</v>
      </c>
      <c r="Q79" s="35">
        <f>P78+P79</f>
        <v>462.5</v>
      </c>
    </row>
    <row r="80" spans="2:17">
      <c r="C80" s="198" t="s">
        <v>760</v>
      </c>
      <c r="D80" s="218" t="s">
        <v>739</v>
      </c>
      <c r="E80" s="219"/>
      <c r="F80" s="203" t="s">
        <v>738</v>
      </c>
      <c r="G80" s="203"/>
      <c r="H80" s="203"/>
      <c r="L80" s="34" t="s">
        <v>194</v>
      </c>
      <c r="M80" t="s">
        <v>90</v>
      </c>
      <c r="O80" s="36">
        <v>202800</v>
      </c>
      <c r="P80" s="103">
        <f t="shared" si="8"/>
        <v>202.8</v>
      </c>
      <c r="Q80" s="33"/>
    </row>
    <row r="81" spans="2:18" ht="90">
      <c r="C81" s="199"/>
      <c r="D81" s="68" t="s">
        <v>740</v>
      </c>
      <c r="E81" s="112" t="s">
        <v>743</v>
      </c>
      <c r="F81" s="112" t="s">
        <v>737</v>
      </c>
      <c r="G81" s="112" t="s">
        <v>751</v>
      </c>
      <c r="H81" s="69" t="s">
        <v>746</v>
      </c>
      <c r="L81" s="34" t="s">
        <v>195</v>
      </c>
      <c r="M81" t="s">
        <v>86</v>
      </c>
      <c r="O81" s="36">
        <v>137500</v>
      </c>
      <c r="P81" s="103">
        <f t="shared" si="8"/>
        <v>137.5</v>
      </c>
      <c r="Q81" s="33"/>
    </row>
    <row r="82" spans="2:18">
      <c r="C82" s="44">
        <v>1</v>
      </c>
      <c r="D82" t="s">
        <v>89</v>
      </c>
      <c r="F82" s="81">
        <v>255800</v>
      </c>
      <c r="G82" s="102">
        <f t="shared" ref="G82:G92" si="9">F82/1000</f>
        <v>255.8</v>
      </c>
      <c r="H82" s="33"/>
      <c r="L82" s="34" t="s">
        <v>196</v>
      </c>
      <c r="M82" t="s">
        <v>95</v>
      </c>
      <c r="O82" s="36">
        <v>118200</v>
      </c>
      <c r="P82" s="103">
        <f t="shared" si="8"/>
        <v>118.2</v>
      </c>
      <c r="Q82" s="33"/>
    </row>
    <row r="83" spans="2:18">
      <c r="C83" s="44">
        <v>2</v>
      </c>
      <c r="D83" t="s">
        <v>94</v>
      </c>
      <c r="F83" s="81">
        <v>206700</v>
      </c>
      <c r="G83" s="102">
        <f t="shared" si="9"/>
        <v>206.7</v>
      </c>
      <c r="H83" s="35">
        <f>G82+G83</f>
        <v>462.5</v>
      </c>
      <c r="L83" s="34" t="s">
        <v>197</v>
      </c>
      <c r="M83" t="s">
        <v>88</v>
      </c>
      <c r="O83" s="36">
        <v>106800</v>
      </c>
      <c r="P83" s="103">
        <f t="shared" si="8"/>
        <v>106.8</v>
      </c>
      <c r="Q83" s="33"/>
    </row>
    <row r="84" spans="2:18">
      <c r="C84" s="44">
        <v>3</v>
      </c>
      <c r="D84" t="s">
        <v>90</v>
      </c>
      <c r="F84" s="242">
        <v>202800</v>
      </c>
      <c r="G84" s="243">
        <f t="shared" si="9"/>
        <v>202.8</v>
      </c>
      <c r="H84" s="33"/>
      <c r="L84" s="34" t="s">
        <v>198</v>
      </c>
      <c r="M84" t="s">
        <v>91</v>
      </c>
      <c r="O84" s="36">
        <v>94500</v>
      </c>
      <c r="P84" s="103">
        <f t="shared" si="8"/>
        <v>94.5</v>
      </c>
      <c r="Q84" s="33"/>
    </row>
    <row r="85" spans="2:18">
      <c r="C85" s="44">
        <v>4</v>
      </c>
      <c r="D85" t="s">
        <v>86</v>
      </c>
      <c r="F85" s="242">
        <v>137500</v>
      </c>
      <c r="G85" s="243">
        <f t="shared" si="9"/>
        <v>137.5</v>
      </c>
      <c r="H85" s="33"/>
      <c r="L85" s="34" t="s">
        <v>199</v>
      </c>
      <c r="M85" t="s">
        <v>92</v>
      </c>
      <c r="O85" s="36">
        <v>78300</v>
      </c>
      <c r="P85" s="103">
        <f t="shared" si="8"/>
        <v>78.3</v>
      </c>
      <c r="Q85" s="33"/>
    </row>
    <row r="86" spans="2:18">
      <c r="C86" s="44">
        <v>5</v>
      </c>
      <c r="D86" t="s">
        <v>95</v>
      </c>
      <c r="F86" s="242">
        <v>118200</v>
      </c>
      <c r="G86" s="243">
        <f t="shared" si="9"/>
        <v>118.2</v>
      </c>
      <c r="H86" s="33"/>
      <c r="L86" s="34" t="s">
        <v>200</v>
      </c>
      <c r="M86" t="s">
        <v>93</v>
      </c>
      <c r="O86" s="36">
        <v>59600</v>
      </c>
      <c r="P86" s="103">
        <f t="shared" si="8"/>
        <v>59.6</v>
      </c>
      <c r="Q86" s="33"/>
    </row>
    <row r="87" spans="2:18">
      <c r="C87" s="44">
        <v>6</v>
      </c>
      <c r="D87" t="s">
        <v>88</v>
      </c>
      <c r="F87" s="242">
        <v>106800</v>
      </c>
      <c r="G87" s="243">
        <f t="shared" si="9"/>
        <v>106.8</v>
      </c>
      <c r="H87" s="33"/>
      <c r="L87" s="34" t="s">
        <v>201</v>
      </c>
      <c r="M87" t="s">
        <v>87</v>
      </c>
      <c r="O87" s="36">
        <v>59100</v>
      </c>
      <c r="P87" s="103">
        <f t="shared" si="8"/>
        <v>59.1</v>
      </c>
      <c r="Q87" s="33"/>
    </row>
    <row r="88" spans="2:18">
      <c r="C88" s="44">
        <v>7</v>
      </c>
      <c r="D88" t="s">
        <v>91</v>
      </c>
      <c r="F88" s="242">
        <v>94500</v>
      </c>
      <c r="G88" s="243">
        <f t="shared" si="9"/>
        <v>94.5</v>
      </c>
      <c r="H88" s="33"/>
      <c r="L88" s="33"/>
      <c r="O88" s="36">
        <f>SUM(O78:O87)</f>
        <v>1319300</v>
      </c>
      <c r="P88" s="35">
        <f t="shared" si="8"/>
        <v>1319.3</v>
      </c>
      <c r="Q88" s="132">
        <f>0.75*10</f>
        <v>7.5</v>
      </c>
      <c r="R88" s="47">
        <f>P88-P78-P79</f>
        <v>856.8</v>
      </c>
    </row>
    <row r="89" spans="2:18">
      <c r="C89" s="44">
        <v>8</v>
      </c>
      <c r="D89" t="s">
        <v>92</v>
      </c>
      <c r="F89" s="242">
        <v>78300</v>
      </c>
      <c r="G89" s="243">
        <f t="shared" si="9"/>
        <v>78.3</v>
      </c>
      <c r="H89" s="33"/>
    </row>
    <row r="90" spans="2:18">
      <c r="C90" s="44">
        <v>9</v>
      </c>
      <c r="D90" t="s">
        <v>93</v>
      </c>
      <c r="F90" s="242">
        <v>59600</v>
      </c>
      <c r="G90" s="243">
        <f t="shared" si="9"/>
        <v>59.6</v>
      </c>
      <c r="H90" s="33"/>
    </row>
    <row r="91" spans="2:18">
      <c r="C91" s="44">
        <v>10</v>
      </c>
      <c r="D91" t="s">
        <v>87</v>
      </c>
      <c r="F91" s="242">
        <v>59100</v>
      </c>
      <c r="G91" s="243">
        <f t="shared" si="9"/>
        <v>59.1</v>
      </c>
      <c r="H91" s="33"/>
    </row>
    <row r="92" spans="2:18">
      <c r="C92" s="33">
        <f>C91</f>
        <v>10</v>
      </c>
      <c r="D92" s="251" t="s">
        <v>827</v>
      </c>
      <c r="E92" s="27">
        <f>0.75*C92</f>
        <v>7.5</v>
      </c>
      <c r="F92" s="36">
        <f>SUM(F82:F91)</f>
        <v>1319300</v>
      </c>
      <c r="G92" s="36">
        <f t="shared" si="9"/>
        <v>1319.3</v>
      </c>
      <c r="H92" s="243">
        <f>G92-G82-G83</f>
        <v>856.8</v>
      </c>
    </row>
    <row r="95" spans="2:18" ht="15.75">
      <c r="B95">
        <v>2</v>
      </c>
      <c r="C95" s="217" t="s">
        <v>759</v>
      </c>
      <c r="D95" s="217"/>
      <c r="E95" s="217"/>
      <c r="F95" s="217"/>
      <c r="G95" s="217"/>
      <c r="H95" s="217"/>
    </row>
    <row r="96" spans="2:18">
      <c r="C96" s="41"/>
      <c r="D96" s="203" t="s">
        <v>739</v>
      </c>
      <c r="E96" s="203"/>
      <c r="F96" s="203" t="s">
        <v>738</v>
      </c>
      <c r="G96" s="203"/>
      <c r="H96" s="203"/>
    </row>
    <row r="97" spans="2:19" ht="90">
      <c r="C97" s="154" t="s">
        <v>761</v>
      </c>
      <c r="D97" s="68" t="s">
        <v>740</v>
      </c>
      <c r="E97" s="112" t="s">
        <v>743</v>
      </c>
      <c r="F97" s="112" t="s">
        <v>737</v>
      </c>
      <c r="G97" s="112" t="s">
        <v>751</v>
      </c>
      <c r="H97" s="69" t="s">
        <v>746</v>
      </c>
    </row>
    <row r="98" spans="2:19">
      <c r="C98" s="44">
        <v>1</v>
      </c>
      <c r="D98" s="26" t="s">
        <v>99</v>
      </c>
      <c r="E98" s="26"/>
      <c r="F98" s="85">
        <v>440848</v>
      </c>
      <c r="G98" s="113">
        <f t="shared" ref="G98:G109" si="10">F98/1000</f>
        <v>440.84800000000001</v>
      </c>
      <c r="H98" s="41"/>
      <c r="L98" s="34" t="s">
        <v>192</v>
      </c>
      <c r="M98" t="s">
        <v>99</v>
      </c>
      <c r="O98" s="36">
        <v>440848</v>
      </c>
      <c r="P98" s="104">
        <f t="shared" ref="P98:P109" si="11">O98/1000</f>
        <v>440.84800000000001</v>
      </c>
      <c r="Q98" s="33"/>
    </row>
    <row r="99" spans="2:19">
      <c r="C99" s="44">
        <v>2</v>
      </c>
      <c r="D99" s="26" t="s">
        <v>106</v>
      </c>
      <c r="E99" s="26"/>
      <c r="F99" s="85">
        <v>362639</v>
      </c>
      <c r="G99" s="113">
        <f t="shared" si="10"/>
        <v>362.63900000000001</v>
      </c>
      <c r="H99" s="41"/>
      <c r="L99" s="34" t="s">
        <v>193</v>
      </c>
      <c r="M99" t="s">
        <v>106</v>
      </c>
      <c r="O99" s="36">
        <v>362639</v>
      </c>
      <c r="P99" s="104">
        <f t="shared" si="11"/>
        <v>362.63900000000001</v>
      </c>
      <c r="Q99" s="33"/>
    </row>
    <row r="100" spans="2:19">
      <c r="C100" s="44">
        <v>3</v>
      </c>
      <c r="D100" s="26" t="s">
        <v>102</v>
      </c>
      <c r="E100" s="26"/>
      <c r="F100" s="85">
        <v>226044</v>
      </c>
      <c r="G100" s="113">
        <f t="shared" si="10"/>
        <v>226.04400000000001</v>
      </c>
      <c r="H100" s="27">
        <f>SUM(G98:G100)</f>
        <v>1029.5310000000002</v>
      </c>
      <c r="L100" s="34" t="s">
        <v>194</v>
      </c>
      <c r="M100" t="s">
        <v>102</v>
      </c>
      <c r="O100" s="36">
        <v>226044</v>
      </c>
      <c r="P100" s="104">
        <f t="shared" si="11"/>
        <v>226.04400000000001</v>
      </c>
      <c r="Q100" s="35">
        <f>SUM(P98:P100)</f>
        <v>1029.5310000000002</v>
      </c>
    </row>
    <row r="101" spans="2:19">
      <c r="C101" s="44">
        <v>4</v>
      </c>
      <c r="D101" s="26" t="s">
        <v>103</v>
      </c>
      <c r="E101" s="26"/>
      <c r="F101" s="240">
        <v>147139</v>
      </c>
      <c r="G101" s="241">
        <f t="shared" si="10"/>
        <v>147.13900000000001</v>
      </c>
      <c r="H101" s="41"/>
      <c r="L101" s="34" t="s">
        <v>195</v>
      </c>
      <c r="M101" t="s">
        <v>103</v>
      </c>
      <c r="O101" s="36">
        <v>147139</v>
      </c>
      <c r="P101" s="103">
        <f t="shared" si="11"/>
        <v>147.13900000000001</v>
      </c>
      <c r="Q101" s="33"/>
    </row>
    <row r="102" spans="2:19">
      <c r="C102" s="44">
        <v>5</v>
      </c>
      <c r="D102" s="26" t="s">
        <v>100</v>
      </c>
      <c r="E102" s="26"/>
      <c r="F102" s="240">
        <v>142304</v>
      </c>
      <c r="G102" s="241">
        <f t="shared" si="10"/>
        <v>142.304</v>
      </c>
      <c r="H102" s="41"/>
      <c r="L102" s="34" t="s">
        <v>196</v>
      </c>
      <c r="M102" t="s">
        <v>100</v>
      </c>
      <c r="O102" s="36">
        <v>142304</v>
      </c>
      <c r="P102" s="103">
        <f t="shared" si="11"/>
        <v>142.304</v>
      </c>
      <c r="Q102" s="33"/>
    </row>
    <row r="103" spans="2:19">
      <c r="C103" s="44">
        <v>6</v>
      </c>
      <c r="D103" s="26" t="s">
        <v>97</v>
      </c>
      <c r="E103" s="26"/>
      <c r="F103" s="240">
        <v>130487</v>
      </c>
      <c r="G103" s="241">
        <f t="shared" si="10"/>
        <v>130.48699999999999</v>
      </c>
      <c r="H103" s="41"/>
      <c r="L103" s="34" t="s">
        <v>197</v>
      </c>
      <c r="M103" t="s">
        <v>97</v>
      </c>
      <c r="O103" s="36">
        <v>130487</v>
      </c>
      <c r="P103" s="103">
        <f t="shared" si="11"/>
        <v>130.48699999999999</v>
      </c>
      <c r="Q103" s="33"/>
    </row>
    <row r="104" spans="2:19">
      <c r="C104" s="44">
        <v>7</v>
      </c>
      <c r="D104" s="26" t="s">
        <v>98</v>
      </c>
      <c r="E104" s="26"/>
      <c r="F104" s="240">
        <v>126245</v>
      </c>
      <c r="G104" s="241">
        <f t="shared" si="10"/>
        <v>126.245</v>
      </c>
      <c r="H104" s="41"/>
      <c r="L104" s="34" t="s">
        <v>198</v>
      </c>
      <c r="M104" t="s">
        <v>98</v>
      </c>
      <c r="O104" s="36">
        <v>126245</v>
      </c>
      <c r="P104" s="103">
        <f t="shared" si="11"/>
        <v>126.245</v>
      </c>
      <c r="Q104" s="33"/>
    </row>
    <row r="105" spans="2:19">
      <c r="C105" s="44">
        <v>8</v>
      </c>
      <c r="D105" s="26" t="s">
        <v>101</v>
      </c>
      <c r="E105" s="26"/>
      <c r="F105" s="240">
        <v>109159</v>
      </c>
      <c r="G105" s="241">
        <f t="shared" si="10"/>
        <v>109.15900000000001</v>
      </c>
      <c r="H105" s="41"/>
      <c r="L105" s="34" t="s">
        <v>199</v>
      </c>
      <c r="M105" t="s">
        <v>101</v>
      </c>
      <c r="O105" s="36">
        <v>109159</v>
      </c>
      <c r="P105" s="103">
        <f t="shared" si="11"/>
        <v>109.15900000000001</v>
      </c>
      <c r="Q105" s="33"/>
    </row>
    <row r="106" spans="2:19">
      <c r="C106" s="44">
        <v>9</v>
      </c>
      <c r="D106" s="26" t="s">
        <v>107</v>
      </c>
      <c r="E106" s="26"/>
      <c r="F106" s="240">
        <v>92744</v>
      </c>
      <c r="G106" s="241">
        <f t="shared" si="10"/>
        <v>92.744</v>
      </c>
      <c r="H106" s="41"/>
      <c r="L106" s="34" t="s">
        <v>200</v>
      </c>
      <c r="M106" t="s">
        <v>107</v>
      </c>
      <c r="O106" s="36">
        <v>92744</v>
      </c>
      <c r="P106" s="103">
        <f t="shared" si="11"/>
        <v>92.744</v>
      </c>
      <c r="Q106" s="33"/>
    </row>
    <row r="107" spans="2:19">
      <c r="C107" s="44">
        <v>10</v>
      </c>
      <c r="D107" s="26" t="s">
        <v>104</v>
      </c>
      <c r="E107" s="26"/>
      <c r="F107" s="240">
        <v>87197</v>
      </c>
      <c r="G107" s="241">
        <f t="shared" si="10"/>
        <v>87.197000000000003</v>
      </c>
      <c r="H107" s="41"/>
      <c r="L107" s="34" t="s">
        <v>201</v>
      </c>
      <c r="M107" t="s">
        <v>104</v>
      </c>
      <c r="O107" s="36">
        <v>87197</v>
      </c>
      <c r="P107" s="103">
        <f t="shared" si="11"/>
        <v>87.197000000000003</v>
      </c>
      <c r="Q107" s="33"/>
    </row>
    <row r="108" spans="2:19">
      <c r="C108" s="44">
        <v>11</v>
      </c>
      <c r="D108" s="26" t="s">
        <v>105</v>
      </c>
      <c r="E108" s="26"/>
      <c r="F108" s="240">
        <v>80842</v>
      </c>
      <c r="G108" s="241">
        <f t="shared" si="10"/>
        <v>80.841999999999999</v>
      </c>
      <c r="H108" s="41"/>
      <c r="L108" s="34" t="s">
        <v>202</v>
      </c>
      <c r="M108" t="s">
        <v>105</v>
      </c>
      <c r="O108" s="36">
        <v>80842</v>
      </c>
      <c r="P108" s="103">
        <f t="shared" si="11"/>
        <v>80.841999999999999</v>
      </c>
      <c r="Q108" s="33"/>
    </row>
    <row r="109" spans="2:19">
      <c r="C109" s="33">
        <f>C108</f>
        <v>11</v>
      </c>
      <c r="D109" s="42" t="s">
        <v>759</v>
      </c>
      <c r="E109" s="168">
        <f>0.75*C108</f>
        <v>8.25</v>
      </c>
      <c r="F109" s="240">
        <f>SUM(F98:F108)</f>
        <v>1945648</v>
      </c>
      <c r="G109" s="240">
        <f t="shared" si="10"/>
        <v>1945.6479999999999</v>
      </c>
      <c r="H109" s="240">
        <f>P109-P98-P99-P100</f>
        <v>916.11700000000008</v>
      </c>
      <c r="I109" s="47" t="s">
        <v>600</v>
      </c>
      <c r="L109" s="33"/>
      <c r="O109" s="36">
        <f>SUM(O98:O108)</f>
        <v>1945648</v>
      </c>
      <c r="P109" s="35">
        <f t="shared" si="11"/>
        <v>1945.6479999999999</v>
      </c>
      <c r="Q109" s="132">
        <f>0.75*11</f>
        <v>8.25</v>
      </c>
    </row>
    <row r="110" spans="2:19">
      <c r="B110" s="134">
        <v>2</v>
      </c>
      <c r="C110" s="175">
        <f>C109+C91</f>
        <v>21</v>
      </c>
      <c r="D110" s="175" t="s">
        <v>758</v>
      </c>
      <c r="E110" s="176" t="e">
        <f>E109+#REF!</f>
        <v>#REF!</v>
      </c>
      <c r="F110" s="177">
        <f>F109+F92</f>
        <v>3264948</v>
      </c>
      <c r="G110" s="176">
        <f>G109+G92</f>
        <v>3264.9479999999999</v>
      </c>
      <c r="H110" s="177">
        <f>H92+H109</f>
        <v>1772.9169999999999</v>
      </c>
      <c r="L110" s="33">
        <f>L108+L95</f>
        <v>11</v>
      </c>
      <c r="M110" s="21" t="s">
        <v>646</v>
      </c>
      <c r="N110" s="21"/>
      <c r="O110" s="33"/>
      <c r="P110" s="33"/>
      <c r="Q110" s="59">
        <f>Q109+Q96</f>
        <v>8.25</v>
      </c>
      <c r="S110" s="46">
        <f>R96+H109</f>
        <v>916.11700000000008</v>
      </c>
    </row>
    <row r="114" spans="2:17">
      <c r="C114" s="220" t="s">
        <v>647</v>
      </c>
      <c r="D114" s="221"/>
      <c r="E114" s="221"/>
      <c r="F114" s="221"/>
      <c r="G114" s="221"/>
      <c r="H114" s="222"/>
    </row>
    <row r="115" spans="2:17" ht="15.75">
      <c r="B115">
        <v>1</v>
      </c>
      <c r="C115" s="214" t="s">
        <v>762</v>
      </c>
      <c r="D115" s="214"/>
      <c r="E115" s="214"/>
      <c r="F115" s="214"/>
      <c r="G115" s="214"/>
      <c r="H115" s="214"/>
      <c r="L115" t="s">
        <v>109</v>
      </c>
      <c r="O115" s="33"/>
      <c r="P115" s="33"/>
      <c r="Q115" s="33"/>
    </row>
    <row r="116" spans="2:17">
      <c r="C116" s="198" t="s">
        <v>760</v>
      </c>
      <c r="D116" s="218" t="s">
        <v>739</v>
      </c>
      <c r="E116" s="219"/>
      <c r="F116" s="203" t="s">
        <v>738</v>
      </c>
      <c r="G116" s="203"/>
      <c r="H116" s="203"/>
      <c r="L116" s="34" t="s">
        <v>192</v>
      </c>
      <c r="M116" t="s">
        <v>121</v>
      </c>
      <c r="O116" s="80">
        <v>460430</v>
      </c>
      <c r="P116" s="104">
        <f t="shared" ref="P116:P131" si="12">O116/1000</f>
        <v>460.43</v>
      </c>
      <c r="Q116" s="33"/>
    </row>
    <row r="117" spans="2:17" ht="90">
      <c r="C117" s="199"/>
      <c r="D117" s="68" t="s">
        <v>740</v>
      </c>
      <c r="E117" s="112" t="s">
        <v>743</v>
      </c>
      <c r="F117" s="112" t="s">
        <v>737</v>
      </c>
      <c r="G117" s="112" t="s">
        <v>751</v>
      </c>
      <c r="H117" s="69" t="s">
        <v>746</v>
      </c>
      <c r="L117" s="34" t="s">
        <v>193</v>
      </c>
      <c r="M117" t="s">
        <v>110</v>
      </c>
      <c r="O117" s="80">
        <v>353540</v>
      </c>
      <c r="P117" s="104">
        <f t="shared" si="12"/>
        <v>353.54</v>
      </c>
      <c r="Q117" s="33"/>
    </row>
    <row r="118" spans="2:17">
      <c r="C118" s="44">
        <v>1</v>
      </c>
      <c r="D118" t="s">
        <v>121</v>
      </c>
      <c r="F118" s="81">
        <v>460430</v>
      </c>
      <c r="G118" s="102">
        <f t="shared" ref="G118:G132" si="13">F118/1000</f>
        <v>460.43</v>
      </c>
      <c r="H118" s="33"/>
      <c r="L118" s="34" t="s">
        <v>194</v>
      </c>
      <c r="M118" t="s">
        <v>115</v>
      </c>
      <c r="O118" s="80">
        <v>257270</v>
      </c>
      <c r="P118" s="104">
        <f t="shared" si="12"/>
        <v>257.27</v>
      </c>
      <c r="Q118" s="33"/>
    </row>
    <row r="119" spans="2:17">
      <c r="C119" s="44">
        <v>2</v>
      </c>
      <c r="D119" t="s">
        <v>110</v>
      </c>
      <c r="F119" s="81">
        <v>353540</v>
      </c>
      <c r="G119" s="102">
        <f t="shared" si="13"/>
        <v>353.54</v>
      </c>
      <c r="H119" s="33"/>
      <c r="L119" s="34" t="s">
        <v>195</v>
      </c>
      <c r="M119" t="s">
        <v>113</v>
      </c>
      <c r="O119" s="80">
        <v>241260</v>
      </c>
      <c r="P119" s="104">
        <f t="shared" si="12"/>
        <v>241.26</v>
      </c>
      <c r="Q119" s="36">
        <f>P116+P117+P118+P119</f>
        <v>1312.5</v>
      </c>
    </row>
    <row r="120" spans="2:17">
      <c r="C120" s="44">
        <v>3</v>
      </c>
      <c r="D120" t="s">
        <v>115</v>
      </c>
      <c r="F120" s="81">
        <v>257270</v>
      </c>
      <c r="G120" s="102">
        <f t="shared" si="13"/>
        <v>257.27</v>
      </c>
      <c r="H120" s="33"/>
      <c r="L120" s="34" t="s">
        <v>196</v>
      </c>
      <c r="M120" t="s">
        <v>122</v>
      </c>
      <c r="O120" s="36">
        <v>234970</v>
      </c>
      <c r="P120" s="103">
        <f t="shared" si="12"/>
        <v>234.97</v>
      </c>
      <c r="Q120" s="33"/>
    </row>
    <row r="121" spans="2:17">
      <c r="C121" s="44">
        <v>4</v>
      </c>
      <c r="D121" t="s">
        <v>113</v>
      </c>
      <c r="F121" s="81">
        <v>241260</v>
      </c>
      <c r="G121" s="102">
        <f t="shared" si="13"/>
        <v>241.26</v>
      </c>
      <c r="H121" s="36">
        <f>G118+G119+G120+G121</f>
        <v>1312.5</v>
      </c>
      <c r="L121" s="34" t="s">
        <v>197</v>
      </c>
      <c r="M121" t="s">
        <v>114</v>
      </c>
      <c r="O121" s="36">
        <v>233470</v>
      </c>
      <c r="P121" s="103">
        <f t="shared" si="12"/>
        <v>233.47</v>
      </c>
      <c r="Q121" s="33"/>
    </row>
    <row r="122" spans="2:17">
      <c r="C122" s="44">
        <v>5</v>
      </c>
      <c r="D122" t="s">
        <v>122</v>
      </c>
      <c r="F122" s="242">
        <v>234970</v>
      </c>
      <c r="G122" s="243">
        <f t="shared" si="13"/>
        <v>234.97</v>
      </c>
      <c r="H122" s="33"/>
      <c r="L122" s="34" t="s">
        <v>198</v>
      </c>
      <c r="M122" t="s">
        <v>111</v>
      </c>
      <c r="O122" s="36">
        <v>142850</v>
      </c>
      <c r="P122" s="103">
        <f t="shared" si="12"/>
        <v>142.85</v>
      </c>
      <c r="Q122" s="33"/>
    </row>
    <row r="123" spans="2:17">
      <c r="C123" s="44">
        <v>6</v>
      </c>
      <c r="D123" t="s">
        <v>114</v>
      </c>
      <c r="F123" s="242">
        <v>233470</v>
      </c>
      <c r="G123" s="243">
        <f t="shared" si="13"/>
        <v>233.47</v>
      </c>
      <c r="H123" s="33"/>
      <c r="L123" s="34" t="s">
        <v>199</v>
      </c>
      <c r="M123" t="s">
        <v>124</v>
      </c>
      <c r="O123" s="36">
        <v>129070</v>
      </c>
      <c r="P123" s="103">
        <f t="shared" si="12"/>
        <v>129.07</v>
      </c>
      <c r="Q123" s="33"/>
    </row>
    <row r="124" spans="2:17">
      <c r="C124" s="44">
        <v>7</v>
      </c>
      <c r="D124" t="s">
        <v>111</v>
      </c>
      <c r="F124" s="242">
        <v>142850</v>
      </c>
      <c r="G124" s="243">
        <f t="shared" si="13"/>
        <v>142.85</v>
      </c>
      <c r="H124" s="33"/>
      <c r="L124" s="34" t="s">
        <v>200</v>
      </c>
      <c r="M124" t="s">
        <v>118</v>
      </c>
      <c r="O124" s="36">
        <v>120440</v>
      </c>
      <c r="P124" s="103">
        <f t="shared" si="12"/>
        <v>120.44</v>
      </c>
      <c r="Q124" s="33"/>
    </row>
    <row r="125" spans="2:17">
      <c r="C125" s="44">
        <v>8</v>
      </c>
      <c r="D125" t="s">
        <v>124</v>
      </c>
      <c r="F125" s="242">
        <v>129070</v>
      </c>
      <c r="G125" s="243">
        <f t="shared" si="13"/>
        <v>129.07</v>
      </c>
      <c r="H125" s="33"/>
      <c r="L125" s="34" t="s">
        <v>201</v>
      </c>
      <c r="M125" t="s">
        <v>123</v>
      </c>
      <c r="O125" s="36">
        <v>103950</v>
      </c>
      <c r="P125" s="103">
        <f t="shared" si="12"/>
        <v>103.95</v>
      </c>
      <c r="Q125" s="33"/>
    </row>
    <row r="126" spans="2:17">
      <c r="C126" s="44">
        <v>9</v>
      </c>
      <c r="D126" t="s">
        <v>118</v>
      </c>
      <c r="F126" s="242">
        <v>120440</v>
      </c>
      <c r="G126" s="243">
        <f t="shared" si="13"/>
        <v>120.44</v>
      </c>
      <c r="H126" s="33"/>
      <c r="L126" s="34" t="s">
        <v>202</v>
      </c>
      <c r="M126" t="s">
        <v>112</v>
      </c>
      <c r="O126" s="36">
        <v>98300</v>
      </c>
      <c r="P126" s="103">
        <f t="shared" si="12"/>
        <v>98.3</v>
      </c>
      <c r="Q126" s="33"/>
    </row>
    <row r="127" spans="2:17">
      <c r="C127" s="44">
        <v>10</v>
      </c>
      <c r="D127" t="s">
        <v>123</v>
      </c>
      <c r="F127" s="242">
        <v>103950</v>
      </c>
      <c r="G127" s="243">
        <f t="shared" si="13"/>
        <v>103.95</v>
      </c>
      <c r="H127" s="33"/>
      <c r="L127" s="34" t="s">
        <v>203</v>
      </c>
      <c r="M127" t="s">
        <v>120</v>
      </c>
      <c r="O127" s="36">
        <v>92220</v>
      </c>
      <c r="P127" s="103">
        <f t="shared" si="12"/>
        <v>92.22</v>
      </c>
      <c r="Q127" s="33"/>
    </row>
    <row r="128" spans="2:17">
      <c r="C128" s="44">
        <v>11</v>
      </c>
      <c r="D128" t="s">
        <v>112</v>
      </c>
      <c r="F128" s="242">
        <v>98300</v>
      </c>
      <c r="G128" s="243">
        <f t="shared" si="13"/>
        <v>98.3</v>
      </c>
      <c r="H128" s="33"/>
      <c r="L128" s="34" t="s">
        <v>204</v>
      </c>
      <c r="M128" t="s">
        <v>116</v>
      </c>
      <c r="O128" s="36">
        <v>87200</v>
      </c>
      <c r="P128" s="103">
        <f t="shared" si="12"/>
        <v>87.2</v>
      </c>
      <c r="Q128" s="33"/>
    </row>
    <row r="129" spans="2:18">
      <c r="C129" s="44">
        <v>12</v>
      </c>
      <c r="D129" t="s">
        <v>120</v>
      </c>
      <c r="F129" s="242">
        <v>92220</v>
      </c>
      <c r="G129" s="243">
        <f t="shared" si="13"/>
        <v>92.22</v>
      </c>
      <c r="H129" s="33"/>
      <c r="L129" s="34" t="s">
        <v>205</v>
      </c>
      <c r="M129" t="s">
        <v>117</v>
      </c>
      <c r="O129" s="36">
        <v>73920</v>
      </c>
      <c r="P129" s="103">
        <f t="shared" si="12"/>
        <v>73.92</v>
      </c>
      <c r="Q129" s="33"/>
    </row>
    <row r="130" spans="2:18">
      <c r="C130" s="44">
        <v>13</v>
      </c>
      <c r="D130" t="s">
        <v>116</v>
      </c>
      <c r="F130" s="242">
        <v>87200</v>
      </c>
      <c r="G130" s="243">
        <f t="shared" si="13"/>
        <v>87.2</v>
      </c>
      <c r="H130" s="33"/>
      <c r="L130" s="34" t="s">
        <v>206</v>
      </c>
      <c r="M130" t="s">
        <v>119</v>
      </c>
      <c r="O130" s="36">
        <v>72900</v>
      </c>
      <c r="P130" s="103">
        <f t="shared" si="12"/>
        <v>72.900000000000006</v>
      </c>
      <c r="Q130" s="33"/>
    </row>
    <row r="131" spans="2:18">
      <c r="C131" s="44">
        <v>14</v>
      </c>
      <c r="D131" t="s">
        <v>117</v>
      </c>
      <c r="F131" s="242">
        <v>73920</v>
      </c>
      <c r="G131" s="243">
        <f t="shared" si="13"/>
        <v>73.92</v>
      </c>
      <c r="H131" s="33"/>
      <c r="L131" s="33"/>
      <c r="O131" s="36">
        <f>SUM(O116:O130)</f>
        <v>2701790</v>
      </c>
      <c r="P131" s="35">
        <f t="shared" si="12"/>
        <v>2701.79</v>
      </c>
      <c r="Q131" s="132">
        <f>0.75*15</f>
        <v>11.25</v>
      </c>
      <c r="R131" s="46">
        <f>P131-P116-P117-P118-P119</f>
        <v>1389.2900000000002</v>
      </c>
    </row>
    <row r="132" spans="2:18">
      <c r="C132" s="44">
        <v>15</v>
      </c>
      <c r="D132" t="s">
        <v>119</v>
      </c>
      <c r="F132" s="242">
        <v>72900</v>
      </c>
      <c r="G132" s="243">
        <f t="shared" si="13"/>
        <v>72.900000000000006</v>
      </c>
      <c r="H132" s="33"/>
    </row>
    <row r="133" spans="2:18">
      <c r="C133" s="41">
        <f>C132</f>
        <v>15</v>
      </c>
      <c r="D133" s="26" t="s">
        <v>109</v>
      </c>
      <c r="E133" s="27">
        <f>0.75*C133</f>
        <v>11.25</v>
      </c>
      <c r="F133" s="36">
        <f>SUM(F118:F132)</f>
        <v>2701790</v>
      </c>
      <c r="G133" s="36">
        <f>SUM(G118:G132)</f>
        <v>2701.79</v>
      </c>
      <c r="H133" s="242">
        <f>G133-H121</f>
        <v>1389.29</v>
      </c>
    </row>
    <row r="135" spans="2:18" ht="15.75">
      <c r="B135">
        <v>2</v>
      </c>
      <c r="C135" s="217" t="s">
        <v>763</v>
      </c>
      <c r="D135" s="217"/>
      <c r="E135" s="217"/>
      <c r="F135" s="217"/>
      <c r="G135" s="217"/>
      <c r="H135" s="217"/>
      <c r="L135" s="33" t="s">
        <v>125</v>
      </c>
      <c r="O135" s="33"/>
      <c r="P135" s="33"/>
      <c r="Q135" s="33"/>
    </row>
    <row r="136" spans="2:18">
      <c r="C136" s="198" t="s">
        <v>760</v>
      </c>
      <c r="D136" s="218" t="s">
        <v>739</v>
      </c>
      <c r="E136" s="219"/>
      <c r="F136" s="203" t="s">
        <v>738</v>
      </c>
      <c r="G136" s="203"/>
      <c r="H136" s="203"/>
      <c r="L136" s="34" t="s">
        <v>192</v>
      </c>
      <c r="M136" s="22" t="s">
        <v>140</v>
      </c>
      <c r="N136" s="22"/>
      <c r="O136" s="80">
        <v>370760</v>
      </c>
      <c r="P136" s="104">
        <f t="shared" ref="P136:P153" si="14">O136/1000</f>
        <v>370.76</v>
      </c>
      <c r="Q136" s="33"/>
    </row>
    <row r="137" spans="2:18" ht="90">
      <c r="C137" s="199"/>
      <c r="D137" s="68" t="s">
        <v>740</v>
      </c>
      <c r="E137" s="112" t="s">
        <v>743</v>
      </c>
      <c r="F137" s="112" t="s">
        <v>737</v>
      </c>
      <c r="G137" s="112" t="s">
        <v>751</v>
      </c>
      <c r="H137" s="69" t="s">
        <v>746</v>
      </c>
      <c r="L137" s="34" t="s">
        <v>193</v>
      </c>
      <c r="M137" s="22" t="s">
        <v>217</v>
      </c>
      <c r="N137" s="22"/>
      <c r="O137" s="80">
        <v>329210</v>
      </c>
      <c r="P137" s="104">
        <f t="shared" si="14"/>
        <v>329.21</v>
      </c>
      <c r="Q137" s="33"/>
    </row>
    <row r="138" spans="2:18">
      <c r="C138" s="41">
        <v>1</v>
      </c>
      <c r="D138" s="26" t="s">
        <v>140</v>
      </c>
      <c r="E138" s="26"/>
      <c r="F138" s="85">
        <v>370760</v>
      </c>
      <c r="G138" s="113">
        <f t="shared" ref="G138:G154" si="15">F138/1000</f>
        <v>370.76</v>
      </c>
      <c r="H138" s="41"/>
      <c r="L138" s="34" t="s">
        <v>194</v>
      </c>
      <c r="M138" s="22" t="s">
        <v>128</v>
      </c>
      <c r="N138" s="22"/>
      <c r="O138" s="80">
        <v>274070</v>
      </c>
      <c r="P138" s="104">
        <f t="shared" si="14"/>
        <v>274.07</v>
      </c>
      <c r="Q138" s="33"/>
    </row>
    <row r="139" spans="2:18">
      <c r="C139" s="41">
        <v>2</v>
      </c>
      <c r="D139" s="26" t="s">
        <v>217</v>
      </c>
      <c r="E139" s="26"/>
      <c r="F139" s="85">
        <v>329210</v>
      </c>
      <c r="G139" s="113">
        <f t="shared" si="15"/>
        <v>329.21</v>
      </c>
      <c r="H139" s="41"/>
      <c r="L139" s="34" t="s">
        <v>195</v>
      </c>
      <c r="M139" s="22" t="s">
        <v>129</v>
      </c>
      <c r="N139" s="22"/>
      <c r="O139" s="80">
        <v>248760</v>
      </c>
      <c r="P139" s="104">
        <f t="shared" si="14"/>
        <v>248.76</v>
      </c>
      <c r="Q139" s="36">
        <f>P136+P137+P138+P139</f>
        <v>1222.8</v>
      </c>
    </row>
    <row r="140" spans="2:18">
      <c r="C140" s="41">
        <v>3</v>
      </c>
      <c r="D140" s="26" t="s">
        <v>128</v>
      </c>
      <c r="E140" s="26"/>
      <c r="F140" s="85">
        <v>274070</v>
      </c>
      <c r="G140" s="113">
        <f t="shared" si="15"/>
        <v>274.07</v>
      </c>
      <c r="H140" s="41"/>
      <c r="L140" s="34" t="s">
        <v>196</v>
      </c>
      <c r="M140" t="s">
        <v>127</v>
      </c>
      <c r="O140" s="36">
        <v>227980</v>
      </c>
      <c r="P140" s="103">
        <f t="shared" si="14"/>
        <v>227.98</v>
      </c>
      <c r="Q140" s="33"/>
    </row>
    <row r="141" spans="2:18">
      <c r="C141" s="41">
        <v>4</v>
      </c>
      <c r="D141" s="26" t="s">
        <v>129</v>
      </c>
      <c r="E141" s="26"/>
      <c r="F141" s="85">
        <v>248760</v>
      </c>
      <c r="G141" s="113">
        <f t="shared" si="15"/>
        <v>248.76</v>
      </c>
      <c r="H141" s="27">
        <f>G138+G139+G140+G141</f>
        <v>1222.8</v>
      </c>
      <c r="L141" s="34" t="s">
        <v>197</v>
      </c>
      <c r="M141" t="s">
        <v>141</v>
      </c>
      <c r="O141" s="36">
        <v>168540</v>
      </c>
      <c r="P141" s="103">
        <f t="shared" si="14"/>
        <v>168.54</v>
      </c>
      <c r="Q141" s="33"/>
    </row>
    <row r="142" spans="2:18">
      <c r="C142" s="41">
        <v>5</v>
      </c>
      <c r="D142" s="26" t="s">
        <v>127</v>
      </c>
      <c r="E142" s="26"/>
      <c r="F142" s="240">
        <v>227980</v>
      </c>
      <c r="G142" s="241">
        <f t="shared" si="15"/>
        <v>227.98</v>
      </c>
      <c r="H142" s="41"/>
      <c r="L142" s="34" t="s">
        <v>198</v>
      </c>
      <c r="M142" t="s">
        <v>130</v>
      </c>
      <c r="O142" s="36">
        <v>160650</v>
      </c>
      <c r="P142" s="103">
        <f t="shared" si="14"/>
        <v>160.65</v>
      </c>
      <c r="Q142" s="33"/>
    </row>
    <row r="143" spans="2:18">
      <c r="C143" s="41">
        <v>6</v>
      </c>
      <c r="D143" s="26" t="s">
        <v>141</v>
      </c>
      <c r="E143" s="26"/>
      <c r="F143" s="240">
        <v>168540</v>
      </c>
      <c r="G143" s="241">
        <f t="shared" si="15"/>
        <v>168.54</v>
      </c>
      <c r="H143" s="41"/>
      <c r="L143" s="34" t="s">
        <v>199</v>
      </c>
      <c r="M143" t="s">
        <v>132</v>
      </c>
      <c r="O143" s="36">
        <v>148500</v>
      </c>
      <c r="P143" s="103">
        <f t="shared" si="14"/>
        <v>148.5</v>
      </c>
      <c r="Q143" s="33"/>
    </row>
    <row r="144" spans="2:18">
      <c r="C144" s="41">
        <v>7</v>
      </c>
      <c r="D144" s="26" t="s">
        <v>130</v>
      </c>
      <c r="E144" s="26"/>
      <c r="F144" s="240">
        <v>160650</v>
      </c>
      <c r="G144" s="241">
        <f t="shared" si="15"/>
        <v>160.65</v>
      </c>
      <c r="H144" s="41"/>
      <c r="L144" s="34" t="s">
        <v>200</v>
      </c>
      <c r="M144" t="s">
        <v>135</v>
      </c>
      <c r="O144" s="36">
        <v>127550</v>
      </c>
      <c r="P144" s="103">
        <f t="shared" si="14"/>
        <v>127.55</v>
      </c>
      <c r="Q144" s="33"/>
    </row>
    <row r="145" spans="2:18">
      <c r="C145" s="41">
        <v>8</v>
      </c>
      <c r="D145" s="26" t="s">
        <v>132</v>
      </c>
      <c r="E145" s="26"/>
      <c r="F145" s="240">
        <v>148500</v>
      </c>
      <c r="G145" s="241">
        <f t="shared" si="15"/>
        <v>148.5</v>
      </c>
      <c r="H145" s="41"/>
      <c r="L145" s="34" t="s">
        <v>201</v>
      </c>
      <c r="M145" t="s">
        <v>126</v>
      </c>
      <c r="O145" s="36">
        <v>122030</v>
      </c>
      <c r="P145" s="103">
        <f t="shared" si="14"/>
        <v>122.03</v>
      </c>
      <c r="Q145" s="33"/>
    </row>
    <row r="146" spans="2:18">
      <c r="C146" s="41">
        <v>9</v>
      </c>
      <c r="D146" s="26" t="s">
        <v>135</v>
      </c>
      <c r="E146" s="26"/>
      <c r="F146" s="240">
        <v>127550</v>
      </c>
      <c r="G146" s="241">
        <f t="shared" si="15"/>
        <v>127.55</v>
      </c>
      <c r="H146" s="41"/>
      <c r="L146" s="34" t="s">
        <v>202</v>
      </c>
      <c r="M146" t="s">
        <v>138</v>
      </c>
      <c r="O146" s="36">
        <v>121290</v>
      </c>
      <c r="P146" s="103">
        <f t="shared" si="14"/>
        <v>121.29</v>
      </c>
      <c r="Q146" s="33"/>
    </row>
    <row r="147" spans="2:18">
      <c r="C147" s="41">
        <v>10</v>
      </c>
      <c r="D147" s="26" t="s">
        <v>126</v>
      </c>
      <c r="E147" s="26"/>
      <c r="F147" s="240">
        <v>122030</v>
      </c>
      <c r="G147" s="241">
        <f t="shared" si="15"/>
        <v>122.03</v>
      </c>
      <c r="H147" s="41"/>
      <c r="L147" s="34" t="s">
        <v>203</v>
      </c>
      <c r="M147" t="s">
        <v>131</v>
      </c>
      <c r="O147" s="36">
        <v>118260</v>
      </c>
      <c r="P147" s="103">
        <f t="shared" si="14"/>
        <v>118.26</v>
      </c>
      <c r="Q147" s="33"/>
    </row>
    <row r="148" spans="2:18">
      <c r="C148" s="41">
        <v>11</v>
      </c>
      <c r="D148" s="26" t="s">
        <v>138</v>
      </c>
      <c r="E148" s="26"/>
      <c r="F148" s="240">
        <v>121290</v>
      </c>
      <c r="G148" s="241">
        <f t="shared" si="15"/>
        <v>121.29</v>
      </c>
      <c r="H148" s="41"/>
      <c r="L148" s="34" t="s">
        <v>204</v>
      </c>
      <c r="M148" t="s">
        <v>139</v>
      </c>
      <c r="O148" s="36">
        <v>101190</v>
      </c>
      <c r="P148" s="103">
        <f t="shared" si="14"/>
        <v>101.19</v>
      </c>
      <c r="Q148" s="33"/>
    </row>
    <row r="149" spans="2:18">
      <c r="C149" s="41">
        <v>12</v>
      </c>
      <c r="D149" s="26" t="s">
        <v>131</v>
      </c>
      <c r="E149" s="26"/>
      <c r="F149" s="240">
        <v>118260</v>
      </c>
      <c r="G149" s="241">
        <f t="shared" si="15"/>
        <v>118.26</v>
      </c>
      <c r="H149" s="41"/>
      <c r="L149" s="34" t="s">
        <v>205</v>
      </c>
      <c r="M149" t="s">
        <v>137</v>
      </c>
      <c r="O149" s="36">
        <v>90960</v>
      </c>
      <c r="P149" s="103">
        <f t="shared" si="14"/>
        <v>90.96</v>
      </c>
      <c r="Q149" s="33"/>
    </row>
    <row r="150" spans="2:18">
      <c r="C150" s="41">
        <v>13</v>
      </c>
      <c r="D150" s="26" t="s">
        <v>139</v>
      </c>
      <c r="E150" s="26"/>
      <c r="F150" s="240">
        <v>101190</v>
      </c>
      <c r="G150" s="241">
        <f t="shared" si="15"/>
        <v>101.19</v>
      </c>
      <c r="H150" s="41"/>
      <c r="L150" s="34" t="s">
        <v>206</v>
      </c>
      <c r="M150" t="s">
        <v>134</v>
      </c>
      <c r="O150" s="36">
        <v>73830</v>
      </c>
      <c r="P150" s="103">
        <f t="shared" si="14"/>
        <v>73.83</v>
      </c>
      <c r="Q150" s="33"/>
    </row>
    <row r="151" spans="2:18">
      <c r="C151" s="41">
        <v>14</v>
      </c>
      <c r="D151" s="26" t="s">
        <v>137</v>
      </c>
      <c r="E151" s="26"/>
      <c r="F151" s="240">
        <v>90960</v>
      </c>
      <c r="G151" s="241">
        <f t="shared" si="15"/>
        <v>90.96</v>
      </c>
      <c r="H151" s="41"/>
      <c r="L151" s="34" t="s">
        <v>207</v>
      </c>
      <c r="M151" t="s">
        <v>133</v>
      </c>
      <c r="O151" s="36">
        <v>69800</v>
      </c>
      <c r="P151" s="103">
        <f t="shared" si="14"/>
        <v>69.8</v>
      </c>
      <c r="Q151" s="33"/>
    </row>
    <row r="152" spans="2:18">
      <c r="C152" s="41">
        <v>15</v>
      </c>
      <c r="D152" s="26" t="s">
        <v>134</v>
      </c>
      <c r="E152" s="26"/>
      <c r="F152" s="240">
        <v>73830</v>
      </c>
      <c r="G152" s="241">
        <f t="shared" si="15"/>
        <v>73.83</v>
      </c>
      <c r="H152" s="41"/>
      <c r="L152" s="34" t="s">
        <v>208</v>
      </c>
      <c r="M152" t="s">
        <v>136</v>
      </c>
      <c r="O152" s="36">
        <v>39690</v>
      </c>
      <c r="P152" s="103">
        <f t="shared" si="14"/>
        <v>39.69</v>
      </c>
      <c r="Q152" s="33"/>
    </row>
    <row r="153" spans="2:18">
      <c r="C153" s="41">
        <v>16</v>
      </c>
      <c r="D153" s="26" t="s">
        <v>133</v>
      </c>
      <c r="E153" s="26"/>
      <c r="F153" s="240">
        <v>69800</v>
      </c>
      <c r="G153" s="241">
        <f t="shared" si="15"/>
        <v>69.8</v>
      </c>
      <c r="H153" s="41"/>
      <c r="L153" s="33"/>
      <c r="O153" s="36">
        <f>SUM(O136:O152)</f>
        <v>2793070</v>
      </c>
      <c r="P153" s="35">
        <f t="shared" si="14"/>
        <v>2793.07</v>
      </c>
      <c r="Q153" s="132">
        <f>0.75*17</f>
        <v>12.75</v>
      </c>
      <c r="R153" s="46">
        <f>P153-P136-P137-P138-P139</f>
        <v>1570.2700000000004</v>
      </c>
    </row>
    <row r="154" spans="2:18">
      <c r="C154" s="41">
        <v>17</v>
      </c>
      <c r="D154" s="26" t="s">
        <v>136</v>
      </c>
      <c r="E154" s="26"/>
      <c r="F154" s="240">
        <v>39690</v>
      </c>
      <c r="G154" s="241">
        <f t="shared" si="15"/>
        <v>39.69</v>
      </c>
      <c r="H154" s="41"/>
    </row>
    <row r="155" spans="2:18">
      <c r="C155" s="41">
        <f>C154</f>
        <v>17</v>
      </c>
      <c r="D155" s="42" t="s">
        <v>819</v>
      </c>
      <c r="E155" s="168">
        <f>0.75*C155</f>
        <v>12.75</v>
      </c>
      <c r="F155" s="140">
        <f>SUM(F138:F154)</f>
        <v>2793070</v>
      </c>
      <c r="G155" s="140">
        <f>SUM(G138:G154)</f>
        <v>2793.0700000000006</v>
      </c>
      <c r="H155" s="240">
        <f>G155-H141</f>
        <v>1570.2700000000007</v>
      </c>
    </row>
    <row r="158" spans="2:18" ht="15.75">
      <c r="B158">
        <v>3</v>
      </c>
      <c r="C158" s="211" t="s">
        <v>764</v>
      </c>
      <c r="D158" s="214"/>
      <c r="E158" s="214"/>
      <c r="F158" s="214"/>
      <c r="G158" s="214"/>
      <c r="H158" s="212"/>
    </row>
    <row r="159" spans="2:18">
      <c r="C159" s="216" t="s">
        <v>760</v>
      </c>
      <c r="D159" s="203" t="s">
        <v>739</v>
      </c>
      <c r="E159" s="203"/>
      <c r="F159" s="203" t="s">
        <v>738</v>
      </c>
      <c r="G159" s="203"/>
      <c r="H159" s="203"/>
    </row>
    <row r="160" spans="2:18" ht="90">
      <c r="C160" s="216"/>
      <c r="D160" s="68" t="s">
        <v>740</v>
      </c>
      <c r="E160" s="112" t="s">
        <v>743</v>
      </c>
      <c r="F160" s="112" t="s">
        <v>737</v>
      </c>
      <c r="G160" s="112" t="s">
        <v>751</v>
      </c>
      <c r="H160" s="69" t="s">
        <v>746</v>
      </c>
    </row>
    <row r="161" spans="2:18">
      <c r="C161" s="41">
        <v>1</v>
      </c>
      <c r="D161" s="26" t="s">
        <v>144</v>
      </c>
      <c r="E161" s="26"/>
      <c r="F161" s="85">
        <v>501320</v>
      </c>
      <c r="G161" s="113">
        <f t="shared" ref="G161:G166" si="16">F161/1000</f>
        <v>501.32</v>
      </c>
      <c r="H161" s="71">
        <f>G161</f>
        <v>501.32</v>
      </c>
      <c r="L161" s="34" t="s">
        <v>192</v>
      </c>
      <c r="M161" s="16" t="s">
        <v>144</v>
      </c>
      <c r="N161" s="16"/>
      <c r="O161" s="81">
        <v>501320</v>
      </c>
      <c r="P161" s="102">
        <f t="shared" ref="P161:P166" si="17">O161/1000</f>
        <v>501.32</v>
      </c>
      <c r="Q161" s="35">
        <f>P161</f>
        <v>501.32</v>
      </c>
      <c r="R161" s="15"/>
    </row>
    <row r="162" spans="2:18">
      <c r="C162" s="41">
        <v>2</v>
      </c>
      <c r="D162" s="26" t="s">
        <v>146</v>
      </c>
      <c r="E162" s="26"/>
      <c r="F162" s="240">
        <v>297140</v>
      </c>
      <c r="G162" s="241">
        <f t="shared" si="16"/>
        <v>297.14</v>
      </c>
      <c r="H162" s="41"/>
      <c r="L162" s="34" t="s">
        <v>193</v>
      </c>
      <c r="M162" t="s">
        <v>146</v>
      </c>
      <c r="O162" s="36">
        <v>297140</v>
      </c>
      <c r="P162" s="103">
        <f t="shared" si="17"/>
        <v>297.14</v>
      </c>
      <c r="Q162" s="33"/>
    </row>
    <row r="163" spans="2:18">
      <c r="C163" s="41">
        <v>3</v>
      </c>
      <c r="D163" s="26" t="s">
        <v>147</v>
      </c>
      <c r="E163" s="26"/>
      <c r="F163" s="240">
        <v>202860</v>
      </c>
      <c r="G163" s="241">
        <f t="shared" si="16"/>
        <v>202.86</v>
      </c>
      <c r="H163" s="41"/>
      <c r="L163" s="34" t="s">
        <v>194</v>
      </c>
      <c r="M163" t="s">
        <v>147</v>
      </c>
      <c r="O163" s="36">
        <v>202860</v>
      </c>
      <c r="P163" s="103">
        <f t="shared" si="17"/>
        <v>202.86</v>
      </c>
      <c r="Q163" s="33"/>
    </row>
    <row r="164" spans="2:18">
      <c r="C164" s="41">
        <v>4</v>
      </c>
      <c r="D164" s="26" t="s">
        <v>143</v>
      </c>
      <c r="E164" s="26"/>
      <c r="F164" s="240">
        <v>183870</v>
      </c>
      <c r="G164" s="241">
        <f t="shared" si="16"/>
        <v>183.87</v>
      </c>
      <c r="H164" s="41"/>
      <c r="L164" s="34" t="s">
        <v>195</v>
      </c>
      <c r="M164" t="s">
        <v>143</v>
      </c>
      <c r="O164" s="36">
        <v>183870</v>
      </c>
      <c r="P164" s="103">
        <f t="shared" si="17"/>
        <v>183.87</v>
      </c>
      <c r="Q164" s="33"/>
    </row>
    <row r="165" spans="2:18">
      <c r="C165" s="41">
        <v>5</v>
      </c>
      <c r="D165" s="26" t="s">
        <v>145</v>
      </c>
      <c r="E165" s="26"/>
      <c r="F165" s="240">
        <v>172920</v>
      </c>
      <c r="G165" s="241">
        <f t="shared" si="16"/>
        <v>172.92</v>
      </c>
      <c r="H165" s="41"/>
      <c r="L165" s="34" t="s">
        <v>196</v>
      </c>
      <c r="M165" t="s">
        <v>145</v>
      </c>
      <c r="O165" s="36">
        <v>172920</v>
      </c>
      <c r="P165" s="103">
        <f t="shared" si="17"/>
        <v>172.92</v>
      </c>
      <c r="Q165" s="33"/>
    </row>
    <row r="166" spans="2:18">
      <c r="C166" s="41">
        <v>6</v>
      </c>
      <c r="D166" s="26" t="s">
        <v>148</v>
      </c>
      <c r="E166" s="26"/>
      <c r="F166" s="240">
        <v>145120</v>
      </c>
      <c r="G166" s="241">
        <f t="shared" si="16"/>
        <v>145.12</v>
      </c>
      <c r="H166" s="41"/>
      <c r="L166" s="34" t="s">
        <v>197</v>
      </c>
      <c r="M166" t="s">
        <v>148</v>
      </c>
      <c r="O166" s="36">
        <v>145120</v>
      </c>
      <c r="P166" s="103">
        <f t="shared" si="17"/>
        <v>145.12</v>
      </c>
      <c r="Q166" s="33"/>
    </row>
    <row r="167" spans="2:18">
      <c r="C167" s="41">
        <f>C166</f>
        <v>6</v>
      </c>
      <c r="D167" s="178" t="s">
        <v>142</v>
      </c>
      <c r="E167" s="168">
        <f>0.75*C167</f>
        <v>4.5</v>
      </c>
      <c r="F167" s="140">
        <f>SUM(F161:F166)</f>
        <v>1503230</v>
      </c>
      <c r="G167" s="140">
        <f>SUM(G161:G166)</f>
        <v>1503.23</v>
      </c>
      <c r="H167" s="240">
        <f>G167-H161</f>
        <v>1001.9100000000001</v>
      </c>
    </row>
    <row r="169" spans="2:18" ht="15.75">
      <c r="B169">
        <v>4</v>
      </c>
      <c r="C169" s="211" t="s">
        <v>765</v>
      </c>
      <c r="D169" s="214"/>
      <c r="E169" s="214"/>
      <c r="F169" s="214"/>
      <c r="G169" s="214"/>
      <c r="H169" s="212"/>
    </row>
    <row r="170" spans="2:18">
      <c r="C170" s="216" t="s">
        <v>760</v>
      </c>
      <c r="D170" s="203" t="s">
        <v>739</v>
      </c>
      <c r="E170" s="203"/>
      <c r="F170" s="203" t="s">
        <v>738</v>
      </c>
      <c r="G170" s="203"/>
      <c r="H170" s="203"/>
      <c r="L170" s="4" t="s">
        <v>149</v>
      </c>
      <c r="M170" s="4"/>
      <c r="N170" s="4"/>
      <c r="O170" s="40"/>
      <c r="P170" s="33"/>
      <c r="Q170" s="33"/>
    </row>
    <row r="171" spans="2:18" ht="90">
      <c r="C171" s="216"/>
      <c r="D171" s="68" t="s">
        <v>740</v>
      </c>
      <c r="E171" s="112" t="s">
        <v>743</v>
      </c>
      <c r="F171" s="112" t="s">
        <v>737</v>
      </c>
      <c r="G171" s="112" t="s">
        <v>751</v>
      </c>
      <c r="H171" s="69" t="s">
        <v>746</v>
      </c>
      <c r="L171" s="34" t="s">
        <v>192</v>
      </c>
      <c r="M171" t="s">
        <v>156</v>
      </c>
      <c r="O171" s="80">
        <v>413600</v>
      </c>
      <c r="P171" s="104">
        <f t="shared" ref="P171:P184" si="18">O171/1000</f>
        <v>413.6</v>
      </c>
      <c r="Q171" s="33"/>
    </row>
    <row r="172" spans="2:18">
      <c r="C172" s="44">
        <v>1</v>
      </c>
      <c r="D172" s="26" t="s">
        <v>156</v>
      </c>
      <c r="E172" s="26"/>
      <c r="F172" s="85">
        <v>413600</v>
      </c>
      <c r="G172" s="113">
        <f t="shared" ref="G172:G184" si="19">F172/1000</f>
        <v>413.6</v>
      </c>
      <c r="H172" s="41"/>
      <c r="L172" s="34" t="s">
        <v>193</v>
      </c>
      <c r="M172" t="s">
        <v>216</v>
      </c>
      <c r="O172" s="80">
        <v>336500</v>
      </c>
      <c r="P172" s="104">
        <f t="shared" si="18"/>
        <v>336.5</v>
      </c>
      <c r="Q172" s="33"/>
    </row>
    <row r="173" spans="2:18">
      <c r="C173" s="44">
        <v>2</v>
      </c>
      <c r="D173" s="26" t="s">
        <v>216</v>
      </c>
      <c r="E173" s="26"/>
      <c r="F173" s="85">
        <v>336500</v>
      </c>
      <c r="G173" s="113">
        <f t="shared" si="19"/>
        <v>336.5</v>
      </c>
      <c r="H173" s="41"/>
      <c r="L173" s="34" t="s">
        <v>194</v>
      </c>
      <c r="M173" t="s">
        <v>215</v>
      </c>
      <c r="O173" s="80">
        <v>323600</v>
      </c>
      <c r="P173" s="104">
        <f t="shared" si="18"/>
        <v>323.60000000000002</v>
      </c>
      <c r="Q173" s="36">
        <f>SUM(P171:P173)</f>
        <v>1073.7</v>
      </c>
    </row>
    <row r="174" spans="2:18">
      <c r="C174" s="44">
        <v>3</v>
      </c>
      <c r="D174" s="26" t="s">
        <v>215</v>
      </c>
      <c r="E174" s="26"/>
      <c r="F174" s="85">
        <v>323600</v>
      </c>
      <c r="G174" s="113">
        <f t="shared" si="19"/>
        <v>323.60000000000002</v>
      </c>
      <c r="H174" s="27">
        <f>SUM(G172:G174)</f>
        <v>1073.7</v>
      </c>
      <c r="L174" s="34" t="s">
        <v>195</v>
      </c>
      <c r="M174" t="s">
        <v>153</v>
      </c>
      <c r="O174" s="36">
        <v>277600</v>
      </c>
      <c r="P174" s="103">
        <f t="shared" si="18"/>
        <v>277.60000000000002</v>
      </c>
      <c r="Q174" s="33"/>
    </row>
    <row r="175" spans="2:18">
      <c r="C175" s="44">
        <v>4</v>
      </c>
      <c r="D175" s="26" t="s">
        <v>153</v>
      </c>
      <c r="E175" s="26"/>
      <c r="F175" s="240">
        <v>277600</v>
      </c>
      <c r="G175" s="241">
        <f t="shared" si="19"/>
        <v>277.60000000000002</v>
      </c>
      <c r="H175" s="41"/>
      <c r="L175" s="34" t="s">
        <v>196</v>
      </c>
      <c r="M175" t="s">
        <v>158</v>
      </c>
      <c r="O175" s="36">
        <v>215000</v>
      </c>
      <c r="P175" s="103">
        <f t="shared" si="18"/>
        <v>215</v>
      </c>
      <c r="Q175" s="33"/>
    </row>
    <row r="176" spans="2:18">
      <c r="C176" s="44">
        <v>5</v>
      </c>
      <c r="D176" s="26" t="s">
        <v>158</v>
      </c>
      <c r="E176" s="26"/>
      <c r="F176" s="240">
        <v>215000</v>
      </c>
      <c r="G176" s="241">
        <f t="shared" si="19"/>
        <v>215</v>
      </c>
      <c r="H176" s="41"/>
      <c r="L176" s="34" t="s">
        <v>197</v>
      </c>
      <c r="M176" t="s">
        <v>154</v>
      </c>
      <c r="O176" s="36">
        <v>211300</v>
      </c>
      <c r="P176" s="103">
        <f t="shared" si="18"/>
        <v>211.3</v>
      </c>
      <c r="Q176" s="33"/>
    </row>
    <row r="177" spans="2:18">
      <c r="C177" s="44">
        <v>6</v>
      </c>
      <c r="D177" s="26" t="s">
        <v>154</v>
      </c>
      <c r="E177" s="26"/>
      <c r="F177" s="240">
        <v>211300</v>
      </c>
      <c r="G177" s="241">
        <f t="shared" si="19"/>
        <v>211.3</v>
      </c>
      <c r="H177" s="41"/>
      <c r="L177" s="34" t="s">
        <v>198</v>
      </c>
      <c r="M177" t="s">
        <v>152</v>
      </c>
      <c r="O177" s="36">
        <v>209200</v>
      </c>
      <c r="P177" s="103">
        <f t="shared" si="18"/>
        <v>209.2</v>
      </c>
      <c r="Q177" s="33"/>
    </row>
    <row r="178" spans="2:18">
      <c r="C178" s="44">
        <v>7</v>
      </c>
      <c r="D178" s="26" t="s">
        <v>152</v>
      </c>
      <c r="E178" s="26"/>
      <c r="F178" s="240">
        <v>209200</v>
      </c>
      <c r="G178" s="241">
        <f t="shared" si="19"/>
        <v>209.2</v>
      </c>
      <c r="H178" s="41"/>
      <c r="L178" s="34" t="s">
        <v>199</v>
      </c>
      <c r="M178" t="s">
        <v>151</v>
      </c>
      <c r="O178" s="36">
        <v>206300</v>
      </c>
      <c r="P178" s="103">
        <f t="shared" si="18"/>
        <v>206.3</v>
      </c>
      <c r="Q178" s="33"/>
    </row>
    <row r="179" spans="2:18">
      <c r="C179" s="44">
        <v>8</v>
      </c>
      <c r="D179" s="26" t="s">
        <v>151</v>
      </c>
      <c r="E179" s="26"/>
      <c r="F179" s="240">
        <v>206300</v>
      </c>
      <c r="G179" s="241">
        <f t="shared" si="19"/>
        <v>206.3</v>
      </c>
      <c r="H179" s="41"/>
      <c r="L179" s="34" t="s">
        <v>200</v>
      </c>
      <c r="M179" t="s">
        <v>150</v>
      </c>
      <c r="O179" s="36">
        <v>171600</v>
      </c>
      <c r="P179" s="103">
        <f t="shared" si="18"/>
        <v>171.6</v>
      </c>
      <c r="Q179" s="33"/>
    </row>
    <row r="180" spans="2:18">
      <c r="C180" s="44">
        <v>9</v>
      </c>
      <c r="D180" s="26" t="s">
        <v>150</v>
      </c>
      <c r="E180" s="26"/>
      <c r="F180" s="240">
        <v>171600</v>
      </c>
      <c r="G180" s="241">
        <f t="shared" si="19"/>
        <v>171.6</v>
      </c>
      <c r="H180" s="41"/>
      <c r="L180" s="34" t="s">
        <v>201</v>
      </c>
      <c r="M180" t="s">
        <v>157</v>
      </c>
      <c r="O180" s="36">
        <v>137800</v>
      </c>
      <c r="P180" s="103">
        <f t="shared" si="18"/>
        <v>137.80000000000001</v>
      </c>
      <c r="Q180" s="33"/>
    </row>
    <row r="181" spans="2:18">
      <c r="C181" s="44">
        <v>10</v>
      </c>
      <c r="D181" s="26" t="s">
        <v>157</v>
      </c>
      <c r="E181" s="26"/>
      <c r="F181" s="240">
        <v>137800</v>
      </c>
      <c r="G181" s="241">
        <f t="shared" si="19"/>
        <v>137.80000000000001</v>
      </c>
      <c r="H181" s="41"/>
      <c r="L181" s="34" t="s">
        <v>202</v>
      </c>
      <c r="M181" t="s">
        <v>155</v>
      </c>
      <c r="O181" s="36">
        <v>132300</v>
      </c>
      <c r="P181" s="103">
        <f t="shared" si="18"/>
        <v>132.30000000000001</v>
      </c>
      <c r="Q181" s="33"/>
    </row>
    <row r="182" spans="2:18">
      <c r="C182" s="44">
        <v>11</v>
      </c>
      <c r="D182" s="26" t="s">
        <v>155</v>
      </c>
      <c r="E182" s="26"/>
      <c r="F182" s="240">
        <v>132300</v>
      </c>
      <c r="G182" s="241">
        <f t="shared" si="19"/>
        <v>132.30000000000001</v>
      </c>
      <c r="H182" s="41"/>
      <c r="L182" s="34" t="s">
        <v>203</v>
      </c>
      <c r="M182" t="s">
        <v>159</v>
      </c>
      <c r="O182" s="36">
        <v>0</v>
      </c>
      <c r="P182" s="103">
        <f t="shared" si="18"/>
        <v>0</v>
      </c>
      <c r="Q182" s="33"/>
    </row>
    <row r="183" spans="2:18">
      <c r="C183" s="44">
        <v>12</v>
      </c>
      <c r="D183" s="26" t="s">
        <v>159</v>
      </c>
      <c r="E183" s="26"/>
      <c r="F183" s="240">
        <v>0</v>
      </c>
      <c r="G183" s="241">
        <f t="shared" si="19"/>
        <v>0</v>
      </c>
      <c r="H183" s="41"/>
      <c r="L183" s="34">
        <f>+S1180</f>
        <v>0</v>
      </c>
      <c r="M183" t="s">
        <v>160</v>
      </c>
      <c r="O183" s="36">
        <v>0</v>
      </c>
      <c r="P183" s="103">
        <f t="shared" si="18"/>
        <v>0</v>
      </c>
      <c r="Q183" s="33"/>
    </row>
    <row r="184" spans="2:18">
      <c r="C184" s="44">
        <v>13</v>
      </c>
      <c r="D184" s="26" t="s">
        <v>160</v>
      </c>
      <c r="E184" s="26"/>
      <c r="F184" s="240">
        <v>0</v>
      </c>
      <c r="G184" s="241">
        <f t="shared" si="19"/>
        <v>0</v>
      </c>
      <c r="H184" s="41"/>
      <c r="L184" s="33"/>
      <c r="O184" s="36">
        <f>SUM(O171:O183)</f>
        <v>2634800</v>
      </c>
      <c r="P184" s="35">
        <f t="shared" si="18"/>
        <v>2634.8</v>
      </c>
      <c r="Q184" s="132">
        <f>0.75*13</f>
        <v>9.75</v>
      </c>
      <c r="R184" s="46">
        <f>P184-P171-P172-P173</f>
        <v>1561.1000000000004</v>
      </c>
    </row>
    <row r="185" spans="2:18">
      <c r="C185" s="41">
        <f>C184</f>
        <v>13</v>
      </c>
      <c r="D185" s="178" t="s">
        <v>149</v>
      </c>
      <c r="E185" s="168">
        <f>0.75*C185</f>
        <v>9.75</v>
      </c>
      <c r="F185" s="140">
        <f>SUM(F172:F184)</f>
        <v>2634800</v>
      </c>
      <c r="G185" s="27">
        <f>SUM(G172:G184)</f>
        <v>2634.8000000000006</v>
      </c>
      <c r="H185" s="240">
        <f>G185-H174</f>
        <v>1561.1000000000006</v>
      </c>
    </row>
    <row r="188" spans="2:18" ht="15.75">
      <c r="B188">
        <v>5</v>
      </c>
      <c r="C188" s="217" t="s">
        <v>766</v>
      </c>
      <c r="D188" s="217"/>
      <c r="E188" s="217"/>
      <c r="F188" s="217"/>
      <c r="G188" s="217"/>
      <c r="H188" s="41"/>
      <c r="L188" s="40" t="s">
        <v>161</v>
      </c>
      <c r="O188" s="33"/>
      <c r="P188" s="33"/>
      <c r="Q188" s="33"/>
    </row>
    <row r="189" spans="2:18">
      <c r="C189" s="41"/>
      <c r="D189" s="203" t="s">
        <v>739</v>
      </c>
      <c r="E189" s="203"/>
      <c r="F189" s="203" t="s">
        <v>738</v>
      </c>
      <c r="G189" s="203"/>
      <c r="H189" s="203"/>
      <c r="L189" s="34" t="s">
        <v>192</v>
      </c>
      <c r="M189" t="s">
        <v>163</v>
      </c>
      <c r="O189" s="80">
        <v>409509</v>
      </c>
      <c r="P189" s="104">
        <f t="shared" ref="P189:P195" si="20">O189/1000</f>
        <v>409.50900000000001</v>
      </c>
      <c r="Q189" s="35">
        <f>P189</f>
        <v>409.50900000000001</v>
      </c>
    </row>
    <row r="190" spans="2:18" ht="90">
      <c r="C190" s="41" t="s">
        <v>767</v>
      </c>
      <c r="D190" s="68" t="s">
        <v>740</v>
      </c>
      <c r="E190" s="112" t="s">
        <v>743</v>
      </c>
      <c r="F190" s="112" t="s">
        <v>737</v>
      </c>
      <c r="G190" s="112" t="s">
        <v>751</v>
      </c>
      <c r="H190" s="69" t="s">
        <v>746</v>
      </c>
      <c r="L190" s="34" t="s">
        <v>193</v>
      </c>
      <c r="M190" t="s">
        <v>167</v>
      </c>
      <c r="O190" s="36">
        <v>207808</v>
      </c>
      <c r="P190" s="103">
        <f t="shared" si="20"/>
        <v>207.80799999999999</v>
      </c>
      <c r="Q190" s="33"/>
    </row>
    <row r="191" spans="2:18">
      <c r="C191" s="44">
        <v>1</v>
      </c>
      <c r="D191" s="26" t="s">
        <v>163</v>
      </c>
      <c r="E191" s="26"/>
      <c r="F191" s="153">
        <v>409509</v>
      </c>
      <c r="G191" s="152">
        <f t="shared" ref="G191:G196" si="21">F191/1000</f>
        <v>409.50900000000001</v>
      </c>
      <c r="H191" s="71">
        <f>G191</f>
        <v>409.50900000000001</v>
      </c>
      <c r="L191" s="34" t="s">
        <v>194</v>
      </c>
      <c r="M191" t="s">
        <v>165</v>
      </c>
      <c r="O191" s="36">
        <v>170649</v>
      </c>
      <c r="P191" s="103">
        <f t="shared" si="20"/>
        <v>170.649</v>
      </c>
      <c r="Q191" s="33"/>
    </row>
    <row r="192" spans="2:18">
      <c r="C192" s="44">
        <v>2</v>
      </c>
      <c r="D192" s="26" t="s">
        <v>167</v>
      </c>
      <c r="E192" s="26"/>
      <c r="F192" s="240">
        <v>207808</v>
      </c>
      <c r="G192" s="241">
        <f t="shared" si="21"/>
        <v>207.80799999999999</v>
      </c>
      <c r="H192" s="41"/>
      <c r="L192" s="34" t="s">
        <v>195</v>
      </c>
      <c r="M192" t="s">
        <v>164</v>
      </c>
      <c r="O192" s="36">
        <v>153770</v>
      </c>
      <c r="P192" s="103">
        <f t="shared" si="20"/>
        <v>153.77000000000001</v>
      </c>
      <c r="Q192" s="33"/>
    </row>
    <row r="193" spans="2:25">
      <c r="C193" s="44">
        <v>3</v>
      </c>
      <c r="D193" s="26" t="s">
        <v>165</v>
      </c>
      <c r="E193" s="26"/>
      <c r="F193" s="240">
        <v>170649</v>
      </c>
      <c r="G193" s="241">
        <f t="shared" si="21"/>
        <v>170.649</v>
      </c>
      <c r="H193" s="41"/>
      <c r="L193" s="34" t="s">
        <v>196</v>
      </c>
      <c r="M193" t="s">
        <v>162</v>
      </c>
      <c r="O193" s="36">
        <v>153274</v>
      </c>
      <c r="P193" s="103">
        <f t="shared" si="20"/>
        <v>153.274</v>
      </c>
      <c r="Q193" s="33"/>
    </row>
    <row r="194" spans="2:25">
      <c r="C194" s="44">
        <v>4</v>
      </c>
      <c r="D194" s="26" t="s">
        <v>164</v>
      </c>
      <c r="E194" s="26"/>
      <c r="F194" s="240">
        <v>153770</v>
      </c>
      <c r="G194" s="241">
        <f t="shared" si="21"/>
        <v>153.77000000000001</v>
      </c>
      <c r="H194" s="41"/>
      <c r="L194" s="34" t="s">
        <v>197</v>
      </c>
      <c r="M194" t="s">
        <v>166</v>
      </c>
      <c r="O194" s="36">
        <v>132784</v>
      </c>
      <c r="P194" s="103">
        <f t="shared" si="20"/>
        <v>132.78399999999999</v>
      </c>
      <c r="Q194" s="33"/>
    </row>
    <row r="195" spans="2:25">
      <c r="C195" s="44">
        <v>5</v>
      </c>
      <c r="D195" s="26" t="s">
        <v>162</v>
      </c>
      <c r="E195" s="26"/>
      <c r="F195" s="240">
        <v>153274</v>
      </c>
      <c r="G195" s="241">
        <f t="shared" si="21"/>
        <v>153.274</v>
      </c>
      <c r="H195" s="41"/>
      <c r="L195" s="33"/>
      <c r="O195" s="36">
        <f>SUM(O189:O194)</f>
        <v>1227794</v>
      </c>
      <c r="P195" s="36">
        <f t="shared" si="20"/>
        <v>1227.7940000000001</v>
      </c>
      <c r="Q195" s="132">
        <f>0.75*6</f>
        <v>4.5</v>
      </c>
      <c r="R195" s="47">
        <f>P195-P189</f>
        <v>818.28500000000008</v>
      </c>
    </row>
    <row r="196" spans="2:25">
      <c r="C196" s="44">
        <v>6</v>
      </c>
      <c r="D196" s="26" t="s">
        <v>166</v>
      </c>
      <c r="E196" s="26"/>
      <c r="F196" s="240">
        <v>132784</v>
      </c>
      <c r="G196" s="241">
        <f t="shared" si="21"/>
        <v>132.78399999999999</v>
      </c>
      <c r="H196" s="41"/>
    </row>
    <row r="197" spans="2:25">
      <c r="C197" s="41">
        <f>C196</f>
        <v>6</v>
      </c>
      <c r="D197" s="178" t="s">
        <v>766</v>
      </c>
      <c r="E197" s="168">
        <f>0.75*C197</f>
        <v>4.5</v>
      </c>
      <c r="F197" s="140">
        <f>SUM(F191:F196)</f>
        <v>1227794</v>
      </c>
      <c r="G197" s="27">
        <f>SUM(G191:G196)</f>
        <v>1227.7939999999999</v>
      </c>
      <c r="H197" s="240">
        <f>G197-H191</f>
        <v>818.28499999999985</v>
      </c>
    </row>
    <row r="201" spans="2:25" ht="15.75">
      <c r="B201">
        <v>6</v>
      </c>
      <c r="C201" s="217" t="s">
        <v>768</v>
      </c>
      <c r="D201" s="217"/>
      <c r="E201" s="217"/>
      <c r="F201" s="217"/>
      <c r="G201" s="217"/>
      <c r="H201" s="217"/>
      <c r="L201" s="4" t="s">
        <v>168</v>
      </c>
      <c r="O201" s="33"/>
      <c r="P201" s="33"/>
      <c r="Q201" s="33"/>
    </row>
    <row r="202" spans="2:25">
      <c r="C202" s="198" t="s">
        <v>760</v>
      </c>
      <c r="D202" s="218" t="s">
        <v>739</v>
      </c>
      <c r="E202" s="219"/>
      <c r="F202" s="203" t="s">
        <v>738</v>
      </c>
      <c r="G202" s="203"/>
      <c r="H202" s="203"/>
      <c r="L202" s="34" t="s">
        <v>192</v>
      </c>
      <c r="M202" t="s">
        <v>189</v>
      </c>
      <c r="O202" s="80">
        <v>1545373</v>
      </c>
      <c r="P202" s="80">
        <v>1000</v>
      </c>
      <c r="Q202" s="33"/>
    </row>
    <row r="203" spans="2:25" ht="90">
      <c r="C203" s="199"/>
      <c r="D203" s="68" t="s">
        <v>740</v>
      </c>
      <c r="E203" s="112" t="s">
        <v>743</v>
      </c>
      <c r="F203" s="112" t="s">
        <v>737</v>
      </c>
      <c r="G203" s="112" t="s">
        <v>751</v>
      </c>
      <c r="H203" s="69" t="s">
        <v>746</v>
      </c>
      <c r="L203" s="34" t="s">
        <v>193</v>
      </c>
      <c r="M203" t="s">
        <v>173</v>
      </c>
      <c r="O203" s="80">
        <v>784511</v>
      </c>
      <c r="P203" s="104">
        <f t="shared" ref="P203:P226" si="22">O203/1000</f>
        <v>784.51099999999997</v>
      </c>
      <c r="Q203" s="33"/>
    </row>
    <row r="204" spans="2:25">
      <c r="C204" s="41">
        <v>1</v>
      </c>
      <c r="D204" s="26" t="s">
        <v>189</v>
      </c>
      <c r="E204" s="26"/>
      <c r="F204" s="85">
        <v>1545373</v>
      </c>
      <c r="G204" s="85">
        <v>1000</v>
      </c>
      <c r="H204" s="41"/>
      <c r="L204" s="34" t="s">
        <v>194</v>
      </c>
      <c r="M204" t="s">
        <v>178</v>
      </c>
      <c r="O204" s="80">
        <v>762073</v>
      </c>
      <c r="P204" s="104">
        <f t="shared" si="22"/>
        <v>762.07299999999998</v>
      </c>
      <c r="Q204" s="33"/>
      <c r="S204">
        <v>1</v>
      </c>
      <c r="T204">
        <v>15</v>
      </c>
      <c r="U204" t="s">
        <v>762</v>
      </c>
      <c r="V204" s="14">
        <v>11.25</v>
      </c>
      <c r="W204" s="9">
        <v>2701790</v>
      </c>
      <c r="X204" s="9">
        <v>2701.79</v>
      </c>
      <c r="Y204" s="9">
        <v>1389.29</v>
      </c>
    </row>
    <row r="205" spans="2:25">
      <c r="C205" s="41">
        <v>2</v>
      </c>
      <c r="D205" s="26" t="s">
        <v>173</v>
      </c>
      <c r="E205" s="26"/>
      <c r="F205" s="85">
        <v>784511</v>
      </c>
      <c r="G205" s="113">
        <f t="shared" ref="G205:G228" si="23">F205/1000</f>
        <v>784.51099999999997</v>
      </c>
      <c r="H205" s="41"/>
      <c r="L205" s="34" t="s">
        <v>195</v>
      </c>
      <c r="M205" t="s">
        <v>170</v>
      </c>
      <c r="O205" s="80">
        <v>423012</v>
      </c>
      <c r="P205" s="104">
        <f t="shared" si="22"/>
        <v>423.012</v>
      </c>
      <c r="Q205" s="33"/>
      <c r="S205">
        <v>2</v>
      </c>
      <c r="T205">
        <v>17</v>
      </c>
      <c r="U205" t="s">
        <v>763</v>
      </c>
      <c r="V205" s="9">
        <v>12.75</v>
      </c>
      <c r="W205" s="9">
        <v>2793070</v>
      </c>
      <c r="X205" s="9">
        <v>2793.0700000000006</v>
      </c>
      <c r="Y205" s="9">
        <v>1570.2700000000007</v>
      </c>
    </row>
    <row r="206" spans="2:25">
      <c r="C206" s="41">
        <v>3</v>
      </c>
      <c r="D206" s="26" t="s">
        <v>178</v>
      </c>
      <c r="E206" s="26"/>
      <c r="F206" s="85">
        <v>762073</v>
      </c>
      <c r="G206" s="113">
        <f t="shared" si="23"/>
        <v>762.07299999999998</v>
      </c>
      <c r="H206" s="41"/>
      <c r="L206" s="34" t="s">
        <v>196</v>
      </c>
      <c r="M206" t="s">
        <v>180</v>
      </c>
      <c r="O206" s="80">
        <v>398784</v>
      </c>
      <c r="P206" s="104">
        <f t="shared" si="22"/>
        <v>398.78399999999999</v>
      </c>
      <c r="Q206" s="33"/>
      <c r="S206">
        <v>3</v>
      </c>
      <c r="T206">
        <v>6</v>
      </c>
      <c r="U206" t="s">
        <v>764</v>
      </c>
      <c r="V206" s="9">
        <v>4.5</v>
      </c>
      <c r="W206" s="9">
        <v>1503230</v>
      </c>
      <c r="X206" s="9">
        <v>1503.23</v>
      </c>
      <c r="Y206" s="9">
        <v>1001.9100000000001</v>
      </c>
    </row>
    <row r="207" spans="2:25">
      <c r="C207" s="41">
        <v>4</v>
      </c>
      <c r="D207" s="26" t="s">
        <v>170</v>
      </c>
      <c r="E207" s="26"/>
      <c r="F207" s="85">
        <v>423012</v>
      </c>
      <c r="G207" s="113">
        <f t="shared" si="23"/>
        <v>423.012</v>
      </c>
      <c r="H207" s="41"/>
      <c r="L207" s="34" t="s">
        <v>197</v>
      </c>
      <c r="M207" t="s">
        <v>182</v>
      </c>
      <c r="O207" s="80">
        <v>379402</v>
      </c>
      <c r="P207" s="104">
        <f t="shared" si="22"/>
        <v>379.40199999999999</v>
      </c>
      <c r="Q207" s="36">
        <f>SUM(P202:P207)</f>
        <v>3747.7820000000002</v>
      </c>
      <c r="S207">
        <v>4</v>
      </c>
      <c r="T207">
        <v>13</v>
      </c>
      <c r="U207" t="s">
        <v>765</v>
      </c>
      <c r="V207" s="9">
        <v>9.75</v>
      </c>
      <c r="W207" s="9">
        <v>2634800</v>
      </c>
      <c r="X207" s="9">
        <v>2634.8000000000006</v>
      </c>
      <c r="Y207" s="9">
        <v>1561.1000000000006</v>
      </c>
    </row>
    <row r="208" spans="2:25">
      <c r="C208" s="41">
        <v>5</v>
      </c>
      <c r="D208" s="26" t="s">
        <v>180</v>
      </c>
      <c r="E208" s="26"/>
      <c r="F208" s="85">
        <v>398784</v>
      </c>
      <c r="G208" s="113">
        <f t="shared" si="23"/>
        <v>398.78399999999999</v>
      </c>
      <c r="H208" s="41"/>
      <c r="L208" s="34" t="s">
        <v>198</v>
      </c>
      <c r="M208" t="s">
        <v>171</v>
      </c>
      <c r="O208" s="36">
        <v>365610</v>
      </c>
      <c r="P208" s="103">
        <f t="shared" si="22"/>
        <v>365.61</v>
      </c>
      <c r="Q208" s="33"/>
      <c r="S208">
        <v>5</v>
      </c>
      <c r="T208">
        <v>6</v>
      </c>
      <c r="U208" t="s">
        <v>766</v>
      </c>
      <c r="V208" s="9">
        <v>4.5</v>
      </c>
      <c r="W208" s="9">
        <v>1227794</v>
      </c>
      <c r="X208" s="9">
        <v>1227.7939999999999</v>
      </c>
      <c r="Y208" s="9">
        <v>818.28499999999985</v>
      </c>
    </row>
    <row r="209" spans="3:25">
      <c r="C209" s="41">
        <v>6</v>
      </c>
      <c r="D209" s="26" t="s">
        <v>182</v>
      </c>
      <c r="E209" s="26"/>
      <c r="F209" s="85">
        <v>379402</v>
      </c>
      <c r="G209" s="113">
        <f t="shared" si="23"/>
        <v>379.40199999999999</v>
      </c>
      <c r="H209" s="27">
        <f>SUM(G204:G209)</f>
        <v>3747.7820000000002</v>
      </c>
      <c r="L209" s="34" t="s">
        <v>199</v>
      </c>
      <c r="M209" t="s">
        <v>184</v>
      </c>
      <c r="O209" s="36">
        <v>364680</v>
      </c>
      <c r="P209" s="103">
        <f t="shared" si="22"/>
        <v>364.68</v>
      </c>
      <c r="Q209" s="33"/>
      <c r="S209">
        <v>6</v>
      </c>
      <c r="T209">
        <v>24</v>
      </c>
      <c r="U209" t="s">
        <v>768</v>
      </c>
      <c r="V209">
        <v>18</v>
      </c>
      <c r="W209" s="9">
        <v>8928004</v>
      </c>
      <c r="X209" s="9">
        <v>8928.0040000000008</v>
      </c>
      <c r="Y209" s="9">
        <v>5180.2220000000007</v>
      </c>
    </row>
    <row r="210" spans="3:25">
      <c r="C210" s="41">
        <v>7</v>
      </c>
      <c r="D210" s="26" t="s">
        <v>171</v>
      </c>
      <c r="E210" s="26"/>
      <c r="F210" s="240">
        <v>365610</v>
      </c>
      <c r="G210" s="241">
        <f t="shared" si="23"/>
        <v>365.61</v>
      </c>
      <c r="H210" s="41"/>
      <c r="L210" s="34" t="s">
        <v>200</v>
      </c>
      <c r="M210" t="s">
        <v>175</v>
      </c>
      <c r="O210" s="36">
        <v>356195</v>
      </c>
      <c r="P210" s="103">
        <f t="shared" si="22"/>
        <v>356.19499999999999</v>
      </c>
      <c r="Q210" s="33"/>
      <c r="T210">
        <f>SUM(T204:T209)</f>
        <v>81</v>
      </c>
      <c r="V210" s="14">
        <f>SUM(V204:V209)</f>
        <v>60.75</v>
      </c>
      <c r="W210" s="9">
        <f>SUM(W204:W209)</f>
        <v>19788688</v>
      </c>
      <c r="X210" s="9">
        <f>SUM(X204:X209)</f>
        <v>19788.688000000002</v>
      </c>
      <c r="Y210" s="9">
        <f>SUM(Y204:Y209)</f>
        <v>11521.077000000001</v>
      </c>
    </row>
    <row r="211" spans="3:25">
      <c r="C211" s="41">
        <v>8</v>
      </c>
      <c r="D211" s="26" t="s">
        <v>184</v>
      </c>
      <c r="E211" s="26"/>
      <c r="F211" s="240">
        <v>364680</v>
      </c>
      <c r="G211" s="241">
        <f t="shared" si="23"/>
        <v>364.68</v>
      </c>
      <c r="H211" s="41"/>
      <c r="L211" s="34" t="s">
        <v>201</v>
      </c>
      <c r="M211" t="s">
        <v>176</v>
      </c>
      <c r="O211" s="36">
        <v>338219</v>
      </c>
      <c r="P211" s="103">
        <f t="shared" si="22"/>
        <v>338.21899999999999</v>
      </c>
      <c r="Q211" s="33"/>
    </row>
    <row r="212" spans="3:25">
      <c r="C212" s="41">
        <v>9</v>
      </c>
      <c r="D212" s="26" t="s">
        <v>175</v>
      </c>
      <c r="E212" s="26"/>
      <c r="F212" s="240">
        <v>356195</v>
      </c>
      <c r="G212" s="241">
        <f t="shared" si="23"/>
        <v>356.19499999999999</v>
      </c>
      <c r="H212" s="41"/>
      <c r="L212" s="34" t="s">
        <v>202</v>
      </c>
      <c r="M212" t="s">
        <v>186</v>
      </c>
      <c r="O212" s="36">
        <v>315202</v>
      </c>
      <c r="P212" s="103">
        <f t="shared" si="22"/>
        <v>315.202</v>
      </c>
      <c r="Q212" s="33"/>
    </row>
    <row r="213" spans="3:25">
      <c r="C213" s="41">
        <v>10</v>
      </c>
      <c r="D213" s="26" t="s">
        <v>176</v>
      </c>
      <c r="E213" s="26"/>
      <c r="F213" s="240">
        <v>338219</v>
      </c>
      <c r="G213" s="241">
        <f t="shared" si="23"/>
        <v>338.21899999999999</v>
      </c>
      <c r="H213" s="41"/>
      <c r="L213" s="34" t="s">
        <v>203</v>
      </c>
      <c r="M213" t="s">
        <v>187</v>
      </c>
      <c r="O213" s="36">
        <v>305407</v>
      </c>
      <c r="P213" s="103">
        <f t="shared" si="22"/>
        <v>305.40699999999998</v>
      </c>
      <c r="Q213" s="33"/>
    </row>
    <row r="214" spans="3:25">
      <c r="C214" s="41">
        <v>11</v>
      </c>
      <c r="D214" s="26" t="s">
        <v>186</v>
      </c>
      <c r="E214" s="26"/>
      <c r="F214" s="240">
        <v>315202</v>
      </c>
      <c r="G214" s="241">
        <f t="shared" si="23"/>
        <v>315.202</v>
      </c>
      <c r="H214" s="41"/>
      <c r="L214" s="34" t="s">
        <v>204</v>
      </c>
      <c r="M214" t="s">
        <v>181</v>
      </c>
      <c r="O214" s="36">
        <v>304826</v>
      </c>
      <c r="P214" s="103">
        <f t="shared" si="22"/>
        <v>304.82600000000002</v>
      </c>
      <c r="Q214" s="33"/>
    </row>
    <row r="215" spans="3:25">
      <c r="C215" s="41">
        <v>12</v>
      </c>
      <c r="D215" s="26" t="s">
        <v>187</v>
      </c>
      <c r="E215" s="26"/>
      <c r="F215" s="240">
        <v>305407</v>
      </c>
      <c r="G215" s="241">
        <f t="shared" si="23"/>
        <v>305.40699999999998</v>
      </c>
      <c r="H215" s="41"/>
      <c r="L215" s="34" t="s">
        <v>205</v>
      </c>
      <c r="M215" t="s">
        <v>172</v>
      </c>
      <c r="O215" s="36">
        <v>301424</v>
      </c>
      <c r="P215" s="103">
        <f t="shared" si="22"/>
        <v>301.42399999999998</v>
      </c>
      <c r="Q215" s="33"/>
    </row>
    <row r="216" spans="3:25">
      <c r="C216" s="41">
        <v>13</v>
      </c>
      <c r="D216" s="26" t="s">
        <v>181</v>
      </c>
      <c r="E216" s="26"/>
      <c r="F216" s="240">
        <v>304826</v>
      </c>
      <c r="G216" s="241">
        <f t="shared" si="23"/>
        <v>304.82600000000002</v>
      </c>
      <c r="H216" s="41"/>
      <c r="L216" s="34" t="s">
        <v>206</v>
      </c>
      <c r="M216" t="s">
        <v>174</v>
      </c>
      <c r="O216" s="36">
        <v>245389</v>
      </c>
      <c r="P216" s="103">
        <f t="shared" si="22"/>
        <v>245.38900000000001</v>
      </c>
      <c r="Q216" s="33"/>
    </row>
    <row r="217" spans="3:25">
      <c r="C217" s="41">
        <v>14</v>
      </c>
      <c r="D217" s="26" t="s">
        <v>172</v>
      </c>
      <c r="E217" s="26"/>
      <c r="F217" s="240">
        <v>301424</v>
      </c>
      <c r="G217" s="241">
        <f t="shared" si="23"/>
        <v>301.42399999999998</v>
      </c>
      <c r="H217" s="41"/>
      <c r="L217" s="34" t="s">
        <v>207</v>
      </c>
      <c r="M217" t="s">
        <v>185</v>
      </c>
      <c r="O217" s="36">
        <v>235103</v>
      </c>
      <c r="P217" s="103">
        <f t="shared" si="22"/>
        <v>235.10300000000001</v>
      </c>
      <c r="Q217" s="33"/>
    </row>
    <row r="218" spans="3:25">
      <c r="C218" s="41">
        <v>15</v>
      </c>
      <c r="D218" s="26" t="s">
        <v>174</v>
      </c>
      <c r="E218" s="26"/>
      <c r="F218" s="240">
        <v>245389</v>
      </c>
      <c r="G218" s="241">
        <f t="shared" si="23"/>
        <v>245.38900000000001</v>
      </c>
      <c r="H218" s="41"/>
      <c r="L218" s="34" t="s">
        <v>208</v>
      </c>
      <c r="M218" t="s">
        <v>188</v>
      </c>
      <c r="O218" s="36">
        <v>232394</v>
      </c>
      <c r="P218" s="103">
        <f t="shared" si="22"/>
        <v>232.39400000000001</v>
      </c>
      <c r="Q218" s="33"/>
    </row>
    <row r="219" spans="3:25">
      <c r="C219" s="41">
        <v>16</v>
      </c>
      <c r="D219" s="26" t="s">
        <v>185</v>
      </c>
      <c r="E219" s="26"/>
      <c r="F219" s="240">
        <v>235103</v>
      </c>
      <c r="G219" s="241">
        <f t="shared" si="23"/>
        <v>235.10300000000001</v>
      </c>
      <c r="H219" s="41"/>
      <c r="L219" s="34" t="s">
        <v>209</v>
      </c>
      <c r="M219" t="s">
        <v>179</v>
      </c>
      <c r="O219" s="36">
        <v>227208</v>
      </c>
      <c r="P219" s="103">
        <f t="shared" si="22"/>
        <v>227.208</v>
      </c>
      <c r="Q219" s="33"/>
    </row>
    <row r="220" spans="3:25">
      <c r="C220" s="41">
        <v>17</v>
      </c>
      <c r="D220" s="26" t="s">
        <v>188</v>
      </c>
      <c r="E220" s="26"/>
      <c r="F220" s="240">
        <v>232394</v>
      </c>
      <c r="G220" s="241">
        <f t="shared" si="23"/>
        <v>232.39400000000001</v>
      </c>
      <c r="H220" s="41"/>
      <c r="L220" s="34" t="s">
        <v>210</v>
      </c>
      <c r="M220" t="s">
        <v>183</v>
      </c>
      <c r="O220" s="36">
        <v>207800</v>
      </c>
      <c r="P220" s="103">
        <f t="shared" si="22"/>
        <v>207.8</v>
      </c>
      <c r="Q220" s="33"/>
    </row>
    <row r="221" spans="3:25">
      <c r="C221" s="41">
        <v>18</v>
      </c>
      <c r="D221" s="26" t="s">
        <v>179</v>
      </c>
      <c r="E221" s="26"/>
      <c r="F221" s="240">
        <v>227208</v>
      </c>
      <c r="G221" s="241">
        <f t="shared" si="23"/>
        <v>227.208</v>
      </c>
      <c r="H221" s="41"/>
      <c r="L221" s="34" t="s">
        <v>211</v>
      </c>
      <c r="M221" t="s">
        <v>218</v>
      </c>
      <c r="O221" s="36">
        <v>188495</v>
      </c>
      <c r="P221" s="103">
        <f t="shared" si="22"/>
        <v>188.495</v>
      </c>
      <c r="Q221" s="33"/>
    </row>
    <row r="222" spans="3:25">
      <c r="C222" s="41">
        <v>19</v>
      </c>
      <c r="D222" s="26" t="s">
        <v>183</v>
      </c>
      <c r="E222" s="26"/>
      <c r="F222" s="240">
        <v>207800</v>
      </c>
      <c r="G222" s="241">
        <f t="shared" si="23"/>
        <v>207.8</v>
      </c>
      <c r="H222" s="41"/>
      <c r="L222" s="34" t="s">
        <v>212</v>
      </c>
      <c r="M222" t="s">
        <v>191</v>
      </c>
      <c r="O222" s="36">
        <v>188323</v>
      </c>
      <c r="P222" s="103">
        <f t="shared" si="22"/>
        <v>188.32300000000001</v>
      </c>
      <c r="Q222" s="33"/>
    </row>
    <row r="223" spans="3:25">
      <c r="C223" s="41">
        <v>20</v>
      </c>
      <c r="D223" s="26" t="s">
        <v>218</v>
      </c>
      <c r="E223" s="26"/>
      <c r="F223" s="240">
        <v>188495</v>
      </c>
      <c r="G223" s="241">
        <f t="shared" si="23"/>
        <v>188.495</v>
      </c>
      <c r="H223" s="41"/>
      <c r="L223" s="34" t="s">
        <v>213</v>
      </c>
      <c r="M223" t="s">
        <v>177</v>
      </c>
      <c r="O223" s="36">
        <v>174989</v>
      </c>
      <c r="P223" s="103">
        <f t="shared" si="22"/>
        <v>174.989</v>
      </c>
      <c r="Q223" s="33"/>
    </row>
    <row r="224" spans="3:25">
      <c r="C224" s="41">
        <v>21</v>
      </c>
      <c r="D224" s="26" t="s">
        <v>191</v>
      </c>
      <c r="E224" s="26"/>
      <c r="F224" s="240">
        <v>188323</v>
      </c>
      <c r="G224" s="241">
        <f t="shared" si="23"/>
        <v>188.32300000000001</v>
      </c>
      <c r="H224" s="41"/>
      <c r="L224" s="34" t="s">
        <v>214</v>
      </c>
      <c r="M224" t="s">
        <v>190</v>
      </c>
      <c r="O224" s="36">
        <v>146714</v>
      </c>
      <c r="P224" s="103">
        <f t="shared" si="22"/>
        <v>146.714</v>
      </c>
      <c r="Q224" s="33"/>
    </row>
    <row r="225" spans="2:18">
      <c r="C225" s="41">
        <v>22</v>
      </c>
      <c r="D225" s="26" t="s">
        <v>177</v>
      </c>
      <c r="E225" s="26"/>
      <c r="F225" s="240">
        <v>174989</v>
      </c>
      <c r="G225" s="241">
        <f t="shared" si="23"/>
        <v>174.989</v>
      </c>
      <c r="H225" s="41"/>
      <c r="L225" s="34" t="s">
        <v>219</v>
      </c>
      <c r="M225" t="s">
        <v>169</v>
      </c>
      <c r="O225" s="36">
        <v>136871</v>
      </c>
      <c r="P225" s="103">
        <f t="shared" si="22"/>
        <v>136.87100000000001</v>
      </c>
      <c r="Q225" s="33"/>
    </row>
    <row r="226" spans="2:18">
      <c r="C226" s="41">
        <v>23</v>
      </c>
      <c r="D226" s="26" t="s">
        <v>190</v>
      </c>
      <c r="E226" s="26"/>
      <c r="F226" s="240">
        <v>146714</v>
      </c>
      <c r="G226" s="241">
        <f t="shared" si="23"/>
        <v>146.714</v>
      </c>
      <c r="H226" s="41"/>
      <c r="L226" s="33"/>
      <c r="O226" s="36">
        <f>SUM(O202:O225)</f>
        <v>8928004</v>
      </c>
      <c r="P226" s="36">
        <f t="shared" si="22"/>
        <v>8928.0040000000008</v>
      </c>
      <c r="Q226" s="133">
        <f>0.75*24</f>
        <v>18</v>
      </c>
      <c r="R226" s="46">
        <f>P226-P202-P203-P204-P205-P206-P207</f>
        <v>5180.2220000000007</v>
      </c>
    </row>
    <row r="227" spans="2:18">
      <c r="C227" s="41">
        <v>24</v>
      </c>
      <c r="D227" s="26" t="s">
        <v>169</v>
      </c>
      <c r="E227" s="26"/>
      <c r="F227" s="240">
        <v>136871</v>
      </c>
      <c r="G227" s="241">
        <f t="shared" si="23"/>
        <v>136.87100000000001</v>
      </c>
      <c r="H227" s="41"/>
      <c r="L227" s="33" t="e">
        <f>L225+#REF!+L199+L186+L177+L157</f>
        <v>#REF!</v>
      </c>
      <c r="M227" s="21" t="s">
        <v>647</v>
      </c>
      <c r="N227" s="21"/>
      <c r="O227" s="36"/>
      <c r="P227" s="35"/>
      <c r="Q227" s="59" t="e">
        <f>Q226+#REF!+#REF!+Q187+Q178+Q158</f>
        <v>#REF!</v>
      </c>
      <c r="R227" s="9"/>
    </row>
    <row r="228" spans="2:18">
      <c r="C228" s="33">
        <f>C227</f>
        <v>24</v>
      </c>
      <c r="D228" s="178" t="s">
        <v>168</v>
      </c>
      <c r="E228" s="143">
        <f>0.75*C228</f>
        <v>18</v>
      </c>
      <c r="F228" s="27">
        <f>SUM(F204:F227)</f>
        <v>8928004</v>
      </c>
      <c r="G228" s="27">
        <f t="shared" si="23"/>
        <v>8928.0040000000008</v>
      </c>
      <c r="H228" s="240">
        <f>G228-H209</f>
        <v>5180.2220000000007</v>
      </c>
    </row>
    <row r="229" spans="2:18">
      <c r="B229" s="134">
        <f>B201</f>
        <v>6</v>
      </c>
      <c r="C229" s="133">
        <f>T210</f>
        <v>81</v>
      </c>
      <c r="D229" s="173" t="s">
        <v>647</v>
      </c>
      <c r="E229" s="132">
        <f>V210</f>
        <v>60.75</v>
      </c>
      <c r="F229" s="171">
        <f>W210</f>
        <v>19788688</v>
      </c>
      <c r="G229" s="174">
        <f>X210</f>
        <v>19788.688000000002</v>
      </c>
      <c r="H229" s="172">
        <f>Y210</f>
        <v>11521.077000000001</v>
      </c>
    </row>
    <row r="231" spans="2:18">
      <c r="C231" s="220" t="s">
        <v>648</v>
      </c>
      <c r="D231" s="221"/>
      <c r="E231" s="221"/>
      <c r="F231" s="221"/>
      <c r="G231" s="221"/>
      <c r="H231" s="222"/>
      <c r="L231" s="33" t="s">
        <v>220</v>
      </c>
      <c r="O231" s="33"/>
      <c r="P231" s="33"/>
      <c r="Q231" s="33"/>
    </row>
    <row r="232" spans="2:18" ht="15.75">
      <c r="B232">
        <v>1</v>
      </c>
      <c r="C232" s="217" t="s">
        <v>769</v>
      </c>
      <c r="D232" s="217"/>
      <c r="E232" s="217"/>
      <c r="F232" s="217"/>
      <c r="G232" s="217"/>
      <c r="H232" s="217"/>
      <c r="L232" s="33"/>
      <c r="O232" s="33"/>
      <c r="P232" s="33"/>
      <c r="Q232" s="33"/>
    </row>
    <row r="233" spans="2:18">
      <c r="C233" s="198" t="s">
        <v>760</v>
      </c>
      <c r="D233" s="218" t="s">
        <v>739</v>
      </c>
      <c r="E233" s="219"/>
      <c r="F233" s="203" t="s">
        <v>738</v>
      </c>
      <c r="G233" s="203"/>
      <c r="H233" s="203"/>
      <c r="L233" s="204" t="s">
        <v>221</v>
      </c>
      <c r="M233" s="204"/>
      <c r="N233" s="33"/>
      <c r="O233" s="33"/>
      <c r="P233" s="33"/>
      <c r="Q233" s="33"/>
    </row>
    <row r="234" spans="2:18" ht="90">
      <c r="C234" s="199"/>
      <c r="D234" s="68" t="s">
        <v>740</v>
      </c>
      <c r="E234" s="112" t="s">
        <v>743</v>
      </c>
      <c r="F234" s="112" t="s">
        <v>737</v>
      </c>
      <c r="G234" s="112" t="s">
        <v>751</v>
      </c>
      <c r="H234" s="69" t="s">
        <v>746</v>
      </c>
      <c r="L234" s="34" t="s">
        <v>192</v>
      </c>
      <c r="M234" t="s">
        <v>230</v>
      </c>
      <c r="O234" s="80">
        <v>858160</v>
      </c>
      <c r="P234" s="104">
        <f t="shared" ref="P234:P244" si="24">O234/1000</f>
        <v>858.16</v>
      </c>
      <c r="Q234" s="33"/>
    </row>
    <row r="235" spans="2:18">
      <c r="C235" s="44">
        <v>1</v>
      </c>
      <c r="D235" t="s">
        <v>230</v>
      </c>
      <c r="F235" s="81">
        <v>858160</v>
      </c>
      <c r="G235" s="102">
        <f t="shared" ref="G235:G244" si="25">F235/1000</f>
        <v>858.16</v>
      </c>
      <c r="H235" s="33"/>
      <c r="L235" s="34" t="s">
        <v>193</v>
      </c>
      <c r="M235" t="s">
        <v>224</v>
      </c>
      <c r="O235" s="80">
        <v>789800</v>
      </c>
      <c r="P235" s="104">
        <f t="shared" si="24"/>
        <v>789.8</v>
      </c>
      <c r="Q235" s="36">
        <f>P234+P235</f>
        <v>1647.96</v>
      </c>
    </row>
    <row r="236" spans="2:18">
      <c r="C236" s="44">
        <v>2</v>
      </c>
      <c r="D236" t="s">
        <v>224</v>
      </c>
      <c r="F236" s="81">
        <v>789800</v>
      </c>
      <c r="G236" s="102">
        <f t="shared" si="25"/>
        <v>789.8</v>
      </c>
      <c r="H236" s="36">
        <f>G235+G236</f>
        <v>1647.96</v>
      </c>
      <c r="L236" s="34" t="s">
        <v>194</v>
      </c>
      <c r="M236" t="s">
        <v>229</v>
      </c>
      <c r="O236" s="64">
        <v>717200</v>
      </c>
      <c r="P236" s="103">
        <f t="shared" si="24"/>
        <v>717.2</v>
      </c>
      <c r="Q236" s="33"/>
    </row>
    <row r="237" spans="2:18">
      <c r="C237" s="44">
        <v>3</v>
      </c>
      <c r="D237" t="s">
        <v>229</v>
      </c>
      <c r="F237" s="242">
        <v>717200</v>
      </c>
      <c r="G237" s="243">
        <f t="shared" si="25"/>
        <v>717.2</v>
      </c>
      <c r="H237" s="33"/>
      <c r="L237" s="34" t="s">
        <v>195</v>
      </c>
      <c r="M237" t="s">
        <v>225</v>
      </c>
      <c r="O237" s="64">
        <v>463040</v>
      </c>
      <c r="P237" s="103">
        <f t="shared" si="24"/>
        <v>463.04</v>
      </c>
      <c r="Q237" s="33"/>
    </row>
    <row r="238" spans="2:18">
      <c r="C238" s="44">
        <v>4</v>
      </c>
      <c r="D238" t="s">
        <v>225</v>
      </c>
      <c r="F238" s="242">
        <v>463040</v>
      </c>
      <c r="G238" s="243">
        <f t="shared" si="25"/>
        <v>463.04</v>
      </c>
      <c r="H238" s="33"/>
      <c r="L238" s="34" t="s">
        <v>196</v>
      </c>
      <c r="M238" t="s">
        <v>222</v>
      </c>
      <c r="O238" s="64">
        <v>287000</v>
      </c>
      <c r="P238" s="103">
        <f t="shared" si="24"/>
        <v>287</v>
      </c>
      <c r="Q238" s="33"/>
    </row>
    <row r="239" spans="2:18">
      <c r="C239" s="44">
        <v>5</v>
      </c>
      <c r="D239" t="s">
        <v>222</v>
      </c>
      <c r="F239" s="242">
        <v>287000</v>
      </c>
      <c r="G239" s="243">
        <f t="shared" si="25"/>
        <v>287</v>
      </c>
      <c r="H239" s="33"/>
      <c r="L239" s="34" t="s">
        <v>197</v>
      </c>
      <c r="M239" t="s">
        <v>227</v>
      </c>
      <c r="O239" s="64">
        <v>267700</v>
      </c>
      <c r="P239" s="103">
        <f t="shared" si="24"/>
        <v>267.7</v>
      </c>
      <c r="Q239" s="33"/>
    </row>
    <row r="240" spans="2:18">
      <c r="C240" s="44">
        <v>6</v>
      </c>
      <c r="D240" t="s">
        <v>227</v>
      </c>
      <c r="F240" s="242">
        <v>267700</v>
      </c>
      <c r="G240" s="243">
        <f t="shared" si="25"/>
        <v>267.7</v>
      </c>
      <c r="H240" s="33"/>
      <c r="L240" s="34" t="s">
        <v>198</v>
      </c>
      <c r="M240" t="s">
        <v>226</v>
      </c>
      <c r="O240" s="64">
        <v>261800</v>
      </c>
      <c r="P240" s="103">
        <f t="shared" si="24"/>
        <v>261.8</v>
      </c>
      <c r="Q240" s="33"/>
    </row>
    <row r="241" spans="2:18">
      <c r="C241" s="44">
        <v>7</v>
      </c>
      <c r="D241" t="s">
        <v>226</v>
      </c>
      <c r="F241" s="242">
        <v>261800</v>
      </c>
      <c r="G241" s="243">
        <f t="shared" si="25"/>
        <v>261.8</v>
      </c>
      <c r="H241" s="33"/>
      <c r="L241" s="34" t="s">
        <v>199</v>
      </c>
      <c r="M241" t="s">
        <v>231</v>
      </c>
      <c r="O241" s="64">
        <v>188300</v>
      </c>
      <c r="P241" s="103">
        <f t="shared" si="24"/>
        <v>188.3</v>
      </c>
      <c r="Q241" s="33"/>
    </row>
    <row r="242" spans="2:18">
      <c r="C242" s="44">
        <v>8</v>
      </c>
      <c r="D242" t="s">
        <v>231</v>
      </c>
      <c r="F242" s="242">
        <v>188300</v>
      </c>
      <c r="G242" s="243">
        <f t="shared" si="25"/>
        <v>188.3</v>
      </c>
      <c r="H242" s="33"/>
      <c r="L242" s="34" t="s">
        <v>200</v>
      </c>
      <c r="M242" t="s">
        <v>223</v>
      </c>
      <c r="O242" s="64">
        <v>178700</v>
      </c>
      <c r="P242" s="103">
        <f t="shared" si="24"/>
        <v>178.7</v>
      </c>
      <c r="Q242" s="33"/>
    </row>
    <row r="243" spans="2:18">
      <c r="C243" s="44">
        <v>9</v>
      </c>
      <c r="D243" t="s">
        <v>223</v>
      </c>
      <c r="F243" s="242">
        <v>178700</v>
      </c>
      <c r="G243" s="243">
        <f t="shared" si="25"/>
        <v>178.7</v>
      </c>
      <c r="H243" s="33"/>
      <c r="L243" s="34" t="s">
        <v>201</v>
      </c>
      <c r="M243" t="s">
        <v>228</v>
      </c>
      <c r="O243" s="64">
        <v>34200</v>
      </c>
      <c r="P243" s="103">
        <f t="shared" si="24"/>
        <v>34.200000000000003</v>
      </c>
      <c r="Q243" s="33"/>
    </row>
    <row r="244" spans="2:18">
      <c r="C244" s="44">
        <v>10</v>
      </c>
      <c r="D244" t="s">
        <v>228</v>
      </c>
      <c r="F244" s="242">
        <v>34200</v>
      </c>
      <c r="G244" s="243">
        <f t="shared" si="25"/>
        <v>34.200000000000003</v>
      </c>
      <c r="H244" s="33"/>
      <c r="L244" s="33"/>
      <c r="O244" s="36">
        <f>SUM(O234:O243)</f>
        <v>4045900</v>
      </c>
      <c r="P244" s="36">
        <f t="shared" si="24"/>
        <v>4045.9</v>
      </c>
      <c r="Q244" s="132">
        <f>0.75*10</f>
        <v>7.5</v>
      </c>
      <c r="R244" s="46">
        <f>P244-P234-P235</f>
        <v>2397.9400000000005</v>
      </c>
    </row>
    <row r="245" spans="2:18">
      <c r="C245" s="33">
        <f>C244</f>
        <v>10</v>
      </c>
      <c r="D245" s="169" t="s">
        <v>820</v>
      </c>
      <c r="E245" s="170">
        <f>0.75*C245</f>
        <v>7.5</v>
      </c>
      <c r="F245" s="36">
        <f>SUM(F235:F244)</f>
        <v>4045900</v>
      </c>
      <c r="G245" s="36">
        <f>SUM(G235:G244)</f>
        <v>4045.8999999999996</v>
      </c>
      <c r="H245" s="242">
        <f>G245-H236</f>
        <v>2397.9399999999996</v>
      </c>
      <c r="L245" s="33"/>
      <c r="O245" s="33"/>
      <c r="P245" s="33"/>
      <c r="Q245" s="33"/>
    </row>
    <row r="246" spans="2:18">
      <c r="C246" s="166"/>
      <c r="F246" s="36"/>
      <c r="G246" s="35"/>
      <c r="H246" s="33"/>
      <c r="L246" s="204" t="s">
        <v>232</v>
      </c>
      <c r="M246" s="204"/>
      <c r="N246" s="33"/>
      <c r="O246" s="33"/>
      <c r="P246" s="33"/>
      <c r="Q246" s="33"/>
    </row>
    <row r="247" spans="2:18">
      <c r="B247">
        <v>2</v>
      </c>
      <c r="C247" s="208" t="s">
        <v>770</v>
      </c>
      <c r="D247" s="208"/>
      <c r="E247" s="208"/>
      <c r="F247" s="208"/>
      <c r="G247" s="208"/>
      <c r="H247" s="208"/>
      <c r="L247" s="34" t="s">
        <v>192</v>
      </c>
      <c r="M247" t="s">
        <v>233</v>
      </c>
      <c r="O247" s="80">
        <v>668760</v>
      </c>
      <c r="P247" s="104">
        <f t="shared" ref="P247:P260" si="26">O247/1000</f>
        <v>668.76</v>
      </c>
      <c r="Q247" s="33"/>
    </row>
    <row r="248" spans="2:18">
      <c r="C248" s="216" t="s">
        <v>760</v>
      </c>
      <c r="D248" s="203" t="s">
        <v>739</v>
      </c>
      <c r="E248" s="203"/>
      <c r="F248" s="203" t="s">
        <v>738</v>
      </c>
      <c r="G248" s="203"/>
      <c r="H248" s="203"/>
      <c r="L248" s="34" t="s">
        <v>193</v>
      </c>
      <c r="M248" t="s">
        <v>234</v>
      </c>
      <c r="O248" s="80">
        <v>600640</v>
      </c>
      <c r="P248" s="104">
        <f t="shared" si="26"/>
        <v>600.64</v>
      </c>
      <c r="Q248" s="33"/>
    </row>
    <row r="249" spans="2:18" ht="90">
      <c r="C249" s="216"/>
      <c r="D249" s="68" t="s">
        <v>740</v>
      </c>
      <c r="E249" s="112" t="s">
        <v>743</v>
      </c>
      <c r="F249" s="112" t="s">
        <v>737</v>
      </c>
      <c r="G249" s="112" t="s">
        <v>751</v>
      </c>
      <c r="H249" s="69" t="s">
        <v>746</v>
      </c>
      <c r="L249" s="34" t="s">
        <v>194</v>
      </c>
      <c r="M249" t="s">
        <v>235</v>
      </c>
      <c r="O249" s="80">
        <v>364980</v>
      </c>
      <c r="P249" s="104">
        <f t="shared" si="26"/>
        <v>364.98</v>
      </c>
      <c r="Q249" s="36">
        <f>SUM(P247:P249)</f>
        <v>1634.38</v>
      </c>
    </row>
    <row r="250" spans="2:18">
      <c r="C250" s="44">
        <v>1</v>
      </c>
      <c r="D250" s="26" t="s">
        <v>233</v>
      </c>
      <c r="E250" s="26"/>
      <c r="F250" s="85">
        <v>668760</v>
      </c>
      <c r="G250" s="113">
        <f t="shared" ref="G250:G262" si="27">F250/1000</f>
        <v>668.76</v>
      </c>
      <c r="H250" s="41"/>
      <c r="L250" s="34" t="s">
        <v>195</v>
      </c>
      <c r="M250" t="s">
        <v>236</v>
      </c>
      <c r="O250" s="64">
        <v>343680</v>
      </c>
      <c r="P250" s="103">
        <f t="shared" si="26"/>
        <v>343.68</v>
      </c>
      <c r="Q250" s="33"/>
    </row>
    <row r="251" spans="2:18">
      <c r="C251" s="44">
        <v>2</v>
      </c>
      <c r="D251" s="26" t="s">
        <v>234</v>
      </c>
      <c r="E251" s="26"/>
      <c r="F251" s="85">
        <v>600640</v>
      </c>
      <c r="G251" s="113">
        <f t="shared" si="27"/>
        <v>600.64</v>
      </c>
      <c r="H251" s="41"/>
      <c r="L251" s="34" t="s">
        <v>196</v>
      </c>
      <c r="M251" t="s">
        <v>237</v>
      </c>
      <c r="O251" s="64">
        <v>342360</v>
      </c>
      <c r="P251" s="103">
        <f t="shared" si="26"/>
        <v>342.36</v>
      </c>
      <c r="Q251" s="33"/>
    </row>
    <row r="252" spans="2:18">
      <c r="C252" s="44">
        <v>3</v>
      </c>
      <c r="D252" s="26" t="s">
        <v>235</v>
      </c>
      <c r="E252" s="26"/>
      <c r="F252" s="85">
        <v>364980</v>
      </c>
      <c r="G252" s="113">
        <f t="shared" si="27"/>
        <v>364.98</v>
      </c>
      <c r="H252" s="27">
        <f>SUM(G250:G252)</f>
        <v>1634.38</v>
      </c>
      <c r="L252" s="34" t="s">
        <v>197</v>
      </c>
      <c r="M252" t="s">
        <v>238</v>
      </c>
      <c r="O252" s="64">
        <v>330990</v>
      </c>
      <c r="P252" s="103">
        <f t="shared" si="26"/>
        <v>330.99</v>
      </c>
      <c r="Q252" s="33"/>
    </row>
    <row r="253" spans="2:18">
      <c r="C253" s="44">
        <v>4</v>
      </c>
      <c r="D253" s="26" t="s">
        <v>236</v>
      </c>
      <c r="E253" s="26"/>
      <c r="F253" s="240">
        <v>343680</v>
      </c>
      <c r="G253" s="241">
        <f t="shared" si="27"/>
        <v>343.68</v>
      </c>
      <c r="H253" s="41"/>
      <c r="L253" s="34" t="s">
        <v>198</v>
      </c>
      <c r="M253" t="s">
        <v>239</v>
      </c>
      <c r="O253" s="64">
        <v>273470</v>
      </c>
      <c r="P253" s="103">
        <f t="shared" si="26"/>
        <v>273.47000000000003</v>
      </c>
      <c r="Q253" s="33"/>
    </row>
    <row r="254" spans="2:18">
      <c r="C254" s="44">
        <v>5</v>
      </c>
      <c r="D254" s="26" t="s">
        <v>237</v>
      </c>
      <c r="E254" s="26"/>
      <c r="F254" s="240">
        <v>342360</v>
      </c>
      <c r="G254" s="241">
        <f t="shared" si="27"/>
        <v>342.36</v>
      </c>
      <c r="H254" s="41"/>
      <c r="L254" s="34" t="s">
        <v>199</v>
      </c>
      <c r="M254" t="s">
        <v>240</v>
      </c>
      <c r="O254" s="64">
        <v>268750</v>
      </c>
      <c r="P254" s="103">
        <f t="shared" si="26"/>
        <v>268.75</v>
      </c>
      <c r="Q254" s="33"/>
    </row>
    <row r="255" spans="2:18">
      <c r="C255" s="44">
        <v>6</v>
      </c>
      <c r="D255" s="26" t="s">
        <v>238</v>
      </c>
      <c r="E255" s="26"/>
      <c r="F255" s="240">
        <v>330990</v>
      </c>
      <c r="G255" s="241">
        <f t="shared" si="27"/>
        <v>330.99</v>
      </c>
      <c r="H255" s="41"/>
      <c r="L255" s="34" t="s">
        <v>200</v>
      </c>
      <c r="M255" t="s">
        <v>241</v>
      </c>
      <c r="O255" s="64">
        <v>266890</v>
      </c>
      <c r="P255" s="103">
        <f t="shared" si="26"/>
        <v>266.89</v>
      </c>
      <c r="Q255" s="33"/>
    </row>
    <row r="256" spans="2:18">
      <c r="C256" s="44">
        <v>7</v>
      </c>
      <c r="D256" s="26" t="s">
        <v>239</v>
      </c>
      <c r="E256" s="26"/>
      <c r="F256" s="240">
        <v>273470</v>
      </c>
      <c r="G256" s="241">
        <f t="shared" si="27"/>
        <v>273.47000000000003</v>
      </c>
      <c r="H256" s="41"/>
      <c r="L256" s="34" t="s">
        <v>201</v>
      </c>
      <c r="M256" t="s">
        <v>242</v>
      </c>
      <c r="O256" s="64">
        <v>238780</v>
      </c>
      <c r="P256" s="103">
        <f t="shared" si="26"/>
        <v>238.78</v>
      </c>
      <c r="Q256" s="33"/>
    </row>
    <row r="257" spans="2:18">
      <c r="C257" s="44">
        <v>8</v>
      </c>
      <c r="D257" s="26" t="s">
        <v>240</v>
      </c>
      <c r="E257" s="26"/>
      <c r="F257" s="240">
        <v>268750</v>
      </c>
      <c r="G257" s="241">
        <f t="shared" si="27"/>
        <v>268.75</v>
      </c>
      <c r="H257" s="41"/>
      <c r="L257" s="34" t="s">
        <v>202</v>
      </c>
      <c r="M257" t="s">
        <v>243</v>
      </c>
      <c r="O257" s="64">
        <v>237110</v>
      </c>
      <c r="P257" s="103">
        <f t="shared" si="26"/>
        <v>237.11</v>
      </c>
      <c r="Q257" s="33"/>
    </row>
    <row r="258" spans="2:18">
      <c r="C258" s="44">
        <v>9</v>
      </c>
      <c r="D258" s="26" t="s">
        <v>241</v>
      </c>
      <c r="E258" s="26"/>
      <c r="F258" s="240">
        <v>266890</v>
      </c>
      <c r="G258" s="241">
        <f t="shared" si="27"/>
        <v>266.89</v>
      </c>
      <c r="H258" s="41"/>
      <c r="L258" s="34" t="s">
        <v>203</v>
      </c>
      <c r="M258" t="s">
        <v>244</v>
      </c>
      <c r="O258" s="64">
        <v>198870</v>
      </c>
      <c r="P258" s="103">
        <f t="shared" si="26"/>
        <v>198.87</v>
      </c>
      <c r="Q258" s="33"/>
    </row>
    <row r="259" spans="2:18">
      <c r="C259" s="44">
        <v>10</v>
      </c>
      <c r="D259" s="26" t="s">
        <v>242</v>
      </c>
      <c r="E259" s="26"/>
      <c r="F259" s="240">
        <v>238780</v>
      </c>
      <c r="G259" s="241">
        <f t="shared" si="27"/>
        <v>238.78</v>
      </c>
      <c r="H259" s="41"/>
      <c r="L259" s="34" t="s">
        <v>204</v>
      </c>
      <c r="M259" t="s">
        <v>245</v>
      </c>
      <c r="O259" s="64">
        <v>138120</v>
      </c>
      <c r="P259" s="103">
        <f t="shared" si="26"/>
        <v>138.12</v>
      </c>
      <c r="Q259" s="33"/>
    </row>
    <row r="260" spans="2:18">
      <c r="C260" s="44">
        <v>11</v>
      </c>
      <c r="D260" s="26" t="s">
        <v>243</v>
      </c>
      <c r="E260" s="26"/>
      <c r="F260" s="240">
        <v>237110</v>
      </c>
      <c r="G260" s="241">
        <f t="shared" si="27"/>
        <v>237.11</v>
      </c>
      <c r="H260" s="41"/>
      <c r="L260" s="33"/>
      <c r="O260" s="36">
        <f>SUM(O247:O259)</f>
        <v>4273400</v>
      </c>
      <c r="P260" s="35">
        <f t="shared" si="26"/>
        <v>4273.3999999999996</v>
      </c>
      <c r="Q260" s="132">
        <f>0.75*13</f>
        <v>9.75</v>
      </c>
      <c r="R260" s="47">
        <f>P260-P247-P248-P249</f>
        <v>2639.0199999999995</v>
      </c>
    </row>
    <row r="261" spans="2:18">
      <c r="C261" s="44">
        <v>12</v>
      </c>
      <c r="D261" s="26" t="s">
        <v>244</v>
      </c>
      <c r="E261" s="26"/>
      <c r="F261" s="240">
        <v>198870</v>
      </c>
      <c r="G261" s="241">
        <f t="shared" si="27"/>
        <v>198.87</v>
      </c>
      <c r="H261" s="41"/>
      <c r="L261" s="33"/>
      <c r="O261" s="33"/>
      <c r="P261" s="33"/>
      <c r="Q261" s="33"/>
    </row>
    <row r="262" spans="2:18">
      <c r="C262" s="44">
        <v>13</v>
      </c>
      <c r="D262" s="26" t="s">
        <v>245</v>
      </c>
      <c r="E262" s="26"/>
      <c r="F262" s="240">
        <v>138120</v>
      </c>
      <c r="G262" s="241">
        <f t="shared" si="27"/>
        <v>138.12</v>
      </c>
      <c r="H262" s="41"/>
      <c r="L262" s="204" t="s">
        <v>246</v>
      </c>
      <c r="M262" s="204"/>
      <c r="N262" s="33"/>
      <c r="O262" s="33"/>
      <c r="P262" s="33"/>
      <c r="Q262" s="33"/>
    </row>
    <row r="263" spans="2:18">
      <c r="C263" s="41">
        <f>C262</f>
        <v>13</v>
      </c>
      <c r="D263" s="42" t="s">
        <v>824</v>
      </c>
      <c r="E263" s="27">
        <f>0.75*C262</f>
        <v>9.75</v>
      </c>
      <c r="F263" s="27">
        <f>SUM(F250:F262)</f>
        <v>4273400</v>
      </c>
      <c r="G263" s="27">
        <f>SUM(G250:G262)</f>
        <v>4273.4000000000005</v>
      </c>
      <c r="H263" s="240">
        <f>G263-H252</f>
        <v>2639.0200000000004</v>
      </c>
      <c r="L263" s="34" t="s">
        <v>192</v>
      </c>
      <c r="M263" t="s">
        <v>247</v>
      </c>
      <c r="O263" s="80">
        <v>675468</v>
      </c>
      <c r="P263" s="104">
        <f t="shared" ref="P263:P277" si="28">O263/1000</f>
        <v>675.46799999999996</v>
      </c>
      <c r="Q263" s="33"/>
    </row>
    <row r="264" spans="2:18">
      <c r="L264" s="34" t="s">
        <v>193</v>
      </c>
      <c r="M264" t="s">
        <v>248</v>
      </c>
      <c r="O264" s="80">
        <v>648181</v>
      </c>
      <c r="P264" s="104">
        <f t="shared" si="28"/>
        <v>648.18100000000004</v>
      </c>
      <c r="Q264" s="33"/>
    </row>
    <row r="265" spans="2:18" ht="15.75">
      <c r="B265">
        <v>3</v>
      </c>
      <c r="C265" s="217" t="s">
        <v>771</v>
      </c>
      <c r="D265" s="217"/>
      <c r="E265" s="217"/>
      <c r="F265" s="217"/>
      <c r="G265" s="217"/>
      <c r="H265" s="217"/>
      <c r="L265" s="34" t="s">
        <v>194</v>
      </c>
      <c r="M265" t="s">
        <v>249</v>
      </c>
      <c r="O265" s="80">
        <v>639250</v>
      </c>
      <c r="P265" s="104">
        <f t="shared" si="28"/>
        <v>639.25</v>
      </c>
      <c r="Q265" s="36">
        <f>SUM(P263:P265)</f>
        <v>1962.8989999999999</v>
      </c>
    </row>
    <row r="266" spans="2:18">
      <c r="C266" s="216" t="s">
        <v>760</v>
      </c>
      <c r="D266" s="203" t="s">
        <v>739</v>
      </c>
      <c r="E266" s="203"/>
      <c r="F266" s="203" t="s">
        <v>738</v>
      </c>
      <c r="G266" s="203"/>
      <c r="H266" s="203"/>
      <c r="L266" s="34" t="s">
        <v>195</v>
      </c>
      <c r="M266" t="s">
        <v>250</v>
      </c>
      <c r="O266" s="82">
        <v>592521</v>
      </c>
      <c r="P266" s="105">
        <f t="shared" si="28"/>
        <v>592.52099999999996</v>
      </c>
      <c r="Q266" s="33"/>
    </row>
    <row r="267" spans="2:18" ht="90">
      <c r="C267" s="216"/>
      <c r="D267" s="68" t="s">
        <v>740</v>
      </c>
      <c r="E267" s="112" t="s">
        <v>743</v>
      </c>
      <c r="F267" s="112" t="s">
        <v>737</v>
      </c>
      <c r="G267" s="112" t="s">
        <v>751</v>
      </c>
      <c r="H267" s="69" t="s">
        <v>746</v>
      </c>
      <c r="L267" s="34" t="s">
        <v>196</v>
      </c>
      <c r="M267" t="s">
        <v>251</v>
      </c>
      <c r="O267" s="82">
        <v>503937</v>
      </c>
      <c r="P267" s="105">
        <f t="shared" si="28"/>
        <v>503.93700000000001</v>
      </c>
      <c r="Q267" s="33"/>
    </row>
    <row r="268" spans="2:18">
      <c r="C268" s="44">
        <v>1</v>
      </c>
      <c r="D268" s="26" t="s">
        <v>247</v>
      </c>
      <c r="E268" s="26"/>
      <c r="F268" s="85">
        <v>675468</v>
      </c>
      <c r="G268" s="113">
        <f t="shared" ref="G268:G281" si="29">F268/1000</f>
        <v>675.46799999999996</v>
      </c>
      <c r="H268" s="41"/>
      <c r="L268" s="34" t="s">
        <v>197</v>
      </c>
      <c r="M268" t="s">
        <v>252</v>
      </c>
      <c r="O268" s="82">
        <v>438022</v>
      </c>
      <c r="P268" s="105">
        <f t="shared" si="28"/>
        <v>438.02199999999999</v>
      </c>
      <c r="Q268" s="33"/>
    </row>
    <row r="269" spans="2:18">
      <c r="C269" s="44">
        <v>2</v>
      </c>
      <c r="D269" s="26" t="s">
        <v>248</v>
      </c>
      <c r="E269" s="26"/>
      <c r="F269" s="85">
        <v>648181</v>
      </c>
      <c r="G269" s="113">
        <f t="shared" si="29"/>
        <v>648.18100000000004</v>
      </c>
      <c r="H269" s="41"/>
      <c r="L269" s="34" t="s">
        <v>198</v>
      </c>
      <c r="M269" t="s">
        <v>253</v>
      </c>
      <c r="O269" s="82">
        <v>413588</v>
      </c>
      <c r="P269" s="105">
        <f t="shared" si="28"/>
        <v>413.58800000000002</v>
      </c>
      <c r="Q269" s="33"/>
    </row>
    <row r="270" spans="2:18">
      <c r="C270" s="44">
        <v>3</v>
      </c>
      <c r="D270" s="26" t="s">
        <v>249</v>
      </c>
      <c r="E270" s="26"/>
      <c r="F270" s="85">
        <v>639250</v>
      </c>
      <c r="G270" s="113">
        <f t="shared" si="29"/>
        <v>639.25</v>
      </c>
      <c r="H270" s="27">
        <f>SUM(G268:G270)</f>
        <v>1962.8989999999999</v>
      </c>
      <c r="L270" s="34" t="s">
        <v>199</v>
      </c>
      <c r="M270" t="s">
        <v>254</v>
      </c>
      <c r="O270" s="82">
        <v>312785</v>
      </c>
      <c r="P270" s="105">
        <f t="shared" si="28"/>
        <v>312.78500000000003</v>
      </c>
      <c r="Q270" s="33"/>
    </row>
    <row r="271" spans="2:18">
      <c r="C271" s="44">
        <v>4</v>
      </c>
      <c r="D271" s="26" t="s">
        <v>250</v>
      </c>
      <c r="E271" s="26"/>
      <c r="F271" s="240">
        <v>592521</v>
      </c>
      <c r="G271" s="241">
        <f t="shared" si="29"/>
        <v>592.52099999999996</v>
      </c>
      <c r="H271" s="41"/>
      <c r="L271" s="34" t="s">
        <v>200</v>
      </c>
      <c r="M271" t="s">
        <v>255</v>
      </c>
      <c r="O271" s="82">
        <v>298979</v>
      </c>
      <c r="P271" s="105">
        <f t="shared" si="28"/>
        <v>298.97899999999998</v>
      </c>
      <c r="Q271" s="33"/>
    </row>
    <row r="272" spans="2:18">
      <c r="C272" s="44">
        <v>5</v>
      </c>
      <c r="D272" s="26" t="s">
        <v>251</v>
      </c>
      <c r="E272" s="26"/>
      <c r="F272" s="240">
        <v>503937</v>
      </c>
      <c r="G272" s="241">
        <f t="shared" si="29"/>
        <v>503.93700000000001</v>
      </c>
      <c r="H272" s="41"/>
      <c r="L272" s="34" t="s">
        <v>201</v>
      </c>
      <c r="M272" t="s">
        <v>256</v>
      </c>
      <c r="O272" s="82">
        <v>262404</v>
      </c>
      <c r="P272" s="105">
        <f t="shared" si="28"/>
        <v>262.404</v>
      </c>
      <c r="Q272" s="33"/>
    </row>
    <row r="273" spans="2:28">
      <c r="C273" s="44">
        <v>6</v>
      </c>
      <c r="D273" s="26" t="s">
        <v>252</v>
      </c>
      <c r="E273" s="26"/>
      <c r="F273" s="240">
        <v>438022</v>
      </c>
      <c r="G273" s="241">
        <f t="shared" si="29"/>
        <v>438.02199999999999</v>
      </c>
      <c r="H273" s="41"/>
      <c r="L273" s="34" t="s">
        <v>202</v>
      </c>
      <c r="M273" t="s">
        <v>257</v>
      </c>
      <c r="O273" s="82">
        <v>246112</v>
      </c>
      <c r="P273" s="105">
        <f t="shared" si="28"/>
        <v>246.11199999999999</v>
      </c>
      <c r="Q273" s="33"/>
    </row>
    <row r="274" spans="2:28">
      <c r="C274" s="44">
        <v>7</v>
      </c>
      <c r="D274" s="26" t="s">
        <v>253</v>
      </c>
      <c r="E274" s="26"/>
      <c r="F274" s="240">
        <v>413588</v>
      </c>
      <c r="G274" s="241">
        <f t="shared" si="29"/>
        <v>413.58800000000002</v>
      </c>
      <c r="H274" s="41"/>
      <c r="L274" s="34" t="s">
        <v>203</v>
      </c>
      <c r="M274" t="s">
        <v>258</v>
      </c>
      <c r="O274" s="82">
        <v>239502</v>
      </c>
      <c r="P274" s="105">
        <f t="shared" si="28"/>
        <v>239.50200000000001</v>
      </c>
      <c r="Q274" s="33"/>
    </row>
    <row r="275" spans="2:28">
      <c r="C275" s="44">
        <v>8</v>
      </c>
      <c r="D275" s="26" t="s">
        <v>254</v>
      </c>
      <c r="E275" s="26"/>
      <c r="F275" s="240">
        <v>312785</v>
      </c>
      <c r="G275" s="241">
        <f t="shared" si="29"/>
        <v>312.78500000000003</v>
      </c>
      <c r="H275" s="41"/>
      <c r="L275" s="34" t="s">
        <v>204</v>
      </c>
      <c r="M275" t="s">
        <v>259</v>
      </c>
      <c r="O275" s="82">
        <v>219724</v>
      </c>
      <c r="P275" s="105">
        <f t="shared" si="28"/>
        <v>219.72399999999999</v>
      </c>
      <c r="Q275" s="33"/>
    </row>
    <row r="276" spans="2:28">
      <c r="C276" s="44">
        <v>9</v>
      </c>
      <c r="D276" s="26" t="s">
        <v>255</v>
      </c>
      <c r="E276" s="26"/>
      <c r="F276" s="240">
        <v>298979</v>
      </c>
      <c r="G276" s="241">
        <f t="shared" si="29"/>
        <v>298.97899999999998</v>
      </c>
      <c r="H276" s="41"/>
      <c r="L276" s="34" t="s">
        <v>205</v>
      </c>
      <c r="M276" t="s">
        <v>260</v>
      </c>
      <c r="O276" s="82">
        <v>132855</v>
      </c>
      <c r="P276" s="105">
        <f t="shared" si="28"/>
        <v>132.85499999999999</v>
      </c>
      <c r="Q276" s="33"/>
    </row>
    <row r="277" spans="2:28">
      <c r="C277" s="44">
        <v>10</v>
      </c>
      <c r="D277" s="26" t="s">
        <v>256</v>
      </c>
      <c r="E277" s="26"/>
      <c r="F277" s="240">
        <v>262404</v>
      </c>
      <c r="G277" s="241">
        <f t="shared" si="29"/>
        <v>262.404</v>
      </c>
      <c r="H277" s="41"/>
      <c r="L277" s="33"/>
      <c r="O277" s="36">
        <f>SUM(O263:O276)</f>
        <v>5623328</v>
      </c>
      <c r="P277" s="35">
        <f t="shared" si="28"/>
        <v>5623.3280000000004</v>
      </c>
      <c r="Q277" s="132">
        <f>0.75*14</f>
        <v>10.5</v>
      </c>
      <c r="R277" s="46">
        <f>P277-P263-P264-P265</f>
        <v>3660.4290000000001</v>
      </c>
    </row>
    <row r="278" spans="2:28">
      <c r="C278" s="44">
        <v>11</v>
      </c>
      <c r="D278" s="26" t="s">
        <v>257</v>
      </c>
      <c r="E278" s="26"/>
      <c r="F278" s="240">
        <v>246112</v>
      </c>
      <c r="G278" s="241">
        <f t="shared" si="29"/>
        <v>246.11199999999999</v>
      </c>
      <c r="H278" s="41"/>
      <c r="L278" s="33"/>
      <c r="O278" s="33"/>
      <c r="P278" s="33"/>
      <c r="Q278" s="33"/>
    </row>
    <row r="279" spans="2:28">
      <c r="C279" s="44">
        <v>12</v>
      </c>
      <c r="D279" s="26" t="s">
        <v>258</v>
      </c>
      <c r="E279" s="26"/>
      <c r="F279" s="240">
        <v>239502</v>
      </c>
      <c r="G279" s="241">
        <f t="shared" si="29"/>
        <v>239.50200000000001</v>
      </c>
      <c r="H279" s="41"/>
      <c r="L279" s="204" t="s">
        <v>261</v>
      </c>
      <c r="M279" s="204"/>
      <c r="N279" s="33"/>
      <c r="O279" s="33"/>
      <c r="P279" s="33"/>
      <c r="Q279" s="33"/>
    </row>
    <row r="280" spans="2:28">
      <c r="C280" s="44">
        <v>13</v>
      </c>
      <c r="D280" s="26" t="s">
        <v>259</v>
      </c>
      <c r="E280" s="26"/>
      <c r="F280" s="240">
        <v>219724</v>
      </c>
      <c r="G280" s="241">
        <f t="shared" si="29"/>
        <v>219.72399999999999</v>
      </c>
      <c r="H280" s="41"/>
      <c r="L280" s="34" t="s">
        <v>192</v>
      </c>
      <c r="M280" t="s">
        <v>262</v>
      </c>
      <c r="O280" s="80">
        <v>438390</v>
      </c>
      <c r="P280" s="104">
        <f t="shared" ref="P280:P294" si="30">O280/1000</f>
        <v>438.39</v>
      </c>
      <c r="Q280" s="33"/>
    </row>
    <row r="281" spans="2:28">
      <c r="C281" s="44">
        <v>14</v>
      </c>
      <c r="D281" s="26" t="s">
        <v>260</v>
      </c>
      <c r="E281" s="26"/>
      <c r="F281" s="240">
        <v>132855</v>
      </c>
      <c r="G281" s="241">
        <f t="shared" si="29"/>
        <v>132.85499999999999</v>
      </c>
      <c r="H281" s="41"/>
      <c r="L281" s="34" t="s">
        <v>193</v>
      </c>
      <c r="M281" t="s">
        <v>263</v>
      </c>
      <c r="O281" s="80">
        <v>420060</v>
      </c>
      <c r="P281" s="104">
        <f t="shared" si="30"/>
        <v>420.06</v>
      </c>
      <c r="Q281" s="33"/>
    </row>
    <row r="282" spans="2:28">
      <c r="C282" s="41">
        <f>C281</f>
        <v>14</v>
      </c>
      <c r="D282" s="42" t="s">
        <v>822</v>
      </c>
      <c r="E282" s="27">
        <f>0.75*C282</f>
        <v>10.5</v>
      </c>
      <c r="F282" s="27">
        <f>SUM(F268:F280)</f>
        <v>5490473</v>
      </c>
      <c r="G282" s="27">
        <f>SUM(G268:G280)</f>
        <v>5490.4730000000009</v>
      </c>
      <c r="H282" s="240">
        <f>G282-H270</f>
        <v>3527.574000000001</v>
      </c>
      <c r="L282" s="34" t="s">
        <v>194</v>
      </c>
      <c r="M282" t="s">
        <v>264</v>
      </c>
      <c r="O282" s="80">
        <v>301420</v>
      </c>
      <c r="P282" s="104">
        <f t="shared" si="30"/>
        <v>301.42</v>
      </c>
      <c r="Q282" s="36">
        <f>SUM(P280:P282)</f>
        <v>1159.8700000000001</v>
      </c>
    </row>
    <row r="283" spans="2:28">
      <c r="L283" s="34" t="s">
        <v>195</v>
      </c>
      <c r="M283" t="s">
        <v>265</v>
      </c>
      <c r="O283" s="82">
        <v>276580</v>
      </c>
      <c r="P283" s="105">
        <f t="shared" si="30"/>
        <v>276.58</v>
      </c>
      <c r="Q283" s="33"/>
    </row>
    <row r="284" spans="2:28">
      <c r="L284" s="34" t="s">
        <v>196</v>
      </c>
      <c r="M284" t="s">
        <v>266</v>
      </c>
      <c r="O284" s="82">
        <v>168260</v>
      </c>
      <c r="P284" s="105">
        <f t="shared" si="30"/>
        <v>168.26</v>
      </c>
      <c r="Q284" s="33"/>
    </row>
    <row r="285" spans="2:28" ht="15.75">
      <c r="B285">
        <v>4</v>
      </c>
      <c r="C285" s="217" t="s">
        <v>772</v>
      </c>
      <c r="D285" s="217"/>
      <c r="E285" s="217"/>
      <c r="F285" s="217"/>
      <c r="G285" s="217"/>
      <c r="H285" s="217"/>
      <c r="L285" s="34" t="s">
        <v>197</v>
      </c>
      <c r="M285" t="s">
        <v>267</v>
      </c>
      <c r="O285" s="82">
        <v>166820</v>
      </c>
      <c r="P285" s="105">
        <f t="shared" si="30"/>
        <v>166.82</v>
      </c>
      <c r="Q285" s="33"/>
    </row>
    <row r="286" spans="2:28">
      <c r="C286" s="216" t="s">
        <v>760</v>
      </c>
      <c r="D286" s="203" t="s">
        <v>739</v>
      </c>
      <c r="E286" s="203"/>
      <c r="F286" s="203" t="s">
        <v>738</v>
      </c>
      <c r="G286" s="203"/>
      <c r="H286" s="203"/>
      <c r="L286" s="34" t="s">
        <v>198</v>
      </c>
      <c r="M286" t="s">
        <v>268</v>
      </c>
      <c r="O286" s="82">
        <v>158540</v>
      </c>
      <c r="P286" s="105">
        <f t="shared" si="30"/>
        <v>158.54</v>
      </c>
      <c r="Q286" s="33"/>
    </row>
    <row r="287" spans="2:28" ht="90">
      <c r="C287" s="216"/>
      <c r="D287" s="68" t="s">
        <v>740</v>
      </c>
      <c r="E287" s="112" t="s">
        <v>743</v>
      </c>
      <c r="F287" s="112" t="s">
        <v>737</v>
      </c>
      <c r="G287" s="112" t="s">
        <v>751</v>
      </c>
      <c r="H287" s="69" t="s">
        <v>746</v>
      </c>
      <c r="L287" s="34" t="s">
        <v>199</v>
      </c>
      <c r="M287" t="s">
        <v>269</v>
      </c>
      <c r="O287" s="82">
        <v>140120</v>
      </c>
      <c r="P287" s="105">
        <f t="shared" si="30"/>
        <v>140.12</v>
      </c>
      <c r="Q287" s="33"/>
    </row>
    <row r="288" spans="2:28">
      <c r="C288" s="44">
        <v>1</v>
      </c>
      <c r="D288" s="26" t="s">
        <v>262</v>
      </c>
      <c r="E288" s="26"/>
      <c r="F288" s="85">
        <v>438390</v>
      </c>
      <c r="G288" s="113">
        <f t="shared" ref="G288:G301" si="31">F288/1000</f>
        <v>438.39</v>
      </c>
      <c r="H288" s="41"/>
      <c r="L288" s="34" t="s">
        <v>200</v>
      </c>
      <c r="M288" t="s">
        <v>270</v>
      </c>
      <c r="O288" s="82">
        <v>136870</v>
      </c>
      <c r="P288" s="105">
        <f t="shared" si="30"/>
        <v>136.87</v>
      </c>
      <c r="Q288" s="33"/>
      <c r="W288">
        <v>10</v>
      </c>
      <c r="X288" t="s">
        <v>803</v>
      </c>
      <c r="Y288" s="9">
        <v>7.5</v>
      </c>
      <c r="Z288" s="9">
        <v>4045900</v>
      </c>
      <c r="AA288" s="9">
        <v>4045.8999999999996</v>
      </c>
      <c r="AB288" s="9">
        <v>2397.9399999999996</v>
      </c>
    </row>
    <row r="289" spans="3:28">
      <c r="C289" s="44">
        <v>2</v>
      </c>
      <c r="D289" s="26" t="s">
        <v>263</v>
      </c>
      <c r="E289" s="26"/>
      <c r="F289" s="85">
        <v>420060</v>
      </c>
      <c r="G289" s="113">
        <f t="shared" si="31"/>
        <v>420.06</v>
      </c>
      <c r="H289" s="41"/>
      <c r="L289" s="34" t="s">
        <v>201</v>
      </c>
      <c r="M289" t="s">
        <v>271</v>
      </c>
      <c r="O289" s="82">
        <v>133480</v>
      </c>
      <c r="P289" s="105">
        <f t="shared" si="30"/>
        <v>133.47999999999999</v>
      </c>
      <c r="Q289" s="33"/>
      <c r="W289">
        <v>13</v>
      </c>
      <c r="X289" t="s">
        <v>770</v>
      </c>
      <c r="Y289" s="9">
        <v>9.75</v>
      </c>
      <c r="Z289" s="9">
        <v>4273400</v>
      </c>
      <c r="AA289" s="9">
        <v>4273.4000000000005</v>
      </c>
      <c r="AB289" s="9">
        <v>2639.0200000000004</v>
      </c>
    </row>
    <row r="290" spans="3:28">
      <c r="C290" s="44">
        <v>3</v>
      </c>
      <c r="D290" s="26" t="s">
        <v>264</v>
      </c>
      <c r="E290" s="26"/>
      <c r="F290" s="85">
        <v>301420</v>
      </c>
      <c r="G290" s="113">
        <f t="shared" si="31"/>
        <v>301.42</v>
      </c>
      <c r="H290" s="27">
        <f>SUM(G288:G290)</f>
        <v>1159.8700000000001</v>
      </c>
      <c r="L290" s="34" t="s">
        <v>202</v>
      </c>
      <c r="M290" t="s">
        <v>272</v>
      </c>
      <c r="O290" s="82">
        <v>115860</v>
      </c>
      <c r="P290" s="105">
        <f t="shared" si="30"/>
        <v>115.86</v>
      </c>
      <c r="Q290" s="33"/>
      <c r="W290">
        <v>14</v>
      </c>
      <c r="X290" t="s">
        <v>771</v>
      </c>
      <c r="Y290" s="9">
        <v>10.5</v>
      </c>
      <c r="Z290" s="9">
        <v>5490473</v>
      </c>
      <c r="AA290" s="9">
        <v>5490.4730000000009</v>
      </c>
      <c r="AB290" s="9">
        <v>3527.574000000001</v>
      </c>
    </row>
    <row r="291" spans="3:28">
      <c r="C291" s="44">
        <v>4</v>
      </c>
      <c r="D291" s="26" t="s">
        <v>265</v>
      </c>
      <c r="E291" s="26"/>
      <c r="F291" s="240">
        <v>276580</v>
      </c>
      <c r="G291" s="241">
        <f t="shared" si="31"/>
        <v>276.58</v>
      </c>
      <c r="H291" s="41"/>
      <c r="L291" s="34" t="s">
        <v>203</v>
      </c>
      <c r="M291" t="s">
        <v>273</v>
      </c>
      <c r="O291" s="82">
        <v>114830</v>
      </c>
      <c r="P291" s="105">
        <f t="shared" si="30"/>
        <v>114.83</v>
      </c>
      <c r="Q291" s="33"/>
      <c r="W291" s="33">
        <v>14</v>
      </c>
      <c r="X291" t="s">
        <v>772</v>
      </c>
      <c r="Y291" s="36">
        <v>10.5</v>
      </c>
      <c r="Z291" s="36">
        <v>2737200</v>
      </c>
      <c r="AA291" s="36">
        <v>2737.2000000000003</v>
      </c>
      <c r="AB291" s="46">
        <v>1577.3300000000002</v>
      </c>
    </row>
    <row r="292" spans="3:28">
      <c r="C292" s="44">
        <v>5</v>
      </c>
      <c r="D292" s="26" t="s">
        <v>266</v>
      </c>
      <c r="E292" s="26"/>
      <c r="F292" s="240">
        <v>168260</v>
      </c>
      <c r="G292" s="241">
        <f t="shared" si="31"/>
        <v>168.26</v>
      </c>
      <c r="H292" s="41"/>
      <c r="L292" s="34" t="s">
        <v>204</v>
      </c>
      <c r="M292" t="s">
        <v>274</v>
      </c>
      <c r="O292" s="82">
        <v>100510</v>
      </c>
      <c r="P292" s="105">
        <f t="shared" si="30"/>
        <v>100.51</v>
      </c>
      <c r="Q292" s="33"/>
      <c r="S292">
        <v>1</v>
      </c>
      <c r="V292">
        <v>5</v>
      </c>
      <c r="W292">
        <v>5</v>
      </c>
      <c r="X292" t="s">
        <v>773</v>
      </c>
      <c r="Y292" s="9">
        <v>3.75</v>
      </c>
      <c r="Z292" s="9">
        <v>739778</v>
      </c>
      <c r="AA292" s="9">
        <v>739.77800000000002</v>
      </c>
      <c r="AB292" s="9">
        <v>485.86200000000002</v>
      </c>
    </row>
    <row r="293" spans="3:28">
      <c r="C293" s="44">
        <v>6</v>
      </c>
      <c r="D293" s="26" t="s">
        <v>267</v>
      </c>
      <c r="E293" s="26"/>
      <c r="F293" s="240">
        <v>166820</v>
      </c>
      <c r="G293" s="241">
        <f t="shared" si="31"/>
        <v>166.82</v>
      </c>
      <c r="H293" s="41"/>
      <c r="L293" s="34" t="s">
        <v>205</v>
      </c>
      <c r="M293" t="s">
        <v>275</v>
      </c>
      <c r="O293" s="82">
        <v>65460</v>
      </c>
      <c r="P293" s="105">
        <f t="shared" si="30"/>
        <v>65.459999999999994</v>
      </c>
      <c r="Q293" s="33"/>
      <c r="S293">
        <v>2</v>
      </c>
      <c r="W293">
        <f>SUM(W288:W292)</f>
        <v>56</v>
      </c>
      <c r="Y293" s="9">
        <f>SUM(Y288:Y292)</f>
        <v>42</v>
      </c>
      <c r="Z293" s="9">
        <f t="shared" ref="Z293:AB293" si="32">SUM(Z288:Z292)</f>
        <v>17286751</v>
      </c>
      <c r="AA293" s="9">
        <f t="shared" si="32"/>
        <v>17286.751</v>
      </c>
      <c r="AB293" s="9">
        <f t="shared" si="32"/>
        <v>10627.726000000001</v>
      </c>
    </row>
    <row r="294" spans="3:28">
      <c r="C294" s="44">
        <v>7</v>
      </c>
      <c r="D294" s="26" t="s">
        <v>268</v>
      </c>
      <c r="E294" s="26"/>
      <c r="F294" s="240">
        <v>158540</v>
      </c>
      <c r="G294" s="241">
        <f t="shared" si="31"/>
        <v>158.54</v>
      </c>
      <c r="H294" s="41"/>
      <c r="L294" s="33"/>
      <c r="O294" s="36">
        <v>2737200</v>
      </c>
      <c r="P294" s="35">
        <f t="shared" si="30"/>
        <v>2737.2</v>
      </c>
      <c r="Q294" s="132">
        <f>0.75*14</f>
        <v>10.5</v>
      </c>
      <c r="R294" s="9">
        <f>P294-Q282</f>
        <v>1577.3299999999997</v>
      </c>
      <c r="S294">
        <v>3</v>
      </c>
    </row>
    <row r="295" spans="3:28">
      <c r="C295" s="44">
        <v>8</v>
      </c>
      <c r="D295" s="26" t="s">
        <v>269</v>
      </c>
      <c r="E295" s="26"/>
      <c r="F295" s="240">
        <v>140120</v>
      </c>
      <c r="G295" s="241">
        <f t="shared" si="31"/>
        <v>140.12</v>
      </c>
      <c r="H295" s="41"/>
      <c r="L295" s="33"/>
      <c r="O295" s="33"/>
      <c r="P295" s="33"/>
      <c r="Q295" s="33"/>
      <c r="S295">
        <v>4</v>
      </c>
    </row>
    <row r="296" spans="3:28">
      <c r="C296" s="44">
        <v>9</v>
      </c>
      <c r="D296" s="26" t="s">
        <v>270</v>
      </c>
      <c r="E296" s="26"/>
      <c r="F296" s="240">
        <v>136870</v>
      </c>
      <c r="G296" s="241">
        <f t="shared" si="31"/>
        <v>136.87</v>
      </c>
      <c r="H296" s="41"/>
      <c r="L296" s="204" t="s">
        <v>276</v>
      </c>
      <c r="M296" s="204"/>
      <c r="N296" s="33"/>
      <c r="O296" s="33"/>
      <c r="P296" s="33"/>
      <c r="Q296" s="33"/>
      <c r="S296">
        <v>5</v>
      </c>
    </row>
    <row r="297" spans="3:28">
      <c r="C297" s="44">
        <v>10</v>
      </c>
      <c r="D297" s="26" t="s">
        <v>271</v>
      </c>
      <c r="E297" s="26"/>
      <c r="F297" s="240">
        <v>133480</v>
      </c>
      <c r="G297" s="241">
        <f t="shared" si="31"/>
        <v>133.47999999999999</v>
      </c>
      <c r="H297" s="41"/>
      <c r="L297" s="34" t="s">
        <v>192</v>
      </c>
      <c r="M297" t="s">
        <v>281</v>
      </c>
      <c r="O297" s="81">
        <v>253916</v>
      </c>
      <c r="P297" s="102">
        <f t="shared" ref="P297:P302" si="33">O297/1000</f>
        <v>253.916</v>
      </c>
      <c r="Q297" s="33"/>
    </row>
    <row r="298" spans="3:28">
      <c r="C298" s="44">
        <v>11</v>
      </c>
      <c r="D298" s="26" t="s">
        <v>272</v>
      </c>
      <c r="E298" s="26"/>
      <c r="F298" s="240">
        <v>115860</v>
      </c>
      <c r="G298" s="241">
        <f t="shared" si="31"/>
        <v>115.86</v>
      </c>
      <c r="H298" s="41"/>
      <c r="L298" s="34" t="s">
        <v>193</v>
      </c>
      <c r="M298" t="s">
        <v>280</v>
      </c>
      <c r="O298" s="36">
        <v>210937</v>
      </c>
      <c r="P298" s="105">
        <f t="shared" si="33"/>
        <v>210.93700000000001</v>
      </c>
      <c r="Q298" s="33"/>
    </row>
    <row r="299" spans="3:28">
      <c r="C299" s="44">
        <v>12</v>
      </c>
      <c r="D299" s="26" t="s">
        <v>273</v>
      </c>
      <c r="E299" s="26"/>
      <c r="F299" s="240">
        <v>114830</v>
      </c>
      <c r="G299" s="241">
        <f t="shared" si="31"/>
        <v>114.83</v>
      </c>
      <c r="H299" s="41"/>
      <c r="L299" s="34" t="s">
        <v>194</v>
      </c>
      <c r="M299" t="s">
        <v>278</v>
      </c>
      <c r="O299" s="36">
        <v>160241</v>
      </c>
      <c r="P299" s="105">
        <f t="shared" si="33"/>
        <v>160.24100000000001</v>
      </c>
      <c r="Q299" s="33"/>
    </row>
    <row r="300" spans="3:28">
      <c r="C300" s="44">
        <v>13</v>
      </c>
      <c r="D300" s="26" t="s">
        <v>274</v>
      </c>
      <c r="E300" s="26"/>
      <c r="F300" s="240">
        <v>100510</v>
      </c>
      <c r="G300" s="241">
        <f t="shared" si="31"/>
        <v>100.51</v>
      </c>
      <c r="H300" s="41"/>
      <c r="L300" s="34" t="s">
        <v>195</v>
      </c>
      <c r="M300" t="s">
        <v>277</v>
      </c>
      <c r="O300" s="36">
        <v>86523</v>
      </c>
      <c r="P300" s="105">
        <f t="shared" si="33"/>
        <v>86.522999999999996</v>
      </c>
      <c r="Q300" s="33"/>
    </row>
    <row r="301" spans="3:28">
      <c r="C301" s="44">
        <v>14</v>
      </c>
      <c r="D301" s="26" t="s">
        <v>275</v>
      </c>
      <c r="E301" s="26"/>
      <c r="F301" s="240">
        <v>65460</v>
      </c>
      <c r="G301" s="241">
        <f t="shared" si="31"/>
        <v>65.459999999999994</v>
      </c>
      <c r="H301" s="41"/>
      <c r="L301" s="34" t="s">
        <v>196</v>
      </c>
      <c r="M301" t="s">
        <v>279</v>
      </c>
      <c r="O301" s="36">
        <v>28161</v>
      </c>
      <c r="P301" s="105">
        <f t="shared" si="33"/>
        <v>28.161000000000001</v>
      </c>
      <c r="Q301" s="33"/>
    </row>
    <row r="302" spans="3:28">
      <c r="C302" s="41">
        <f>C301</f>
        <v>14</v>
      </c>
      <c r="D302" s="42" t="s">
        <v>823</v>
      </c>
      <c r="E302" s="27">
        <f>0.75*C302</f>
        <v>10.5</v>
      </c>
      <c r="F302" s="27">
        <f>SUM(F288:F301)</f>
        <v>2737200</v>
      </c>
      <c r="G302" s="27">
        <f>SUM(G288:G301)</f>
        <v>2737.2000000000003</v>
      </c>
      <c r="H302" s="240">
        <f>G302-H290</f>
        <v>1577.3300000000002</v>
      </c>
      <c r="L302" s="33"/>
      <c r="O302" s="36">
        <f>SUM(O297:O301)</f>
        <v>739778</v>
      </c>
      <c r="P302" s="35">
        <f t="shared" si="33"/>
        <v>739.77800000000002</v>
      </c>
      <c r="Q302" s="132">
        <f>0.75*5</f>
        <v>3.75</v>
      </c>
      <c r="R302" s="14">
        <f>P302-P297</f>
        <v>485.86200000000002</v>
      </c>
    </row>
    <row r="303" spans="3:28">
      <c r="L303" s="33">
        <f>L301+L293+L276+L259+L243</f>
        <v>56</v>
      </c>
      <c r="M303" s="21" t="s">
        <v>648</v>
      </c>
      <c r="N303" s="21"/>
      <c r="O303" s="33"/>
      <c r="P303" s="33"/>
      <c r="Q303" s="59">
        <f>Q302+Q294+Q277+Q260+Q244</f>
        <v>42</v>
      </c>
      <c r="S303" s="46">
        <f>R302+R294+R277+R260+R244</f>
        <v>10760.581</v>
      </c>
    </row>
    <row r="305" spans="2:17" ht="15.75">
      <c r="B305">
        <v>5</v>
      </c>
      <c r="C305" s="211" t="s">
        <v>773</v>
      </c>
      <c r="D305" s="214"/>
      <c r="E305" s="214"/>
      <c r="F305" s="214"/>
      <c r="G305" s="214"/>
      <c r="H305" s="212"/>
    </row>
    <row r="306" spans="2:17">
      <c r="C306" s="216" t="s">
        <v>760</v>
      </c>
      <c r="D306" s="203" t="s">
        <v>739</v>
      </c>
      <c r="E306" s="203"/>
      <c r="F306" s="203" t="s">
        <v>738</v>
      </c>
      <c r="G306" s="203"/>
      <c r="H306" s="203"/>
    </row>
    <row r="307" spans="2:17" ht="90">
      <c r="C307" s="216"/>
      <c r="D307" s="68" t="s">
        <v>740</v>
      </c>
      <c r="E307" s="112" t="s">
        <v>743</v>
      </c>
      <c r="F307" s="112" t="s">
        <v>737</v>
      </c>
      <c r="G307" s="112" t="s">
        <v>751</v>
      </c>
      <c r="H307" s="69" t="s">
        <v>746</v>
      </c>
      <c r="L307" s="213" t="s">
        <v>663</v>
      </c>
      <c r="M307" s="213"/>
      <c r="N307" s="213"/>
      <c r="O307" s="213"/>
      <c r="P307" s="213"/>
      <c r="Q307" s="33"/>
    </row>
    <row r="308" spans="2:17">
      <c r="C308" s="41">
        <v>1</v>
      </c>
      <c r="D308" s="26" t="s">
        <v>281</v>
      </c>
      <c r="E308" s="26"/>
      <c r="F308" s="85">
        <v>253916</v>
      </c>
      <c r="G308" s="113">
        <f t="shared" ref="G308:G313" si="34">F308/1000</f>
        <v>253.916</v>
      </c>
      <c r="H308" s="41"/>
      <c r="L308" s="50">
        <v>1</v>
      </c>
      <c r="M308" s="204" t="s">
        <v>282</v>
      </c>
      <c r="N308" s="204"/>
      <c r="O308" s="204"/>
      <c r="P308" s="204"/>
      <c r="Q308" s="33"/>
    </row>
    <row r="309" spans="2:17">
      <c r="C309" s="41">
        <v>2</v>
      </c>
      <c r="D309" s="26" t="s">
        <v>280</v>
      </c>
      <c r="E309" s="26"/>
      <c r="F309" s="240">
        <v>210937</v>
      </c>
      <c r="G309" s="241">
        <f t="shared" si="34"/>
        <v>210.93700000000001</v>
      </c>
      <c r="H309" s="41"/>
      <c r="L309" s="34" t="s">
        <v>192</v>
      </c>
      <c r="M309" t="s">
        <v>324</v>
      </c>
      <c r="O309" s="80">
        <v>602793</v>
      </c>
      <c r="P309" s="80">
        <f>O309/1000</f>
        <v>602.79300000000001</v>
      </c>
      <c r="Q309" s="33"/>
    </row>
    <row r="310" spans="2:17">
      <c r="C310" s="41">
        <v>3</v>
      </c>
      <c r="D310" s="26" t="s">
        <v>278</v>
      </c>
      <c r="E310" s="26"/>
      <c r="F310" s="240">
        <v>160241</v>
      </c>
      <c r="G310" s="241">
        <f t="shared" si="34"/>
        <v>160.24100000000001</v>
      </c>
      <c r="H310" s="41"/>
      <c r="L310" s="34" t="s">
        <v>193</v>
      </c>
      <c r="M310" t="s">
        <v>323</v>
      </c>
      <c r="O310" s="80">
        <v>436418</v>
      </c>
      <c r="P310" s="80">
        <f t="shared" ref="P310:P332" si="35">O310/1000</f>
        <v>436.41800000000001</v>
      </c>
      <c r="Q310" s="33"/>
    </row>
    <row r="311" spans="2:17">
      <c r="C311" s="41">
        <v>4</v>
      </c>
      <c r="D311" s="26" t="s">
        <v>277</v>
      </c>
      <c r="E311" s="26"/>
      <c r="F311" s="240">
        <v>86523</v>
      </c>
      <c r="G311" s="241">
        <f t="shared" si="34"/>
        <v>86.522999999999996</v>
      </c>
      <c r="H311" s="41"/>
      <c r="L311" s="34" t="s">
        <v>194</v>
      </c>
      <c r="M311" t="s">
        <v>322</v>
      </c>
      <c r="O311" s="80">
        <v>435275</v>
      </c>
      <c r="P311" s="80">
        <f t="shared" si="35"/>
        <v>435.27499999999998</v>
      </c>
      <c r="Q311" s="33"/>
    </row>
    <row r="312" spans="2:17">
      <c r="C312" s="41">
        <v>5</v>
      </c>
      <c r="D312" s="26" t="s">
        <v>279</v>
      </c>
      <c r="E312" s="26"/>
      <c r="F312" s="240">
        <v>28161</v>
      </c>
      <c r="G312" s="241">
        <f t="shared" si="34"/>
        <v>28.161000000000001</v>
      </c>
      <c r="H312" s="41"/>
      <c r="L312" s="34" t="s">
        <v>195</v>
      </c>
      <c r="M312" t="s">
        <v>318</v>
      </c>
      <c r="O312" s="80">
        <v>422401</v>
      </c>
      <c r="P312" s="80">
        <f t="shared" si="35"/>
        <v>422.40100000000001</v>
      </c>
      <c r="Q312" s="33"/>
    </row>
    <row r="313" spans="2:17">
      <c r="B313">
        <v>5</v>
      </c>
      <c r="C313" s="41">
        <f>C312</f>
        <v>5</v>
      </c>
      <c r="D313" s="178" t="s">
        <v>821</v>
      </c>
      <c r="E313" s="168">
        <f>0.75*C313</f>
        <v>3.75</v>
      </c>
      <c r="F313" s="27">
        <f>SUM(F308:F312)</f>
        <v>739778</v>
      </c>
      <c r="G313" s="71">
        <f t="shared" si="34"/>
        <v>739.77800000000002</v>
      </c>
      <c r="H313" s="241">
        <f>G313-G308</f>
        <v>485.86200000000002</v>
      </c>
      <c r="L313" s="34" t="s">
        <v>196</v>
      </c>
      <c r="M313" t="s">
        <v>321</v>
      </c>
      <c r="O313" s="80">
        <v>405535</v>
      </c>
      <c r="P313" s="80">
        <f t="shared" si="35"/>
        <v>405.53500000000003</v>
      </c>
      <c r="Q313" s="33"/>
    </row>
    <row r="314" spans="2:17">
      <c r="L314" s="34" t="s">
        <v>197</v>
      </c>
      <c r="M314" t="s">
        <v>327</v>
      </c>
      <c r="O314" s="80">
        <v>294356</v>
      </c>
      <c r="P314" s="80">
        <f t="shared" si="35"/>
        <v>294.35599999999999</v>
      </c>
      <c r="Q314" s="36">
        <f>SUM(P309:P314)</f>
        <v>2596.7780000000002</v>
      </c>
    </row>
    <row r="315" spans="2:17">
      <c r="B315" s="134">
        <f>B305</f>
        <v>5</v>
      </c>
      <c r="C315" s="134">
        <f>W293</f>
        <v>56</v>
      </c>
      <c r="D315" s="134" t="s">
        <v>648</v>
      </c>
      <c r="E315" s="171">
        <f>Y293</f>
        <v>42</v>
      </c>
      <c r="F315" s="171">
        <f>Z293</f>
        <v>17286751</v>
      </c>
      <c r="G315" s="171">
        <f>AA293</f>
        <v>17286.751</v>
      </c>
      <c r="H315" s="171">
        <f>AB293</f>
        <v>10627.726000000001</v>
      </c>
      <c r="L315" s="34" t="s">
        <v>198</v>
      </c>
      <c r="M315" t="s">
        <v>332</v>
      </c>
      <c r="O315" s="82">
        <v>252899</v>
      </c>
      <c r="P315" s="82">
        <f t="shared" si="35"/>
        <v>252.899</v>
      </c>
      <c r="Q315" s="36"/>
    </row>
    <row r="316" spans="2:17">
      <c r="F316" s="36"/>
      <c r="G316" s="35"/>
      <c r="H316" s="33"/>
      <c r="L316" s="34" t="s">
        <v>199</v>
      </c>
      <c r="M316" t="s">
        <v>315</v>
      </c>
      <c r="O316" s="82">
        <v>232414</v>
      </c>
      <c r="P316" s="82">
        <f t="shared" si="35"/>
        <v>232.41399999999999</v>
      </c>
      <c r="Q316" s="33"/>
    </row>
    <row r="317" spans="2:17">
      <c r="E317" s="9"/>
      <c r="F317" s="9"/>
      <c r="G317" s="9"/>
      <c r="H317" s="9"/>
      <c r="L317" s="34" t="s">
        <v>200</v>
      </c>
      <c r="M317" t="s">
        <v>317</v>
      </c>
      <c r="O317" s="82">
        <v>220860</v>
      </c>
      <c r="P317" s="82">
        <f t="shared" si="35"/>
        <v>220.86</v>
      </c>
      <c r="Q317" s="33"/>
    </row>
    <row r="318" spans="2:17">
      <c r="C318" s="208" t="s">
        <v>663</v>
      </c>
      <c r="D318" s="208"/>
      <c r="E318" s="208"/>
      <c r="F318" s="208"/>
      <c r="G318" s="208"/>
      <c r="H318" s="208"/>
      <c r="L318" s="34" t="s">
        <v>201</v>
      </c>
      <c r="M318" t="s">
        <v>319</v>
      </c>
      <c r="O318" s="82">
        <v>215576</v>
      </c>
      <c r="P318" s="82">
        <f t="shared" si="35"/>
        <v>215.57599999999999</v>
      </c>
      <c r="Q318" s="33"/>
    </row>
    <row r="319" spans="2:17" ht="15.75">
      <c r="B319">
        <v>1</v>
      </c>
      <c r="C319" s="217" t="s">
        <v>774</v>
      </c>
      <c r="D319" s="217"/>
      <c r="E319" s="217"/>
      <c r="F319" s="217"/>
      <c r="G319" s="217"/>
      <c r="H319" s="217"/>
      <c r="L319" s="34" t="s">
        <v>202</v>
      </c>
      <c r="M319" t="s">
        <v>320</v>
      </c>
      <c r="O319" s="82">
        <v>198736</v>
      </c>
      <c r="P319" s="82">
        <f t="shared" si="35"/>
        <v>198.73599999999999</v>
      </c>
      <c r="Q319" s="33"/>
    </row>
    <row r="320" spans="2:17">
      <c r="C320" s="216" t="s">
        <v>760</v>
      </c>
      <c r="D320" s="203" t="s">
        <v>739</v>
      </c>
      <c r="E320" s="203"/>
      <c r="F320" s="203" t="s">
        <v>738</v>
      </c>
      <c r="G320" s="203"/>
      <c r="H320" s="203"/>
      <c r="L320" s="34" t="s">
        <v>203</v>
      </c>
      <c r="M320" t="s">
        <v>335</v>
      </c>
      <c r="O320" s="82">
        <v>188713</v>
      </c>
      <c r="P320" s="82">
        <f t="shared" si="35"/>
        <v>188.71299999999999</v>
      </c>
      <c r="Q320" s="33"/>
    </row>
    <row r="321" spans="3:18" ht="90">
      <c r="C321" s="216"/>
      <c r="D321" s="68" t="s">
        <v>740</v>
      </c>
      <c r="E321" s="112" t="s">
        <v>743</v>
      </c>
      <c r="F321" s="112" t="s">
        <v>737</v>
      </c>
      <c r="G321" s="112" t="s">
        <v>751</v>
      </c>
      <c r="H321" s="69" t="s">
        <v>746</v>
      </c>
      <c r="L321" s="34" t="s">
        <v>204</v>
      </c>
      <c r="M321" t="s">
        <v>334</v>
      </c>
      <c r="O321" s="82">
        <v>185971</v>
      </c>
      <c r="P321" s="82">
        <f t="shared" si="35"/>
        <v>185.971</v>
      </c>
      <c r="Q321" s="33"/>
    </row>
    <row r="322" spans="3:18">
      <c r="C322" s="44">
        <v>1</v>
      </c>
      <c r="D322" s="26" t="s">
        <v>324</v>
      </c>
      <c r="E322" s="26"/>
      <c r="F322" s="85">
        <v>602793</v>
      </c>
      <c r="G322" s="85">
        <f>F322/1000</f>
        <v>602.79300000000001</v>
      </c>
      <c r="H322" s="41"/>
      <c r="L322" s="34" t="s">
        <v>205</v>
      </c>
      <c r="M322" t="s">
        <v>328</v>
      </c>
      <c r="O322" s="82">
        <v>168392</v>
      </c>
      <c r="P322" s="82">
        <f t="shared" si="35"/>
        <v>168.392</v>
      </c>
      <c r="Q322" s="33"/>
    </row>
    <row r="323" spans="3:18">
      <c r="C323" s="44">
        <v>2</v>
      </c>
      <c r="D323" s="26" t="s">
        <v>323</v>
      </c>
      <c r="E323" s="26"/>
      <c r="F323" s="85">
        <v>436418</v>
      </c>
      <c r="G323" s="85">
        <f t="shared" ref="G323:G345" si="36">F323/1000</f>
        <v>436.41800000000001</v>
      </c>
      <c r="H323" s="41"/>
      <c r="L323" s="34" t="s">
        <v>206</v>
      </c>
      <c r="M323" t="s">
        <v>330</v>
      </c>
      <c r="O323" s="82">
        <v>161342</v>
      </c>
      <c r="P323" s="82">
        <f t="shared" si="35"/>
        <v>161.34200000000001</v>
      </c>
      <c r="Q323" s="33"/>
    </row>
    <row r="324" spans="3:18">
      <c r="C324" s="44">
        <v>3</v>
      </c>
      <c r="D324" s="26" t="s">
        <v>322</v>
      </c>
      <c r="E324" s="26"/>
      <c r="F324" s="85">
        <v>435275</v>
      </c>
      <c r="G324" s="85">
        <f t="shared" si="36"/>
        <v>435.27499999999998</v>
      </c>
      <c r="H324" s="41"/>
      <c r="L324" s="34" t="s">
        <v>207</v>
      </c>
      <c r="M324" t="s">
        <v>331</v>
      </c>
      <c r="O324" s="82">
        <v>158397</v>
      </c>
      <c r="P324" s="82">
        <f t="shared" si="35"/>
        <v>158.39699999999999</v>
      </c>
      <c r="Q324" s="33"/>
    </row>
    <row r="325" spans="3:18">
      <c r="C325" s="44">
        <v>4</v>
      </c>
      <c r="D325" s="26" t="s">
        <v>318</v>
      </c>
      <c r="E325" s="26"/>
      <c r="F325" s="85">
        <v>422401</v>
      </c>
      <c r="G325" s="85">
        <f t="shared" si="36"/>
        <v>422.40100000000001</v>
      </c>
      <c r="H325" s="41"/>
      <c r="L325" s="34" t="s">
        <v>208</v>
      </c>
      <c r="M325" t="s">
        <v>325</v>
      </c>
      <c r="O325" s="82">
        <v>150775</v>
      </c>
      <c r="P325" s="82">
        <f t="shared" si="35"/>
        <v>150.77500000000001</v>
      </c>
      <c r="Q325" s="33"/>
    </row>
    <row r="326" spans="3:18">
      <c r="C326" s="44">
        <v>5</v>
      </c>
      <c r="D326" s="26" t="s">
        <v>321</v>
      </c>
      <c r="E326" s="26"/>
      <c r="F326" s="85">
        <v>405535</v>
      </c>
      <c r="G326" s="85">
        <f t="shared" si="36"/>
        <v>405.53500000000003</v>
      </c>
      <c r="H326" s="41"/>
      <c r="L326" s="34" t="s">
        <v>209</v>
      </c>
      <c r="M326" t="s">
        <v>316</v>
      </c>
      <c r="O326" s="82">
        <v>126514</v>
      </c>
      <c r="P326" s="82">
        <f t="shared" si="35"/>
        <v>126.514</v>
      </c>
      <c r="Q326" s="33"/>
    </row>
    <row r="327" spans="3:18">
      <c r="C327" s="44">
        <v>6</v>
      </c>
      <c r="D327" s="26" t="s">
        <v>327</v>
      </c>
      <c r="E327" s="26"/>
      <c r="F327" s="85">
        <v>294356</v>
      </c>
      <c r="G327" s="85">
        <f t="shared" si="36"/>
        <v>294.35599999999999</v>
      </c>
      <c r="H327" s="27">
        <f>SUM(G322:G327)</f>
        <v>2596.7780000000002</v>
      </c>
      <c r="L327" s="34" t="s">
        <v>210</v>
      </c>
      <c r="M327" t="s">
        <v>326</v>
      </c>
      <c r="O327" s="82">
        <v>99532</v>
      </c>
      <c r="P327" s="82">
        <f t="shared" si="35"/>
        <v>99.531999999999996</v>
      </c>
      <c r="Q327" s="33"/>
    </row>
    <row r="328" spans="3:18">
      <c r="C328" s="44">
        <v>7</v>
      </c>
      <c r="D328" s="26" t="s">
        <v>332</v>
      </c>
      <c r="E328" s="26"/>
      <c r="F328" s="240">
        <v>252899</v>
      </c>
      <c r="G328" s="240">
        <f t="shared" si="36"/>
        <v>252.899</v>
      </c>
      <c r="H328" s="27"/>
      <c r="L328" s="34" t="s">
        <v>211</v>
      </c>
      <c r="M328" t="s">
        <v>329</v>
      </c>
      <c r="O328" s="82">
        <v>93159</v>
      </c>
      <c r="P328" s="82">
        <f t="shared" si="35"/>
        <v>93.159000000000006</v>
      </c>
      <c r="Q328" s="33"/>
    </row>
    <row r="329" spans="3:18">
      <c r="C329" s="44">
        <v>8</v>
      </c>
      <c r="D329" s="26" t="s">
        <v>315</v>
      </c>
      <c r="E329" s="26"/>
      <c r="F329" s="240">
        <v>232414</v>
      </c>
      <c r="G329" s="240">
        <f t="shared" si="36"/>
        <v>232.41399999999999</v>
      </c>
      <c r="H329" s="41"/>
      <c r="L329" s="34" t="s">
        <v>212</v>
      </c>
      <c r="M329" t="s">
        <v>314</v>
      </c>
      <c r="O329" s="82">
        <v>92865</v>
      </c>
      <c r="P329" s="82">
        <f t="shared" si="35"/>
        <v>92.864999999999995</v>
      </c>
      <c r="Q329" s="33"/>
    </row>
    <row r="330" spans="3:18">
      <c r="C330" s="44">
        <v>9</v>
      </c>
      <c r="D330" s="26" t="s">
        <v>317</v>
      </c>
      <c r="E330" s="26"/>
      <c r="F330" s="240">
        <v>220860</v>
      </c>
      <c r="G330" s="240">
        <f t="shared" si="36"/>
        <v>220.86</v>
      </c>
      <c r="H330" s="41"/>
      <c r="L330" s="34" t="s">
        <v>213</v>
      </c>
      <c r="M330" t="s">
        <v>336</v>
      </c>
      <c r="O330" s="82">
        <v>90751</v>
      </c>
      <c r="P330" s="82">
        <f t="shared" si="35"/>
        <v>90.751000000000005</v>
      </c>
      <c r="Q330" s="33"/>
    </row>
    <row r="331" spans="3:18">
      <c r="C331" s="44">
        <v>10</v>
      </c>
      <c r="D331" s="26" t="s">
        <v>319</v>
      </c>
      <c r="E331" s="26"/>
      <c r="F331" s="240">
        <v>215576</v>
      </c>
      <c r="G331" s="240">
        <f t="shared" si="36"/>
        <v>215.57599999999999</v>
      </c>
      <c r="H331" s="41"/>
      <c r="L331" s="34" t="s">
        <v>214</v>
      </c>
      <c r="M331" t="s">
        <v>333</v>
      </c>
      <c r="O331" s="82">
        <v>41197</v>
      </c>
      <c r="P331" s="82">
        <f t="shared" si="35"/>
        <v>41.197000000000003</v>
      </c>
      <c r="Q331" s="33"/>
    </row>
    <row r="332" spans="3:18">
      <c r="C332" s="44">
        <v>11</v>
      </c>
      <c r="D332" s="26" t="s">
        <v>320</v>
      </c>
      <c r="E332" s="26"/>
      <c r="F332" s="240">
        <v>198736</v>
      </c>
      <c r="G332" s="240">
        <f t="shared" si="36"/>
        <v>198.73599999999999</v>
      </c>
      <c r="H332" s="41"/>
      <c r="L332" s="33"/>
      <c r="O332" s="36">
        <f>SUM(O309:O331)</f>
        <v>5274871</v>
      </c>
      <c r="P332" s="36">
        <f t="shared" si="35"/>
        <v>5274.8710000000001</v>
      </c>
      <c r="Q332" s="132">
        <f>0.75*23</f>
        <v>17.25</v>
      </c>
      <c r="R332" s="46">
        <f>P332-Q314</f>
        <v>2678.0929999999998</v>
      </c>
    </row>
    <row r="333" spans="3:18">
      <c r="C333" s="44">
        <v>12</v>
      </c>
      <c r="D333" s="26" t="s">
        <v>335</v>
      </c>
      <c r="E333" s="26"/>
      <c r="F333" s="240">
        <v>188713</v>
      </c>
      <c r="G333" s="240">
        <f t="shared" si="36"/>
        <v>188.71299999999999</v>
      </c>
      <c r="H333" s="41"/>
      <c r="L333" s="33"/>
      <c r="O333" s="36"/>
      <c r="P333" s="36"/>
      <c r="Q333" s="35"/>
      <c r="R333" s="46"/>
    </row>
    <row r="334" spans="3:18">
      <c r="C334" s="44">
        <v>13</v>
      </c>
      <c r="D334" s="26" t="s">
        <v>334</v>
      </c>
      <c r="E334" s="26"/>
      <c r="F334" s="240">
        <v>185971</v>
      </c>
      <c r="G334" s="240">
        <f t="shared" si="36"/>
        <v>185.971</v>
      </c>
      <c r="H334" s="41"/>
      <c r="L334" s="50">
        <v>2</v>
      </c>
      <c r="M334" s="40" t="s">
        <v>283</v>
      </c>
      <c r="N334" s="40"/>
      <c r="O334" s="33"/>
      <c r="P334" s="33"/>
      <c r="Q334" s="33"/>
    </row>
    <row r="335" spans="3:18">
      <c r="C335" s="44">
        <v>14</v>
      </c>
      <c r="D335" s="26" t="s">
        <v>328</v>
      </c>
      <c r="E335" s="26"/>
      <c r="F335" s="240">
        <v>168392</v>
      </c>
      <c r="G335" s="240">
        <f t="shared" si="36"/>
        <v>168.392</v>
      </c>
      <c r="H335" s="41"/>
      <c r="L335" s="34" t="s">
        <v>192</v>
      </c>
      <c r="M335" s="22" t="s">
        <v>365</v>
      </c>
      <c r="N335" s="22"/>
      <c r="O335" s="80">
        <v>2486283</v>
      </c>
      <c r="P335" s="80">
        <v>1000</v>
      </c>
      <c r="Q335" s="33"/>
    </row>
    <row r="336" spans="3:18">
      <c r="C336" s="44">
        <v>15</v>
      </c>
      <c r="D336" s="26" t="s">
        <v>330</v>
      </c>
      <c r="E336" s="26"/>
      <c r="F336" s="240">
        <v>161342</v>
      </c>
      <c r="G336" s="240">
        <f t="shared" si="36"/>
        <v>161.34200000000001</v>
      </c>
      <c r="H336" s="41"/>
      <c r="L336" s="34" t="s">
        <v>193</v>
      </c>
      <c r="M336" s="22" t="s">
        <v>348</v>
      </c>
      <c r="N336" s="22"/>
      <c r="O336" s="80">
        <v>2048480</v>
      </c>
      <c r="P336" s="80">
        <v>1000</v>
      </c>
      <c r="Q336" s="33"/>
    </row>
    <row r="337" spans="2:17">
      <c r="C337" s="44">
        <v>16</v>
      </c>
      <c r="D337" s="26" t="s">
        <v>331</v>
      </c>
      <c r="E337" s="26"/>
      <c r="F337" s="240">
        <v>158397</v>
      </c>
      <c r="G337" s="240">
        <f t="shared" si="36"/>
        <v>158.39699999999999</v>
      </c>
      <c r="H337" s="41"/>
      <c r="L337" s="34" t="s">
        <v>194</v>
      </c>
      <c r="M337" s="22" t="s">
        <v>349</v>
      </c>
      <c r="N337" s="22"/>
      <c r="O337" s="80">
        <v>1078676</v>
      </c>
      <c r="P337" s="80">
        <v>1000</v>
      </c>
      <c r="Q337" s="33"/>
    </row>
    <row r="338" spans="2:17">
      <c r="C338" s="44">
        <v>17</v>
      </c>
      <c r="D338" s="26" t="s">
        <v>325</v>
      </c>
      <c r="E338" s="26"/>
      <c r="F338" s="240">
        <v>150775</v>
      </c>
      <c r="G338" s="240">
        <f t="shared" si="36"/>
        <v>150.77500000000001</v>
      </c>
      <c r="H338" s="41"/>
      <c r="L338" s="34" t="s">
        <v>195</v>
      </c>
      <c r="M338" s="22" t="s">
        <v>345</v>
      </c>
      <c r="N338" s="22"/>
      <c r="O338" s="80">
        <v>1051845</v>
      </c>
      <c r="P338" s="80">
        <v>1000</v>
      </c>
      <c r="Q338" s="33"/>
    </row>
    <row r="339" spans="2:17">
      <c r="C339" s="44">
        <v>18</v>
      </c>
      <c r="D339" s="26" t="s">
        <v>316</v>
      </c>
      <c r="E339" s="26"/>
      <c r="F339" s="240">
        <v>126514</v>
      </c>
      <c r="G339" s="240">
        <f t="shared" si="36"/>
        <v>126.514</v>
      </c>
      <c r="H339" s="41"/>
      <c r="L339" s="34" t="s">
        <v>196</v>
      </c>
      <c r="M339" s="22" t="s">
        <v>344</v>
      </c>
      <c r="N339" s="22"/>
      <c r="O339" s="80">
        <v>813720</v>
      </c>
      <c r="P339" s="80">
        <f t="shared" ref="P339:P367" si="37">O339/1000</f>
        <v>813.72</v>
      </c>
      <c r="Q339" s="33"/>
    </row>
    <row r="340" spans="2:17">
      <c r="C340" s="44">
        <v>19</v>
      </c>
      <c r="D340" s="26" t="s">
        <v>326</v>
      </c>
      <c r="E340" s="26"/>
      <c r="F340" s="240">
        <v>99532</v>
      </c>
      <c r="G340" s="240">
        <f t="shared" si="36"/>
        <v>99.531999999999996</v>
      </c>
      <c r="H340" s="41"/>
      <c r="L340" s="34" t="s">
        <v>197</v>
      </c>
      <c r="M340" s="22" t="s">
        <v>354</v>
      </c>
      <c r="N340" s="22"/>
      <c r="O340" s="80">
        <v>691638</v>
      </c>
      <c r="P340" s="80">
        <f t="shared" si="37"/>
        <v>691.63800000000003</v>
      </c>
      <c r="Q340" s="33"/>
    </row>
    <row r="341" spans="2:17">
      <c r="C341" s="44">
        <v>20</v>
      </c>
      <c r="D341" s="26" t="s">
        <v>329</v>
      </c>
      <c r="E341" s="26"/>
      <c r="F341" s="240">
        <v>93159</v>
      </c>
      <c r="G341" s="240">
        <f t="shared" si="36"/>
        <v>93.159000000000006</v>
      </c>
      <c r="H341" s="41"/>
      <c r="L341" s="34" t="s">
        <v>198</v>
      </c>
      <c r="M341" s="22" t="s">
        <v>343</v>
      </c>
      <c r="N341" s="22"/>
      <c r="O341" s="80">
        <v>520545</v>
      </c>
      <c r="P341" s="80">
        <f t="shared" si="37"/>
        <v>520.54499999999996</v>
      </c>
      <c r="Q341" s="33"/>
    </row>
    <row r="342" spans="2:17">
      <c r="C342" s="44">
        <v>21</v>
      </c>
      <c r="D342" s="26" t="s">
        <v>314</v>
      </c>
      <c r="E342" s="26"/>
      <c r="F342" s="240">
        <v>92865</v>
      </c>
      <c r="G342" s="240">
        <f t="shared" si="36"/>
        <v>92.864999999999995</v>
      </c>
      <c r="H342" s="41"/>
      <c r="L342" s="34" t="s">
        <v>199</v>
      </c>
      <c r="M342" s="22" t="s">
        <v>338</v>
      </c>
      <c r="N342" s="22"/>
      <c r="O342" s="80">
        <v>505360</v>
      </c>
      <c r="P342" s="80">
        <f t="shared" si="37"/>
        <v>505.36</v>
      </c>
      <c r="Q342" s="36">
        <f>SUM(P335:P342)</f>
        <v>6531.2629999999999</v>
      </c>
    </row>
    <row r="343" spans="2:17">
      <c r="C343" s="44">
        <v>22</v>
      </c>
      <c r="D343" s="26" t="s">
        <v>336</v>
      </c>
      <c r="E343" s="26"/>
      <c r="F343" s="240">
        <v>90751</v>
      </c>
      <c r="G343" s="240">
        <f t="shared" si="36"/>
        <v>90.751000000000005</v>
      </c>
      <c r="H343" s="41"/>
      <c r="L343" s="34" t="s">
        <v>200</v>
      </c>
      <c r="M343" t="s">
        <v>355</v>
      </c>
      <c r="O343" s="36">
        <v>437360</v>
      </c>
      <c r="P343" s="36">
        <f t="shared" si="37"/>
        <v>437.36</v>
      </c>
      <c r="Q343" s="33"/>
    </row>
    <row r="344" spans="2:17">
      <c r="C344" s="44">
        <v>23</v>
      </c>
      <c r="D344" s="26" t="s">
        <v>333</v>
      </c>
      <c r="E344" s="26"/>
      <c r="F344" s="240">
        <v>41197</v>
      </c>
      <c r="G344" s="240">
        <f t="shared" si="36"/>
        <v>41.197000000000003</v>
      </c>
      <c r="H344" s="41"/>
      <c r="L344" s="34" t="s">
        <v>201</v>
      </c>
      <c r="M344" t="s">
        <v>347</v>
      </c>
      <c r="O344" s="36">
        <v>426471</v>
      </c>
      <c r="P344" s="36">
        <f t="shared" si="37"/>
        <v>426.471</v>
      </c>
      <c r="Q344" s="33"/>
    </row>
    <row r="345" spans="2:17">
      <c r="B345">
        <v>1</v>
      </c>
      <c r="C345" s="41">
        <f>C344</f>
        <v>23</v>
      </c>
      <c r="D345" s="42" t="s">
        <v>774</v>
      </c>
      <c r="E345" s="27">
        <f>0.75*C345</f>
        <v>17.25</v>
      </c>
      <c r="F345" s="27">
        <f>SUM(F322:F344)</f>
        <v>5274871</v>
      </c>
      <c r="G345" s="27">
        <f t="shared" si="36"/>
        <v>5274.8710000000001</v>
      </c>
      <c r="H345" s="240">
        <f>G345-H327</f>
        <v>2678.0929999999998</v>
      </c>
      <c r="I345" s="9"/>
      <c r="L345" s="34" t="s">
        <v>202</v>
      </c>
      <c r="M345" t="s">
        <v>358</v>
      </c>
      <c r="O345" s="36">
        <v>408749</v>
      </c>
      <c r="P345" s="36">
        <f t="shared" si="37"/>
        <v>408.74900000000002</v>
      </c>
      <c r="Q345" s="33"/>
    </row>
    <row r="346" spans="2:17">
      <c r="L346" s="34" t="s">
        <v>203</v>
      </c>
      <c r="M346" t="s">
        <v>340</v>
      </c>
      <c r="O346" s="36">
        <v>394910</v>
      </c>
      <c r="P346" s="36">
        <f t="shared" si="37"/>
        <v>394.91</v>
      </c>
      <c r="Q346" s="33"/>
    </row>
    <row r="347" spans="2:17">
      <c r="E347" s="35"/>
      <c r="F347" s="36"/>
      <c r="G347" s="36"/>
      <c r="H347" s="9"/>
      <c r="L347" s="34" t="s">
        <v>204</v>
      </c>
      <c r="M347" t="s">
        <v>350</v>
      </c>
      <c r="O347" s="36">
        <v>389957</v>
      </c>
      <c r="P347" s="36">
        <f t="shared" si="37"/>
        <v>389.95699999999999</v>
      </c>
      <c r="Q347" s="33"/>
    </row>
    <row r="348" spans="2:17" ht="15.75">
      <c r="B348">
        <v>2</v>
      </c>
      <c r="C348" s="217" t="s">
        <v>775</v>
      </c>
      <c r="D348" s="217"/>
      <c r="E348" s="217"/>
      <c r="F348" s="217"/>
      <c r="G348" s="217"/>
      <c r="H348" s="217"/>
      <c r="L348" s="34" t="s">
        <v>205</v>
      </c>
      <c r="M348" t="s">
        <v>357</v>
      </c>
      <c r="O348" s="36">
        <v>336557</v>
      </c>
      <c r="P348" s="36">
        <f t="shared" si="37"/>
        <v>336.55700000000002</v>
      </c>
      <c r="Q348" s="33"/>
    </row>
    <row r="349" spans="2:17">
      <c r="C349" s="216" t="s">
        <v>760</v>
      </c>
      <c r="D349" s="203" t="s">
        <v>739</v>
      </c>
      <c r="E349" s="203"/>
      <c r="F349" s="203" t="s">
        <v>738</v>
      </c>
      <c r="G349" s="203"/>
      <c r="H349" s="203"/>
      <c r="L349" s="34" t="s">
        <v>206</v>
      </c>
      <c r="M349" t="s">
        <v>346</v>
      </c>
      <c r="O349" s="36">
        <v>330586</v>
      </c>
      <c r="P349" s="36">
        <f t="shared" si="37"/>
        <v>330.58600000000001</v>
      </c>
      <c r="Q349" s="33"/>
    </row>
    <row r="350" spans="2:17" ht="90">
      <c r="C350" s="216"/>
      <c r="D350" s="68" t="s">
        <v>740</v>
      </c>
      <c r="E350" s="112" t="s">
        <v>743</v>
      </c>
      <c r="F350" s="112" t="s">
        <v>737</v>
      </c>
      <c r="G350" s="112" t="s">
        <v>751</v>
      </c>
      <c r="H350" s="69" t="s">
        <v>746</v>
      </c>
      <c r="L350" s="34" t="s">
        <v>207</v>
      </c>
      <c r="M350" t="s">
        <v>341</v>
      </c>
      <c r="O350" s="36">
        <v>326993</v>
      </c>
      <c r="P350" s="36">
        <f t="shared" si="37"/>
        <v>326.99299999999999</v>
      </c>
      <c r="Q350" s="33"/>
    </row>
    <row r="351" spans="2:17">
      <c r="C351" s="44">
        <v>1</v>
      </c>
      <c r="D351" s="26" t="s">
        <v>365</v>
      </c>
      <c r="E351" s="26"/>
      <c r="F351" s="85">
        <v>2486283</v>
      </c>
      <c r="G351" s="85">
        <v>1000</v>
      </c>
      <c r="H351" s="41"/>
      <c r="L351" s="34" t="s">
        <v>208</v>
      </c>
      <c r="M351" t="s">
        <v>339</v>
      </c>
      <c r="O351" s="36">
        <v>316486</v>
      </c>
      <c r="P351" s="36">
        <f t="shared" si="37"/>
        <v>316.48599999999999</v>
      </c>
      <c r="Q351" s="33"/>
    </row>
    <row r="352" spans="2:17">
      <c r="C352" s="44">
        <v>2</v>
      </c>
      <c r="D352" s="26" t="s">
        <v>348</v>
      </c>
      <c r="E352" s="26"/>
      <c r="F352" s="85">
        <v>2048480</v>
      </c>
      <c r="G352" s="85">
        <v>1000</v>
      </c>
      <c r="H352" s="41"/>
      <c r="L352" s="34" t="s">
        <v>209</v>
      </c>
      <c r="M352" t="s">
        <v>366</v>
      </c>
      <c r="O352" s="36">
        <v>307170</v>
      </c>
      <c r="P352" s="36">
        <f t="shared" si="37"/>
        <v>307.17</v>
      </c>
      <c r="Q352" s="33"/>
    </row>
    <row r="353" spans="3:19">
      <c r="C353" s="44">
        <v>3</v>
      </c>
      <c r="D353" s="26" t="s">
        <v>349</v>
      </c>
      <c r="E353" s="26"/>
      <c r="F353" s="85">
        <v>1078676</v>
      </c>
      <c r="G353" s="85">
        <v>1000</v>
      </c>
      <c r="H353" s="41"/>
      <c r="L353" s="34" t="s">
        <v>210</v>
      </c>
      <c r="M353" t="s">
        <v>369</v>
      </c>
      <c r="O353" s="36">
        <v>280764</v>
      </c>
      <c r="P353" s="36">
        <f t="shared" si="37"/>
        <v>280.76400000000001</v>
      </c>
      <c r="Q353" s="33"/>
    </row>
    <row r="354" spans="3:19">
      <c r="C354" s="44">
        <v>4</v>
      </c>
      <c r="D354" s="26" t="s">
        <v>345</v>
      </c>
      <c r="E354" s="26"/>
      <c r="F354" s="85">
        <v>1051845</v>
      </c>
      <c r="G354" s="85">
        <v>1000</v>
      </c>
      <c r="H354" s="41"/>
      <c r="L354" s="34" t="s">
        <v>211</v>
      </c>
      <c r="M354" t="s">
        <v>356</v>
      </c>
      <c r="O354" s="36">
        <v>280595</v>
      </c>
      <c r="P354" s="36">
        <f t="shared" si="37"/>
        <v>280.59500000000003</v>
      </c>
      <c r="Q354" s="33"/>
    </row>
    <row r="355" spans="3:19">
      <c r="C355" s="44">
        <v>5</v>
      </c>
      <c r="D355" s="26" t="s">
        <v>344</v>
      </c>
      <c r="E355" s="26"/>
      <c r="F355" s="85">
        <v>813720</v>
      </c>
      <c r="G355" s="85">
        <f t="shared" ref="G355:G383" si="38">F355/1000</f>
        <v>813.72</v>
      </c>
      <c r="H355" s="41"/>
      <c r="L355" s="34" t="s">
        <v>212</v>
      </c>
      <c r="M355" t="s">
        <v>363</v>
      </c>
      <c r="O355" s="36">
        <v>277054</v>
      </c>
      <c r="P355" s="36">
        <f t="shared" si="37"/>
        <v>277.05399999999997</v>
      </c>
      <c r="Q355" s="33"/>
    </row>
    <row r="356" spans="3:19">
      <c r="C356" s="44">
        <v>6</v>
      </c>
      <c r="D356" s="26" t="s">
        <v>354</v>
      </c>
      <c r="E356" s="26"/>
      <c r="F356" s="85">
        <v>691638</v>
      </c>
      <c r="G356" s="85">
        <f t="shared" si="38"/>
        <v>691.63800000000003</v>
      </c>
      <c r="H356" s="41"/>
      <c r="L356" s="34" t="s">
        <v>213</v>
      </c>
      <c r="M356" t="s">
        <v>367</v>
      </c>
      <c r="O356" s="36">
        <v>240067</v>
      </c>
      <c r="P356" s="36">
        <f t="shared" si="37"/>
        <v>240.06700000000001</v>
      </c>
      <c r="Q356" s="33"/>
    </row>
    <row r="357" spans="3:19">
      <c r="C357" s="44">
        <v>7</v>
      </c>
      <c r="D357" s="26" t="s">
        <v>343</v>
      </c>
      <c r="E357" s="26"/>
      <c r="F357" s="85">
        <v>520545</v>
      </c>
      <c r="G357" s="85">
        <f t="shared" si="38"/>
        <v>520.54499999999996</v>
      </c>
      <c r="H357" s="41"/>
      <c r="L357" s="34" t="s">
        <v>214</v>
      </c>
      <c r="M357" t="s">
        <v>342</v>
      </c>
      <c r="O357" s="36">
        <v>216720</v>
      </c>
      <c r="P357" s="36">
        <f t="shared" si="37"/>
        <v>216.72</v>
      </c>
      <c r="Q357" s="33"/>
    </row>
    <row r="358" spans="3:19">
      <c r="C358" s="44">
        <v>8</v>
      </c>
      <c r="D358" s="26" t="s">
        <v>338</v>
      </c>
      <c r="E358" s="26"/>
      <c r="F358" s="85">
        <v>505360</v>
      </c>
      <c r="G358" s="85">
        <f t="shared" si="38"/>
        <v>505.36</v>
      </c>
      <c r="H358" s="27">
        <f>SUM(G351:G358)</f>
        <v>6531.2629999999999</v>
      </c>
      <c r="L358" s="34" t="s">
        <v>219</v>
      </c>
      <c r="M358" t="s">
        <v>351</v>
      </c>
      <c r="O358" s="36">
        <v>207076</v>
      </c>
      <c r="P358" s="36">
        <f t="shared" si="37"/>
        <v>207.07599999999999</v>
      </c>
      <c r="Q358" s="33"/>
    </row>
    <row r="359" spans="3:19">
      <c r="C359" s="44">
        <v>9</v>
      </c>
      <c r="D359" s="26" t="s">
        <v>355</v>
      </c>
      <c r="E359" s="26"/>
      <c r="F359" s="240">
        <v>437360</v>
      </c>
      <c r="G359" s="240">
        <f t="shared" si="38"/>
        <v>437.36</v>
      </c>
      <c r="H359" s="41"/>
      <c r="L359" s="34" t="s">
        <v>372</v>
      </c>
      <c r="M359" t="s">
        <v>362</v>
      </c>
      <c r="O359" s="36">
        <v>185647</v>
      </c>
      <c r="P359" s="36">
        <f t="shared" si="37"/>
        <v>185.64699999999999</v>
      </c>
      <c r="Q359" s="33"/>
    </row>
    <row r="360" spans="3:19">
      <c r="C360" s="44">
        <v>10</v>
      </c>
      <c r="D360" s="26" t="s">
        <v>347</v>
      </c>
      <c r="E360" s="26"/>
      <c r="F360" s="240">
        <v>426471</v>
      </c>
      <c r="G360" s="240">
        <f t="shared" si="38"/>
        <v>426.471</v>
      </c>
      <c r="H360" s="41"/>
      <c r="L360" s="34" t="s">
        <v>373</v>
      </c>
      <c r="M360" t="s">
        <v>364</v>
      </c>
      <c r="O360" s="36">
        <v>180977</v>
      </c>
      <c r="P360" s="36">
        <f t="shared" si="37"/>
        <v>180.977</v>
      </c>
      <c r="Q360" s="33"/>
    </row>
    <row r="361" spans="3:19">
      <c r="C361" s="44">
        <v>11</v>
      </c>
      <c r="D361" s="26" t="s">
        <v>358</v>
      </c>
      <c r="E361" s="26"/>
      <c r="F361" s="240">
        <v>408749</v>
      </c>
      <c r="G361" s="240">
        <f t="shared" si="38"/>
        <v>408.74900000000002</v>
      </c>
      <c r="H361" s="41"/>
      <c r="L361" s="34" t="s">
        <v>374</v>
      </c>
      <c r="M361" t="s">
        <v>359</v>
      </c>
      <c r="O361" s="36">
        <v>158676</v>
      </c>
      <c r="P361" s="36">
        <f t="shared" si="37"/>
        <v>158.67599999999999</v>
      </c>
      <c r="Q361" s="33"/>
    </row>
    <row r="362" spans="3:19">
      <c r="C362" s="44">
        <v>12</v>
      </c>
      <c r="D362" s="26" t="s">
        <v>340</v>
      </c>
      <c r="E362" s="26"/>
      <c r="F362" s="240">
        <v>394910</v>
      </c>
      <c r="G362" s="240">
        <f t="shared" si="38"/>
        <v>394.91</v>
      </c>
      <c r="H362" s="41"/>
      <c r="L362" s="34" t="s">
        <v>375</v>
      </c>
      <c r="M362" t="s">
        <v>337</v>
      </c>
      <c r="O362" s="36">
        <v>155629</v>
      </c>
      <c r="P362" s="36">
        <f t="shared" si="37"/>
        <v>155.62899999999999</v>
      </c>
      <c r="Q362" s="33"/>
    </row>
    <row r="363" spans="3:19">
      <c r="C363" s="44">
        <v>13</v>
      </c>
      <c r="D363" s="26" t="s">
        <v>350</v>
      </c>
      <c r="E363" s="26"/>
      <c r="F363" s="240">
        <v>389957</v>
      </c>
      <c r="G363" s="240">
        <f t="shared" si="38"/>
        <v>389.95699999999999</v>
      </c>
      <c r="H363" s="41"/>
      <c r="L363" s="34" t="s">
        <v>376</v>
      </c>
      <c r="M363" t="s">
        <v>368</v>
      </c>
      <c r="O363" s="36">
        <v>145233</v>
      </c>
      <c r="P363" s="36">
        <f t="shared" si="37"/>
        <v>145.233</v>
      </c>
      <c r="Q363" s="33"/>
    </row>
    <row r="364" spans="3:19">
      <c r="C364" s="44">
        <v>14</v>
      </c>
      <c r="D364" s="26" t="s">
        <v>357</v>
      </c>
      <c r="E364" s="26"/>
      <c r="F364" s="240">
        <v>336557</v>
      </c>
      <c r="G364" s="240">
        <f t="shared" si="38"/>
        <v>336.55700000000002</v>
      </c>
      <c r="H364" s="41"/>
      <c r="L364" s="34" t="s">
        <v>377</v>
      </c>
      <c r="M364" t="s">
        <v>353</v>
      </c>
      <c r="O364" s="36">
        <v>143071</v>
      </c>
      <c r="P364" s="36">
        <f t="shared" si="37"/>
        <v>143.071</v>
      </c>
      <c r="Q364" s="33"/>
    </row>
    <row r="365" spans="3:19">
      <c r="C365" s="44">
        <v>15</v>
      </c>
      <c r="D365" s="26" t="s">
        <v>346</v>
      </c>
      <c r="E365" s="26"/>
      <c r="F365" s="240">
        <v>330586</v>
      </c>
      <c r="G365" s="240">
        <f t="shared" si="38"/>
        <v>330.58600000000001</v>
      </c>
      <c r="H365" s="41"/>
      <c r="L365" s="34" t="s">
        <v>378</v>
      </c>
      <c r="M365" t="s">
        <v>360</v>
      </c>
      <c r="O365" s="36">
        <v>97251</v>
      </c>
      <c r="P365" s="36">
        <f t="shared" si="37"/>
        <v>97.251000000000005</v>
      </c>
      <c r="Q365" s="33"/>
    </row>
    <row r="366" spans="3:19">
      <c r="C366" s="44">
        <v>16</v>
      </c>
      <c r="D366" s="26" t="s">
        <v>341</v>
      </c>
      <c r="E366" s="26"/>
      <c r="F366" s="240">
        <v>326993</v>
      </c>
      <c r="G366" s="240">
        <f t="shared" si="38"/>
        <v>326.99299999999999</v>
      </c>
      <c r="H366" s="41"/>
      <c r="L366" s="34" t="s">
        <v>379</v>
      </c>
      <c r="M366" t="s">
        <v>361</v>
      </c>
      <c r="O366" s="36">
        <v>91747</v>
      </c>
      <c r="P366" s="36">
        <f t="shared" si="37"/>
        <v>91.747</v>
      </c>
      <c r="Q366" s="33"/>
    </row>
    <row r="367" spans="3:19">
      <c r="C367" s="44">
        <v>17</v>
      </c>
      <c r="D367" s="26" t="s">
        <v>339</v>
      </c>
      <c r="E367" s="26"/>
      <c r="F367" s="240">
        <v>316486</v>
      </c>
      <c r="G367" s="240">
        <f t="shared" si="38"/>
        <v>316.48599999999999</v>
      </c>
      <c r="H367" s="41"/>
      <c r="L367" s="34" t="s">
        <v>380</v>
      </c>
      <c r="M367" t="s">
        <v>352</v>
      </c>
      <c r="O367" s="36">
        <v>56212</v>
      </c>
      <c r="P367" s="36">
        <f t="shared" si="37"/>
        <v>56.212000000000003</v>
      </c>
      <c r="Q367" s="33"/>
      <c r="S367" s="9"/>
    </row>
    <row r="368" spans="3:19">
      <c r="C368" s="44">
        <v>18</v>
      </c>
      <c r="D368" s="26" t="s">
        <v>366</v>
      </c>
      <c r="E368" s="26"/>
      <c r="F368" s="240">
        <v>307170</v>
      </c>
      <c r="G368" s="240">
        <f t="shared" si="38"/>
        <v>307.17</v>
      </c>
      <c r="H368" s="41"/>
      <c r="L368" s="33"/>
      <c r="O368" s="36">
        <f>SUM(O335:O367)</f>
        <v>15588505</v>
      </c>
      <c r="P368" s="36">
        <f>SUM(P335:P367)</f>
        <v>12923.221</v>
      </c>
      <c r="Q368" s="33">
        <f>0.75*33</f>
        <v>24.75</v>
      </c>
      <c r="R368" s="46">
        <f>P368-Q342</f>
        <v>6391.9579999999996</v>
      </c>
    </row>
    <row r="369" spans="2:17">
      <c r="C369" s="44">
        <v>19</v>
      </c>
      <c r="D369" s="26" t="s">
        <v>369</v>
      </c>
      <c r="E369" s="26"/>
      <c r="F369" s="240">
        <v>280764</v>
      </c>
      <c r="G369" s="240">
        <f t="shared" si="38"/>
        <v>280.76400000000001</v>
      </c>
      <c r="H369" s="41"/>
      <c r="L369" s="33"/>
      <c r="M369" t="s">
        <v>370</v>
      </c>
      <c r="O369" s="36">
        <v>15588525</v>
      </c>
      <c r="P369" s="33"/>
      <c r="Q369" s="133">
        <v>25</v>
      </c>
    </row>
    <row r="370" spans="2:17">
      <c r="C370" s="44">
        <v>20</v>
      </c>
      <c r="D370" s="26" t="s">
        <v>356</v>
      </c>
      <c r="E370" s="26"/>
      <c r="F370" s="240">
        <v>280595</v>
      </c>
      <c r="G370" s="240">
        <f t="shared" si="38"/>
        <v>280.59500000000003</v>
      </c>
      <c r="H370" s="41"/>
      <c r="L370" s="33"/>
      <c r="M370" t="s">
        <v>371</v>
      </c>
      <c r="O370" s="36">
        <f>O369-O368</f>
        <v>20</v>
      </c>
      <c r="P370" s="33"/>
      <c r="Q370" s="33"/>
    </row>
    <row r="371" spans="2:17">
      <c r="C371" s="44">
        <v>21</v>
      </c>
      <c r="D371" s="26" t="s">
        <v>363</v>
      </c>
      <c r="E371" s="26"/>
      <c r="F371" s="240">
        <v>277054</v>
      </c>
      <c r="G371" s="240">
        <f t="shared" si="38"/>
        <v>277.05399999999997</v>
      </c>
      <c r="H371" s="41"/>
      <c r="L371" s="33"/>
      <c r="O371" s="33"/>
      <c r="P371" s="33"/>
      <c r="Q371" s="33"/>
    </row>
    <row r="372" spans="2:17">
      <c r="C372" s="44">
        <v>22</v>
      </c>
      <c r="D372" s="26" t="s">
        <v>367</v>
      </c>
      <c r="E372" s="26"/>
      <c r="F372" s="240">
        <v>240067</v>
      </c>
      <c r="G372" s="240">
        <f t="shared" si="38"/>
        <v>240.06700000000001</v>
      </c>
      <c r="H372" s="41"/>
      <c r="L372" s="50">
        <v>3</v>
      </c>
      <c r="M372" s="40" t="s">
        <v>284</v>
      </c>
      <c r="N372" s="40"/>
      <c r="O372" s="33"/>
      <c r="P372" s="33"/>
      <c r="Q372" s="33"/>
    </row>
    <row r="373" spans="2:17">
      <c r="C373" s="44">
        <v>23</v>
      </c>
      <c r="D373" s="26" t="s">
        <v>342</v>
      </c>
      <c r="E373" s="26"/>
      <c r="F373" s="240">
        <v>216720</v>
      </c>
      <c r="G373" s="240">
        <f t="shared" si="38"/>
        <v>216.72</v>
      </c>
      <c r="H373" s="41"/>
      <c r="L373" s="34" t="s">
        <v>192</v>
      </c>
      <c r="M373" s="22" t="s">
        <v>393</v>
      </c>
      <c r="N373" s="22"/>
      <c r="O373" s="80">
        <v>919145</v>
      </c>
      <c r="P373" s="80">
        <f t="shared" ref="P373:P391" si="39">O373/1000</f>
        <v>919.14499999999998</v>
      </c>
      <c r="Q373" s="33"/>
    </row>
    <row r="374" spans="2:17">
      <c r="C374" s="44">
        <v>24</v>
      </c>
      <c r="D374" s="26" t="s">
        <v>351</v>
      </c>
      <c r="E374" s="26"/>
      <c r="F374" s="240">
        <v>207076</v>
      </c>
      <c r="G374" s="240">
        <f t="shared" si="38"/>
        <v>207.07599999999999</v>
      </c>
      <c r="H374" s="41"/>
      <c r="L374" s="34" t="s">
        <v>193</v>
      </c>
      <c r="M374" s="22" t="s">
        <v>387</v>
      </c>
      <c r="N374" s="22"/>
      <c r="O374" s="80">
        <v>540905</v>
      </c>
      <c r="P374" s="80">
        <f t="shared" si="39"/>
        <v>540.90499999999997</v>
      </c>
      <c r="Q374" s="33"/>
    </row>
    <row r="375" spans="2:17">
      <c r="C375" s="44">
        <v>25</v>
      </c>
      <c r="D375" s="26" t="s">
        <v>362</v>
      </c>
      <c r="E375" s="26"/>
      <c r="F375" s="240">
        <v>185647</v>
      </c>
      <c r="G375" s="240">
        <f t="shared" si="38"/>
        <v>185.64699999999999</v>
      </c>
      <c r="H375" s="41"/>
      <c r="L375" s="34" t="s">
        <v>194</v>
      </c>
      <c r="M375" s="22" t="s">
        <v>382</v>
      </c>
      <c r="N375" s="22"/>
      <c r="O375" s="80">
        <v>516518</v>
      </c>
      <c r="P375" s="80">
        <f t="shared" si="39"/>
        <v>516.51800000000003</v>
      </c>
      <c r="Q375" s="33"/>
    </row>
    <row r="376" spans="2:17">
      <c r="C376" s="44">
        <v>26</v>
      </c>
      <c r="D376" s="26" t="s">
        <v>364</v>
      </c>
      <c r="E376" s="26"/>
      <c r="F376" s="240">
        <v>180977</v>
      </c>
      <c r="G376" s="240">
        <f t="shared" si="38"/>
        <v>180.977</v>
      </c>
      <c r="H376" s="41"/>
      <c r="L376" s="34" t="s">
        <v>195</v>
      </c>
      <c r="M376" s="22" t="s">
        <v>392</v>
      </c>
      <c r="N376" s="22"/>
      <c r="O376" s="80">
        <v>442479</v>
      </c>
      <c r="P376" s="80">
        <f t="shared" si="39"/>
        <v>442.47899999999998</v>
      </c>
      <c r="Q376" s="33"/>
    </row>
    <row r="377" spans="2:17">
      <c r="C377" s="44">
        <v>27</v>
      </c>
      <c r="D377" s="26" t="s">
        <v>359</v>
      </c>
      <c r="E377" s="26"/>
      <c r="F377" s="240">
        <v>158676</v>
      </c>
      <c r="G377" s="240">
        <f t="shared" si="38"/>
        <v>158.67599999999999</v>
      </c>
      <c r="H377" s="41"/>
      <c r="L377" s="34" t="s">
        <v>196</v>
      </c>
      <c r="M377" s="22" t="s">
        <v>386</v>
      </c>
      <c r="N377" s="22"/>
      <c r="O377" s="80">
        <v>436129</v>
      </c>
      <c r="P377" s="80">
        <f t="shared" si="39"/>
        <v>436.12900000000002</v>
      </c>
      <c r="Q377" s="36">
        <f>SUM(P373:P377)</f>
        <v>2855.1759999999999</v>
      </c>
    </row>
    <row r="378" spans="2:17">
      <c r="C378" s="44">
        <v>28</v>
      </c>
      <c r="D378" s="26" t="s">
        <v>337</v>
      </c>
      <c r="E378" s="26"/>
      <c r="F378" s="240">
        <v>155629</v>
      </c>
      <c r="G378" s="240">
        <f t="shared" si="38"/>
        <v>155.62899999999999</v>
      </c>
      <c r="H378" s="41"/>
      <c r="L378" s="34" t="s">
        <v>197</v>
      </c>
      <c r="M378" s="21" t="s">
        <v>383</v>
      </c>
      <c r="N378" s="21"/>
      <c r="O378" s="82">
        <v>397829</v>
      </c>
      <c r="P378" s="82">
        <f t="shared" si="39"/>
        <v>397.82900000000001</v>
      </c>
      <c r="Q378" s="33"/>
    </row>
    <row r="379" spans="2:17">
      <c r="C379" s="44">
        <v>29</v>
      </c>
      <c r="D379" s="26" t="s">
        <v>368</v>
      </c>
      <c r="E379" s="26"/>
      <c r="F379" s="240">
        <v>145233</v>
      </c>
      <c r="G379" s="240">
        <f t="shared" si="38"/>
        <v>145.233</v>
      </c>
      <c r="H379" s="41"/>
      <c r="L379" s="34" t="s">
        <v>198</v>
      </c>
      <c r="M379" s="21" t="s">
        <v>388</v>
      </c>
      <c r="N379" s="21"/>
      <c r="O379" s="82">
        <v>388375</v>
      </c>
      <c r="P379" s="82">
        <f t="shared" si="39"/>
        <v>388.375</v>
      </c>
      <c r="Q379" s="33"/>
    </row>
    <row r="380" spans="2:17">
      <c r="C380" s="44">
        <v>30</v>
      </c>
      <c r="D380" s="26" t="s">
        <v>353</v>
      </c>
      <c r="E380" s="26"/>
      <c r="F380" s="240">
        <v>143071</v>
      </c>
      <c r="G380" s="240">
        <f t="shared" si="38"/>
        <v>143.071</v>
      </c>
      <c r="H380" s="41"/>
      <c r="L380" s="34" t="s">
        <v>199</v>
      </c>
      <c r="M380" s="21" t="s">
        <v>385</v>
      </c>
      <c r="N380" s="21"/>
      <c r="O380" s="82">
        <v>376276</v>
      </c>
      <c r="P380" s="82">
        <f t="shared" si="39"/>
        <v>376.27600000000001</v>
      </c>
      <c r="Q380" s="33"/>
    </row>
    <row r="381" spans="2:17">
      <c r="C381" s="44">
        <v>31</v>
      </c>
      <c r="D381" s="26" t="s">
        <v>360</v>
      </c>
      <c r="E381" s="26"/>
      <c r="F381" s="240">
        <v>97251</v>
      </c>
      <c r="G381" s="240">
        <f t="shared" si="38"/>
        <v>97.251000000000005</v>
      </c>
      <c r="H381" s="41"/>
      <c r="L381" s="34" t="s">
        <v>200</v>
      </c>
      <c r="M381" s="21" t="s">
        <v>389</v>
      </c>
      <c r="N381" s="21"/>
      <c r="O381" s="82">
        <v>307425</v>
      </c>
      <c r="P381" s="82">
        <f t="shared" si="39"/>
        <v>307.42500000000001</v>
      </c>
      <c r="Q381" s="33"/>
    </row>
    <row r="382" spans="2:17">
      <c r="C382" s="44">
        <v>32</v>
      </c>
      <c r="D382" s="26" t="s">
        <v>361</v>
      </c>
      <c r="E382" s="26"/>
      <c r="F382" s="240">
        <v>91747</v>
      </c>
      <c r="G382" s="240">
        <f t="shared" si="38"/>
        <v>91.747</v>
      </c>
      <c r="H382" s="41"/>
      <c r="L382" s="34" t="s">
        <v>201</v>
      </c>
      <c r="M382" s="21" t="s">
        <v>384</v>
      </c>
      <c r="N382" s="21"/>
      <c r="O382" s="82">
        <v>240317</v>
      </c>
      <c r="P382" s="82">
        <f t="shared" si="39"/>
        <v>240.31700000000001</v>
      </c>
      <c r="Q382" s="33"/>
    </row>
    <row r="383" spans="2:17">
      <c r="C383" s="44">
        <v>33</v>
      </c>
      <c r="D383" s="26" t="s">
        <v>352</v>
      </c>
      <c r="E383" s="26"/>
      <c r="F383" s="240">
        <v>56212</v>
      </c>
      <c r="G383" s="240">
        <f t="shared" si="38"/>
        <v>56.212000000000003</v>
      </c>
      <c r="H383" s="41"/>
      <c r="L383" s="34" t="s">
        <v>202</v>
      </c>
      <c r="M383" s="21" t="s">
        <v>391</v>
      </c>
      <c r="N383" s="21"/>
      <c r="O383" s="82">
        <v>234713</v>
      </c>
      <c r="P383" s="82">
        <f t="shared" si="39"/>
        <v>234.71299999999999</v>
      </c>
      <c r="Q383" s="33"/>
    </row>
    <row r="384" spans="2:17">
      <c r="B384">
        <v>2</v>
      </c>
      <c r="C384" s="33">
        <f>C383</f>
        <v>33</v>
      </c>
      <c r="D384" s="42" t="s">
        <v>283</v>
      </c>
      <c r="E384" s="27">
        <f>0.75*C384</f>
        <v>24.75</v>
      </c>
      <c r="F384" s="27">
        <f>SUM(F351:F383)</f>
        <v>15588505</v>
      </c>
      <c r="G384" s="27">
        <f>SUM(G351:G383)</f>
        <v>12923.221</v>
      </c>
      <c r="H384" s="240">
        <f>G384-H358</f>
        <v>6391.9579999999996</v>
      </c>
      <c r="L384" s="34" t="s">
        <v>203</v>
      </c>
      <c r="M384" s="21" t="s">
        <v>390</v>
      </c>
      <c r="N384" s="21"/>
      <c r="O384" s="82">
        <v>188649</v>
      </c>
      <c r="P384" s="82">
        <f t="shared" si="39"/>
        <v>188.649</v>
      </c>
      <c r="Q384" s="33"/>
    </row>
    <row r="385" spans="2:18">
      <c r="H385" t="s">
        <v>600</v>
      </c>
      <c r="L385" s="34" t="s">
        <v>204</v>
      </c>
      <c r="M385" s="21" t="s">
        <v>398</v>
      </c>
      <c r="N385" s="21"/>
      <c r="O385" s="82">
        <v>143325</v>
      </c>
      <c r="P385" s="82">
        <f t="shared" si="39"/>
        <v>143.32499999999999</v>
      </c>
      <c r="Q385" s="33"/>
    </row>
    <row r="386" spans="2:18">
      <c r="L386" s="34" t="s">
        <v>205</v>
      </c>
      <c r="M386" s="21" t="s">
        <v>397</v>
      </c>
      <c r="N386" s="21"/>
      <c r="O386" s="82">
        <v>122311</v>
      </c>
      <c r="P386" s="82">
        <f t="shared" si="39"/>
        <v>122.31100000000001</v>
      </c>
      <c r="Q386" s="33"/>
    </row>
    <row r="387" spans="2:18" ht="15.75">
      <c r="B387">
        <v>3</v>
      </c>
      <c r="C387" s="217" t="s">
        <v>776</v>
      </c>
      <c r="D387" s="217"/>
      <c r="E387" s="217"/>
      <c r="F387" s="217"/>
      <c r="G387" s="217"/>
      <c r="H387" s="217"/>
      <c r="L387" s="34" t="s">
        <v>206</v>
      </c>
      <c r="M387" s="21" t="s">
        <v>399</v>
      </c>
      <c r="N387" s="21"/>
      <c r="O387" s="82">
        <v>96719</v>
      </c>
      <c r="P387" s="82">
        <f t="shared" si="39"/>
        <v>96.718999999999994</v>
      </c>
      <c r="Q387" s="33"/>
    </row>
    <row r="388" spans="2:18">
      <c r="C388" s="216" t="s">
        <v>760</v>
      </c>
      <c r="D388" s="203" t="s">
        <v>739</v>
      </c>
      <c r="E388" s="203"/>
      <c r="F388" s="203" t="s">
        <v>738</v>
      </c>
      <c r="G388" s="203"/>
      <c r="H388" s="203"/>
      <c r="L388" s="34" t="s">
        <v>207</v>
      </c>
      <c r="M388" s="21" t="s">
        <v>381</v>
      </c>
      <c r="N388" s="21"/>
      <c r="O388" s="82">
        <v>89401</v>
      </c>
      <c r="P388" s="82">
        <f t="shared" si="39"/>
        <v>89.400999999999996</v>
      </c>
      <c r="Q388" s="33"/>
    </row>
    <row r="389" spans="2:18" ht="90">
      <c r="C389" s="216"/>
      <c r="D389" s="68" t="s">
        <v>740</v>
      </c>
      <c r="E389" s="112" t="s">
        <v>743</v>
      </c>
      <c r="F389" s="112" t="s">
        <v>737</v>
      </c>
      <c r="G389" s="112" t="s">
        <v>751</v>
      </c>
      <c r="H389" s="69" t="s">
        <v>746</v>
      </c>
      <c r="L389" s="34" t="s">
        <v>208</v>
      </c>
      <c r="M389" s="21" t="s">
        <v>394</v>
      </c>
      <c r="N389" s="21"/>
      <c r="O389" s="82">
        <v>75850</v>
      </c>
      <c r="P389" s="82">
        <f t="shared" si="39"/>
        <v>75.849999999999994</v>
      </c>
      <c r="Q389" s="33"/>
    </row>
    <row r="390" spans="2:18">
      <c r="C390" s="44">
        <v>1</v>
      </c>
      <c r="D390" s="26" t="s">
        <v>393</v>
      </c>
      <c r="E390" s="26"/>
      <c r="F390" s="85">
        <v>919145</v>
      </c>
      <c r="G390" s="85">
        <f t="shared" ref="G390:G408" si="40">F390/1000</f>
        <v>919.14499999999998</v>
      </c>
      <c r="H390" s="41"/>
      <c r="L390" s="34" t="s">
        <v>209</v>
      </c>
      <c r="M390" s="21" t="s">
        <v>395</v>
      </c>
      <c r="N390" s="21"/>
      <c r="O390" s="82">
        <v>66413</v>
      </c>
      <c r="P390" s="82">
        <f t="shared" si="39"/>
        <v>66.412999999999997</v>
      </c>
      <c r="Q390" s="33"/>
    </row>
    <row r="391" spans="2:18">
      <c r="C391" s="44">
        <v>2</v>
      </c>
      <c r="D391" s="26" t="s">
        <v>387</v>
      </c>
      <c r="E391" s="26"/>
      <c r="F391" s="85">
        <v>540905</v>
      </c>
      <c r="G391" s="85">
        <f t="shared" si="40"/>
        <v>540.90499999999997</v>
      </c>
      <c r="H391" s="41"/>
      <c r="L391" s="34" t="s">
        <v>210</v>
      </c>
      <c r="M391" s="21" t="s">
        <v>396</v>
      </c>
      <c r="N391" s="21"/>
      <c r="O391" s="82">
        <v>57850</v>
      </c>
      <c r="P391" s="82">
        <f t="shared" si="39"/>
        <v>57.85</v>
      </c>
      <c r="Q391" s="33"/>
    </row>
    <row r="392" spans="2:18">
      <c r="C392" s="44">
        <v>3</v>
      </c>
      <c r="D392" s="26" t="s">
        <v>382</v>
      </c>
      <c r="E392" s="26"/>
      <c r="F392" s="85">
        <v>516518</v>
      </c>
      <c r="G392" s="85">
        <f t="shared" si="40"/>
        <v>516.51800000000003</v>
      </c>
      <c r="H392" s="41"/>
      <c r="L392" s="33"/>
      <c r="O392" s="36">
        <f>SUM(O373:O391)</f>
        <v>5640629</v>
      </c>
      <c r="P392" s="36">
        <f>SUM(P373:P391)</f>
        <v>5640.6289999999999</v>
      </c>
      <c r="Q392" s="33">
        <f>0.75*19</f>
        <v>14.25</v>
      </c>
      <c r="R392" s="9">
        <f>P392-Q377</f>
        <v>2785.453</v>
      </c>
    </row>
    <row r="393" spans="2:18">
      <c r="C393" s="44">
        <v>4</v>
      </c>
      <c r="D393" s="26" t="s">
        <v>392</v>
      </c>
      <c r="E393" s="26"/>
      <c r="F393" s="85">
        <v>442479</v>
      </c>
      <c r="G393" s="85">
        <f t="shared" si="40"/>
        <v>442.47899999999998</v>
      </c>
      <c r="H393" s="41"/>
      <c r="L393" s="33"/>
      <c r="O393" s="33"/>
      <c r="P393" s="33"/>
      <c r="Q393" s="133">
        <v>14</v>
      </c>
    </row>
    <row r="394" spans="2:18">
      <c r="C394" s="44">
        <v>5</v>
      </c>
      <c r="D394" s="26" t="s">
        <v>386</v>
      </c>
      <c r="E394" s="26"/>
      <c r="F394" s="85">
        <v>436129</v>
      </c>
      <c r="G394" s="85">
        <f t="shared" si="40"/>
        <v>436.12900000000002</v>
      </c>
      <c r="H394" s="27">
        <f>SUM(G390:G394)</f>
        <v>2855.1759999999999</v>
      </c>
      <c r="L394" s="50">
        <v>4</v>
      </c>
      <c r="M394" s="4" t="s">
        <v>285</v>
      </c>
      <c r="N394" s="4"/>
      <c r="O394" s="40"/>
      <c r="P394" s="40"/>
      <c r="Q394" s="33"/>
    </row>
    <row r="395" spans="2:18">
      <c r="C395" s="44">
        <v>6</v>
      </c>
      <c r="D395" s="26" t="s">
        <v>383</v>
      </c>
      <c r="E395" s="26"/>
      <c r="F395" s="240">
        <v>397829</v>
      </c>
      <c r="G395" s="240">
        <f t="shared" si="40"/>
        <v>397.82900000000001</v>
      </c>
      <c r="H395" s="41"/>
      <c r="L395" s="34" t="s">
        <v>192</v>
      </c>
      <c r="M395" s="22" t="s">
        <v>410</v>
      </c>
      <c r="N395" s="22"/>
      <c r="O395" s="80">
        <v>1016366</v>
      </c>
      <c r="P395" s="80">
        <v>1000</v>
      </c>
      <c r="Q395" s="33"/>
    </row>
    <row r="396" spans="2:18">
      <c r="C396" s="44">
        <v>7</v>
      </c>
      <c r="D396" s="26" t="s">
        <v>388</v>
      </c>
      <c r="E396" s="26"/>
      <c r="F396" s="240">
        <v>388375</v>
      </c>
      <c r="G396" s="240">
        <f t="shared" si="40"/>
        <v>388.375</v>
      </c>
      <c r="H396" s="41"/>
      <c r="L396" s="34" t="s">
        <v>193</v>
      </c>
      <c r="M396" s="22" t="s">
        <v>405</v>
      </c>
      <c r="N396" s="22"/>
      <c r="O396" s="80">
        <v>881028</v>
      </c>
      <c r="P396" s="80">
        <f t="shared" ref="P396:P406" si="41">O396/1000</f>
        <v>881.02800000000002</v>
      </c>
      <c r="Q396" s="33"/>
    </row>
    <row r="397" spans="2:18">
      <c r="C397" s="44">
        <v>8</v>
      </c>
      <c r="D397" s="26" t="s">
        <v>385</v>
      </c>
      <c r="E397" s="26"/>
      <c r="F397" s="240">
        <v>376276</v>
      </c>
      <c r="G397" s="240">
        <f t="shared" si="40"/>
        <v>376.27600000000001</v>
      </c>
      <c r="H397" s="41"/>
      <c r="L397" s="34" t="s">
        <v>194</v>
      </c>
      <c r="M397" s="22" t="s">
        <v>402</v>
      </c>
      <c r="N397" s="22"/>
      <c r="O397" s="80">
        <v>677290</v>
      </c>
      <c r="P397" s="80">
        <f t="shared" si="41"/>
        <v>677.29</v>
      </c>
      <c r="Q397" s="36">
        <f>SUM(P395:P397)</f>
        <v>2558.3180000000002</v>
      </c>
    </row>
    <row r="398" spans="2:18">
      <c r="C398" s="44">
        <v>9</v>
      </c>
      <c r="D398" s="26" t="s">
        <v>389</v>
      </c>
      <c r="E398" s="26"/>
      <c r="F398" s="240">
        <v>307425</v>
      </c>
      <c r="G398" s="240">
        <f t="shared" si="40"/>
        <v>307.42500000000001</v>
      </c>
      <c r="H398" s="41"/>
      <c r="L398" s="34" t="s">
        <v>195</v>
      </c>
      <c r="M398" t="s">
        <v>408</v>
      </c>
      <c r="O398" s="36">
        <v>663956</v>
      </c>
      <c r="P398" s="36">
        <f t="shared" si="41"/>
        <v>663.95600000000002</v>
      </c>
      <c r="Q398" s="33"/>
    </row>
    <row r="399" spans="2:18">
      <c r="C399" s="44">
        <v>10</v>
      </c>
      <c r="D399" s="26" t="s">
        <v>384</v>
      </c>
      <c r="E399" s="26"/>
      <c r="F399" s="240">
        <v>240317</v>
      </c>
      <c r="G399" s="240">
        <f t="shared" si="40"/>
        <v>240.31700000000001</v>
      </c>
      <c r="H399" s="41"/>
      <c r="L399" s="34" t="s">
        <v>196</v>
      </c>
      <c r="M399" t="s">
        <v>407</v>
      </c>
      <c r="O399" s="36">
        <v>584916</v>
      </c>
      <c r="P399" s="36">
        <f t="shared" si="41"/>
        <v>584.91600000000005</v>
      </c>
      <c r="Q399" s="33"/>
    </row>
    <row r="400" spans="2:18">
      <c r="C400" s="44">
        <v>11</v>
      </c>
      <c r="D400" s="26" t="s">
        <v>391</v>
      </c>
      <c r="E400" s="26"/>
      <c r="F400" s="240">
        <v>234713</v>
      </c>
      <c r="G400" s="240">
        <f t="shared" si="40"/>
        <v>234.71299999999999</v>
      </c>
      <c r="H400" s="41"/>
      <c r="L400" s="34" t="s">
        <v>197</v>
      </c>
      <c r="M400" t="s">
        <v>404</v>
      </c>
      <c r="O400" s="36">
        <v>477064</v>
      </c>
      <c r="P400" s="36">
        <f t="shared" si="41"/>
        <v>477.06400000000002</v>
      </c>
      <c r="Q400" s="33"/>
    </row>
    <row r="401" spans="2:18">
      <c r="C401" s="44">
        <v>12</v>
      </c>
      <c r="D401" s="26" t="s">
        <v>390</v>
      </c>
      <c r="E401" s="26"/>
      <c r="F401" s="240">
        <v>188649</v>
      </c>
      <c r="G401" s="240">
        <f t="shared" si="40"/>
        <v>188.649</v>
      </c>
      <c r="H401" s="41"/>
      <c r="L401" s="34" t="s">
        <v>198</v>
      </c>
      <c r="M401" t="s">
        <v>401</v>
      </c>
      <c r="O401" s="36">
        <v>462220</v>
      </c>
      <c r="P401" s="36">
        <f t="shared" si="41"/>
        <v>462.22</v>
      </c>
      <c r="Q401" s="33"/>
    </row>
    <row r="402" spans="2:18">
      <c r="C402" s="44">
        <v>13</v>
      </c>
      <c r="D402" s="26" t="s">
        <v>398</v>
      </c>
      <c r="E402" s="26"/>
      <c r="F402" s="240">
        <v>143325</v>
      </c>
      <c r="G402" s="240">
        <f t="shared" si="40"/>
        <v>143.32499999999999</v>
      </c>
      <c r="H402" s="41"/>
      <c r="L402" s="34" t="s">
        <v>199</v>
      </c>
      <c r="M402" t="s">
        <v>403</v>
      </c>
      <c r="O402" s="36">
        <v>408543</v>
      </c>
      <c r="P402" s="36">
        <f t="shared" si="41"/>
        <v>408.54300000000001</v>
      </c>
      <c r="Q402" s="33"/>
    </row>
    <row r="403" spans="2:18">
      <c r="C403" s="44">
        <v>14</v>
      </c>
      <c r="D403" s="26" t="s">
        <v>397</v>
      </c>
      <c r="E403" s="26"/>
      <c r="F403" s="240">
        <v>122311</v>
      </c>
      <c r="G403" s="240">
        <f t="shared" si="40"/>
        <v>122.31100000000001</v>
      </c>
      <c r="H403" s="41"/>
      <c r="L403" s="34" t="s">
        <v>200</v>
      </c>
      <c r="M403" t="s">
        <v>400</v>
      </c>
      <c r="O403" s="36">
        <v>345610</v>
      </c>
      <c r="P403" s="36">
        <f t="shared" si="41"/>
        <v>345.61</v>
      </c>
      <c r="Q403" s="33"/>
    </row>
    <row r="404" spans="2:18">
      <c r="C404" s="44">
        <v>15</v>
      </c>
      <c r="D404" s="26" t="s">
        <v>399</v>
      </c>
      <c r="E404" s="26"/>
      <c r="F404" s="240">
        <v>96719</v>
      </c>
      <c r="G404" s="240">
        <f t="shared" si="40"/>
        <v>96.718999999999994</v>
      </c>
      <c r="H404" s="41"/>
      <c r="L404" s="34" t="s">
        <v>201</v>
      </c>
      <c r="M404" t="s">
        <v>411</v>
      </c>
      <c r="O404" s="36">
        <v>328907</v>
      </c>
      <c r="P404" s="36">
        <f t="shared" si="41"/>
        <v>328.90699999999998</v>
      </c>
      <c r="Q404" s="33"/>
    </row>
    <row r="405" spans="2:18">
      <c r="C405" s="44">
        <v>16</v>
      </c>
      <c r="D405" s="26" t="s">
        <v>381</v>
      </c>
      <c r="E405" s="26"/>
      <c r="F405" s="240">
        <v>89401</v>
      </c>
      <c r="G405" s="240">
        <f t="shared" si="40"/>
        <v>89.400999999999996</v>
      </c>
      <c r="H405" s="41"/>
      <c r="L405" s="34" t="s">
        <v>202</v>
      </c>
      <c r="M405" t="s">
        <v>409</v>
      </c>
      <c r="O405" s="36">
        <v>211791</v>
      </c>
      <c r="P405" s="36">
        <f t="shared" si="41"/>
        <v>211.791</v>
      </c>
      <c r="Q405" s="33"/>
    </row>
    <row r="406" spans="2:18">
      <c r="C406" s="44">
        <v>17</v>
      </c>
      <c r="D406" s="26" t="s">
        <v>394</v>
      </c>
      <c r="E406" s="26"/>
      <c r="F406" s="240">
        <v>75850</v>
      </c>
      <c r="G406" s="240">
        <f t="shared" si="40"/>
        <v>75.849999999999994</v>
      </c>
      <c r="H406" s="41"/>
      <c r="L406" s="34" t="s">
        <v>203</v>
      </c>
      <c r="M406" t="s">
        <v>406</v>
      </c>
      <c r="O406" s="36">
        <v>185183</v>
      </c>
      <c r="P406" s="36">
        <f t="shared" si="41"/>
        <v>185.18299999999999</v>
      </c>
      <c r="Q406" s="33"/>
    </row>
    <row r="407" spans="2:18">
      <c r="C407" s="44">
        <v>18</v>
      </c>
      <c r="D407" s="26" t="s">
        <v>395</v>
      </c>
      <c r="E407" s="26"/>
      <c r="F407" s="240">
        <v>66413</v>
      </c>
      <c r="G407" s="240">
        <f t="shared" si="40"/>
        <v>66.412999999999997</v>
      </c>
      <c r="H407" s="41"/>
      <c r="L407" s="33"/>
      <c r="O407" s="36">
        <f>SUM(O395:O406)</f>
        <v>6242874</v>
      </c>
      <c r="P407" s="36">
        <f>SUM(P395:P406)</f>
        <v>6226.5080000000007</v>
      </c>
      <c r="Q407" s="133">
        <f>0.75*12</f>
        <v>9</v>
      </c>
      <c r="R407" s="46">
        <f>P407-Q397</f>
        <v>3668.1900000000005</v>
      </c>
    </row>
    <row r="408" spans="2:18">
      <c r="C408" s="44">
        <v>19</v>
      </c>
      <c r="D408" s="26" t="s">
        <v>396</v>
      </c>
      <c r="E408" s="26"/>
      <c r="F408" s="240">
        <v>57850</v>
      </c>
      <c r="G408" s="240">
        <f t="shared" si="40"/>
        <v>57.85</v>
      </c>
      <c r="H408" s="41"/>
      <c r="L408" s="33"/>
      <c r="O408" s="33"/>
      <c r="P408" s="33"/>
      <c r="Q408" s="33"/>
    </row>
    <row r="409" spans="2:18">
      <c r="B409">
        <v>3</v>
      </c>
      <c r="C409" s="41">
        <f>C408</f>
        <v>19</v>
      </c>
      <c r="D409" s="42" t="s">
        <v>284</v>
      </c>
      <c r="E409" s="27">
        <f>0.75*C409</f>
        <v>14.25</v>
      </c>
      <c r="F409" s="27">
        <f>SUM(F390:F408)</f>
        <v>5640629</v>
      </c>
      <c r="G409" s="27">
        <f>SUM(G390:G408)</f>
        <v>5640.6289999999999</v>
      </c>
      <c r="H409" s="240">
        <f>G409-H394</f>
        <v>2785.453</v>
      </c>
      <c r="L409" s="50">
        <v>5</v>
      </c>
      <c r="M409" s="40" t="s">
        <v>412</v>
      </c>
      <c r="N409" s="40"/>
      <c r="O409" s="33"/>
      <c r="P409" s="33"/>
      <c r="Q409" s="33"/>
    </row>
    <row r="410" spans="2:18">
      <c r="L410" s="34" t="s">
        <v>192</v>
      </c>
      <c r="M410" s="22" t="s">
        <v>418</v>
      </c>
      <c r="N410" s="22"/>
      <c r="O410" s="80">
        <v>944285</v>
      </c>
      <c r="P410" s="80">
        <f t="shared" ref="P410:P416" si="42">O410/1000</f>
        <v>944.28499999999997</v>
      </c>
      <c r="Q410" s="33"/>
    </row>
    <row r="411" spans="2:18">
      <c r="E411" s="36"/>
      <c r="F411" s="36"/>
      <c r="G411" s="36"/>
      <c r="H411" s="9"/>
      <c r="L411" s="34" t="s">
        <v>193</v>
      </c>
      <c r="M411" s="22" t="s">
        <v>413</v>
      </c>
      <c r="N411" s="22"/>
      <c r="O411" s="80">
        <v>212561</v>
      </c>
      <c r="P411" s="80">
        <f t="shared" si="42"/>
        <v>212.56100000000001</v>
      </c>
      <c r="Q411" s="36">
        <f>SUM(P410:P411)</f>
        <v>1156.846</v>
      </c>
    </row>
    <row r="412" spans="2:18">
      <c r="L412" s="34" t="s">
        <v>194</v>
      </c>
      <c r="M412" t="s">
        <v>419</v>
      </c>
      <c r="O412" s="36">
        <v>187359</v>
      </c>
      <c r="P412" s="82">
        <f t="shared" si="42"/>
        <v>187.35900000000001</v>
      </c>
      <c r="Q412" s="33"/>
    </row>
    <row r="413" spans="2:18" ht="15.75">
      <c r="B413">
        <v>4</v>
      </c>
      <c r="C413" s="217" t="s">
        <v>777</v>
      </c>
      <c r="D413" s="217"/>
      <c r="E413" s="217"/>
      <c r="F413" s="217"/>
      <c r="G413" s="217"/>
      <c r="H413" s="217"/>
      <c r="L413" s="34" t="s">
        <v>195</v>
      </c>
      <c r="M413" t="s">
        <v>414</v>
      </c>
      <c r="O413" s="36">
        <v>142300</v>
      </c>
      <c r="P413" s="82">
        <f t="shared" si="42"/>
        <v>142.30000000000001</v>
      </c>
      <c r="Q413" s="33"/>
    </row>
    <row r="414" spans="2:18">
      <c r="C414" s="216" t="s">
        <v>760</v>
      </c>
      <c r="D414" s="203" t="s">
        <v>739</v>
      </c>
      <c r="E414" s="203"/>
      <c r="F414" s="203" t="s">
        <v>738</v>
      </c>
      <c r="G414" s="203"/>
      <c r="H414" s="203"/>
      <c r="L414" s="34" t="s">
        <v>196</v>
      </c>
      <c r="M414" t="s">
        <v>416</v>
      </c>
      <c r="O414" s="36">
        <v>86244</v>
      </c>
      <c r="P414" s="82">
        <f t="shared" si="42"/>
        <v>86.244</v>
      </c>
      <c r="Q414" s="33"/>
    </row>
    <row r="415" spans="2:18" ht="90">
      <c r="C415" s="216"/>
      <c r="D415" s="68" t="s">
        <v>740</v>
      </c>
      <c r="E415" s="112" t="s">
        <v>743</v>
      </c>
      <c r="F415" s="112" t="s">
        <v>737</v>
      </c>
      <c r="G415" s="112" t="s">
        <v>751</v>
      </c>
      <c r="H415" s="69" t="s">
        <v>746</v>
      </c>
      <c r="L415" s="34" t="s">
        <v>197</v>
      </c>
      <c r="M415" t="s">
        <v>415</v>
      </c>
      <c r="O415" s="36">
        <v>69003</v>
      </c>
      <c r="P415" s="82">
        <f t="shared" si="42"/>
        <v>69.003</v>
      </c>
      <c r="Q415" s="33"/>
    </row>
    <row r="416" spans="2:18">
      <c r="C416" s="44">
        <v>1</v>
      </c>
      <c r="D416" s="26" t="s">
        <v>410</v>
      </c>
      <c r="E416" s="26"/>
      <c r="F416" s="153">
        <v>1016366</v>
      </c>
      <c r="G416" s="153">
        <v>1000</v>
      </c>
      <c r="H416" s="41"/>
      <c r="L416" s="34" t="s">
        <v>198</v>
      </c>
      <c r="M416" t="s">
        <v>417</v>
      </c>
      <c r="O416" s="36">
        <v>37411</v>
      </c>
      <c r="P416" s="82">
        <f t="shared" si="42"/>
        <v>37.411000000000001</v>
      </c>
      <c r="Q416" s="33"/>
    </row>
    <row r="417" spans="2:18">
      <c r="C417" s="44">
        <v>2</v>
      </c>
      <c r="D417" s="26" t="s">
        <v>405</v>
      </c>
      <c r="E417" s="26"/>
      <c r="F417" s="153">
        <v>881028</v>
      </c>
      <c r="G417" s="153">
        <f t="shared" ref="G417:G427" si="43">F417/1000</f>
        <v>881.02800000000002</v>
      </c>
      <c r="H417" s="41"/>
      <c r="L417" s="33"/>
      <c r="O417" s="36">
        <f>SUM(O410:O416)</f>
        <v>1679163</v>
      </c>
      <c r="P417" s="36">
        <f>SUM(P410:P416)</f>
        <v>1679.1629999999998</v>
      </c>
      <c r="Q417" s="33">
        <f>0.75*7</f>
        <v>5.25</v>
      </c>
      <c r="R417" s="46">
        <f>P417-Q411</f>
        <v>522.31699999999978</v>
      </c>
    </row>
    <row r="418" spans="2:18">
      <c r="C418" s="44">
        <v>3</v>
      </c>
      <c r="D418" s="26" t="s">
        <v>402</v>
      </c>
      <c r="E418" s="26"/>
      <c r="F418" s="153">
        <v>677290</v>
      </c>
      <c r="G418" s="153">
        <f t="shared" si="43"/>
        <v>677.29</v>
      </c>
      <c r="H418" s="27">
        <f>SUM(G416:G418)</f>
        <v>2558.3180000000002</v>
      </c>
      <c r="L418" s="33"/>
      <c r="O418" s="36"/>
      <c r="P418" s="33"/>
      <c r="Q418" s="133">
        <v>5</v>
      </c>
    </row>
    <row r="419" spans="2:18">
      <c r="C419" s="44">
        <v>4</v>
      </c>
      <c r="D419" s="26" t="s">
        <v>408</v>
      </c>
      <c r="E419" s="26"/>
      <c r="F419" s="240">
        <v>663956</v>
      </c>
      <c r="G419" s="240">
        <f t="shared" si="43"/>
        <v>663.95600000000002</v>
      </c>
      <c r="H419" s="41"/>
      <c r="L419" s="50">
        <v>6</v>
      </c>
      <c r="M419" s="204" t="s">
        <v>313</v>
      </c>
      <c r="N419" s="204"/>
      <c r="O419" s="204"/>
      <c r="P419" s="33"/>
      <c r="Q419" s="33"/>
    </row>
    <row r="420" spans="2:18">
      <c r="C420" s="44">
        <v>5</v>
      </c>
      <c r="D420" s="26" t="s">
        <v>407</v>
      </c>
      <c r="E420" s="26"/>
      <c r="F420" s="240">
        <v>584916</v>
      </c>
      <c r="G420" s="240">
        <f t="shared" si="43"/>
        <v>584.91600000000005</v>
      </c>
      <c r="H420" s="41"/>
      <c r="L420" s="34" t="s">
        <v>192</v>
      </c>
      <c r="M420" s="22" t="s">
        <v>420</v>
      </c>
      <c r="N420" s="22"/>
      <c r="O420" s="80">
        <v>334344</v>
      </c>
      <c r="P420" s="80">
        <f t="shared" ref="P420:P426" si="44">O420/1000</f>
        <v>334.34399999999999</v>
      </c>
      <c r="Q420" s="33"/>
    </row>
    <row r="421" spans="2:18">
      <c r="C421" s="44">
        <v>6</v>
      </c>
      <c r="D421" s="26" t="s">
        <v>404</v>
      </c>
      <c r="E421" s="26"/>
      <c r="F421" s="240">
        <v>477064</v>
      </c>
      <c r="G421" s="240">
        <f t="shared" si="43"/>
        <v>477.06400000000002</v>
      </c>
      <c r="H421" s="41"/>
      <c r="L421" s="34" t="s">
        <v>193</v>
      </c>
      <c r="M421" s="22" t="s">
        <v>426</v>
      </c>
      <c r="N421" s="22"/>
      <c r="O421" s="80">
        <v>226297</v>
      </c>
      <c r="P421" s="80">
        <f t="shared" si="44"/>
        <v>226.297</v>
      </c>
      <c r="Q421" s="36">
        <f>SUM(P420:P421)</f>
        <v>560.64099999999996</v>
      </c>
    </row>
    <row r="422" spans="2:18">
      <c r="C422" s="44">
        <v>7</v>
      </c>
      <c r="D422" s="26" t="s">
        <v>401</v>
      </c>
      <c r="E422" s="26"/>
      <c r="F422" s="240">
        <v>462220</v>
      </c>
      <c r="G422" s="240">
        <f t="shared" si="43"/>
        <v>462.22</v>
      </c>
      <c r="H422" s="41"/>
      <c r="L422" s="34" t="s">
        <v>194</v>
      </c>
      <c r="M422" t="s">
        <v>422</v>
      </c>
      <c r="O422" s="82">
        <v>209413</v>
      </c>
      <c r="P422" s="82">
        <f t="shared" si="44"/>
        <v>209.41300000000001</v>
      </c>
      <c r="Q422" s="33"/>
    </row>
    <row r="423" spans="2:18">
      <c r="C423" s="44">
        <v>8</v>
      </c>
      <c r="D423" s="26" t="s">
        <v>403</v>
      </c>
      <c r="E423" s="26"/>
      <c r="F423" s="240">
        <v>408543</v>
      </c>
      <c r="G423" s="240">
        <f t="shared" si="43"/>
        <v>408.54300000000001</v>
      </c>
      <c r="H423" s="41"/>
      <c r="L423" s="34" t="s">
        <v>195</v>
      </c>
      <c r="M423" t="s">
        <v>423</v>
      </c>
      <c r="O423" s="82">
        <v>205510</v>
      </c>
      <c r="P423" s="82">
        <f t="shared" si="44"/>
        <v>205.51</v>
      </c>
      <c r="Q423" s="33"/>
    </row>
    <row r="424" spans="2:18">
      <c r="C424" s="44">
        <v>9</v>
      </c>
      <c r="D424" s="26" t="s">
        <v>400</v>
      </c>
      <c r="E424" s="26"/>
      <c r="F424" s="240">
        <v>345610</v>
      </c>
      <c r="G424" s="240">
        <f t="shared" si="43"/>
        <v>345.61</v>
      </c>
      <c r="H424" s="41"/>
      <c r="L424" s="34" t="s">
        <v>196</v>
      </c>
      <c r="M424" t="s">
        <v>424</v>
      </c>
      <c r="O424" s="82">
        <v>202263</v>
      </c>
      <c r="P424" s="82">
        <f t="shared" si="44"/>
        <v>202.26300000000001</v>
      </c>
      <c r="Q424" s="33"/>
    </row>
    <row r="425" spans="2:18">
      <c r="C425" s="44">
        <v>10</v>
      </c>
      <c r="D425" s="26" t="s">
        <v>411</v>
      </c>
      <c r="E425" s="26"/>
      <c r="F425" s="240">
        <v>328907</v>
      </c>
      <c r="G425" s="240">
        <f t="shared" si="43"/>
        <v>328.90699999999998</v>
      </c>
      <c r="H425" s="41"/>
      <c r="L425" s="34" t="s">
        <v>197</v>
      </c>
      <c r="M425" t="s">
        <v>421</v>
      </c>
      <c r="O425" s="82">
        <v>186331</v>
      </c>
      <c r="P425" s="82">
        <f t="shared" si="44"/>
        <v>186.33099999999999</v>
      </c>
      <c r="Q425" s="33"/>
    </row>
    <row r="426" spans="2:18">
      <c r="C426" s="44">
        <v>11</v>
      </c>
      <c r="D426" s="26" t="s">
        <v>409</v>
      </c>
      <c r="E426" s="26"/>
      <c r="F426" s="240">
        <v>211791</v>
      </c>
      <c r="G426" s="240">
        <f t="shared" si="43"/>
        <v>211.791</v>
      </c>
      <c r="H426" s="41"/>
      <c r="L426" s="34" t="s">
        <v>198</v>
      </c>
      <c r="M426" t="s">
        <v>425</v>
      </c>
      <c r="O426" s="82">
        <v>130463</v>
      </c>
      <c r="P426" s="82">
        <f t="shared" si="44"/>
        <v>130.46299999999999</v>
      </c>
      <c r="Q426" s="33"/>
    </row>
    <row r="427" spans="2:18">
      <c r="C427" s="44">
        <v>12</v>
      </c>
      <c r="D427" s="26" t="s">
        <v>406</v>
      </c>
      <c r="E427" s="26"/>
      <c r="F427" s="240">
        <v>185183</v>
      </c>
      <c r="G427" s="240">
        <f t="shared" si="43"/>
        <v>185.18299999999999</v>
      </c>
      <c r="H427" s="41"/>
      <c r="L427" s="33"/>
      <c r="O427" s="36">
        <f>SUM(O420:O426)</f>
        <v>1494621</v>
      </c>
      <c r="P427" s="36">
        <f>SUM(P420:P426)</f>
        <v>1494.6209999999999</v>
      </c>
      <c r="Q427" s="33">
        <f>0.75*7</f>
        <v>5.25</v>
      </c>
      <c r="R427" s="46">
        <f>P427-Q421</f>
        <v>933.9799999999999</v>
      </c>
    </row>
    <row r="428" spans="2:18">
      <c r="B428">
        <v>4</v>
      </c>
      <c r="C428" s="41">
        <f>C427</f>
        <v>12</v>
      </c>
      <c r="D428" s="42" t="s">
        <v>777</v>
      </c>
      <c r="E428" s="41">
        <f>0.75*C428</f>
        <v>9</v>
      </c>
      <c r="F428" s="27">
        <f>SUM(F416:F427)</f>
        <v>6242874</v>
      </c>
      <c r="G428" s="27">
        <f>SUM(G416:G427)</f>
        <v>6226.5080000000007</v>
      </c>
      <c r="H428" s="240">
        <f>G428-H418</f>
        <v>3668.1900000000005</v>
      </c>
      <c r="L428" s="33"/>
      <c r="O428" s="33"/>
      <c r="P428" s="33"/>
      <c r="Q428" s="133">
        <v>5</v>
      </c>
    </row>
    <row r="429" spans="2:18">
      <c r="L429" s="33"/>
      <c r="O429" s="33"/>
      <c r="P429" s="33"/>
      <c r="Q429" s="33"/>
    </row>
    <row r="430" spans="2:18">
      <c r="L430" s="50">
        <v>7</v>
      </c>
      <c r="M430" s="33" t="s">
        <v>286</v>
      </c>
      <c r="N430" s="33"/>
      <c r="O430" s="33"/>
      <c r="P430" s="33"/>
      <c r="Q430" s="33"/>
    </row>
    <row r="431" spans="2:18">
      <c r="C431" s="34"/>
      <c r="F431" s="36"/>
      <c r="G431" s="35"/>
      <c r="H431" s="33"/>
      <c r="L431" s="34" t="s">
        <v>192</v>
      </c>
      <c r="M431" s="16" t="s">
        <v>436</v>
      </c>
      <c r="N431" s="16"/>
      <c r="O431" s="81">
        <v>635100</v>
      </c>
      <c r="P431" s="81">
        <f t="shared" ref="P431:P441" si="45">O431/1000</f>
        <v>635.1</v>
      </c>
      <c r="Q431" s="33"/>
    </row>
    <row r="432" spans="2:18" ht="15.75">
      <c r="B432">
        <v>5</v>
      </c>
      <c r="C432" s="217" t="s">
        <v>778</v>
      </c>
      <c r="D432" s="217"/>
      <c r="E432" s="217"/>
      <c r="F432" s="217"/>
      <c r="G432" s="217"/>
      <c r="H432" s="217"/>
      <c r="L432" s="34" t="s">
        <v>193</v>
      </c>
      <c r="M432" s="16" t="s">
        <v>431</v>
      </c>
      <c r="N432" s="16"/>
      <c r="O432" s="81">
        <v>424600</v>
      </c>
      <c r="P432" s="81">
        <f t="shared" si="45"/>
        <v>424.6</v>
      </c>
      <c r="Q432" s="33"/>
    </row>
    <row r="433" spans="2:18">
      <c r="C433" s="216" t="s">
        <v>760</v>
      </c>
      <c r="D433" s="203" t="s">
        <v>739</v>
      </c>
      <c r="E433" s="203"/>
      <c r="F433" s="203" t="s">
        <v>738</v>
      </c>
      <c r="G433" s="203"/>
      <c r="H433" s="203"/>
      <c r="L433" s="34" t="s">
        <v>194</v>
      </c>
      <c r="M433" s="16" t="s">
        <v>435</v>
      </c>
      <c r="N433" s="16"/>
      <c r="O433" s="81">
        <v>381300</v>
      </c>
      <c r="P433" s="81">
        <f t="shared" si="45"/>
        <v>381.3</v>
      </c>
      <c r="Q433" s="36">
        <f>SUM(P431:P433)</f>
        <v>1441</v>
      </c>
    </row>
    <row r="434" spans="2:18" ht="90">
      <c r="C434" s="216"/>
      <c r="D434" s="68" t="s">
        <v>740</v>
      </c>
      <c r="E434" s="112" t="s">
        <v>743</v>
      </c>
      <c r="F434" s="112" t="s">
        <v>737</v>
      </c>
      <c r="G434" s="112" t="s">
        <v>751</v>
      </c>
      <c r="H434" s="69" t="s">
        <v>746</v>
      </c>
      <c r="L434" s="34" t="s">
        <v>195</v>
      </c>
      <c r="M434" t="s">
        <v>428</v>
      </c>
      <c r="O434" s="36">
        <v>373400</v>
      </c>
      <c r="P434" s="82">
        <f t="shared" si="45"/>
        <v>373.4</v>
      </c>
      <c r="Q434" s="33"/>
    </row>
    <row r="435" spans="2:18">
      <c r="C435" s="44">
        <v>1</v>
      </c>
      <c r="D435" s="26" t="s">
        <v>418</v>
      </c>
      <c r="E435" s="26"/>
      <c r="F435" s="85">
        <v>944285</v>
      </c>
      <c r="G435" s="85">
        <f t="shared" ref="G435:G441" si="46">F435/1000</f>
        <v>944.28499999999997</v>
      </c>
      <c r="H435" s="41"/>
      <c r="L435" s="34" t="s">
        <v>196</v>
      </c>
      <c r="M435" t="s">
        <v>434</v>
      </c>
      <c r="O435" s="36">
        <v>355300</v>
      </c>
      <c r="P435" s="82">
        <f t="shared" si="45"/>
        <v>355.3</v>
      </c>
      <c r="Q435" s="33"/>
    </row>
    <row r="436" spans="2:18">
      <c r="C436" s="44">
        <v>2</v>
      </c>
      <c r="D436" s="26" t="s">
        <v>413</v>
      </c>
      <c r="E436" s="26"/>
      <c r="F436" s="85">
        <v>212561</v>
      </c>
      <c r="G436" s="85">
        <f t="shared" si="46"/>
        <v>212.56100000000001</v>
      </c>
      <c r="H436" s="27">
        <f>SUM(G435:G436)</f>
        <v>1156.846</v>
      </c>
      <c r="L436" s="34" t="s">
        <v>197</v>
      </c>
      <c r="M436" t="s">
        <v>433</v>
      </c>
      <c r="O436" s="36">
        <v>335100</v>
      </c>
      <c r="P436" s="82">
        <f t="shared" si="45"/>
        <v>335.1</v>
      </c>
      <c r="Q436" s="33"/>
    </row>
    <row r="437" spans="2:18">
      <c r="C437" s="44">
        <v>3</v>
      </c>
      <c r="D437" s="26" t="s">
        <v>419</v>
      </c>
      <c r="E437" s="26"/>
      <c r="F437" s="240">
        <v>187359</v>
      </c>
      <c r="G437" s="240">
        <f t="shared" si="46"/>
        <v>187.35900000000001</v>
      </c>
      <c r="H437" s="41"/>
      <c r="L437" s="34" t="s">
        <v>198</v>
      </c>
      <c r="M437" t="s">
        <v>430</v>
      </c>
      <c r="O437" s="36">
        <v>316600</v>
      </c>
      <c r="P437" s="82">
        <f t="shared" si="45"/>
        <v>316.60000000000002</v>
      </c>
      <c r="Q437" s="33"/>
    </row>
    <row r="438" spans="2:18">
      <c r="C438" s="44">
        <v>4</v>
      </c>
      <c r="D438" s="26" t="s">
        <v>414</v>
      </c>
      <c r="E438" s="26"/>
      <c r="F438" s="240">
        <v>142300</v>
      </c>
      <c r="G438" s="240">
        <f t="shared" si="46"/>
        <v>142.30000000000001</v>
      </c>
      <c r="H438" s="41"/>
      <c r="L438" s="34" t="s">
        <v>199</v>
      </c>
      <c r="M438" t="s">
        <v>429</v>
      </c>
      <c r="O438" s="36">
        <v>306500</v>
      </c>
      <c r="P438" s="82">
        <f t="shared" si="45"/>
        <v>306.5</v>
      </c>
      <c r="Q438" s="33"/>
    </row>
    <row r="439" spans="2:18">
      <c r="C439" s="44">
        <v>5</v>
      </c>
      <c r="D439" s="26" t="s">
        <v>416</v>
      </c>
      <c r="E439" s="26"/>
      <c r="F439" s="240">
        <v>86244</v>
      </c>
      <c r="G439" s="240">
        <f t="shared" si="46"/>
        <v>86.244</v>
      </c>
      <c r="H439" s="41"/>
      <c r="L439" s="34" t="s">
        <v>200</v>
      </c>
      <c r="M439" t="s">
        <v>427</v>
      </c>
      <c r="O439" s="36">
        <v>256700</v>
      </c>
      <c r="P439" s="82">
        <f t="shared" si="45"/>
        <v>256.7</v>
      </c>
      <c r="Q439" s="33"/>
    </row>
    <row r="440" spans="2:18">
      <c r="C440" s="44">
        <v>6</v>
      </c>
      <c r="D440" s="26" t="s">
        <v>415</v>
      </c>
      <c r="E440" s="26"/>
      <c r="F440" s="240">
        <v>69003</v>
      </c>
      <c r="G440" s="240">
        <f t="shared" si="46"/>
        <v>69.003</v>
      </c>
      <c r="H440" s="41"/>
      <c r="L440" s="34" t="s">
        <v>201</v>
      </c>
      <c r="M440" t="s">
        <v>432</v>
      </c>
      <c r="O440" s="36">
        <v>239000</v>
      </c>
      <c r="P440" s="82">
        <f t="shared" si="45"/>
        <v>239</v>
      </c>
      <c r="Q440" s="33"/>
    </row>
    <row r="441" spans="2:18">
      <c r="C441" s="44">
        <v>7</v>
      </c>
      <c r="D441" s="26" t="s">
        <v>417</v>
      </c>
      <c r="E441" s="26"/>
      <c r="F441" s="240">
        <v>37411</v>
      </c>
      <c r="G441" s="240">
        <f t="shared" si="46"/>
        <v>37.411000000000001</v>
      </c>
      <c r="H441" s="41"/>
      <c r="L441" s="34" t="s">
        <v>202</v>
      </c>
      <c r="M441" t="s">
        <v>437</v>
      </c>
      <c r="O441" s="36">
        <v>100800</v>
      </c>
      <c r="P441" s="82">
        <f t="shared" si="45"/>
        <v>100.8</v>
      </c>
      <c r="Q441" s="33"/>
    </row>
    <row r="442" spans="2:18">
      <c r="B442">
        <v>5</v>
      </c>
      <c r="C442" s="41">
        <f>C441</f>
        <v>7</v>
      </c>
      <c r="D442" s="42" t="s">
        <v>412</v>
      </c>
      <c r="E442" s="27">
        <f>0.75*C441</f>
        <v>5.25</v>
      </c>
      <c r="F442" s="27">
        <f>SUM(F435:F441)</f>
        <v>1679163</v>
      </c>
      <c r="G442" s="27">
        <f>SUM(G435:G441)</f>
        <v>1679.1629999999998</v>
      </c>
      <c r="H442" s="240">
        <f>G442-H436</f>
        <v>522.31699999999978</v>
      </c>
      <c r="L442" s="33"/>
      <c r="O442" s="36">
        <f>SUM(O431:O441)</f>
        <v>3724400</v>
      </c>
      <c r="P442" s="36">
        <f>SUM(P431:P441)</f>
        <v>3724.4</v>
      </c>
      <c r="Q442" s="33">
        <f>0.75*11</f>
        <v>8.25</v>
      </c>
      <c r="R442" s="46">
        <f>P442-Q433</f>
        <v>2283.4</v>
      </c>
    </row>
    <row r="443" spans="2:18">
      <c r="L443" s="33"/>
      <c r="M443" t="s">
        <v>438</v>
      </c>
      <c r="O443" s="81">
        <v>3724300</v>
      </c>
      <c r="P443" s="33"/>
      <c r="Q443" s="133">
        <v>8</v>
      </c>
    </row>
    <row r="444" spans="2:18">
      <c r="L444" s="33"/>
      <c r="O444" s="33"/>
      <c r="P444" s="33"/>
      <c r="Q444" s="33"/>
    </row>
    <row r="445" spans="2:18">
      <c r="L445" s="33"/>
      <c r="O445" s="33"/>
      <c r="P445" s="33"/>
      <c r="Q445" s="33"/>
    </row>
    <row r="446" spans="2:18" ht="15.75">
      <c r="B446">
        <v>6</v>
      </c>
      <c r="C446" s="217" t="s">
        <v>779</v>
      </c>
      <c r="D446" s="217"/>
      <c r="E446" s="217"/>
      <c r="F446" s="217"/>
      <c r="G446" s="217"/>
      <c r="H446" s="217"/>
      <c r="L446" s="50">
        <v>8</v>
      </c>
      <c r="M446" s="33" t="s">
        <v>287</v>
      </c>
      <c r="N446" s="33"/>
      <c r="O446" s="33"/>
      <c r="P446" s="33"/>
      <c r="Q446" s="33"/>
    </row>
    <row r="447" spans="2:18">
      <c r="C447" s="216" t="s">
        <v>760</v>
      </c>
      <c r="D447" s="203" t="s">
        <v>739</v>
      </c>
      <c r="E447" s="203"/>
      <c r="F447" s="203" t="s">
        <v>738</v>
      </c>
      <c r="G447" s="203"/>
      <c r="H447" s="203"/>
      <c r="L447" s="34" t="s">
        <v>192</v>
      </c>
      <c r="M447" s="16" t="s">
        <v>448</v>
      </c>
      <c r="N447" s="16"/>
      <c r="O447" s="81">
        <v>391045</v>
      </c>
      <c r="P447" s="81">
        <f t="shared" ref="P447:P456" si="47">O447/1000</f>
        <v>391.04500000000002</v>
      </c>
      <c r="Q447" s="33"/>
    </row>
    <row r="448" spans="2:18" ht="90">
      <c r="C448" s="216"/>
      <c r="D448" s="68" t="s">
        <v>740</v>
      </c>
      <c r="E448" s="112" t="s">
        <v>743</v>
      </c>
      <c r="F448" s="112" t="s">
        <v>737</v>
      </c>
      <c r="G448" s="112" t="s">
        <v>751</v>
      </c>
      <c r="H448" s="69" t="s">
        <v>746</v>
      </c>
      <c r="L448" s="34" t="s">
        <v>193</v>
      </c>
      <c r="M448" s="16" t="s">
        <v>441</v>
      </c>
      <c r="N448" s="16"/>
      <c r="O448" s="81">
        <v>306201</v>
      </c>
      <c r="P448" s="81">
        <f t="shared" si="47"/>
        <v>306.20100000000002</v>
      </c>
      <c r="Q448" s="36">
        <f>SUM(P447:P448)</f>
        <v>697.24600000000009</v>
      </c>
    </row>
    <row r="449" spans="2:21">
      <c r="C449" s="44">
        <v>1</v>
      </c>
      <c r="D449" s="26" t="s">
        <v>420</v>
      </c>
      <c r="E449" s="26"/>
      <c r="F449" s="85">
        <v>334344</v>
      </c>
      <c r="G449" s="85">
        <f t="shared" ref="G449:G455" si="48">F449/1000</f>
        <v>334.34399999999999</v>
      </c>
      <c r="H449" s="41"/>
      <c r="L449" s="34" t="s">
        <v>194</v>
      </c>
      <c r="M449" t="s">
        <v>440</v>
      </c>
      <c r="O449" s="36">
        <v>283689</v>
      </c>
      <c r="P449" s="82">
        <f t="shared" si="47"/>
        <v>283.68900000000002</v>
      </c>
      <c r="Q449" s="33"/>
    </row>
    <row r="450" spans="2:21">
      <c r="C450" s="44">
        <v>2</v>
      </c>
      <c r="D450" s="26" t="s">
        <v>426</v>
      </c>
      <c r="E450" s="26"/>
      <c r="F450" s="85">
        <v>226297</v>
      </c>
      <c r="G450" s="85">
        <f t="shared" si="48"/>
        <v>226.297</v>
      </c>
      <c r="H450" s="27">
        <f>SUM(G449:G450)</f>
        <v>560.64099999999996</v>
      </c>
      <c r="L450" s="34" t="s">
        <v>195</v>
      </c>
      <c r="M450" t="s">
        <v>443</v>
      </c>
      <c r="O450" s="36">
        <v>216977</v>
      </c>
      <c r="P450" s="82">
        <f t="shared" si="47"/>
        <v>216.977</v>
      </c>
      <c r="Q450" s="33"/>
    </row>
    <row r="451" spans="2:21">
      <c r="C451" s="44">
        <v>3</v>
      </c>
      <c r="D451" s="26" t="s">
        <v>422</v>
      </c>
      <c r="E451" s="26"/>
      <c r="F451" s="240">
        <v>209413</v>
      </c>
      <c r="G451" s="240">
        <f t="shared" si="48"/>
        <v>209.41300000000001</v>
      </c>
      <c r="H451" s="41"/>
      <c r="L451" s="34" t="s">
        <v>196</v>
      </c>
      <c r="M451" t="s">
        <v>444</v>
      </c>
      <c r="O451" s="36">
        <v>199932</v>
      </c>
      <c r="P451" s="82">
        <f t="shared" si="47"/>
        <v>199.93199999999999</v>
      </c>
      <c r="Q451" s="33"/>
    </row>
    <row r="452" spans="2:21">
      <c r="C452" s="44">
        <v>4</v>
      </c>
      <c r="D452" s="26" t="s">
        <v>423</v>
      </c>
      <c r="E452" s="26"/>
      <c r="F452" s="240">
        <v>205510</v>
      </c>
      <c r="G452" s="240">
        <f t="shared" si="48"/>
        <v>205.51</v>
      </c>
      <c r="H452" s="41"/>
      <c r="L452" s="34" t="s">
        <v>197</v>
      </c>
      <c r="M452" t="s">
        <v>439</v>
      </c>
      <c r="O452" s="36">
        <v>172162</v>
      </c>
      <c r="P452" s="82">
        <f t="shared" si="47"/>
        <v>172.16200000000001</v>
      </c>
      <c r="Q452" s="33"/>
    </row>
    <row r="453" spans="2:21">
      <c r="C453" s="44">
        <v>5</v>
      </c>
      <c r="D453" s="26" t="s">
        <v>424</v>
      </c>
      <c r="E453" s="26"/>
      <c r="F453" s="240">
        <v>202263</v>
      </c>
      <c r="G453" s="240">
        <f t="shared" si="48"/>
        <v>202.26300000000001</v>
      </c>
      <c r="H453" s="41"/>
      <c r="L453" s="34" t="s">
        <v>198</v>
      </c>
      <c r="M453" t="s">
        <v>446</v>
      </c>
      <c r="O453" s="36">
        <v>156330</v>
      </c>
      <c r="P453" s="82">
        <f t="shared" si="47"/>
        <v>156.33000000000001</v>
      </c>
      <c r="Q453" s="33"/>
    </row>
    <row r="454" spans="2:21">
      <c r="C454" s="44">
        <v>6</v>
      </c>
      <c r="D454" s="26" t="s">
        <v>421</v>
      </c>
      <c r="E454" s="26"/>
      <c r="F454" s="240">
        <v>186331</v>
      </c>
      <c r="G454" s="240">
        <f t="shared" si="48"/>
        <v>186.33099999999999</v>
      </c>
      <c r="H454" s="41"/>
      <c r="L454" s="34" t="s">
        <v>199</v>
      </c>
      <c r="M454" t="s">
        <v>442</v>
      </c>
      <c r="O454" s="36">
        <v>131345</v>
      </c>
      <c r="P454" s="82">
        <f t="shared" si="47"/>
        <v>131.345</v>
      </c>
      <c r="Q454" s="33"/>
    </row>
    <row r="455" spans="2:21">
      <c r="C455" s="44">
        <v>7</v>
      </c>
      <c r="D455" s="26" t="s">
        <v>425</v>
      </c>
      <c r="E455" s="26"/>
      <c r="F455" s="240">
        <v>130463</v>
      </c>
      <c r="G455" s="240">
        <f t="shared" si="48"/>
        <v>130.46299999999999</v>
      </c>
      <c r="H455" s="41"/>
      <c r="L455" s="34" t="s">
        <v>200</v>
      </c>
      <c r="M455" t="s">
        <v>447</v>
      </c>
      <c r="O455" s="36">
        <v>121509</v>
      </c>
      <c r="P455" s="82">
        <f t="shared" si="47"/>
        <v>121.509</v>
      </c>
      <c r="Q455" s="33"/>
    </row>
    <row r="456" spans="2:21">
      <c r="B456">
        <v>6</v>
      </c>
      <c r="C456" s="41">
        <f>C455</f>
        <v>7</v>
      </c>
      <c r="D456" s="42" t="s">
        <v>313</v>
      </c>
      <c r="E456" s="27">
        <f>0.75*C455</f>
        <v>5.25</v>
      </c>
      <c r="F456" s="27">
        <f>SUM(F449:F455)</f>
        <v>1494621</v>
      </c>
      <c r="G456" s="27">
        <f>SUM(G449:G455)</f>
        <v>1494.6209999999999</v>
      </c>
      <c r="H456" s="240">
        <f>G456-H450</f>
        <v>933.9799999999999</v>
      </c>
      <c r="L456" s="34" t="s">
        <v>201</v>
      </c>
      <c r="M456" t="s">
        <v>445</v>
      </c>
      <c r="O456" s="36">
        <v>107693</v>
      </c>
      <c r="P456" s="82">
        <f t="shared" si="47"/>
        <v>107.693</v>
      </c>
      <c r="Q456" s="33"/>
    </row>
    <row r="457" spans="2:21">
      <c r="L457" s="33"/>
      <c r="O457" s="36">
        <f>SUM(O447:O456)</f>
        <v>2086883</v>
      </c>
      <c r="P457" s="36">
        <f>SUM(P447:P456)</f>
        <v>2086.8830000000003</v>
      </c>
      <c r="Q457" s="33">
        <f>0.75*10</f>
        <v>7.5</v>
      </c>
      <c r="R457" s="46">
        <f>P457-Q448</f>
        <v>1389.6370000000002</v>
      </c>
    </row>
    <row r="458" spans="2:21">
      <c r="L458" s="33"/>
      <c r="O458" s="36"/>
      <c r="P458" s="36"/>
      <c r="Q458" s="133">
        <v>8</v>
      </c>
      <c r="R458" s="46"/>
    </row>
    <row r="459" spans="2:21">
      <c r="L459" s="50">
        <v>9</v>
      </c>
      <c r="M459" s="204" t="s">
        <v>288</v>
      </c>
      <c r="N459" s="204"/>
      <c r="O459" s="204"/>
      <c r="P459" s="33"/>
      <c r="Q459" s="33"/>
    </row>
    <row r="460" spans="2:21" ht="15.75">
      <c r="B460">
        <v>7</v>
      </c>
      <c r="C460" s="217" t="s">
        <v>780</v>
      </c>
      <c r="D460" s="217"/>
      <c r="E460" s="217"/>
      <c r="F460" s="217"/>
      <c r="G460" s="217"/>
      <c r="H460" s="217"/>
      <c r="L460" s="50"/>
      <c r="M460" s="33" t="s">
        <v>678</v>
      </c>
      <c r="N460" s="33"/>
      <c r="O460" s="33" t="s">
        <v>690</v>
      </c>
      <c r="P460" s="33" t="s">
        <v>667</v>
      </c>
      <c r="Q460" s="33"/>
    </row>
    <row r="461" spans="2:21">
      <c r="C461" s="198" t="s">
        <v>760</v>
      </c>
      <c r="D461" s="218" t="s">
        <v>739</v>
      </c>
      <c r="E461" s="219"/>
      <c r="F461" s="203" t="s">
        <v>738</v>
      </c>
      <c r="G461" s="203"/>
      <c r="H461" s="203"/>
      <c r="L461" s="34" t="s">
        <v>192</v>
      </c>
      <c r="M461" s="16" t="s">
        <v>462</v>
      </c>
      <c r="N461" s="16"/>
      <c r="O461" s="81">
        <v>1718440</v>
      </c>
      <c r="P461" s="81">
        <v>1000</v>
      </c>
      <c r="Q461" s="33"/>
      <c r="R461" t="s">
        <v>708</v>
      </c>
      <c r="S461" s="33"/>
      <c r="T461" s="33" t="s">
        <v>710</v>
      </c>
      <c r="U461" s="33"/>
    </row>
    <row r="462" spans="2:21" ht="90">
      <c r="C462" s="199"/>
      <c r="D462" s="68" t="s">
        <v>740</v>
      </c>
      <c r="E462" s="112" t="s">
        <v>743</v>
      </c>
      <c r="F462" s="112" t="s">
        <v>737</v>
      </c>
      <c r="G462" s="112" t="s">
        <v>751</v>
      </c>
      <c r="H462" s="69" t="s">
        <v>746</v>
      </c>
      <c r="L462" s="34" t="s">
        <v>193</v>
      </c>
      <c r="M462" s="16" t="s">
        <v>455</v>
      </c>
      <c r="N462" s="16"/>
      <c r="O462" s="81">
        <v>885902</v>
      </c>
      <c r="P462" s="81">
        <f t="shared" ref="P462:P477" si="49">O462/1000</f>
        <v>885.90200000000004</v>
      </c>
      <c r="Q462" s="33"/>
      <c r="R462" t="s">
        <v>708</v>
      </c>
      <c r="S462" s="33"/>
      <c r="T462" s="33"/>
      <c r="U462" s="33"/>
    </row>
    <row r="463" spans="2:21">
      <c r="C463" s="44">
        <v>1</v>
      </c>
      <c r="D463" t="s">
        <v>436</v>
      </c>
      <c r="F463" s="81">
        <v>635100</v>
      </c>
      <c r="G463" s="81">
        <f t="shared" ref="G463:G473" si="50">F463/1000</f>
        <v>635.1</v>
      </c>
      <c r="H463" s="33"/>
      <c r="L463" s="34" t="s">
        <v>194</v>
      </c>
      <c r="M463" s="16" t="s">
        <v>450</v>
      </c>
      <c r="N463" s="16"/>
      <c r="O463" s="81">
        <v>807085</v>
      </c>
      <c r="P463" s="81">
        <f t="shared" si="49"/>
        <v>807.08500000000004</v>
      </c>
      <c r="Q463" s="33"/>
      <c r="R463" t="s">
        <v>708</v>
      </c>
      <c r="S463" s="33"/>
      <c r="T463" s="33"/>
      <c r="U463" s="33"/>
    </row>
    <row r="464" spans="2:21">
      <c r="C464" s="44">
        <v>2</v>
      </c>
      <c r="D464" t="s">
        <v>431</v>
      </c>
      <c r="F464" s="81">
        <v>424600</v>
      </c>
      <c r="G464" s="81">
        <f t="shared" si="50"/>
        <v>424.6</v>
      </c>
      <c r="H464" s="33"/>
      <c r="L464" s="34" t="s">
        <v>195</v>
      </c>
      <c r="M464" s="16" t="s">
        <v>457</v>
      </c>
      <c r="N464" s="16"/>
      <c r="O464" s="81">
        <v>674184</v>
      </c>
      <c r="P464" s="81">
        <f t="shared" si="49"/>
        <v>674.18399999999997</v>
      </c>
      <c r="Q464" s="36">
        <f>SUM(P461:P464)</f>
        <v>3367.1710000000003</v>
      </c>
      <c r="R464" t="s">
        <v>708</v>
      </c>
    </row>
    <row r="465" spans="2:18">
      <c r="C465" s="44">
        <v>3</v>
      </c>
      <c r="D465" t="s">
        <v>435</v>
      </c>
      <c r="F465" s="81">
        <v>381300</v>
      </c>
      <c r="G465" s="81">
        <f t="shared" si="50"/>
        <v>381.3</v>
      </c>
      <c r="H465" s="36">
        <f>SUM(G463:G465)</f>
        <v>1441</v>
      </c>
      <c r="L465" s="34" t="s">
        <v>196</v>
      </c>
      <c r="M465" t="s">
        <v>454</v>
      </c>
      <c r="O465" s="36">
        <v>651950</v>
      </c>
      <c r="P465" s="82">
        <f t="shared" si="49"/>
        <v>651.95000000000005</v>
      </c>
      <c r="Q465" s="33"/>
    </row>
    <row r="466" spans="2:18">
      <c r="C466" s="44">
        <v>4</v>
      </c>
      <c r="D466" t="s">
        <v>428</v>
      </c>
      <c r="F466" s="242">
        <v>373400</v>
      </c>
      <c r="G466" s="242">
        <f t="shared" si="50"/>
        <v>373.4</v>
      </c>
      <c r="H466" s="33"/>
      <c r="L466" s="34" t="s">
        <v>197</v>
      </c>
      <c r="M466" t="s">
        <v>451</v>
      </c>
      <c r="O466" s="36">
        <v>640962</v>
      </c>
      <c r="P466" s="82">
        <f t="shared" si="49"/>
        <v>640.96199999999999</v>
      </c>
      <c r="Q466" s="33"/>
    </row>
    <row r="467" spans="2:18">
      <c r="C467" s="44">
        <v>5</v>
      </c>
      <c r="D467" t="s">
        <v>434</v>
      </c>
      <c r="F467" s="242">
        <v>355300</v>
      </c>
      <c r="G467" s="242">
        <f t="shared" si="50"/>
        <v>355.3</v>
      </c>
      <c r="H467" s="33"/>
      <c r="L467" s="34" t="s">
        <v>198</v>
      </c>
      <c r="M467" t="s">
        <v>452</v>
      </c>
      <c r="O467" s="36">
        <v>450281</v>
      </c>
      <c r="P467" s="82">
        <f t="shared" si="49"/>
        <v>450.28100000000001</v>
      </c>
      <c r="Q467" s="33"/>
    </row>
    <row r="468" spans="2:18">
      <c r="C468" s="44">
        <v>6</v>
      </c>
      <c r="D468" t="s">
        <v>433</v>
      </c>
      <c r="F468" s="242">
        <v>335100</v>
      </c>
      <c r="G468" s="242">
        <f t="shared" si="50"/>
        <v>335.1</v>
      </c>
      <c r="H468" s="33"/>
      <c r="L468" s="34" t="s">
        <v>199</v>
      </c>
      <c r="M468" t="s">
        <v>458</v>
      </c>
      <c r="O468" s="36">
        <v>436141</v>
      </c>
      <c r="P468" s="82">
        <f t="shared" si="49"/>
        <v>436.14100000000002</v>
      </c>
      <c r="Q468" s="33"/>
    </row>
    <row r="469" spans="2:18">
      <c r="C469" s="44">
        <v>7</v>
      </c>
      <c r="D469" t="s">
        <v>430</v>
      </c>
      <c r="F469" s="242">
        <v>316600</v>
      </c>
      <c r="G469" s="242">
        <f t="shared" si="50"/>
        <v>316.60000000000002</v>
      </c>
      <c r="H469" s="33"/>
      <c r="L469" s="34" t="s">
        <v>200</v>
      </c>
      <c r="M469" t="s">
        <v>456</v>
      </c>
      <c r="O469" s="36">
        <v>429535</v>
      </c>
      <c r="P469" s="82">
        <f t="shared" si="49"/>
        <v>429.53500000000003</v>
      </c>
      <c r="Q469" s="33"/>
    </row>
    <row r="470" spans="2:18">
      <c r="C470" s="44">
        <v>8</v>
      </c>
      <c r="D470" t="s">
        <v>429</v>
      </c>
      <c r="F470" s="242">
        <v>306500</v>
      </c>
      <c r="G470" s="242">
        <f t="shared" si="50"/>
        <v>306.5</v>
      </c>
      <c r="H470" s="33"/>
      <c r="L470" s="34" t="s">
        <v>201</v>
      </c>
      <c r="M470" t="s">
        <v>453</v>
      </c>
      <c r="O470" s="36">
        <v>411787</v>
      </c>
      <c r="P470" s="82">
        <f t="shared" si="49"/>
        <v>411.78699999999998</v>
      </c>
      <c r="Q470" s="33"/>
    </row>
    <row r="471" spans="2:18">
      <c r="C471" s="44">
        <v>9</v>
      </c>
      <c r="D471" t="s">
        <v>427</v>
      </c>
      <c r="F471" s="242">
        <v>256700</v>
      </c>
      <c r="G471" s="242">
        <f t="shared" si="50"/>
        <v>256.7</v>
      </c>
      <c r="H471" s="33"/>
      <c r="L471" s="34" t="s">
        <v>202</v>
      </c>
      <c r="M471" t="s">
        <v>449</v>
      </c>
      <c r="O471" s="36">
        <v>383039</v>
      </c>
      <c r="P471" s="82">
        <f t="shared" si="49"/>
        <v>383.03899999999999</v>
      </c>
      <c r="Q471" s="33"/>
    </row>
    <row r="472" spans="2:18">
      <c r="C472" s="44">
        <v>10</v>
      </c>
      <c r="D472" t="s">
        <v>432</v>
      </c>
      <c r="F472" s="242">
        <v>239000</v>
      </c>
      <c r="G472" s="242">
        <f t="shared" si="50"/>
        <v>239</v>
      </c>
      <c r="H472" s="33"/>
      <c r="L472" s="34" t="s">
        <v>203</v>
      </c>
      <c r="M472" t="s">
        <v>459</v>
      </c>
      <c r="O472" s="36">
        <v>345641</v>
      </c>
      <c r="P472" s="82">
        <f t="shared" si="49"/>
        <v>345.64100000000002</v>
      </c>
      <c r="Q472" s="33"/>
    </row>
    <row r="473" spans="2:18">
      <c r="C473" s="166">
        <v>11</v>
      </c>
      <c r="D473" t="s">
        <v>437</v>
      </c>
      <c r="F473" s="242">
        <v>100800</v>
      </c>
      <c r="G473" s="242">
        <f t="shared" si="50"/>
        <v>100.8</v>
      </c>
      <c r="H473" s="33"/>
      <c r="L473" s="34" t="s">
        <v>204</v>
      </c>
      <c r="M473" t="s">
        <v>465</v>
      </c>
      <c r="O473" s="36">
        <v>246046</v>
      </c>
      <c r="P473" s="82">
        <f t="shared" si="49"/>
        <v>246.04599999999999</v>
      </c>
      <c r="Q473" s="33"/>
    </row>
    <row r="474" spans="2:18">
      <c r="B474">
        <v>7</v>
      </c>
      <c r="C474" s="41">
        <f>C473</f>
        <v>11</v>
      </c>
      <c r="D474" s="42" t="s">
        <v>780</v>
      </c>
      <c r="E474" s="27">
        <f>0.75*C473</f>
        <v>8.25</v>
      </c>
      <c r="F474" s="27">
        <f>SUM(F463:F473)</f>
        <v>3724400</v>
      </c>
      <c r="G474" s="27">
        <f>SUM(G463:G473)</f>
        <v>3724.4</v>
      </c>
      <c r="H474" s="240">
        <f>G474-H465</f>
        <v>2283.4</v>
      </c>
      <c r="L474" s="34" t="s">
        <v>205</v>
      </c>
      <c r="M474" t="s">
        <v>460</v>
      </c>
      <c r="O474" s="36">
        <v>205384</v>
      </c>
      <c r="P474" s="82">
        <f t="shared" si="49"/>
        <v>205.38399999999999</v>
      </c>
      <c r="Q474" s="33"/>
    </row>
    <row r="475" spans="2:18">
      <c r="L475" s="34" t="s">
        <v>206</v>
      </c>
      <c r="M475" t="s">
        <v>463</v>
      </c>
      <c r="O475" s="36">
        <v>203312</v>
      </c>
      <c r="P475" s="82">
        <f t="shared" si="49"/>
        <v>203.31200000000001</v>
      </c>
      <c r="Q475" s="33"/>
    </row>
    <row r="476" spans="2:18">
      <c r="L476" s="34" t="s">
        <v>207</v>
      </c>
      <c r="M476" t="s">
        <v>461</v>
      </c>
      <c r="O476" s="36">
        <v>198413</v>
      </c>
      <c r="P476" s="82">
        <f t="shared" si="49"/>
        <v>198.41300000000001</v>
      </c>
      <c r="Q476" s="33"/>
    </row>
    <row r="477" spans="2:18">
      <c r="L477" s="34" t="s">
        <v>208</v>
      </c>
      <c r="M477" t="s">
        <v>464</v>
      </c>
      <c r="O477" s="36">
        <v>149199</v>
      </c>
      <c r="P477" s="82">
        <f t="shared" si="49"/>
        <v>149.19900000000001</v>
      </c>
      <c r="Q477" s="33"/>
    </row>
    <row r="478" spans="2:18" ht="15.75">
      <c r="B478">
        <v>8</v>
      </c>
      <c r="C478" s="217" t="s">
        <v>781</v>
      </c>
      <c r="D478" s="217"/>
      <c r="E478" s="217"/>
      <c r="F478" s="217"/>
      <c r="G478" s="217"/>
      <c r="H478" s="217"/>
      <c r="L478" s="33"/>
      <c r="O478" s="36">
        <f>SUM(O461:O477)</f>
        <v>8837301</v>
      </c>
      <c r="P478" s="36">
        <f>SUM(P461:P477)</f>
        <v>8118.8609999999999</v>
      </c>
      <c r="Q478" s="33">
        <f>0.75*17</f>
        <v>12.75</v>
      </c>
      <c r="R478" s="46">
        <f>P478-Q464</f>
        <v>4751.6899999999996</v>
      </c>
    </row>
    <row r="479" spans="2:18">
      <c r="C479" s="216" t="s">
        <v>760</v>
      </c>
      <c r="D479" s="203" t="s">
        <v>739</v>
      </c>
      <c r="E479" s="203"/>
      <c r="F479" s="203" t="s">
        <v>738</v>
      </c>
      <c r="G479" s="203"/>
      <c r="H479" s="203"/>
      <c r="L479" s="33"/>
      <c r="O479" s="36"/>
      <c r="P479" s="33"/>
      <c r="Q479" s="133">
        <v>13</v>
      </c>
    </row>
    <row r="480" spans="2:18" ht="90">
      <c r="C480" s="216"/>
      <c r="D480" s="68" t="s">
        <v>740</v>
      </c>
      <c r="E480" s="112" t="s">
        <v>743</v>
      </c>
      <c r="F480" s="112" t="s">
        <v>737</v>
      </c>
      <c r="G480" s="112" t="s">
        <v>751</v>
      </c>
      <c r="H480" s="69" t="s">
        <v>746</v>
      </c>
      <c r="L480" s="50">
        <v>10</v>
      </c>
      <c r="M480" s="40" t="s">
        <v>289</v>
      </c>
      <c r="N480" s="40"/>
      <c r="O480" s="33"/>
      <c r="P480" s="33"/>
      <c r="Q480" s="33"/>
    </row>
    <row r="481" spans="2:20">
      <c r="C481" s="44">
        <v>1</v>
      </c>
      <c r="D481" s="26" t="s">
        <v>448</v>
      </c>
      <c r="E481" s="26"/>
      <c r="F481" s="85">
        <v>391045</v>
      </c>
      <c r="G481" s="85">
        <f t="shared" ref="G481:G490" si="51">F481/1000</f>
        <v>391.04500000000002</v>
      </c>
      <c r="H481" s="41"/>
      <c r="L481" s="34" t="s">
        <v>192</v>
      </c>
      <c r="M481" t="s">
        <v>466</v>
      </c>
      <c r="O481" s="81">
        <v>1500022</v>
      </c>
      <c r="P481" s="81">
        <v>1000</v>
      </c>
      <c r="Q481" s="33"/>
      <c r="T481" t="s">
        <v>663</v>
      </c>
    </row>
    <row r="482" spans="2:20">
      <c r="C482" s="44">
        <v>2</v>
      </c>
      <c r="D482" s="26" t="s">
        <v>441</v>
      </c>
      <c r="E482" s="26"/>
      <c r="F482" s="85">
        <v>306201</v>
      </c>
      <c r="G482" s="85">
        <f t="shared" si="51"/>
        <v>306.20100000000002</v>
      </c>
      <c r="H482" s="27">
        <f>SUM(G481:G482)</f>
        <v>697.24600000000009</v>
      </c>
      <c r="L482" s="34" t="s">
        <v>193</v>
      </c>
      <c r="M482" t="s">
        <v>467</v>
      </c>
      <c r="O482" s="81">
        <v>1209937</v>
      </c>
      <c r="P482" s="81">
        <v>1000</v>
      </c>
      <c r="Q482" s="33"/>
    </row>
    <row r="483" spans="2:20">
      <c r="C483" s="44">
        <v>3</v>
      </c>
      <c r="D483" s="26" t="s">
        <v>440</v>
      </c>
      <c r="E483" s="26"/>
      <c r="F483" s="240">
        <v>283689</v>
      </c>
      <c r="G483" s="240">
        <f t="shared" si="51"/>
        <v>283.68900000000002</v>
      </c>
      <c r="H483" s="41"/>
      <c r="L483" s="34" t="s">
        <v>194</v>
      </c>
      <c r="M483" t="s">
        <v>468</v>
      </c>
      <c r="O483" s="81">
        <v>1127946</v>
      </c>
      <c r="P483" s="81">
        <v>1000</v>
      </c>
      <c r="Q483" s="33"/>
      <c r="T483">
        <v>1</v>
      </c>
    </row>
    <row r="484" spans="2:20">
      <c r="C484" s="44">
        <v>4</v>
      </c>
      <c r="D484" s="26" t="s">
        <v>443</v>
      </c>
      <c r="E484" s="26"/>
      <c r="F484" s="240">
        <v>216977</v>
      </c>
      <c r="G484" s="240">
        <f t="shared" si="51"/>
        <v>216.977</v>
      </c>
      <c r="H484" s="41"/>
      <c r="L484" s="34" t="s">
        <v>195</v>
      </c>
      <c r="M484" t="s">
        <v>469</v>
      </c>
      <c r="O484" s="81">
        <v>1081115</v>
      </c>
      <c r="P484" s="81">
        <v>1000</v>
      </c>
      <c r="Q484" s="33"/>
      <c r="T484">
        <v>2</v>
      </c>
    </row>
    <row r="485" spans="2:20">
      <c r="C485" s="44">
        <v>5</v>
      </c>
      <c r="D485" s="26" t="s">
        <v>444</v>
      </c>
      <c r="E485" s="26"/>
      <c r="F485" s="240">
        <v>199932</v>
      </c>
      <c r="G485" s="240">
        <f t="shared" si="51"/>
        <v>199.93199999999999</v>
      </c>
      <c r="H485" s="41"/>
      <c r="L485" s="34" t="s">
        <v>196</v>
      </c>
      <c r="M485" t="s">
        <v>470</v>
      </c>
      <c r="O485" s="36">
        <v>652898</v>
      </c>
      <c r="P485" s="82">
        <f t="shared" ref="P485:P495" si="52">O485/1000</f>
        <v>652.89800000000002</v>
      </c>
      <c r="Q485" s="36">
        <f>SUM(P481:P484)</f>
        <v>4000</v>
      </c>
      <c r="T485">
        <v>3</v>
      </c>
    </row>
    <row r="486" spans="2:20">
      <c r="C486" s="44">
        <v>6</v>
      </c>
      <c r="D486" s="26" t="s">
        <v>439</v>
      </c>
      <c r="E486" s="26"/>
      <c r="F486" s="240">
        <v>172162</v>
      </c>
      <c r="G486" s="240">
        <f t="shared" si="51"/>
        <v>172.16200000000001</v>
      </c>
      <c r="H486" s="41"/>
      <c r="L486" s="34" t="s">
        <v>197</v>
      </c>
      <c r="M486" t="s">
        <v>471</v>
      </c>
      <c r="O486" s="36">
        <v>635129</v>
      </c>
      <c r="P486" s="82">
        <f t="shared" si="52"/>
        <v>635.12900000000002</v>
      </c>
      <c r="Q486" s="33"/>
      <c r="T486">
        <v>4</v>
      </c>
    </row>
    <row r="487" spans="2:20">
      <c r="C487" s="44">
        <v>7</v>
      </c>
      <c r="D487" s="26" t="s">
        <v>446</v>
      </c>
      <c r="E487" s="26"/>
      <c r="F487" s="240">
        <v>156330</v>
      </c>
      <c r="G487" s="240">
        <f t="shared" si="51"/>
        <v>156.33000000000001</v>
      </c>
      <c r="H487" s="41"/>
      <c r="L487" s="34" t="s">
        <v>198</v>
      </c>
      <c r="M487" t="s">
        <v>472</v>
      </c>
      <c r="O487" s="36">
        <v>487153</v>
      </c>
      <c r="P487" s="82">
        <f t="shared" si="52"/>
        <v>487.15300000000002</v>
      </c>
      <c r="Q487" s="33"/>
      <c r="T487">
        <v>5</v>
      </c>
    </row>
    <row r="488" spans="2:20">
      <c r="C488" s="44">
        <v>8</v>
      </c>
      <c r="D488" s="26" t="s">
        <v>442</v>
      </c>
      <c r="E488" s="26"/>
      <c r="F488" s="240">
        <v>131345</v>
      </c>
      <c r="G488" s="240">
        <f t="shared" si="51"/>
        <v>131.345</v>
      </c>
      <c r="H488" s="41"/>
      <c r="L488" s="34" t="s">
        <v>199</v>
      </c>
      <c r="M488" t="s">
        <v>473</v>
      </c>
      <c r="O488" s="36">
        <v>481036</v>
      </c>
      <c r="P488" s="82">
        <f t="shared" si="52"/>
        <v>481.036</v>
      </c>
      <c r="Q488" s="33"/>
      <c r="T488">
        <v>6</v>
      </c>
    </row>
    <row r="489" spans="2:20">
      <c r="C489" s="44">
        <v>9</v>
      </c>
      <c r="D489" s="26" t="s">
        <v>447</v>
      </c>
      <c r="E489" s="26"/>
      <c r="F489" s="240">
        <v>121509</v>
      </c>
      <c r="G489" s="240">
        <f t="shared" si="51"/>
        <v>121.509</v>
      </c>
      <c r="H489" s="41"/>
      <c r="L489" s="34" t="s">
        <v>200</v>
      </c>
      <c r="M489" t="s">
        <v>474</v>
      </c>
      <c r="O489" s="36">
        <v>431208</v>
      </c>
      <c r="P489" s="82">
        <f t="shared" si="52"/>
        <v>431.20800000000003</v>
      </c>
      <c r="Q489" s="33"/>
      <c r="T489">
        <v>7</v>
      </c>
    </row>
    <row r="490" spans="2:20">
      <c r="C490" s="44">
        <v>10</v>
      </c>
      <c r="D490" s="26" t="s">
        <v>445</v>
      </c>
      <c r="E490" s="26"/>
      <c r="F490" s="240">
        <v>107693</v>
      </c>
      <c r="G490" s="240">
        <f t="shared" si="51"/>
        <v>107.693</v>
      </c>
      <c r="H490" s="41"/>
      <c r="L490" s="34" t="s">
        <v>201</v>
      </c>
      <c r="M490" t="s">
        <v>475</v>
      </c>
      <c r="O490" s="36">
        <v>408415</v>
      </c>
      <c r="P490" s="82">
        <f t="shared" si="52"/>
        <v>408.41500000000002</v>
      </c>
      <c r="Q490" s="33"/>
      <c r="T490">
        <v>8</v>
      </c>
    </row>
    <row r="491" spans="2:20">
      <c r="B491">
        <v>8</v>
      </c>
      <c r="C491" s="41">
        <f>C490</f>
        <v>10</v>
      </c>
      <c r="D491" s="42" t="s">
        <v>781</v>
      </c>
      <c r="E491" s="27">
        <f>0.75*C490</f>
        <v>7.5</v>
      </c>
      <c r="F491" s="27">
        <f>SUM(F481:F490)</f>
        <v>2086883</v>
      </c>
      <c r="G491" s="27">
        <f>SUM(G481:G490)</f>
        <v>2086.8830000000003</v>
      </c>
      <c r="H491" s="240">
        <f>G491-H482</f>
        <v>1389.6370000000002</v>
      </c>
      <c r="L491" s="34" t="s">
        <v>202</v>
      </c>
      <c r="M491" t="s">
        <v>476</v>
      </c>
      <c r="O491" s="36">
        <v>303397</v>
      </c>
      <c r="P491" s="82">
        <f t="shared" si="52"/>
        <v>303.39699999999999</v>
      </c>
      <c r="Q491" s="33"/>
      <c r="T491">
        <v>9</v>
      </c>
    </row>
    <row r="492" spans="2:20">
      <c r="L492" s="34" t="s">
        <v>203</v>
      </c>
      <c r="M492" t="s">
        <v>477</v>
      </c>
      <c r="O492" s="36">
        <v>289620</v>
      </c>
      <c r="P492" s="82">
        <f t="shared" si="52"/>
        <v>289.62</v>
      </c>
      <c r="Q492" s="33"/>
      <c r="T492">
        <v>10</v>
      </c>
    </row>
    <row r="493" spans="2:20">
      <c r="L493" s="34" t="s">
        <v>204</v>
      </c>
      <c r="M493" t="s">
        <v>478</v>
      </c>
      <c r="O493" s="36">
        <v>232685</v>
      </c>
      <c r="P493" s="82">
        <f t="shared" si="52"/>
        <v>232.685</v>
      </c>
      <c r="Q493" s="33"/>
    </row>
    <row r="494" spans="2:20">
      <c r="L494" s="34" t="s">
        <v>205</v>
      </c>
      <c r="M494" t="s">
        <v>479</v>
      </c>
      <c r="O494" s="36">
        <v>171169</v>
      </c>
      <c r="P494" s="82">
        <f t="shared" si="52"/>
        <v>171.16900000000001</v>
      </c>
      <c r="Q494" s="33"/>
    </row>
    <row r="495" spans="2:20" ht="15.75">
      <c r="B495">
        <v>9</v>
      </c>
      <c r="C495" s="217" t="s">
        <v>782</v>
      </c>
      <c r="D495" s="217"/>
      <c r="E495" s="217"/>
      <c r="F495" s="217"/>
      <c r="G495" s="217"/>
      <c r="H495" s="217"/>
      <c r="L495" s="34" t="s">
        <v>206</v>
      </c>
      <c r="M495" t="s">
        <v>480</v>
      </c>
      <c r="O495" s="36">
        <v>164816</v>
      </c>
      <c r="P495" s="82">
        <f t="shared" si="52"/>
        <v>164.816</v>
      </c>
      <c r="Q495" s="33"/>
    </row>
    <row r="496" spans="2:20">
      <c r="C496" s="198" t="s">
        <v>760</v>
      </c>
      <c r="D496" s="218" t="s">
        <v>739</v>
      </c>
      <c r="E496" s="219"/>
      <c r="F496" s="203" t="s">
        <v>738</v>
      </c>
      <c r="G496" s="203"/>
      <c r="H496" s="203"/>
      <c r="L496" s="33"/>
      <c r="O496" s="36">
        <f>SUM(O481:O495)</f>
        <v>9176546</v>
      </c>
      <c r="P496" s="36">
        <f>SUM(P481:P495)</f>
        <v>8257.5259999999998</v>
      </c>
      <c r="Q496" s="33">
        <f>0.75*15</f>
        <v>11.25</v>
      </c>
      <c r="R496" s="46">
        <f>P496-Q485</f>
        <v>4257.5259999999998</v>
      </c>
    </row>
    <row r="497" spans="3:28" ht="90">
      <c r="C497" s="199"/>
      <c r="D497" s="68" t="s">
        <v>740</v>
      </c>
      <c r="E497" s="112" t="s">
        <v>743</v>
      </c>
      <c r="F497" s="112" t="s">
        <v>737</v>
      </c>
      <c r="G497" s="112" t="s">
        <v>751</v>
      </c>
      <c r="H497" s="69" t="s">
        <v>746</v>
      </c>
      <c r="L497" s="33"/>
      <c r="O497" s="36"/>
      <c r="P497" s="33"/>
      <c r="Q497" s="133">
        <v>11</v>
      </c>
    </row>
    <row r="498" spans="3:28">
      <c r="C498" s="44">
        <v>1</v>
      </c>
      <c r="D498" t="s">
        <v>462</v>
      </c>
      <c r="F498" s="81">
        <v>1718440</v>
      </c>
      <c r="G498" s="81">
        <v>1000</v>
      </c>
      <c r="H498" s="33"/>
      <c r="L498" s="33"/>
      <c r="O498" s="36"/>
      <c r="P498" s="33" t="s">
        <v>730</v>
      </c>
      <c r="Q498" s="132">
        <f>Q497+Q479+Q458+Q443+Q428+Q418+Q407+Q393+Q369+Q332</f>
        <v>115.25</v>
      </c>
      <c r="V498">
        <v>1</v>
      </c>
      <c r="W498">
        <v>23</v>
      </c>
      <c r="X498" t="s">
        <v>774</v>
      </c>
      <c r="Y498" s="9">
        <v>17.25</v>
      </c>
      <c r="Z498" s="9">
        <v>5274871</v>
      </c>
      <c r="AA498" s="9">
        <v>5274.8710000000001</v>
      </c>
      <c r="AB498" s="9">
        <v>2678.0929999999998</v>
      </c>
    </row>
    <row r="499" spans="3:28">
      <c r="C499" s="44">
        <v>2</v>
      </c>
      <c r="D499" t="s">
        <v>455</v>
      </c>
      <c r="F499" s="81">
        <v>885902</v>
      </c>
      <c r="G499" s="81">
        <f t="shared" ref="G499:G514" si="53">F499/1000</f>
        <v>885.90200000000004</v>
      </c>
      <c r="H499" s="33"/>
      <c r="V499">
        <v>2</v>
      </c>
      <c r="W499">
        <v>33</v>
      </c>
      <c r="X499" t="s">
        <v>775</v>
      </c>
      <c r="Y499" s="9">
        <v>24.75</v>
      </c>
      <c r="Z499" s="9">
        <v>15588505</v>
      </c>
      <c r="AA499" s="9">
        <v>12923.221</v>
      </c>
      <c r="AB499" s="9">
        <v>6391.9579999999996</v>
      </c>
    </row>
    <row r="500" spans="3:28">
      <c r="C500" s="44">
        <v>3</v>
      </c>
      <c r="D500" t="s">
        <v>450</v>
      </c>
      <c r="F500" s="81">
        <v>807085</v>
      </c>
      <c r="G500" s="81">
        <f t="shared" si="53"/>
        <v>807.08500000000004</v>
      </c>
      <c r="H500" s="33"/>
      <c r="V500">
        <v>3</v>
      </c>
      <c r="W500">
        <v>19</v>
      </c>
      <c r="X500" t="s">
        <v>804</v>
      </c>
      <c r="Y500" s="9">
        <v>14.25</v>
      </c>
      <c r="Z500" s="9">
        <v>5640629</v>
      </c>
      <c r="AA500" s="9">
        <v>5640.6289999999999</v>
      </c>
      <c r="AB500" s="9">
        <v>2785.453</v>
      </c>
    </row>
    <row r="501" spans="3:28">
      <c r="C501" s="44">
        <v>4</v>
      </c>
      <c r="D501" t="s">
        <v>457</v>
      </c>
      <c r="F501" s="81">
        <v>674184</v>
      </c>
      <c r="G501" s="81">
        <f t="shared" si="53"/>
        <v>674.18399999999997</v>
      </c>
      <c r="H501" s="36">
        <f>SUM(G498:G501)</f>
        <v>3367.1710000000003</v>
      </c>
      <c r="V501">
        <v>4</v>
      </c>
      <c r="W501">
        <v>12</v>
      </c>
      <c r="X501" t="s">
        <v>777</v>
      </c>
      <c r="Y501" s="9">
        <v>9</v>
      </c>
      <c r="Z501" s="9">
        <v>6242874</v>
      </c>
      <c r="AA501" s="9">
        <v>6226.5080000000007</v>
      </c>
      <c r="AB501" s="9">
        <v>3668.1900000000005</v>
      </c>
    </row>
    <row r="502" spans="3:28">
      <c r="C502" s="44">
        <v>5</v>
      </c>
      <c r="D502" t="s">
        <v>454</v>
      </c>
      <c r="F502" s="242">
        <v>651950</v>
      </c>
      <c r="G502" s="242">
        <f t="shared" si="53"/>
        <v>651.95000000000005</v>
      </c>
      <c r="H502" s="33"/>
      <c r="V502">
        <v>5</v>
      </c>
      <c r="W502">
        <v>7</v>
      </c>
      <c r="X502" t="s">
        <v>778</v>
      </c>
      <c r="Y502" s="9">
        <v>5.25</v>
      </c>
      <c r="Z502" s="9">
        <v>1679163</v>
      </c>
      <c r="AA502" s="9">
        <v>1679.1629999999998</v>
      </c>
      <c r="AB502" s="9">
        <v>522.31699999999978</v>
      </c>
    </row>
    <row r="503" spans="3:28">
      <c r="C503" s="44">
        <v>6</v>
      </c>
      <c r="D503" t="s">
        <v>451</v>
      </c>
      <c r="F503" s="242">
        <v>640962</v>
      </c>
      <c r="G503" s="242">
        <f t="shared" si="53"/>
        <v>640.96199999999999</v>
      </c>
      <c r="H503" s="33"/>
      <c r="V503">
        <v>6</v>
      </c>
      <c r="W503">
        <v>7</v>
      </c>
      <c r="X503" t="s">
        <v>779</v>
      </c>
      <c r="Y503" s="9">
        <v>5.25</v>
      </c>
      <c r="Z503" s="9">
        <v>1494621</v>
      </c>
      <c r="AA503" s="9">
        <v>1494.6209999999999</v>
      </c>
      <c r="AB503" s="9">
        <v>933.9799999999999</v>
      </c>
    </row>
    <row r="504" spans="3:28">
      <c r="C504" s="44">
        <v>7</v>
      </c>
      <c r="D504" t="s">
        <v>452</v>
      </c>
      <c r="F504" s="242">
        <v>450281</v>
      </c>
      <c r="G504" s="242">
        <f t="shared" si="53"/>
        <v>450.28100000000001</v>
      </c>
      <c r="H504" s="33"/>
      <c r="V504">
        <v>7</v>
      </c>
      <c r="W504">
        <v>11</v>
      </c>
      <c r="X504" t="s">
        <v>780</v>
      </c>
      <c r="Y504" s="9">
        <v>8.25</v>
      </c>
      <c r="Z504" s="9">
        <v>3724400</v>
      </c>
      <c r="AA504" s="9">
        <v>3724.4</v>
      </c>
      <c r="AB504" s="9">
        <v>2283.4</v>
      </c>
    </row>
    <row r="505" spans="3:28">
      <c r="C505" s="44">
        <v>8</v>
      </c>
      <c r="D505" t="s">
        <v>458</v>
      </c>
      <c r="F505" s="242">
        <v>436141</v>
      </c>
      <c r="G505" s="242">
        <f t="shared" si="53"/>
        <v>436.14100000000002</v>
      </c>
      <c r="H505" s="33"/>
      <c r="V505">
        <v>8</v>
      </c>
      <c r="W505">
        <v>10</v>
      </c>
      <c r="X505" t="s">
        <v>781</v>
      </c>
      <c r="Y505" s="9">
        <v>7.5</v>
      </c>
      <c r="Z505" s="9">
        <v>2086883</v>
      </c>
      <c r="AA505" s="9">
        <v>2086.8830000000003</v>
      </c>
      <c r="AB505" s="9">
        <v>1389.6370000000002</v>
      </c>
    </row>
    <row r="506" spans="3:28">
      <c r="C506" s="44">
        <v>9</v>
      </c>
      <c r="D506" t="s">
        <v>456</v>
      </c>
      <c r="F506" s="242">
        <v>429535</v>
      </c>
      <c r="G506" s="242">
        <f t="shared" si="53"/>
        <v>429.53500000000003</v>
      </c>
      <c r="H506" s="33"/>
      <c r="V506">
        <v>9</v>
      </c>
      <c r="W506">
        <v>17</v>
      </c>
      <c r="X506" t="s">
        <v>782</v>
      </c>
      <c r="Y506" s="9">
        <v>12.75</v>
      </c>
      <c r="Z506" s="9">
        <v>8837301</v>
      </c>
      <c r="AA506" s="9">
        <v>8118.8609999999999</v>
      </c>
      <c r="AB506" s="9">
        <v>4751.6899999999996</v>
      </c>
    </row>
    <row r="507" spans="3:28">
      <c r="C507" s="44">
        <v>10</v>
      </c>
      <c r="D507" t="s">
        <v>453</v>
      </c>
      <c r="F507" s="242">
        <v>411787</v>
      </c>
      <c r="G507" s="242">
        <f t="shared" si="53"/>
        <v>411.78699999999998</v>
      </c>
      <c r="H507" s="33"/>
      <c r="V507">
        <v>10</v>
      </c>
      <c r="W507">
        <v>15</v>
      </c>
      <c r="X507" t="s">
        <v>783</v>
      </c>
      <c r="Y507" s="9">
        <v>11.25</v>
      </c>
      <c r="Z507" s="9">
        <v>9176546</v>
      </c>
      <c r="AA507" s="9">
        <v>8257.5259999999998</v>
      </c>
      <c r="AB507" s="9">
        <v>4257.5259999999998</v>
      </c>
    </row>
    <row r="508" spans="3:28">
      <c r="C508" s="44">
        <v>11</v>
      </c>
      <c r="D508" t="s">
        <v>449</v>
      </c>
      <c r="F508" s="242">
        <v>383039</v>
      </c>
      <c r="G508" s="242">
        <f t="shared" si="53"/>
        <v>383.03899999999999</v>
      </c>
      <c r="H508" s="33"/>
      <c r="W508">
        <f>SUM(W498:W507)</f>
        <v>154</v>
      </c>
      <c r="Y508" s="9">
        <f>SUM(Y498:Y507)</f>
        <v>115.5</v>
      </c>
      <c r="Z508" s="9">
        <f t="shared" ref="Z508:AB508" si="54">SUM(Z498:Z507)</f>
        <v>59745793</v>
      </c>
      <c r="AA508" s="9">
        <f t="shared" si="54"/>
        <v>55426.683000000005</v>
      </c>
      <c r="AB508" s="9">
        <f t="shared" si="54"/>
        <v>29662.243999999999</v>
      </c>
    </row>
    <row r="509" spans="3:28">
      <c r="C509" s="44">
        <v>12</v>
      </c>
      <c r="D509" t="s">
        <v>459</v>
      </c>
      <c r="F509" s="242">
        <v>345641</v>
      </c>
      <c r="G509" s="242">
        <f t="shared" si="53"/>
        <v>345.64100000000002</v>
      </c>
      <c r="H509" s="33"/>
    </row>
    <row r="510" spans="3:28">
      <c r="C510" s="44">
        <v>13</v>
      </c>
      <c r="D510" t="s">
        <v>465</v>
      </c>
      <c r="F510" s="242">
        <v>246046</v>
      </c>
      <c r="G510" s="242">
        <f t="shared" si="53"/>
        <v>246.04599999999999</v>
      </c>
      <c r="H510" s="33"/>
    </row>
    <row r="511" spans="3:28">
      <c r="C511" s="44">
        <v>14</v>
      </c>
      <c r="D511" t="s">
        <v>460</v>
      </c>
      <c r="F511" s="242">
        <v>205384</v>
      </c>
      <c r="G511" s="242">
        <f t="shared" si="53"/>
        <v>205.38399999999999</v>
      </c>
      <c r="H511" s="33"/>
    </row>
    <row r="512" spans="3:28">
      <c r="C512" s="44">
        <v>15</v>
      </c>
      <c r="D512" t="s">
        <v>463</v>
      </c>
      <c r="F512" s="242">
        <v>203312</v>
      </c>
      <c r="G512" s="242">
        <f t="shared" si="53"/>
        <v>203.31200000000001</v>
      </c>
      <c r="H512" s="33"/>
    </row>
    <row r="513" spans="2:8">
      <c r="C513" s="44">
        <v>16</v>
      </c>
      <c r="D513" t="s">
        <v>461</v>
      </c>
      <c r="F513" s="242">
        <v>198413</v>
      </c>
      <c r="G513" s="242">
        <f t="shared" si="53"/>
        <v>198.41300000000001</v>
      </c>
      <c r="H513" s="33"/>
    </row>
    <row r="514" spans="2:8">
      <c r="C514" s="166">
        <v>17</v>
      </c>
      <c r="D514" t="s">
        <v>464</v>
      </c>
      <c r="F514" s="242">
        <v>149199</v>
      </c>
      <c r="G514" s="242">
        <f t="shared" si="53"/>
        <v>149.19900000000001</v>
      </c>
      <c r="H514" s="33"/>
    </row>
    <row r="515" spans="2:8">
      <c r="B515">
        <v>9</v>
      </c>
      <c r="C515" s="41">
        <f>C514</f>
        <v>17</v>
      </c>
      <c r="D515" s="42" t="s">
        <v>288</v>
      </c>
      <c r="E515" s="27">
        <f>0.75*C514</f>
        <v>12.75</v>
      </c>
      <c r="F515" s="27">
        <f>SUM(F498:F514)</f>
        <v>8837301</v>
      </c>
      <c r="G515" s="27">
        <f>SUM(G498:G514)</f>
        <v>8118.8609999999999</v>
      </c>
      <c r="H515" s="240">
        <f>G515-H501</f>
        <v>4751.6899999999996</v>
      </c>
    </row>
    <row r="519" spans="2:8" ht="15.75">
      <c r="C519" s="215" t="s">
        <v>783</v>
      </c>
      <c r="D519" s="215"/>
      <c r="E519" s="215"/>
      <c r="F519" s="215"/>
      <c r="G519" s="215"/>
      <c r="H519" s="215"/>
    </row>
    <row r="520" spans="2:8">
      <c r="B520">
        <v>10</v>
      </c>
      <c r="C520" s="198" t="s">
        <v>760</v>
      </c>
      <c r="D520" s="218" t="s">
        <v>739</v>
      </c>
      <c r="E520" s="219"/>
      <c r="F520" s="203" t="s">
        <v>738</v>
      </c>
      <c r="G520" s="203"/>
      <c r="H520" s="203"/>
    </row>
    <row r="521" spans="2:8" ht="90">
      <c r="C521" s="199"/>
      <c r="D521" s="68" t="s">
        <v>740</v>
      </c>
      <c r="E521" s="112" t="s">
        <v>743</v>
      </c>
      <c r="F521" s="112" t="s">
        <v>737</v>
      </c>
      <c r="G521" s="112" t="s">
        <v>751</v>
      </c>
      <c r="H521" s="69" t="s">
        <v>746</v>
      </c>
    </row>
    <row r="522" spans="2:8">
      <c r="C522" s="44">
        <v>1</v>
      </c>
      <c r="D522" t="s">
        <v>466</v>
      </c>
      <c r="F522" s="81">
        <v>1500022</v>
      </c>
      <c r="G522" s="81">
        <v>1000</v>
      </c>
      <c r="H522" s="33"/>
    </row>
    <row r="523" spans="2:8">
      <c r="C523" s="44">
        <v>2</v>
      </c>
      <c r="D523" t="s">
        <v>467</v>
      </c>
      <c r="F523" s="81">
        <v>1209937</v>
      </c>
      <c r="G523" s="81">
        <v>1000</v>
      </c>
      <c r="H523" s="33"/>
    </row>
    <row r="524" spans="2:8">
      <c r="C524" s="44">
        <v>3</v>
      </c>
      <c r="D524" t="s">
        <v>468</v>
      </c>
      <c r="F524" s="81">
        <v>1127946</v>
      </c>
      <c r="G524" s="81">
        <v>1000</v>
      </c>
      <c r="H524" s="33"/>
    </row>
    <row r="525" spans="2:8">
      <c r="C525" s="44">
        <v>4</v>
      </c>
      <c r="D525" t="s">
        <v>469</v>
      </c>
      <c r="F525" s="81">
        <v>1081115</v>
      </c>
      <c r="G525" s="81">
        <v>1000</v>
      </c>
      <c r="H525" s="33"/>
    </row>
    <row r="526" spans="2:8">
      <c r="C526" s="44">
        <v>5</v>
      </c>
      <c r="D526" t="s">
        <v>470</v>
      </c>
      <c r="F526" s="242">
        <v>652898</v>
      </c>
      <c r="G526" s="242">
        <f t="shared" ref="G526:G536" si="55">F526/1000</f>
        <v>652.89800000000002</v>
      </c>
      <c r="H526" s="36">
        <f>SUM(G522:G525)</f>
        <v>4000</v>
      </c>
    </row>
    <row r="527" spans="2:8">
      <c r="C527" s="44">
        <v>6</v>
      </c>
      <c r="D527" t="s">
        <v>471</v>
      </c>
      <c r="F527" s="242">
        <v>635129</v>
      </c>
      <c r="G527" s="242">
        <f t="shared" si="55"/>
        <v>635.12900000000002</v>
      </c>
      <c r="H527" s="33"/>
    </row>
    <row r="528" spans="2:8">
      <c r="C528" s="44">
        <v>7</v>
      </c>
      <c r="D528" t="s">
        <v>472</v>
      </c>
      <c r="F528" s="242">
        <v>487153</v>
      </c>
      <c r="G528" s="242">
        <f t="shared" si="55"/>
        <v>487.15300000000002</v>
      </c>
      <c r="H528" s="33"/>
    </row>
    <row r="529" spans="2:17">
      <c r="C529" s="44">
        <v>8</v>
      </c>
      <c r="D529" t="s">
        <v>473</v>
      </c>
      <c r="F529" s="242">
        <v>481036</v>
      </c>
      <c r="G529" s="242">
        <f t="shared" si="55"/>
        <v>481.036</v>
      </c>
      <c r="H529" s="33"/>
    </row>
    <row r="530" spans="2:17">
      <c r="C530" s="44">
        <v>9</v>
      </c>
      <c r="D530" t="s">
        <v>474</v>
      </c>
      <c r="F530" s="242">
        <v>431208</v>
      </c>
      <c r="G530" s="242">
        <f t="shared" si="55"/>
        <v>431.20800000000003</v>
      </c>
      <c r="H530" s="33"/>
    </row>
    <row r="531" spans="2:17">
      <c r="C531" s="44">
        <v>10</v>
      </c>
      <c r="D531" t="s">
        <v>475</v>
      </c>
      <c r="F531" s="242">
        <v>408415</v>
      </c>
      <c r="G531" s="242">
        <f t="shared" si="55"/>
        <v>408.41500000000002</v>
      </c>
      <c r="H531" s="33"/>
    </row>
    <row r="532" spans="2:17">
      <c r="C532" s="44">
        <v>11</v>
      </c>
      <c r="D532" t="s">
        <v>476</v>
      </c>
      <c r="F532" s="242">
        <v>303397</v>
      </c>
      <c r="G532" s="242">
        <f t="shared" si="55"/>
        <v>303.39699999999999</v>
      </c>
      <c r="H532" s="33"/>
    </row>
    <row r="533" spans="2:17">
      <c r="C533" s="44">
        <v>12</v>
      </c>
      <c r="D533" t="s">
        <v>477</v>
      </c>
      <c r="F533" s="242">
        <v>289620</v>
      </c>
      <c r="G533" s="242">
        <f t="shared" si="55"/>
        <v>289.62</v>
      </c>
      <c r="H533" s="33"/>
    </row>
    <row r="534" spans="2:17">
      <c r="C534" s="44">
        <v>13</v>
      </c>
      <c r="D534" t="s">
        <v>478</v>
      </c>
      <c r="F534" s="242">
        <v>232685</v>
      </c>
      <c r="G534" s="242">
        <f t="shared" si="55"/>
        <v>232.685</v>
      </c>
      <c r="H534" s="33"/>
    </row>
    <row r="535" spans="2:17">
      <c r="C535" s="44">
        <v>14</v>
      </c>
      <c r="D535" t="s">
        <v>479</v>
      </c>
      <c r="F535" s="242">
        <v>171169</v>
      </c>
      <c r="G535" s="242">
        <f t="shared" si="55"/>
        <v>171.16900000000001</v>
      </c>
      <c r="H535" s="33"/>
    </row>
    <row r="536" spans="2:17">
      <c r="C536" s="166">
        <v>15</v>
      </c>
      <c r="D536" t="s">
        <v>480</v>
      </c>
      <c r="F536" s="242">
        <v>164816</v>
      </c>
      <c r="G536" s="242">
        <f t="shared" si="55"/>
        <v>164.816</v>
      </c>
      <c r="H536" s="33"/>
    </row>
    <row r="537" spans="2:17">
      <c r="B537">
        <v>10</v>
      </c>
      <c r="C537" s="41">
        <f>C536</f>
        <v>15</v>
      </c>
      <c r="D537" s="42" t="s">
        <v>783</v>
      </c>
      <c r="E537" s="27">
        <f>0.75*C536</f>
        <v>11.25</v>
      </c>
      <c r="F537" s="27">
        <f>SUM(F522:F536)</f>
        <v>9176546</v>
      </c>
      <c r="G537" s="27">
        <f>SUM(G522:G536)</f>
        <v>8257.5259999999998</v>
      </c>
      <c r="H537" s="240">
        <f>G537-H526</f>
        <v>4257.5259999999998</v>
      </c>
    </row>
    <row r="539" spans="2:17">
      <c r="B539" s="134">
        <f>B520</f>
        <v>10</v>
      </c>
      <c r="C539" s="134">
        <f>W508</f>
        <v>154</v>
      </c>
      <c r="D539" s="134" t="s">
        <v>805</v>
      </c>
      <c r="E539" s="172">
        <f>Y508</f>
        <v>115.5</v>
      </c>
      <c r="F539" s="171">
        <f>Z508</f>
        <v>59745793</v>
      </c>
      <c r="G539" s="171">
        <f>AA508</f>
        <v>55426.683000000005</v>
      </c>
      <c r="H539" s="171">
        <f>AB508</f>
        <v>29662.243999999999</v>
      </c>
    </row>
    <row r="541" spans="2:17" ht="18.75">
      <c r="C541" s="230" t="s">
        <v>664</v>
      </c>
      <c r="D541" s="231"/>
      <c r="E541" s="231"/>
      <c r="F541" s="231"/>
      <c r="G541" s="231"/>
      <c r="H541" s="232"/>
    </row>
    <row r="542" spans="2:17" ht="15.75">
      <c r="B542">
        <v>1</v>
      </c>
      <c r="C542" s="211" t="s">
        <v>784</v>
      </c>
      <c r="D542" s="214"/>
      <c r="E542" s="214"/>
      <c r="F542" s="214"/>
      <c r="G542" s="214"/>
      <c r="H542" s="212"/>
    </row>
    <row r="543" spans="2:17">
      <c r="C543" s="227" t="s">
        <v>767</v>
      </c>
      <c r="D543" s="203" t="s">
        <v>739</v>
      </c>
      <c r="E543" s="203"/>
      <c r="F543" s="203" t="s">
        <v>738</v>
      </c>
      <c r="G543" s="203"/>
      <c r="H543" s="203"/>
    </row>
    <row r="544" spans="2:17" ht="90">
      <c r="C544" s="228"/>
      <c r="D544" s="68" t="s">
        <v>740</v>
      </c>
      <c r="E544" s="112" t="s">
        <v>743</v>
      </c>
      <c r="F544" s="112" t="s">
        <v>737</v>
      </c>
      <c r="G544" s="112" t="s">
        <v>751</v>
      </c>
      <c r="H544" s="69" t="s">
        <v>746</v>
      </c>
      <c r="L544" s="50">
        <v>1</v>
      </c>
      <c r="M544" s="33" t="s">
        <v>481</v>
      </c>
      <c r="N544" s="33"/>
      <c r="O544" s="33"/>
      <c r="P544" s="33"/>
      <c r="Q544" s="33"/>
    </row>
    <row r="545" spans="2:33">
      <c r="C545" s="44">
        <v>1</v>
      </c>
      <c r="D545" t="s">
        <v>494</v>
      </c>
      <c r="E545" s="41"/>
      <c r="F545" s="85">
        <v>1399500</v>
      </c>
      <c r="G545" s="85">
        <v>1000</v>
      </c>
      <c r="H545" s="26"/>
      <c r="L545" s="34" t="s">
        <v>192</v>
      </c>
      <c r="M545" t="s">
        <v>494</v>
      </c>
      <c r="O545" s="81">
        <v>1399500</v>
      </c>
      <c r="P545" s="81">
        <v>1000</v>
      </c>
      <c r="Q545" s="33"/>
      <c r="Z545" s="205" t="s">
        <v>664</v>
      </c>
      <c r="AA545" s="206"/>
      <c r="AB545" s="206"/>
      <c r="AC545" s="206"/>
      <c r="AD545" s="206"/>
      <c r="AE545" s="207"/>
    </row>
    <row r="546" spans="2:33">
      <c r="C546" s="44">
        <v>2</v>
      </c>
      <c r="D546" t="s">
        <v>666</v>
      </c>
      <c r="E546" s="71"/>
      <c r="F546" s="85">
        <v>1325950</v>
      </c>
      <c r="G546" s="85">
        <v>1000</v>
      </c>
      <c r="H546" s="122">
        <f>SUM(G545:G546)</f>
        <v>2000</v>
      </c>
      <c r="L546" s="34" t="s">
        <v>193</v>
      </c>
      <c r="M546" t="s">
        <v>666</v>
      </c>
      <c r="O546" s="81">
        <v>1325950</v>
      </c>
      <c r="P546" s="81">
        <v>1000</v>
      </c>
      <c r="Q546" s="33"/>
      <c r="Z546" s="155"/>
      <c r="AA546" s="142"/>
      <c r="AB546" s="142" t="s">
        <v>784</v>
      </c>
      <c r="AC546" s="142"/>
      <c r="AD546" s="142"/>
      <c r="AE546" s="143"/>
    </row>
    <row r="547" spans="2:33">
      <c r="C547" s="44">
        <v>3</v>
      </c>
      <c r="D547" t="s">
        <v>490</v>
      </c>
      <c r="E547" s="41"/>
      <c r="F547" s="240">
        <v>3400490</v>
      </c>
      <c r="G547" s="240">
        <v>1000</v>
      </c>
      <c r="H547" s="26"/>
      <c r="L547" s="34" t="s">
        <v>194</v>
      </c>
      <c r="M547" t="s">
        <v>490</v>
      </c>
      <c r="O547" s="82">
        <v>3400490</v>
      </c>
      <c r="P547" s="82">
        <v>1000</v>
      </c>
      <c r="Q547" s="36"/>
      <c r="Z547" s="227" t="s">
        <v>767</v>
      </c>
      <c r="AA547" s="203" t="s">
        <v>739</v>
      </c>
      <c r="AB547" s="203"/>
      <c r="AC547" s="203" t="s">
        <v>738</v>
      </c>
      <c r="AD547" s="203"/>
      <c r="AE547" s="203"/>
    </row>
    <row r="548" spans="2:33" ht="13.5" customHeight="1">
      <c r="C548" s="44">
        <v>4</v>
      </c>
      <c r="D548" t="s">
        <v>491</v>
      </c>
      <c r="E548" s="41"/>
      <c r="F548" s="240">
        <v>1963970</v>
      </c>
      <c r="G548" s="240">
        <v>1000</v>
      </c>
      <c r="H548" s="26"/>
      <c r="L548" s="34" t="s">
        <v>195</v>
      </c>
      <c r="M548" t="s">
        <v>491</v>
      </c>
      <c r="O548" s="82">
        <v>1963970</v>
      </c>
      <c r="P548" s="82">
        <v>1000</v>
      </c>
      <c r="Q548" s="33"/>
      <c r="Z548" s="228"/>
      <c r="AA548" s="68" t="s">
        <v>740</v>
      </c>
      <c r="AB548" s="112" t="s">
        <v>743</v>
      </c>
      <c r="AC548" s="112" t="s">
        <v>737</v>
      </c>
      <c r="AD548" s="112" t="s">
        <v>751</v>
      </c>
      <c r="AE548" s="69" t="s">
        <v>746</v>
      </c>
      <c r="AF548" s="179" t="s">
        <v>810</v>
      </c>
    </row>
    <row r="549" spans="2:33">
      <c r="C549" s="44">
        <v>5</v>
      </c>
      <c r="D549" t="s">
        <v>492</v>
      </c>
      <c r="E549" s="41"/>
      <c r="F549" s="240">
        <v>1701800</v>
      </c>
      <c r="G549" s="240">
        <v>1000</v>
      </c>
      <c r="H549" s="26"/>
      <c r="L549" s="34" t="s">
        <v>196</v>
      </c>
      <c r="M549" t="s">
        <v>492</v>
      </c>
      <c r="O549" s="82">
        <v>1701800</v>
      </c>
      <c r="P549" s="82">
        <v>1000</v>
      </c>
      <c r="Q549" s="33"/>
      <c r="Z549" s="44">
        <v>1</v>
      </c>
      <c r="AA549" t="s">
        <v>490</v>
      </c>
      <c r="AB549" s="41"/>
      <c r="AC549" s="86">
        <v>3400490</v>
      </c>
      <c r="AD549" s="86">
        <v>1000</v>
      </c>
      <c r="AE549" s="26"/>
      <c r="AF549" s="36">
        <f t="shared" ref="AF549:AF556" si="56">AC549/AD549</f>
        <v>3400.49</v>
      </c>
    </row>
    <row r="550" spans="2:33">
      <c r="C550" s="44">
        <v>6</v>
      </c>
      <c r="D550" t="s">
        <v>493</v>
      </c>
      <c r="E550" s="41"/>
      <c r="F550" s="240">
        <v>1449210</v>
      </c>
      <c r="G550" s="240">
        <v>1000</v>
      </c>
      <c r="H550" s="122"/>
      <c r="L550" s="34" t="s">
        <v>197</v>
      </c>
      <c r="M550" t="s">
        <v>493</v>
      </c>
      <c r="O550" s="82">
        <v>1449210</v>
      </c>
      <c r="P550" s="82">
        <v>1000</v>
      </c>
      <c r="Q550" s="36">
        <f>P549+P550</f>
        <v>2000</v>
      </c>
      <c r="Z550" s="44">
        <v>2</v>
      </c>
      <c r="AA550" t="s">
        <v>491</v>
      </c>
      <c r="AB550" s="41"/>
      <c r="AC550" s="86">
        <v>1963970</v>
      </c>
      <c r="AD550" s="86">
        <v>1000</v>
      </c>
      <c r="AE550" s="122">
        <f>SUM(AD549:AD550)</f>
        <v>2000</v>
      </c>
      <c r="AF550" s="36">
        <f t="shared" si="56"/>
        <v>1963.97</v>
      </c>
    </row>
    <row r="551" spans="2:33">
      <c r="C551" s="44">
        <v>7</v>
      </c>
      <c r="D551" t="s">
        <v>495</v>
      </c>
      <c r="E551" s="41"/>
      <c r="F551" s="240">
        <v>734870</v>
      </c>
      <c r="G551" s="240">
        <f>F551/1000</f>
        <v>734.87</v>
      </c>
      <c r="H551" s="26"/>
      <c r="L551" s="34" t="s">
        <v>198</v>
      </c>
      <c r="M551" t="s">
        <v>495</v>
      </c>
      <c r="O551" s="82">
        <v>734870</v>
      </c>
      <c r="P551" s="82">
        <f>O551/1000</f>
        <v>734.87</v>
      </c>
      <c r="Q551" s="33"/>
      <c r="Z551" s="44">
        <v>3</v>
      </c>
      <c r="AA551" t="s">
        <v>492</v>
      </c>
      <c r="AB551" s="41"/>
      <c r="AC551" s="86">
        <v>1701800</v>
      </c>
      <c r="AD551" s="86">
        <v>1000</v>
      </c>
      <c r="AE551" s="26"/>
      <c r="AF551" s="36">
        <f t="shared" si="56"/>
        <v>1701.8</v>
      </c>
    </row>
    <row r="552" spans="2:33" ht="14.25" customHeight="1">
      <c r="C552" s="139">
        <v>8</v>
      </c>
      <c r="D552" s="138" t="s">
        <v>496</v>
      </c>
      <c r="E552" s="41"/>
      <c r="F552" s="245">
        <v>455620</v>
      </c>
      <c r="G552" s="245">
        <f>F552/1000</f>
        <v>455.62</v>
      </c>
      <c r="H552" s="26"/>
      <c r="L552" s="34" t="s">
        <v>199</v>
      </c>
      <c r="M552" t="s">
        <v>496</v>
      </c>
      <c r="O552" s="82">
        <v>455620</v>
      </c>
      <c r="P552" s="82">
        <f>O552/1000</f>
        <v>455.62</v>
      </c>
      <c r="Q552" s="33"/>
      <c r="Z552" s="44">
        <v>4</v>
      </c>
      <c r="AA552" t="s">
        <v>493</v>
      </c>
      <c r="AB552" s="41"/>
      <c r="AC552" s="86">
        <v>1449210</v>
      </c>
      <c r="AD552" s="86">
        <v>1000</v>
      </c>
      <c r="AE552" s="26"/>
      <c r="AF552" s="36">
        <f t="shared" si="56"/>
        <v>1449.21</v>
      </c>
    </row>
    <row r="553" spans="2:33">
      <c r="B553">
        <v>1</v>
      </c>
      <c r="C553" s="41">
        <f>C552</f>
        <v>8</v>
      </c>
      <c r="D553" s="26" t="s">
        <v>756</v>
      </c>
      <c r="E553" s="141">
        <f>0.75*C552</f>
        <v>6</v>
      </c>
      <c r="F553" s="27">
        <f>SUM(F545:F552)</f>
        <v>12431410</v>
      </c>
      <c r="G553" s="27">
        <f>SUM(G545:G552)</f>
        <v>7190.49</v>
      </c>
      <c r="H553" s="240">
        <f>G553-G546-G545</f>
        <v>5190.49</v>
      </c>
      <c r="L553" s="33"/>
      <c r="O553" s="36">
        <f>SUM(O545:O552)</f>
        <v>12431410</v>
      </c>
      <c r="P553" s="36">
        <f>SUM(P545:P552)</f>
        <v>7190.49</v>
      </c>
      <c r="Q553" s="133">
        <f>0.75*8</f>
        <v>6</v>
      </c>
      <c r="R553" s="46">
        <f>P553-Q550</f>
        <v>5190.49</v>
      </c>
      <c r="Z553" s="44">
        <v>5</v>
      </c>
      <c r="AA553" t="s">
        <v>494</v>
      </c>
      <c r="AB553" s="41"/>
      <c r="AC553" s="125">
        <v>1399500</v>
      </c>
      <c r="AD553" s="125">
        <v>1000</v>
      </c>
      <c r="AE553" s="26"/>
      <c r="AF553" s="36">
        <f t="shared" si="56"/>
        <v>1399.5</v>
      </c>
    </row>
    <row r="554" spans="2:33">
      <c r="Z554" s="44">
        <v>6</v>
      </c>
      <c r="AA554" t="s">
        <v>666</v>
      </c>
      <c r="AB554" s="71"/>
      <c r="AC554" s="125">
        <v>1325950</v>
      </c>
      <c r="AD554" s="125">
        <v>1000</v>
      </c>
      <c r="AE554" s="122"/>
      <c r="AF554" s="36">
        <f t="shared" si="56"/>
        <v>1325.95</v>
      </c>
    </row>
    <row r="555" spans="2:33">
      <c r="Z555" s="44">
        <v>7</v>
      </c>
      <c r="AA555" t="s">
        <v>495</v>
      </c>
      <c r="AB555" s="41"/>
      <c r="AC555" s="85">
        <v>734870</v>
      </c>
      <c r="AD555" s="85">
        <f>AC555/1000</f>
        <v>734.87</v>
      </c>
      <c r="AE555" s="26"/>
      <c r="AF555" s="81">
        <f t="shared" si="56"/>
        <v>1000</v>
      </c>
    </row>
    <row r="556" spans="2:33" ht="45">
      <c r="L556" s="40" t="s">
        <v>482</v>
      </c>
      <c r="M556" s="4" t="s">
        <v>33</v>
      </c>
      <c r="N556" s="4"/>
      <c r="O556" s="40" t="s">
        <v>659</v>
      </c>
      <c r="P556" s="40" t="s">
        <v>297</v>
      </c>
      <c r="Q556" s="40" t="s">
        <v>661</v>
      </c>
      <c r="R556" s="4" t="s">
        <v>660</v>
      </c>
      <c r="Z556" s="139">
        <v>8</v>
      </c>
      <c r="AA556" s="138" t="s">
        <v>496</v>
      </c>
      <c r="AB556" s="41"/>
      <c r="AC556" s="180">
        <v>455620</v>
      </c>
      <c r="AD556" s="180">
        <f>AC556/1000</f>
        <v>455.62</v>
      </c>
      <c r="AE556" s="26"/>
      <c r="AF556" s="81">
        <f t="shared" si="56"/>
        <v>1000</v>
      </c>
    </row>
    <row r="557" spans="2:33" ht="15.75">
      <c r="B557">
        <v>2</v>
      </c>
      <c r="C557" s="217" t="s">
        <v>785</v>
      </c>
      <c r="D557" s="217"/>
      <c r="E557" s="217"/>
      <c r="F557" s="217"/>
      <c r="G557" s="217"/>
      <c r="H557" s="217"/>
      <c r="L557" s="34" t="s">
        <v>192</v>
      </c>
      <c r="M557" t="s">
        <v>501</v>
      </c>
      <c r="O557" s="83">
        <v>1049314</v>
      </c>
      <c r="P557" s="81">
        <v>1000</v>
      </c>
      <c r="Q557" s="33"/>
      <c r="Z557" s="41">
        <f>Z556</f>
        <v>8</v>
      </c>
      <c r="AA557" s="26" t="s">
        <v>756</v>
      </c>
      <c r="AB557" s="141">
        <f>0.75*Z556</f>
        <v>6</v>
      </c>
      <c r="AC557" s="27">
        <f>SUM(AC549:AC556)</f>
        <v>12431410</v>
      </c>
      <c r="AD557" s="27">
        <f>SUM(AD549:AD556)</f>
        <v>7190.49</v>
      </c>
      <c r="AE557" s="51">
        <f>AD557-AD550-AD549</f>
        <v>5190.49</v>
      </c>
      <c r="AG557" s="9">
        <f>SUM(AD549:AD554)</f>
        <v>6000</v>
      </c>
    </row>
    <row r="558" spans="2:33">
      <c r="C558" s="252" t="s">
        <v>767</v>
      </c>
      <c r="D558" s="203" t="s">
        <v>739</v>
      </c>
      <c r="E558" s="203"/>
      <c r="F558" s="203" t="s">
        <v>738</v>
      </c>
      <c r="G558" s="203"/>
      <c r="H558" s="203"/>
      <c r="L558" s="34" t="s">
        <v>193</v>
      </c>
      <c r="M558" t="s">
        <v>500</v>
      </c>
      <c r="O558" s="84">
        <v>3079618</v>
      </c>
      <c r="P558" s="82">
        <v>1000</v>
      </c>
      <c r="Q558" s="33"/>
    </row>
    <row r="559" spans="2:33" ht="90">
      <c r="C559" s="252"/>
      <c r="D559" s="68" t="s">
        <v>740</v>
      </c>
      <c r="E559" s="112" t="s">
        <v>743</v>
      </c>
      <c r="F559" s="112" t="s">
        <v>737</v>
      </c>
      <c r="G559" s="112" t="s">
        <v>751</v>
      </c>
      <c r="H559" s="69" t="s">
        <v>746</v>
      </c>
      <c r="L559" s="34" t="s">
        <v>194</v>
      </c>
      <c r="M559" t="s">
        <v>502</v>
      </c>
      <c r="O559" s="84">
        <v>2470054</v>
      </c>
      <c r="P559" s="82">
        <v>1000</v>
      </c>
      <c r="Q559" s="33"/>
    </row>
    <row r="560" spans="2:33">
      <c r="C560" s="44">
        <v>1</v>
      </c>
      <c r="D560" s="26" t="s">
        <v>501</v>
      </c>
      <c r="E560" s="26"/>
      <c r="F560" s="253">
        <v>1049314</v>
      </c>
      <c r="G560" s="85">
        <v>1000</v>
      </c>
      <c r="H560" s="41"/>
      <c r="L560" s="34" t="s">
        <v>195</v>
      </c>
      <c r="M560" t="s">
        <v>499</v>
      </c>
      <c r="O560" s="84">
        <v>2235606</v>
      </c>
      <c r="P560" s="82">
        <v>1000</v>
      </c>
      <c r="Q560" s="33"/>
    </row>
    <row r="561" spans="2:28">
      <c r="C561" s="44">
        <v>2</v>
      </c>
      <c r="D561" s="26" t="s">
        <v>500</v>
      </c>
      <c r="E561" s="26"/>
      <c r="F561" s="254">
        <v>3079618</v>
      </c>
      <c r="G561" s="240">
        <v>1000</v>
      </c>
      <c r="H561" s="41"/>
      <c r="L561" s="34" t="s">
        <v>196</v>
      </c>
      <c r="M561" t="s">
        <v>503</v>
      </c>
      <c r="O561" s="84">
        <v>1808985</v>
      </c>
      <c r="P561" s="82">
        <v>1000</v>
      </c>
      <c r="Q561" s="33"/>
    </row>
    <row r="562" spans="2:28">
      <c r="C562" s="44">
        <v>3</v>
      </c>
      <c r="D562" s="26" t="s">
        <v>502</v>
      </c>
      <c r="E562" s="26"/>
      <c r="F562" s="254">
        <v>2470054</v>
      </c>
      <c r="G562" s="240">
        <v>1000</v>
      </c>
      <c r="H562" s="41"/>
      <c r="L562" s="34" t="s">
        <v>197</v>
      </c>
      <c r="M562" t="s">
        <v>498</v>
      </c>
      <c r="O562" s="82">
        <v>28523</v>
      </c>
      <c r="P562" s="82">
        <f>O562/1000</f>
        <v>28.523</v>
      </c>
      <c r="Q562" s="33"/>
    </row>
    <row r="563" spans="2:28">
      <c r="C563" s="44">
        <v>4</v>
      </c>
      <c r="D563" s="26" t="s">
        <v>499</v>
      </c>
      <c r="E563" s="26"/>
      <c r="F563" s="254">
        <v>2235606</v>
      </c>
      <c r="G563" s="240">
        <v>1000</v>
      </c>
      <c r="H563" s="41"/>
      <c r="L563" s="209" t="s">
        <v>662</v>
      </c>
      <c r="M563" s="209"/>
      <c r="N563" s="77"/>
      <c r="O563" s="36">
        <f>SUM(O557:O562)</f>
        <v>10672100</v>
      </c>
      <c r="P563" s="36">
        <f>SUM(P557:P562)</f>
        <v>5028.5230000000001</v>
      </c>
      <c r="Q563" s="33">
        <f>0.75*6</f>
        <v>4.5</v>
      </c>
      <c r="R563" s="46">
        <f>P563-P557</f>
        <v>4028.5230000000001</v>
      </c>
    </row>
    <row r="564" spans="2:28">
      <c r="C564" s="44">
        <v>5</v>
      </c>
      <c r="D564" s="26" t="s">
        <v>503</v>
      </c>
      <c r="E564" s="26"/>
      <c r="F564" s="254">
        <v>1808985</v>
      </c>
      <c r="G564" s="240">
        <v>1000</v>
      </c>
      <c r="H564" s="41"/>
      <c r="L564" s="33"/>
      <c r="O564" s="36"/>
      <c r="P564" s="33"/>
      <c r="Q564" s="33">
        <v>5</v>
      </c>
    </row>
    <row r="565" spans="2:28">
      <c r="C565" s="44">
        <v>6</v>
      </c>
      <c r="D565" s="26" t="s">
        <v>498</v>
      </c>
      <c r="E565" s="26"/>
      <c r="F565" s="240">
        <v>28523</v>
      </c>
      <c r="G565" s="240">
        <f>F565/1000</f>
        <v>28.523</v>
      </c>
      <c r="H565" s="41"/>
      <c r="L565" s="41" t="s">
        <v>483</v>
      </c>
      <c r="M565" s="42" t="s">
        <v>33</v>
      </c>
      <c r="N565" s="42"/>
      <c r="O565" s="43" t="s">
        <v>659</v>
      </c>
      <c r="P565" s="43" t="s">
        <v>667</v>
      </c>
      <c r="Q565" s="43" t="s">
        <v>661</v>
      </c>
      <c r="R565" s="42" t="s">
        <v>660</v>
      </c>
    </row>
    <row r="566" spans="2:28">
      <c r="B566">
        <v>2</v>
      </c>
      <c r="C566" s="41">
        <f>C565</f>
        <v>6</v>
      </c>
      <c r="D566" s="26" t="s">
        <v>785</v>
      </c>
      <c r="E566" s="27">
        <f>0.75*C565</f>
        <v>4.5</v>
      </c>
      <c r="F566" s="27">
        <f>SUM(F560:F565)</f>
        <v>10672100</v>
      </c>
      <c r="G566" s="27">
        <f>SUM(G560:G565)</f>
        <v>5028.5230000000001</v>
      </c>
      <c r="H566" s="240">
        <f>G566-G560</f>
        <v>4028.5230000000001</v>
      </c>
      <c r="L566" s="44" t="s">
        <v>192</v>
      </c>
      <c r="M566" s="26" t="s">
        <v>518</v>
      </c>
      <c r="N566" s="26"/>
      <c r="O566" s="85">
        <v>1612576</v>
      </c>
      <c r="P566" s="85">
        <v>1000</v>
      </c>
      <c r="Q566" s="41"/>
      <c r="R566" s="26"/>
    </row>
    <row r="567" spans="2:28">
      <c r="L567" s="44" t="s">
        <v>193</v>
      </c>
      <c r="M567" s="26" t="s">
        <v>519</v>
      </c>
      <c r="N567" s="26"/>
      <c r="O567" s="85">
        <v>1210709</v>
      </c>
      <c r="P567" s="85">
        <v>1000</v>
      </c>
      <c r="Q567" s="41"/>
      <c r="R567" s="26"/>
    </row>
    <row r="568" spans="2:28">
      <c r="L568" s="44" t="s">
        <v>194</v>
      </c>
      <c r="M568" s="26" t="s">
        <v>520</v>
      </c>
      <c r="N568" s="26"/>
      <c r="O568" s="85">
        <v>1201685</v>
      </c>
      <c r="P568" s="85">
        <v>1000</v>
      </c>
      <c r="Q568" s="41"/>
      <c r="R568" s="26"/>
    </row>
    <row r="569" spans="2:28">
      <c r="L569" s="44" t="s">
        <v>195</v>
      </c>
      <c r="M569" s="26" t="s">
        <v>521</v>
      </c>
      <c r="N569" s="26"/>
      <c r="O569" s="85">
        <v>1154428</v>
      </c>
      <c r="P569" s="85">
        <v>1000</v>
      </c>
      <c r="Q569" s="41"/>
      <c r="R569" s="26"/>
    </row>
    <row r="570" spans="2:28" ht="15.75">
      <c r="B570">
        <v>3</v>
      </c>
      <c r="C570" s="217" t="s">
        <v>786</v>
      </c>
      <c r="D570" s="217"/>
      <c r="E570" s="217"/>
      <c r="F570" s="217"/>
      <c r="G570" s="217"/>
      <c r="H570" s="217"/>
      <c r="L570" s="44" t="s">
        <v>196</v>
      </c>
      <c r="M570" s="26" t="s">
        <v>522</v>
      </c>
      <c r="N570" s="26"/>
      <c r="O570" s="85">
        <v>1126927</v>
      </c>
      <c r="P570" s="85">
        <v>1000</v>
      </c>
      <c r="Q570" s="41"/>
      <c r="R570" s="26"/>
    </row>
    <row r="571" spans="2:28">
      <c r="C571" s="216" t="s">
        <v>760</v>
      </c>
      <c r="D571" s="203" t="s">
        <v>739</v>
      </c>
      <c r="E571" s="203"/>
      <c r="F571" s="203" t="s">
        <v>738</v>
      </c>
      <c r="G571" s="203"/>
      <c r="H571" s="203"/>
      <c r="L571" s="44" t="s">
        <v>197</v>
      </c>
      <c r="M571" s="26" t="s">
        <v>523</v>
      </c>
      <c r="N571" s="26"/>
      <c r="O571" s="85">
        <v>1087105</v>
      </c>
      <c r="P571" s="85">
        <v>1000</v>
      </c>
      <c r="Q571" s="27">
        <f>SUM(P566:P571)</f>
        <v>6000</v>
      </c>
      <c r="R571" s="26"/>
    </row>
    <row r="572" spans="2:28" ht="90">
      <c r="C572" s="216"/>
      <c r="D572" s="68" t="s">
        <v>740</v>
      </c>
      <c r="E572" s="112" t="s">
        <v>743</v>
      </c>
      <c r="F572" s="112" t="s">
        <v>737</v>
      </c>
      <c r="G572" s="112" t="s">
        <v>751</v>
      </c>
      <c r="H572" s="69" t="s">
        <v>746</v>
      </c>
      <c r="L572" s="44" t="s">
        <v>198</v>
      </c>
      <c r="M572" s="26" t="s">
        <v>504</v>
      </c>
      <c r="N572" s="26"/>
      <c r="O572" s="86">
        <v>6088233</v>
      </c>
      <c r="P572" s="86">
        <v>1000</v>
      </c>
      <c r="Q572" s="33"/>
      <c r="R572" s="26"/>
    </row>
    <row r="573" spans="2:28">
      <c r="C573" s="44">
        <v>1</v>
      </c>
      <c r="D573" s="26" t="s">
        <v>517</v>
      </c>
      <c r="E573" s="26"/>
      <c r="F573" s="85">
        <v>1714982</v>
      </c>
      <c r="G573" s="85">
        <v>1000</v>
      </c>
      <c r="H573" s="41"/>
      <c r="L573" s="44" t="s">
        <v>199</v>
      </c>
      <c r="M573" s="26" t="s">
        <v>505</v>
      </c>
      <c r="N573" s="26"/>
      <c r="O573" s="86">
        <v>3899017</v>
      </c>
      <c r="P573" s="86">
        <v>1000</v>
      </c>
      <c r="Q573" s="41"/>
      <c r="R573" s="26"/>
      <c r="V573">
        <v>1</v>
      </c>
      <c r="W573">
        <v>8</v>
      </c>
      <c r="X573" t="s">
        <v>756</v>
      </c>
      <c r="Y573" s="9">
        <v>6</v>
      </c>
      <c r="Z573" s="9">
        <v>12431410</v>
      </c>
      <c r="AA573" s="9">
        <v>7190.49</v>
      </c>
      <c r="AB573" s="9">
        <v>5190.49</v>
      </c>
    </row>
    <row r="574" spans="2:28">
      <c r="C574" s="44">
        <v>2</v>
      </c>
      <c r="D574" s="26" t="s">
        <v>518</v>
      </c>
      <c r="E574" s="26"/>
      <c r="F574" s="85">
        <v>1612576</v>
      </c>
      <c r="G574" s="85">
        <v>1000</v>
      </c>
      <c r="H574" s="41"/>
      <c r="L574" s="44" t="s">
        <v>200</v>
      </c>
      <c r="M574" s="26" t="s">
        <v>506</v>
      </c>
      <c r="N574" s="26"/>
      <c r="O574" s="86">
        <v>3831505</v>
      </c>
      <c r="P574" s="86">
        <v>1000</v>
      </c>
      <c r="Q574" s="41"/>
      <c r="R574" s="26"/>
      <c r="V574">
        <v>2</v>
      </c>
      <c r="W574">
        <v>6</v>
      </c>
      <c r="X574" t="s">
        <v>785</v>
      </c>
      <c r="Y574" s="9">
        <v>4.5</v>
      </c>
      <c r="Z574" s="9">
        <v>10672100</v>
      </c>
      <c r="AA574" s="9">
        <v>5028.5230000000001</v>
      </c>
      <c r="AB574" s="9">
        <v>4028.5230000000001</v>
      </c>
    </row>
    <row r="575" spans="2:28">
      <c r="C575" s="44">
        <v>3</v>
      </c>
      <c r="D575" s="26" t="s">
        <v>519</v>
      </c>
      <c r="E575" s="26"/>
      <c r="F575" s="85">
        <v>1210709</v>
      </c>
      <c r="G575" s="85">
        <v>1000</v>
      </c>
      <c r="H575" s="41"/>
      <c r="L575" s="44" t="s">
        <v>201</v>
      </c>
      <c r="M575" s="26" t="s">
        <v>507</v>
      </c>
      <c r="N575" s="26"/>
      <c r="O575" s="86">
        <v>3075690</v>
      </c>
      <c r="P575" s="86">
        <v>1000</v>
      </c>
      <c r="Q575" s="41"/>
      <c r="R575" s="26"/>
      <c r="V575">
        <v>3</v>
      </c>
      <c r="W575">
        <v>27</v>
      </c>
      <c r="X575" t="s">
        <v>786</v>
      </c>
      <c r="Y575" s="9">
        <v>20.25</v>
      </c>
      <c r="Z575" s="9">
        <v>49935858</v>
      </c>
      <c r="AA575" s="9">
        <v>23494.073</v>
      </c>
      <c r="AB575" s="9">
        <v>16494.073</v>
      </c>
    </row>
    <row r="576" spans="2:28">
      <c r="C576" s="44">
        <v>4</v>
      </c>
      <c r="D576" s="26" t="s">
        <v>520</v>
      </c>
      <c r="E576" s="26"/>
      <c r="F576" s="85">
        <v>1201685</v>
      </c>
      <c r="G576" s="85">
        <v>1000</v>
      </c>
      <c r="H576" s="41"/>
      <c r="L576" s="44" t="s">
        <v>202</v>
      </c>
      <c r="M576" s="26" t="s">
        <v>508</v>
      </c>
      <c r="N576" s="26"/>
      <c r="O576" s="86">
        <v>2636637</v>
      </c>
      <c r="P576" s="86">
        <v>1000</v>
      </c>
      <c r="Q576" s="41"/>
      <c r="R576" s="26"/>
      <c r="V576">
        <v>4</v>
      </c>
      <c r="W576">
        <v>5</v>
      </c>
      <c r="X576" t="s">
        <v>787</v>
      </c>
      <c r="Y576" s="9">
        <v>3.75</v>
      </c>
      <c r="Z576" s="9">
        <v>4179333</v>
      </c>
      <c r="AA576" s="9">
        <v>3736.3939999999998</v>
      </c>
      <c r="AB576" s="9">
        <v>2736.3939999999998</v>
      </c>
    </row>
    <row r="577" spans="3:28">
      <c r="C577" s="44">
        <v>5</v>
      </c>
      <c r="D577" s="26" t="s">
        <v>521</v>
      </c>
      <c r="E577" s="26"/>
      <c r="F577" s="85">
        <v>1154428</v>
      </c>
      <c r="G577" s="85">
        <v>1000</v>
      </c>
      <c r="H577" s="41"/>
      <c r="L577" s="44" t="s">
        <v>203</v>
      </c>
      <c r="M577" s="26" t="s">
        <v>509</v>
      </c>
      <c r="N577" s="26"/>
      <c r="O577" s="86">
        <v>2510103</v>
      </c>
      <c r="P577" s="86">
        <v>1000</v>
      </c>
      <c r="Q577" s="41"/>
      <c r="R577" s="26"/>
      <c r="V577">
        <v>5</v>
      </c>
      <c r="W577">
        <v>35</v>
      </c>
      <c r="X577" t="s">
        <v>788</v>
      </c>
      <c r="Y577" s="9">
        <v>26.25</v>
      </c>
      <c r="Z577" s="9">
        <v>37219892</v>
      </c>
      <c r="AA577" s="9">
        <v>29784.133000000005</v>
      </c>
      <c r="AB577" s="9">
        <v>20784.133000000005</v>
      </c>
    </row>
    <row r="578" spans="3:28">
      <c r="C578" s="44">
        <v>6</v>
      </c>
      <c r="D578" s="26" t="s">
        <v>522</v>
      </c>
      <c r="E578" s="26"/>
      <c r="F578" s="85">
        <v>1126927</v>
      </c>
      <c r="G578" s="85">
        <v>1000</v>
      </c>
      <c r="H578" s="27"/>
      <c r="L578" s="44" t="s">
        <v>204</v>
      </c>
      <c r="M578" s="26" t="s">
        <v>510</v>
      </c>
      <c r="N578" s="26"/>
      <c r="O578" s="86">
        <v>2484186</v>
      </c>
      <c r="P578" s="86">
        <v>1000</v>
      </c>
      <c r="Q578" s="41"/>
      <c r="R578" s="26"/>
      <c r="V578">
        <v>6</v>
      </c>
      <c r="W578">
        <v>38</v>
      </c>
      <c r="X578" t="s">
        <v>789</v>
      </c>
      <c r="Y578" s="9">
        <v>28.5</v>
      </c>
      <c r="Z578" s="9">
        <v>41149974</v>
      </c>
      <c r="AA578" s="9">
        <v>30217.413000000004</v>
      </c>
      <c r="AB578" s="9">
        <v>21217.413000000004</v>
      </c>
    </row>
    <row r="579" spans="3:28">
      <c r="C579" s="44">
        <v>7</v>
      </c>
      <c r="D579" s="26" t="s">
        <v>523</v>
      </c>
      <c r="E579" s="26"/>
      <c r="F579" s="85">
        <v>1087105</v>
      </c>
      <c r="G579" s="85">
        <v>1000</v>
      </c>
      <c r="H579" s="27">
        <f>SUM(G573:G579)</f>
        <v>7000</v>
      </c>
      <c r="L579" s="44" t="s">
        <v>205</v>
      </c>
      <c r="M579" s="26" t="s">
        <v>511</v>
      </c>
      <c r="N579" s="26"/>
      <c r="O579" s="86">
        <v>2470219</v>
      </c>
      <c r="P579" s="86">
        <v>1000</v>
      </c>
      <c r="Q579" s="41"/>
      <c r="R579" s="26"/>
      <c r="W579">
        <f>SUM(W573:W578)</f>
        <v>119</v>
      </c>
      <c r="Y579" s="9">
        <f>SUM(Y573:Y578)</f>
        <v>89.25</v>
      </c>
      <c r="Z579" s="9">
        <f t="shared" ref="Z579:AB579" si="57">SUM(Z573:Z578)</f>
        <v>155588567</v>
      </c>
      <c r="AA579" s="9">
        <f t="shared" si="57"/>
        <v>99451.025999999998</v>
      </c>
      <c r="AB579" s="9">
        <f t="shared" si="57"/>
        <v>70451.026000000013</v>
      </c>
    </row>
    <row r="580" spans="3:28">
      <c r="C580" s="44">
        <v>8</v>
      </c>
      <c r="D580" s="26" t="s">
        <v>507</v>
      </c>
      <c r="E580" s="26"/>
      <c r="F580" s="240">
        <v>3075690</v>
      </c>
      <c r="G580" s="240">
        <v>1000</v>
      </c>
      <c r="H580" s="41"/>
      <c r="L580" s="44" t="s">
        <v>206</v>
      </c>
      <c r="M580" s="26" t="s">
        <v>512</v>
      </c>
      <c r="N580" s="26"/>
      <c r="O580" s="86">
        <v>2370488</v>
      </c>
      <c r="P580" s="86">
        <v>1000</v>
      </c>
      <c r="Q580" s="41"/>
      <c r="R580" s="26"/>
    </row>
    <row r="581" spans="3:28">
      <c r="C581" s="44">
        <v>9</v>
      </c>
      <c r="D581" s="26" t="s">
        <v>504</v>
      </c>
      <c r="E581" s="26"/>
      <c r="F581" s="240">
        <v>6088233</v>
      </c>
      <c r="G581" s="240">
        <v>1000</v>
      </c>
      <c r="H581" s="41"/>
      <c r="L581" s="44" t="s">
        <v>207</v>
      </c>
      <c r="M581" s="26" t="s">
        <v>513</v>
      </c>
      <c r="N581" s="26"/>
      <c r="O581" s="86">
        <v>2264328</v>
      </c>
      <c r="P581" s="86">
        <v>1000</v>
      </c>
      <c r="Q581" s="41"/>
      <c r="R581" s="26"/>
    </row>
    <row r="582" spans="3:28">
      <c r="C582" s="44">
        <v>10</v>
      </c>
      <c r="D582" s="26" t="s">
        <v>510</v>
      </c>
      <c r="E582" s="26"/>
      <c r="F582" s="240">
        <v>2484186</v>
      </c>
      <c r="G582" s="240">
        <v>1000</v>
      </c>
      <c r="H582" s="41"/>
      <c r="L582" s="44" t="s">
        <v>208</v>
      </c>
      <c r="M582" s="26" t="s">
        <v>514</v>
      </c>
      <c r="N582" s="26"/>
      <c r="O582" s="86">
        <v>2209633</v>
      </c>
      <c r="P582" s="86">
        <v>1000</v>
      </c>
      <c r="Q582" s="41"/>
      <c r="R582" s="26"/>
    </row>
    <row r="583" spans="3:28">
      <c r="C583" s="44">
        <v>11</v>
      </c>
      <c r="D583" s="26" t="s">
        <v>506</v>
      </c>
      <c r="E583" s="26"/>
      <c r="F583" s="240">
        <v>3831505</v>
      </c>
      <c r="G583" s="240">
        <v>1000</v>
      </c>
      <c r="H583" s="41"/>
      <c r="L583" s="44" t="s">
        <v>209</v>
      </c>
      <c r="M583" s="26" t="s">
        <v>515</v>
      </c>
      <c r="N583" s="26"/>
      <c r="O583" s="86">
        <v>1755710</v>
      </c>
      <c r="P583" s="86">
        <v>1000</v>
      </c>
      <c r="Q583" s="41"/>
      <c r="R583" s="26"/>
    </row>
    <row r="584" spans="3:28">
      <c r="C584" s="44">
        <v>12</v>
      </c>
      <c r="D584" s="26" t="s">
        <v>512</v>
      </c>
      <c r="E584" s="26"/>
      <c r="F584" s="240">
        <v>2370488</v>
      </c>
      <c r="G584" s="240">
        <v>1000</v>
      </c>
      <c r="H584" s="41"/>
      <c r="L584" s="44" t="s">
        <v>210</v>
      </c>
      <c r="M584" s="26" t="s">
        <v>516</v>
      </c>
      <c r="N584" s="26"/>
      <c r="O584" s="86">
        <v>1737624</v>
      </c>
      <c r="P584" s="86">
        <v>1000</v>
      </c>
      <c r="Q584" s="41"/>
      <c r="R584" s="26"/>
    </row>
    <row r="585" spans="3:28">
      <c r="C585" s="44">
        <v>13</v>
      </c>
      <c r="D585" s="26" t="s">
        <v>508</v>
      </c>
      <c r="E585" s="26"/>
      <c r="F585" s="240">
        <v>2636637</v>
      </c>
      <c r="G585" s="240">
        <v>1000</v>
      </c>
      <c r="H585" s="41"/>
      <c r="L585" s="44" t="s">
        <v>211</v>
      </c>
      <c r="M585" s="26" t="s">
        <v>517</v>
      </c>
      <c r="N585" s="26"/>
      <c r="O585" s="86">
        <v>1714982</v>
      </c>
      <c r="P585" s="86">
        <v>1000</v>
      </c>
      <c r="Q585" s="41"/>
      <c r="R585" s="26"/>
    </row>
    <row r="586" spans="3:28">
      <c r="C586" s="44">
        <v>14</v>
      </c>
      <c r="D586" s="26" t="s">
        <v>515</v>
      </c>
      <c r="E586" s="26"/>
      <c r="F586" s="240">
        <v>1755710</v>
      </c>
      <c r="G586" s="240">
        <v>1000</v>
      </c>
      <c r="H586" s="41"/>
      <c r="L586" s="44" t="s">
        <v>212</v>
      </c>
      <c r="M586" s="26" t="s">
        <v>524</v>
      </c>
      <c r="N586" s="26"/>
      <c r="O586" s="86">
        <v>971889</v>
      </c>
      <c r="P586" s="86">
        <f t="shared" ref="P586:P592" si="58">O586/1000</f>
        <v>971.88900000000001</v>
      </c>
      <c r="Q586" s="41"/>
      <c r="R586" s="26"/>
    </row>
    <row r="587" spans="3:28">
      <c r="C587" s="44">
        <v>15</v>
      </c>
      <c r="D587" s="26" t="s">
        <v>524</v>
      </c>
      <c r="E587" s="26"/>
      <c r="F587" s="240">
        <v>971889</v>
      </c>
      <c r="G587" s="240">
        <f t="shared" ref="G587:G593" si="59">F587/1000</f>
        <v>971.88900000000001</v>
      </c>
      <c r="H587" s="41"/>
      <c r="L587" s="44" t="s">
        <v>213</v>
      </c>
      <c r="M587" s="26" t="s">
        <v>525</v>
      </c>
      <c r="N587" s="26"/>
      <c r="O587" s="86">
        <v>663986</v>
      </c>
      <c r="P587" s="86">
        <f t="shared" si="58"/>
        <v>663.98599999999999</v>
      </c>
      <c r="Q587" s="41"/>
      <c r="R587" s="26"/>
    </row>
    <row r="588" spans="3:28">
      <c r="C588" s="44">
        <v>16</v>
      </c>
      <c r="D588" s="26" t="s">
        <v>530</v>
      </c>
      <c r="E588" s="26"/>
      <c r="F588" s="240">
        <v>183299</v>
      </c>
      <c r="G588" s="240">
        <f t="shared" si="59"/>
        <v>183.29900000000001</v>
      </c>
      <c r="H588" s="41"/>
      <c r="L588" s="44" t="s">
        <v>214</v>
      </c>
      <c r="M588" s="26" t="s">
        <v>526</v>
      </c>
      <c r="N588" s="26"/>
      <c r="O588" s="86">
        <v>620393</v>
      </c>
      <c r="P588" s="86">
        <f t="shared" si="58"/>
        <v>620.39300000000003</v>
      </c>
      <c r="Q588" s="41"/>
      <c r="R588" s="26"/>
    </row>
    <row r="589" spans="3:28">
      <c r="C589" s="44">
        <v>17</v>
      </c>
      <c r="D589" s="26" t="s">
        <v>526</v>
      </c>
      <c r="E589" s="26"/>
      <c r="F589" s="240">
        <v>620393</v>
      </c>
      <c r="G589" s="240">
        <f t="shared" si="59"/>
        <v>620.39300000000003</v>
      </c>
      <c r="H589" s="41"/>
      <c r="L589" s="44" t="s">
        <v>219</v>
      </c>
      <c r="M589" s="26" t="s">
        <v>527</v>
      </c>
      <c r="N589" s="26"/>
      <c r="O589" s="86">
        <v>401493</v>
      </c>
      <c r="P589" s="86">
        <f t="shared" si="58"/>
        <v>401.49299999999999</v>
      </c>
      <c r="Q589" s="41"/>
      <c r="R589" s="26"/>
    </row>
    <row r="590" spans="3:28">
      <c r="C590" s="44">
        <v>18</v>
      </c>
      <c r="D590" s="26" t="s">
        <v>528</v>
      </c>
      <c r="E590" s="26"/>
      <c r="F590" s="240">
        <v>330691</v>
      </c>
      <c r="G590" s="240">
        <f t="shared" si="59"/>
        <v>330.69099999999997</v>
      </c>
      <c r="H590" s="41"/>
      <c r="L590" s="44" t="s">
        <v>372</v>
      </c>
      <c r="M590" s="26" t="s">
        <v>528</v>
      </c>
      <c r="N590" s="26"/>
      <c r="O590" s="86">
        <v>330691</v>
      </c>
      <c r="P590" s="86">
        <f t="shared" si="58"/>
        <v>330.69099999999997</v>
      </c>
      <c r="Q590" s="41"/>
      <c r="R590" s="26"/>
    </row>
    <row r="591" spans="3:28">
      <c r="C591" s="44">
        <v>19</v>
      </c>
      <c r="D591" s="26" t="s">
        <v>525</v>
      </c>
      <c r="E591" s="26"/>
      <c r="F591" s="240">
        <v>663986</v>
      </c>
      <c r="G591" s="240">
        <f t="shared" si="59"/>
        <v>663.98599999999999</v>
      </c>
      <c r="H591" s="41"/>
      <c r="L591" s="44" t="s">
        <v>373</v>
      </c>
      <c r="M591" s="26" t="s">
        <v>529</v>
      </c>
      <c r="N591" s="26"/>
      <c r="O591" s="86">
        <v>322322</v>
      </c>
      <c r="P591" s="86">
        <f t="shared" si="58"/>
        <v>322.322</v>
      </c>
      <c r="Q591" s="41"/>
      <c r="R591" s="26"/>
    </row>
    <row r="592" spans="3:28">
      <c r="C592" s="44">
        <v>20</v>
      </c>
      <c r="D592" s="26" t="s">
        <v>527</v>
      </c>
      <c r="E592" s="26"/>
      <c r="F592" s="240">
        <v>401493</v>
      </c>
      <c r="G592" s="240">
        <f t="shared" si="59"/>
        <v>401.49299999999999</v>
      </c>
      <c r="H592" s="41"/>
      <c r="L592" s="44" t="s">
        <v>374</v>
      </c>
      <c r="M592" s="26" t="s">
        <v>530</v>
      </c>
      <c r="N592" s="26"/>
      <c r="O592" s="86">
        <v>183299</v>
      </c>
      <c r="P592" s="86">
        <f t="shared" si="58"/>
        <v>183.29900000000001</v>
      </c>
      <c r="Q592" s="41"/>
      <c r="R592" s="26"/>
    </row>
    <row r="593" spans="2:18">
      <c r="C593" s="44">
        <v>21</v>
      </c>
      <c r="D593" s="26" t="s">
        <v>529</v>
      </c>
      <c r="E593" s="26"/>
      <c r="F593" s="240">
        <v>322322</v>
      </c>
      <c r="G593" s="240">
        <f t="shared" si="59"/>
        <v>322.322</v>
      </c>
      <c r="H593" s="41"/>
      <c r="L593" s="210" t="s">
        <v>483</v>
      </c>
      <c r="M593" s="210"/>
      <c r="N593" s="78"/>
      <c r="O593" s="27">
        <f>SUM(O566:O592)</f>
        <v>49935858</v>
      </c>
      <c r="P593" s="27">
        <f>SUM(P566:P592)</f>
        <v>23494.072999999997</v>
      </c>
      <c r="Q593" s="41">
        <f>0.75*27</f>
        <v>20.25</v>
      </c>
      <c r="R593" s="51">
        <f>P593-Q571</f>
        <v>17494.072999999997</v>
      </c>
    </row>
    <row r="594" spans="2:18">
      <c r="C594" s="44">
        <v>22</v>
      </c>
      <c r="D594" s="26" t="s">
        <v>511</v>
      </c>
      <c r="E594" s="26"/>
      <c r="F594" s="240">
        <v>2470219</v>
      </c>
      <c r="G594" s="240">
        <v>1000</v>
      </c>
      <c r="H594" s="41"/>
      <c r="L594" s="33"/>
      <c r="O594" s="36"/>
      <c r="P594" s="33"/>
      <c r="Q594" s="133">
        <v>20</v>
      </c>
    </row>
    <row r="595" spans="2:18">
      <c r="C595" s="44">
        <v>23</v>
      </c>
      <c r="D595" s="26" t="s">
        <v>513</v>
      </c>
      <c r="E595" s="26"/>
      <c r="F595" s="240">
        <v>2264328</v>
      </c>
      <c r="G595" s="240">
        <v>1000</v>
      </c>
      <c r="H595" s="41"/>
      <c r="L595" s="33"/>
      <c r="O595" s="36"/>
      <c r="P595" s="33"/>
      <c r="Q595" s="33"/>
    </row>
    <row r="596" spans="2:18">
      <c r="C596" s="44">
        <v>24</v>
      </c>
      <c r="D596" s="26" t="s">
        <v>516</v>
      </c>
      <c r="E596" s="26"/>
      <c r="F596" s="240">
        <v>1737624</v>
      </c>
      <c r="G596" s="240">
        <v>1000</v>
      </c>
      <c r="H596" s="41"/>
      <c r="M596" s="33" t="s">
        <v>484</v>
      </c>
      <c r="N596" s="33"/>
      <c r="O596" s="33"/>
      <c r="P596" s="33"/>
      <c r="Q596" s="33"/>
    </row>
    <row r="597" spans="2:18">
      <c r="C597" s="44">
        <v>25</v>
      </c>
      <c r="D597" s="26" t="s">
        <v>505</v>
      </c>
      <c r="E597" s="26"/>
      <c r="F597" s="240">
        <v>3899017</v>
      </c>
      <c r="G597" s="240">
        <v>1000</v>
      </c>
      <c r="H597" s="41"/>
      <c r="L597" s="34" t="s">
        <v>192</v>
      </c>
      <c r="M597" t="s">
        <v>531</v>
      </c>
      <c r="O597" s="81">
        <v>1106992</v>
      </c>
      <c r="P597" s="81">
        <v>1000</v>
      </c>
      <c r="Q597" s="33"/>
    </row>
    <row r="598" spans="2:18">
      <c r="C598" s="44">
        <v>26</v>
      </c>
      <c r="D598" s="26" t="s">
        <v>514</v>
      </c>
      <c r="E598" s="26"/>
      <c r="F598" s="240">
        <v>2209633</v>
      </c>
      <c r="G598" s="240">
        <v>1000</v>
      </c>
      <c r="H598" s="41"/>
      <c r="L598" s="34" t="s">
        <v>193</v>
      </c>
      <c r="M598" t="s">
        <v>668</v>
      </c>
      <c r="O598" s="82">
        <v>1335947</v>
      </c>
      <c r="P598" s="82">
        <v>1000</v>
      </c>
      <c r="Q598" s="33"/>
    </row>
    <row r="599" spans="2:18">
      <c r="C599" s="44">
        <v>27</v>
      </c>
      <c r="D599" s="26" t="s">
        <v>509</v>
      </c>
      <c r="E599" s="26"/>
      <c r="F599" s="240">
        <v>2510103</v>
      </c>
      <c r="G599" s="240">
        <v>1000</v>
      </c>
      <c r="H599" s="41"/>
      <c r="L599" s="34" t="s">
        <v>194</v>
      </c>
      <c r="M599" t="s">
        <v>532</v>
      </c>
      <c r="O599" s="82">
        <v>804842</v>
      </c>
      <c r="P599" s="82">
        <f>O599/1000</f>
        <v>804.84199999999998</v>
      </c>
      <c r="Q599" s="33"/>
    </row>
    <row r="600" spans="2:18">
      <c r="B600">
        <v>3</v>
      </c>
      <c r="C600" s="41">
        <f>C599</f>
        <v>27</v>
      </c>
      <c r="D600" s="26" t="s">
        <v>786</v>
      </c>
      <c r="E600" s="27">
        <f>0.75*C599</f>
        <v>20.25</v>
      </c>
      <c r="F600" s="27">
        <f>SUM(F573:F599)</f>
        <v>49935858</v>
      </c>
      <c r="G600" s="27">
        <f>SUM(G573:G599)</f>
        <v>23494.073</v>
      </c>
      <c r="H600" s="240">
        <f>G600-H579</f>
        <v>16494.073</v>
      </c>
      <c r="L600" s="34" t="s">
        <v>195</v>
      </c>
      <c r="M600" t="s">
        <v>533</v>
      </c>
      <c r="O600" s="82">
        <v>466950</v>
      </c>
      <c r="P600" s="82">
        <f>O600/1000</f>
        <v>466.95</v>
      </c>
      <c r="Q600" s="33"/>
    </row>
    <row r="601" spans="2:18">
      <c r="L601" s="34" t="s">
        <v>196</v>
      </c>
      <c r="M601" t="s">
        <v>534</v>
      </c>
      <c r="O601" s="82">
        <v>464602</v>
      </c>
      <c r="P601" s="82">
        <f>O601/1000</f>
        <v>464.60199999999998</v>
      </c>
      <c r="Q601" s="33"/>
    </row>
    <row r="602" spans="2:18">
      <c r="L602" s="33"/>
      <c r="O602" s="36">
        <f>SUM(O597:O601)</f>
        <v>4179333</v>
      </c>
      <c r="P602" s="36">
        <f>SUM(P597:P601)</f>
        <v>3736.3939999999998</v>
      </c>
      <c r="Q602" s="33">
        <f>0.75*5</f>
        <v>3.75</v>
      </c>
      <c r="R602" s="46">
        <f>P602-P597</f>
        <v>2736.3939999999998</v>
      </c>
    </row>
    <row r="603" spans="2:18" ht="15.75">
      <c r="B603">
        <v>4</v>
      </c>
      <c r="C603" s="217" t="s">
        <v>787</v>
      </c>
      <c r="D603" s="217"/>
      <c r="E603" s="217"/>
      <c r="F603" s="217"/>
      <c r="G603" s="217"/>
      <c r="H603" s="217"/>
      <c r="L603" s="33"/>
      <c r="O603" s="33"/>
      <c r="P603" s="33"/>
      <c r="Q603" s="133">
        <v>4</v>
      </c>
    </row>
    <row r="604" spans="2:18">
      <c r="C604" s="216" t="s">
        <v>760</v>
      </c>
      <c r="D604" s="203" t="s">
        <v>739</v>
      </c>
      <c r="E604" s="203"/>
      <c r="F604" s="203" t="s">
        <v>738</v>
      </c>
      <c r="G604" s="203"/>
      <c r="H604" s="203"/>
      <c r="L604" s="33"/>
      <c r="O604" s="33"/>
      <c r="P604" s="33"/>
      <c r="Q604" s="33"/>
    </row>
    <row r="605" spans="2:18" ht="90">
      <c r="C605" s="216"/>
      <c r="D605" s="68" t="s">
        <v>740</v>
      </c>
      <c r="E605" s="112" t="s">
        <v>743</v>
      </c>
      <c r="F605" s="112" t="s">
        <v>737</v>
      </c>
      <c r="G605" s="112" t="s">
        <v>751</v>
      </c>
      <c r="H605" s="69" t="s">
        <v>746</v>
      </c>
      <c r="L605" s="33"/>
      <c r="M605" t="s">
        <v>485</v>
      </c>
      <c r="O605" s="33"/>
      <c r="P605" s="33">
        <v>2023</v>
      </c>
      <c r="Q605" s="33"/>
    </row>
    <row r="606" spans="2:18">
      <c r="C606" s="41">
        <v>1</v>
      </c>
      <c r="D606" s="26" t="s">
        <v>531</v>
      </c>
      <c r="E606" s="26"/>
      <c r="F606" s="85">
        <v>1106992</v>
      </c>
      <c r="G606" s="85">
        <v>1000</v>
      </c>
      <c r="H606" s="41"/>
      <c r="L606" s="34" t="s">
        <v>192</v>
      </c>
      <c r="M606" t="s">
        <v>546</v>
      </c>
      <c r="O606" s="83">
        <v>1240510</v>
      </c>
      <c r="P606" s="81">
        <v>1000</v>
      </c>
      <c r="Q606" s="33"/>
    </row>
    <row r="607" spans="2:18">
      <c r="C607" s="41">
        <v>2</v>
      </c>
      <c r="D607" s="26" t="s">
        <v>668</v>
      </c>
      <c r="E607" s="26"/>
      <c r="F607" s="240">
        <v>1335947</v>
      </c>
      <c r="G607" s="240">
        <v>1000</v>
      </c>
      <c r="H607" s="41"/>
      <c r="L607" s="34" t="s">
        <v>193</v>
      </c>
      <c r="M607" t="s">
        <v>547</v>
      </c>
      <c r="O607" s="83">
        <v>1221086</v>
      </c>
      <c r="P607" s="81">
        <v>1000</v>
      </c>
      <c r="Q607" s="33"/>
    </row>
    <row r="608" spans="2:18">
      <c r="C608" s="41">
        <v>3</v>
      </c>
      <c r="D608" s="26" t="s">
        <v>532</v>
      </c>
      <c r="E608" s="26"/>
      <c r="F608" s="240">
        <v>804842</v>
      </c>
      <c r="G608" s="240">
        <f>F608/1000</f>
        <v>804.84199999999998</v>
      </c>
      <c r="H608" s="41"/>
      <c r="L608" s="34" t="s">
        <v>194</v>
      </c>
      <c r="M608" t="s">
        <v>548</v>
      </c>
      <c r="O608" s="83">
        <v>1090129</v>
      </c>
      <c r="P608" s="81">
        <v>1000</v>
      </c>
      <c r="Q608" s="33"/>
    </row>
    <row r="609" spans="2:17">
      <c r="C609" s="41">
        <v>4</v>
      </c>
      <c r="D609" s="26" t="s">
        <v>533</v>
      </c>
      <c r="E609" s="26"/>
      <c r="F609" s="240">
        <v>466950</v>
      </c>
      <c r="G609" s="240">
        <f>F609/1000</f>
        <v>466.95</v>
      </c>
      <c r="H609" s="41"/>
      <c r="L609" s="34" t="s">
        <v>195</v>
      </c>
      <c r="M609" t="s">
        <v>549</v>
      </c>
      <c r="O609" s="83">
        <v>1080648</v>
      </c>
      <c r="P609" s="81">
        <v>1000</v>
      </c>
      <c r="Q609" s="33"/>
    </row>
    <row r="610" spans="2:17">
      <c r="C610" s="41">
        <v>5</v>
      </c>
      <c r="D610" s="26" t="s">
        <v>534</v>
      </c>
      <c r="E610" s="26"/>
      <c r="F610" s="240">
        <v>464602</v>
      </c>
      <c r="G610" s="240">
        <f>F610/1000</f>
        <v>464.60199999999998</v>
      </c>
      <c r="H610" s="41"/>
      <c r="L610" s="34" t="s">
        <v>196</v>
      </c>
      <c r="M610" t="s">
        <v>550</v>
      </c>
      <c r="O610" s="83">
        <v>1052826</v>
      </c>
      <c r="P610" s="81">
        <v>1000</v>
      </c>
      <c r="Q610" s="33"/>
    </row>
    <row r="611" spans="2:17">
      <c r="B611">
        <v>4</v>
      </c>
      <c r="C611" s="41">
        <f>C610</f>
        <v>5</v>
      </c>
      <c r="D611" s="26" t="s">
        <v>484</v>
      </c>
      <c r="E611" s="27">
        <f>0.75*C610</f>
        <v>3.75</v>
      </c>
      <c r="F611" s="27">
        <f>SUM(F606:F610)</f>
        <v>4179333</v>
      </c>
      <c r="G611" s="27">
        <f>SUM(G606:G610)</f>
        <v>3736.3939999999998</v>
      </c>
      <c r="H611" s="240">
        <f>G611-G606</f>
        <v>2736.3939999999998</v>
      </c>
      <c r="L611" s="34" t="s">
        <v>197</v>
      </c>
      <c r="M611" t="s">
        <v>551</v>
      </c>
      <c r="O611" s="83">
        <v>1051085</v>
      </c>
      <c r="P611" s="81">
        <v>1000</v>
      </c>
      <c r="Q611" s="33"/>
    </row>
    <row r="612" spans="2:17">
      <c r="L612" s="34" t="s">
        <v>198</v>
      </c>
      <c r="M612" t="s">
        <v>552</v>
      </c>
      <c r="O612" s="83">
        <v>1047226</v>
      </c>
      <c r="P612" s="81">
        <v>1000</v>
      </c>
      <c r="Q612" s="33"/>
    </row>
    <row r="613" spans="2:17">
      <c r="L613" s="34" t="s">
        <v>199</v>
      </c>
      <c r="M613" t="s">
        <v>553</v>
      </c>
      <c r="O613" s="83">
        <v>1027333</v>
      </c>
      <c r="P613" s="81">
        <v>1000</v>
      </c>
      <c r="Q613" s="33"/>
    </row>
    <row r="614" spans="2:17">
      <c r="L614" s="34" t="s">
        <v>200</v>
      </c>
      <c r="M614" t="s">
        <v>554</v>
      </c>
      <c r="O614" s="83">
        <v>1007384</v>
      </c>
      <c r="P614" s="81">
        <v>1000</v>
      </c>
      <c r="Q614" s="36">
        <f>SUM(P606:P614)</f>
        <v>9000</v>
      </c>
    </row>
    <row r="615" spans="2:17" ht="15.75">
      <c r="B615">
        <v>5</v>
      </c>
      <c r="C615" s="217" t="s">
        <v>788</v>
      </c>
      <c r="D615" s="217"/>
      <c r="E615" s="217"/>
      <c r="F615" s="217"/>
      <c r="G615" s="217"/>
      <c r="H615" s="217"/>
      <c r="L615" s="34" t="s">
        <v>201</v>
      </c>
      <c r="M615" t="s">
        <v>535</v>
      </c>
      <c r="O615" s="84">
        <v>2043077</v>
      </c>
      <c r="P615" s="82">
        <v>1000</v>
      </c>
      <c r="Q615" s="33"/>
    </row>
    <row r="616" spans="2:17">
      <c r="C616" s="216" t="s">
        <v>760</v>
      </c>
      <c r="D616" s="203" t="s">
        <v>739</v>
      </c>
      <c r="E616" s="203"/>
      <c r="F616" s="203" t="s">
        <v>738</v>
      </c>
      <c r="G616" s="203"/>
      <c r="H616" s="203"/>
      <c r="L616" s="34" t="s">
        <v>202</v>
      </c>
      <c r="M616" t="s">
        <v>536</v>
      </c>
      <c r="O616" s="84">
        <v>2007829</v>
      </c>
      <c r="P616" s="82">
        <v>1000</v>
      </c>
      <c r="Q616" s="33"/>
    </row>
    <row r="617" spans="2:17" ht="90">
      <c r="C617" s="216"/>
      <c r="D617" s="68" t="s">
        <v>740</v>
      </c>
      <c r="E617" s="112" t="s">
        <v>743</v>
      </c>
      <c r="F617" s="112" t="s">
        <v>737</v>
      </c>
      <c r="G617" s="112" t="s">
        <v>751</v>
      </c>
      <c r="H617" s="69" t="s">
        <v>746</v>
      </c>
      <c r="L617" s="34" t="s">
        <v>203</v>
      </c>
      <c r="M617" t="s">
        <v>537</v>
      </c>
      <c r="O617" s="84">
        <v>1828573</v>
      </c>
      <c r="P617" s="82">
        <v>1000</v>
      </c>
      <c r="Q617" s="33"/>
    </row>
    <row r="618" spans="2:17">
      <c r="C618" s="44">
        <v>1</v>
      </c>
      <c r="D618" s="26" t="s">
        <v>546</v>
      </c>
      <c r="E618" s="26"/>
      <c r="F618" s="253">
        <v>1240510</v>
      </c>
      <c r="G618" s="85">
        <v>1000</v>
      </c>
      <c r="H618" s="41"/>
      <c r="L618" s="34" t="s">
        <v>204</v>
      </c>
      <c r="M618" t="s">
        <v>538</v>
      </c>
      <c r="O618" s="84">
        <v>1694743</v>
      </c>
      <c r="P618" s="82">
        <v>1000</v>
      </c>
      <c r="Q618" s="33"/>
    </row>
    <row r="619" spans="2:17">
      <c r="C619" s="44">
        <v>2</v>
      </c>
      <c r="D619" s="26" t="s">
        <v>547</v>
      </c>
      <c r="E619" s="26"/>
      <c r="F619" s="253">
        <v>1221086</v>
      </c>
      <c r="G619" s="85">
        <v>1000</v>
      </c>
      <c r="H619" s="41"/>
      <c r="L619" s="34" t="s">
        <v>205</v>
      </c>
      <c r="M619" t="s">
        <v>539</v>
      </c>
      <c r="O619" s="84">
        <v>1654836</v>
      </c>
      <c r="P619" s="82">
        <v>1000</v>
      </c>
      <c r="Q619" s="33"/>
    </row>
    <row r="620" spans="2:17">
      <c r="C620" s="44">
        <v>3</v>
      </c>
      <c r="D620" s="26" t="s">
        <v>548</v>
      </c>
      <c r="E620" s="26"/>
      <c r="F620" s="253">
        <v>1090129</v>
      </c>
      <c r="G620" s="85">
        <v>1000</v>
      </c>
      <c r="H620" s="41"/>
      <c r="L620" s="34" t="s">
        <v>206</v>
      </c>
      <c r="M620" t="s">
        <v>540</v>
      </c>
      <c r="O620" s="84">
        <v>1523622</v>
      </c>
      <c r="P620" s="82">
        <v>1000</v>
      </c>
      <c r="Q620" s="33"/>
    </row>
    <row r="621" spans="2:17">
      <c r="C621" s="44">
        <v>4</v>
      </c>
      <c r="D621" s="26" t="s">
        <v>549</v>
      </c>
      <c r="E621" s="26"/>
      <c r="F621" s="253">
        <v>1080648</v>
      </c>
      <c r="G621" s="85">
        <v>1000</v>
      </c>
      <c r="H621" s="41"/>
      <c r="L621" s="34" t="s">
        <v>207</v>
      </c>
      <c r="M621" t="s">
        <v>541</v>
      </c>
      <c r="O621" s="84">
        <v>1492891</v>
      </c>
      <c r="P621" s="82">
        <v>1000</v>
      </c>
      <c r="Q621" s="33"/>
    </row>
    <row r="622" spans="2:17">
      <c r="C622" s="44">
        <v>5</v>
      </c>
      <c r="D622" s="26" t="s">
        <v>550</v>
      </c>
      <c r="E622" s="26"/>
      <c r="F622" s="253">
        <v>1052826</v>
      </c>
      <c r="G622" s="85">
        <v>1000</v>
      </c>
      <c r="H622" s="41"/>
      <c r="L622" s="34" t="s">
        <v>208</v>
      </c>
      <c r="M622" t="s">
        <v>542</v>
      </c>
      <c r="O622" s="84">
        <v>1397555</v>
      </c>
      <c r="P622" s="82">
        <v>1000</v>
      </c>
      <c r="Q622" s="33"/>
    </row>
    <row r="623" spans="2:17">
      <c r="C623" s="44">
        <v>6</v>
      </c>
      <c r="D623" s="26" t="s">
        <v>551</v>
      </c>
      <c r="E623" s="26"/>
      <c r="F623" s="253">
        <v>1051085</v>
      </c>
      <c r="G623" s="85">
        <v>1000</v>
      </c>
      <c r="H623" s="41"/>
      <c r="L623" s="34" t="s">
        <v>209</v>
      </c>
      <c r="M623" t="s">
        <v>543</v>
      </c>
      <c r="O623" s="84">
        <v>1359364</v>
      </c>
      <c r="P623" s="82">
        <v>1000</v>
      </c>
      <c r="Q623" s="33"/>
    </row>
    <row r="624" spans="2:17">
      <c r="C624" s="44">
        <v>7</v>
      </c>
      <c r="D624" s="26" t="s">
        <v>552</v>
      </c>
      <c r="E624" s="26"/>
      <c r="F624" s="253">
        <v>1047226</v>
      </c>
      <c r="G624" s="85">
        <v>1000</v>
      </c>
      <c r="H624" s="41"/>
      <c r="L624" s="34" t="s">
        <v>210</v>
      </c>
      <c r="M624" t="s">
        <v>544</v>
      </c>
      <c r="O624" s="84">
        <v>1330656</v>
      </c>
      <c r="P624" s="82">
        <v>1000</v>
      </c>
      <c r="Q624" s="33"/>
    </row>
    <row r="625" spans="3:17">
      <c r="C625" s="44">
        <v>8</v>
      </c>
      <c r="D625" s="26" t="s">
        <v>553</v>
      </c>
      <c r="E625" s="26"/>
      <c r="F625" s="253">
        <v>1027333</v>
      </c>
      <c r="G625" s="85">
        <v>1000</v>
      </c>
      <c r="H625" s="41"/>
      <c r="L625" s="34" t="s">
        <v>211</v>
      </c>
      <c r="M625" t="s">
        <v>545</v>
      </c>
      <c r="O625" s="84">
        <v>1284386</v>
      </c>
      <c r="P625" s="82">
        <v>1000</v>
      </c>
      <c r="Q625" s="33"/>
    </row>
    <row r="626" spans="3:17">
      <c r="C626" s="44">
        <v>9</v>
      </c>
      <c r="D626" s="26" t="s">
        <v>554</v>
      </c>
      <c r="E626" s="26"/>
      <c r="F626" s="253">
        <v>1007384</v>
      </c>
      <c r="G626" s="85">
        <v>1000</v>
      </c>
      <c r="H626" s="27">
        <f>SUM(G618:G626)</f>
        <v>9000</v>
      </c>
      <c r="L626" s="34" t="s">
        <v>212</v>
      </c>
      <c r="M626" t="s">
        <v>555</v>
      </c>
      <c r="O626" s="84">
        <v>997485</v>
      </c>
      <c r="P626" s="82">
        <f t="shared" ref="P626:P640" si="60">O626/1000</f>
        <v>997.48500000000001</v>
      </c>
      <c r="Q626" s="33"/>
    </row>
    <row r="627" spans="3:17">
      <c r="C627" s="44">
        <v>10</v>
      </c>
      <c r="D627" s="26" t="s">
        <v>535</v>
      </c>
      <c r="E627" s="26"/>
      <c r="F627" s="254">
        <v>2043077</v>
      </c>
      <c r="G627" s="240">
        <v>1000</v>
      </c>
      <c r="H627" s="41"/>
      <c r="L627" s="34" t="s">
        <v>213</v>
      </c>
      <c r="M627" t="s">
        <v>556</v>
      </c>
      <c r="O627" s="84">
        <v>955116</v>
      </c>
      <c r="P627" s="82">
        <f t="shared" si="60"/>
        <v>955.11599999999999</v>
      </c>
      <c r="Q627" s="33"/>
    </row>
    <row r="628" spans="3:17">
      <c r="C628" s="44">
        <v>11</v>
      </c>
      <c r="D628" s="26" t="s">
        <v>536</v>
      </c>
      <c r="E628" s="26"/>
      <c r="F628" s="254">
        <v>2007829</v>
      </c>
      <c r="G628" s="240">
        <v>1000</v>
      </c>
      <c r="H628" s="41"/>
      <c r="L628" s="34" t="s">
        <v>214</v>
      </c>
      <c r="M628" t="s">
        <v>557</v>
      </c>
      <c r="O628" s="84">
        <v>932680</v>
      </c>
      <c r="P628" s="82">
        <f t="shared" si="60"/>
        <v>932.68</v>
      </c>
      <c r="Q628" s="33"/>
    </row>
    <row r="629" spans="3:17">
      <c r="C629" s="44">
        <v>12</v>
      </c>
      <c r="D629" s="26" t="s">
        <v>537</v>
      </c>
      <c r="E629" s="26"/>
      <c r="F629" s="254">
        <v>1828573</v>
      </c>
      <c r="G629" s="240">
        <v>1000</v>
      </c>
      <c r="H629" s="41"/>
      <c r="L629" s="34" t="s">
        <v>219</v>
      </c>
      <c r="M629" t="s">
        <v>558</v>
      </c>
      <c r="O629" s="84">
        <v>909664</v>
      </c>
      <c r="P629" s="82">
        <f t="shared" si="60"/>
        <v>909.66399999999999</v>
      </c>
      <c r="Q629" s="33"/>
    </row>
    <row r="630" spans="3:17">
      <c r="C630" s="44">
        <v>13</v>
      </c>
      <c r="D630" s="26" t="s">
        <v>538</v>
      </c>
      <c r="E630" s="26"/>
      <c r="F630" s="254">
        <v>1694743</v>
      </c>
      <c r="G630" s="240">
        <v>1000</v>
      </c>
      <c r="H630" s="41"/>
      <c r="L630" s="34" t="s">
        <v>372</v>
      </c>
      <c r="M630" t="s">
        <v>559</v>
      </c>
      <c r="O630" s="84">
        <v>901621</v>
      </c>
      <c r="P630" s="82">
        <f t="shared" si="60"/>
        <v>901.62099999999998</v>
      </c>
      <c r="Q630" s="33"/>
    </row>
    <row r="631" spans="3:17">
      <c r="C631" s="44">
        <v>14</v>
      </c>
      <c r="D631" s="26" t="s">
        <v>539</v>
      </c>
      <c r="E631" s="26"/>
      <c r="F631" s="254">
        <v>1654836</v>
      </c>
      <c r="G631" s="240">
        <v>1000</v>
      </c>
      <c r="H631" s="41"/>
      <c r="L631" s="34" t="s">
        <v>373</v>
      </c>
      <c r="M631" t="s">
        <v>560</v>
      </c>
      <c r="O631" s="84">
        <v>874632</v>
      </c>
      <c r="P631" s="82">
        <f t="shared" si="60"/>
        <v>874.63199999999995</v>
      </c>
      <c r="Q631" s="33"/>
    </row>
    <row r="632" spans="3:17">
      <c r="C632" s="44">
        <v>15</v>
      </c>
      <c r="D632" s="26" t="s">
        <v>540</v>
      </c>
      <c r="E632" s="26"/>
      <c r="F632" s="254">
        <v>1523622</v>
      </c>
      <c r="G632" s="240">
        <v>1000</v>
      </c>
      <c r="H632" s="41"/>
      <c r="L632" s="34" t="s">
        <v>374</v>
      </c>
      <c r="M632" t="s">
        <v>561</v>
      </c>
      <c r="O632" s="84">
        <v>828883</v>
      </c>
      <c r="P632" s="82">
        <f t="shared" si="60"/>
        <v>828.88300000000004</v>
      </c>
      <c r="Q632" s="33"/>
    </row>
    <row r="633" spans="3:17">
      <c r="C633" s="44">
        <v>16</v>
      </c>
      <c r="D633" s="26" t="s">
        <v>541</v>
      </c>
      <c r="E633" s="26"/>
      <c r="F633" s="254">
        <v>1492891</v>
      </c>
      <c r="G633" s="240">
        <v>1000</v>
      </c>
      <c r="H633" s="41"/>
      <c r="L633" s="34" t="s">
        <v>375</v>
      </c>
      <c r="M633" t="s">
        <v>562</v>
      </c>
      <c r="O633" s="84">
        <v>808446</v>
      </c>
      <c r="P633" s="82">
        <f t="shared" si="60"/>
        <v>808.44600000000003</v>
      </c>
      <c r="Q633" s="33"/>
    </row>
    <row r="634" spans="3:17">
      <c r="C634" s="44">
        <v>17</v>
      </c>
      <c r="D634" s="26" t="s">
        <v>542</v>
      </c>
      <c r="E634" s="26"/>
      <c r="F634" s="254">
        <v>1397555</v>
      </c>
      <c r="G634" s="240">
        <v>1000</v>
      </c>
      <c r="H634" s="41"/>
      <c r="L634" s="34" t="s">
        <v>376</v>
      </c>
      <c r="M634" t="s">
        <v>563</v>
      </c>
      <c r="O634" s="84">
        <v>788265</v>
      </c>
      <c r="P634" s="82">
        <f t="shared" si="60"/>
        <v>788.26499999999999</v>
      </c>
      <c r="Q634" s="33"/>
    </row>
    <row r="635" spans="3:17">
      <c r="C635" s="44">
        <v>18</v>
      </c>
      <c r="D635" s="26" t="s">
        <v>543</v>
      </c>
      <c r="E635" s="26"/>
      <c r="F635" s="254">
        <v>1359364</v>
      </c>
      <c r="G635" s="240">
        <v>1000</v>
      </c>
      <c r="H635" s="41"/>
      <c r="L635" s="34" t="s">
        <v>377</v>
      </c>
      <c r="M635" t="s">
        <v>564</v>
      </c>
      <c r="O635" s="84">
        <v>660166</v>
      </c>
      <c r="P635" s="82">
        <f t="shared" si="60"/>
        <v>660.16600000000005</v>
      </c>
      <c r="Q635" s="33"/>
    </row>
    <row r="636" spans="3:17">
      <c r="C636" s="44">
        <v>19</v>
      </c>
      <c r="D636" s="26" t="s">
        <v>544</v>
      </c>
      <c r="E636" s="26"/>
      <c r="F636" s="254">
        <v>1330656</v>
      </c>
      <c r="G636" s="240">
        <v>1000</v>
      </c>
      <c r="H636" s="41"/>
      <c r="L636" s="34" t="s">
        <v>378</v>
      </c>
      <c r="M636" t="s">
        <v>565</v>
      </c>
      <c r="O636" s="84">
        <v>526870</v>
      </c>
      <c r="P636" s="82">
        <f t="shared" si="60"/>
        <v>526.87</v>
      </c>
      <c r="Q636" s="33"/>
    </row>
    <row r="637" spans="3:17">
      <c r="C637" s="44">
        <v>20</v>
      </c>
      <c r="D637" s="26" t="s">
        <v>545</v>
      </c>
      <c r="E637" s="26"/>
      <c r="F637" s="254">
        <v>1284386</v>
      </c>
      <c r="G637" s="240">
        <v>1000</v>
      </c>
      <c r="H637" s="41"/>
      <c r="L637" s="34" t="s">
        <v>379</v>
      </c>
      <c r="M637" t="s">
        <v>566</v>
      </c>
      <c r="O637" s="84">
        <v>317524</v>
      </c>
      <c r="P637" s="82">
        <f t="shared" si="60"/>
        <v>317.524</v>
      </c>
      <c r="Q637" s="33"/>
    </row>
    <row r="638" spans="3:17">
      <c r="C638" s="44">
        <v>21</v>
      </c>
      <c r="D638" s="26" t="s">
        <v>555</v>
      </c>
      <c r="E638" s="26"/>
      <c r="F638" s="254">
        <v>997485</v>
      </c>
      <c r="G638" s="240">
        <f t="shared" ref="G638:G652" si="61">F638/1000</f>
        <v>997.48500000000001</v>
      </c>
      <c r="H638" s="41"/>
      <c r="L638" s="34" t="s">
        <v>380</v>
      </c>
      <c r="M638" t="s">
        <v>567</v>
      </c>
      <c r="O638" s="84">
        <v>282781</v>
      </c>
      <c r="P638" s="82">
        <f t="shared" si="60"/>
        <v>282.78100000000001</v>
      </c>
      <c r="Q638" s="33"/>
    </row>
    <row r="639" spans="3:17">
      <c r="C639" s="44">
        <v>22</v>
      </c>
      <c r="D639" s="26" t="s">
        <v>556</v>
      </c>
      <c r="E639" s="26"/>
      <c r="F639" s="254">
        <v>955116</v>
      </c>
      <c r="G639" s="240">
        <f t="shared" si="61"/>
        <v>955.11599999999999</v>
      </c>
      <c r="H639" s="41"/>
      <c r="L639" s="34" t="s">
        <v>639</v>
      </c>
      <c r="M639" t="s">
        <v>568</v>
      </c>
      <c r="O639" s="84">
        <v>198920</v>
      </c>
      <c r="P639" s="82">
        <f t="shared" si="60"/>
        <v>198.92</v>
      </c>
      <c r="Q639" s="33"/>
    </row>
    <row r="640" spans="3:17">
      <c r="C640" s="44">
        <v>23</v>
      </c>
      <c r="D640" s="26" t="s">
        <v>557</v>
      </c>
      <c r="E640" s="26"/>
      <c r="F640" s="254">
        <v>932680</v>
      </c>
      <c r="G640" s="240">
        <f t="shared" si="61"/>
        <v>932.68</v>
      </c>
      <c r="H640" s="41"/>
      <c r="L640" s="34" t="s">
        <v>640</v>
      </c>
      <c r="M640" t="s">
        <v>569</v>
      </c>
      <c r="O640" s="84">
        <v>122150</v>
      </c>
      <c r="P640" s="82">
        <f t="shared" si="60"/>
        <v>122.15</v>
      </c>
      <c r="Q640" s="33"/>
    </row>
    <row r="641" spans="2:18">
      <c r="C641" s="44">
        <v>24</v>
      </c>
      <c r="D641" s="26" t="s">
        <v>558</v>
      </c>
      <c r="E641" s="26"/>
      <c r="F641" s="254">
        <v>909664</v>
      </c>
      <c r="G641" s="240">
        <f t="shared" si="61"/>
        <v>909.66399999999999</v>
      </c>
      <c r="H641" s="41"/>
      <c r="L641" s="33"/>
      <c r="O641" s="36">
        <f>SUM(O606:O640)</f>
        <v>37540962</v>
      </c>
      <c r="P641" s="36">
        <f>SUM(P606:P640)</f>
        <v>30105.203000000005</v>
      </c>
      <c r="Q641" s="33">
        <f>0.75*35</f>
        <v>26.25</v>
      </c>
      <c r="R641" s="46">
        <f>P641-Q614</f>
        <v>21105.203000000005</v>
      </c>
    </row>
    <row r="642" spans="2:18">
      <c r="C642" s="44">
        <v>25</v>
      </c>
      <c r="D642" s="26" t="s">
        <v>559</v>
      </c>
      <c r="E642" s="26"/>
      <c r="F642" s="254">
        <v>901621</v>
      </c>
      <c r="G642" s="240">
        <f t="shared" si="61"/>
        <v>901.62099999999998</v>
      </c>
      <c r="H642" s="41"/>
      <c r="L642" s="33"/>
      <c r="O642" s="33"/>
      <c r="P642" s="33"/>
      <c r="Q642" s="133">
        <v>26</v>
      </c>
    </row>
    <row r="643" spans="2:18">
      <c r="C643" s="44">
        <v>26</v>
      </c>
      <c r="D643" s="26" t="s">
        <v>560</v>
      </c>
      <c r="E643" s="26"/>
      <c r="F643" s="254">
        <v>874632</v>
      </c>
      <c r="G643" s="240">
        <f t="shared" si="61"/>
        <v>874.63199999999995</v>
      </c>
      <c r="H643" s="41"/>
      <c r="L643" s="33"/>
      <c r="M643" s="33" t="s">
        <v>486</v>
      </c>
      <c r="N643" s="33"/>
      <c r="O643" s="33"/>
      <c r="P643" s="33"/>
      <c r="Q643" s="33"/>
    </row>
    <row r="644" spans="2:18" ht="12.75" customHeight="1">
      <c r="C644" s="44">
        <v>27</v>
      </c>
      <c r="D644" s="26" t="s">
        <v>561</v>
      </c>
      <c r="E644" s="26"/>
      <c r="F644" s="254">
        <v>828883</v>
      </c>
      <c r="G644" s="240">
        <f t="shared" si="61"/>
        <v>828.88300000000004</v>
      </c>
      <c r="H644" s="41"/>
      <c r="L644" s="33"/>
      <c r="M644" s="18" t="s">
        <v>678</v>
      </c>
      <c r="N644" s="18"/>
      <c r="O644" s="87" t="s">
        <v>679</v>
      </c>
      <c r="P644" s="87" t="s">
        <v>667</v>
      </c>
      <c r="Q644" s="37"/>
    </row>
    <row r="645" spans="2:18">
      <c r="C645" s="44">
        <v>28</v>
      </c>
      <c r="D645" s="26" t="s">
        <v>562</v>
      </c>
      <c r="E645" s="26"/>
      <c r="F645" s="254">
        <v>808446</v>
      </c>
      <c r="G645" s="240">
        <f t="shared" si="61"/>
        <v>808.44600000000003</v>
      </c>
      <c r="H645" s="41"/>
      <c r="L645" s="34" t="s">
        <v>192</v>
      </c>
      <c r="M645" s="52" t="s">
        <v>591</v>
      </c>
      <c r="N645" s="52"/>
      <c r="O645" s="88">
        <v>1315125</v>
      </c>
      <c r="P645" s="81">
        <v>1000</v>
      </c>
      <c r="Q645" s="33"/>
    </row>
    <row r="646" spans="2:18">
      <c r="C646" s="44">
        <v>29</v>
      </c>
      <c r="D646" s="26" t="s">
        <v>563</v>
      </c>
      <c r="E646" s="26"/>
      <c r="F646" s="254">
        <v>788265</v>
      </c>
      <c r="G646" s="240">
        <f t="shared" si="61"/>
        <v>788.26499999999999</v>
      </c>
      <c r="H646" s="41"/>
      <c r="L646" s="34" t="s">
        <v>193</v>
      </c>
      <c r="M646" s="52" t="s">
        <v>574</v>
      </c>
      <c r="N646" s="52"/>
      <c r="O646" s="88">
        <v>1240322</v>
      </c>
      <c r="P646" s="81">
        <v>1000</v>
      </c>
      <c r="Q646" s="33"/>
    </row>
    <row r="647" spans="2:18">
      <c r="C647" s="44">
        <v>30</v>
      </c>
      <c r="D647" s="26" t="s">
        <v>564</v>
      </c>
      <c r="E647" s="26"/>
      <c r="F647" s="254">
        <v>660166</v>
      </c>
      <c r="G647" s="240">
        <f t="shared" si="61"/>
        <v>660.16600000000005</v>
      </c>
      <c r="H647" s="41"/>
      <c r="L647" s="34" t="s">
        <v>194</v>
      </c>
      <c r="M647" s="52" t="s">
        <v>592</v>
      </c>
      <c r="N647" s="52"/>
      <c r="O647" s="88">
        <v>1209543</v>
      </c>
      <c r="P647" s="81">
        <v>1000</v>
      </c>
      <c r="Q647" s="33"/>
    </row>
    <row r="648" spans="2:18">
      <c r="C648" s="44">
        <v>31</v>
      </c>
      <c r="D648" s="26" t="s">
        <v>565</v>
      </c>
      <c r="E648" s="26"/>
      <c r="F648" s="254">
        <v>526870</v>
      </c>
      <c r="G648" s="240">
        <f t="shared" si="61"/>
        <v>526.87</v>
      </c>
      <c r="H648" s="41"/>
      <c r="L648" s="34" t="s">
        <v>195</v>
      </c>
      <c r="M648" s="52" t="s">
        <v>582</v>
      </c>
      <c r="N648" s="52"/>
      <c r="O648" s="88">
        <v>1159965</v>
      </c>
      <c r="P648" s="81">
        <v>1000</v>
      </c>
      <c r="Q648" s="33"/>
    </row>
    <row r="649" spans="2:18">
      <c r="C649" s="44">
        <v>32</v>
      </c>
      <c r="D649" s="26" t="s">
        <v>566</v>
      </c>
      <c r="E649" s="26"/>
      <c r="F649" s="254">
        <v>317524</v>
      </c>
      <c r="G649" s="240">
        <f t="shared" si="61"/>
        <v>317.524</v>
      </c>
      <c r="H649" s="41"/>
      <c r="L649" s="34" t="s">
        <v>196</v>
      </c>
      <c r="M649" s="52" t="s">
        <v>577</v>
      </c>
      <c r="N649" s="52"/>
      <c r="O649" s="88">
        <v>1137227</v>
      </c>
      <c r="P649" s="81">
        <v>1000</v>
      </c>
      <c r="Q649" s="33"/>
    </row>
    <row r="650" spans="2:18">
      <c r="C650" s="44">
        <v>33</v>
      </c>
      <c r="D650" s="26" t="s">
        <v>567</v>
      </c>
      <c r="E650" s="26"/>
      <c r="F650" s="254">
        <v>282781</v>
      </c>
      <c r="G650" s="240">
        <f t="shared" si="61"/>
        <v>282.78100000000001</v>
      </c>
      <c r="H650" s="41"/>
      <c r="L650" s="34" t="s">
        <v>197</v>
      </c>
      <c r="M650" s="52" t="s">
        <v>598</v>
      </c>
      <c r="N650" s="52"/>
      <c r="O650" s="88">
        <v>1136632</v>
      </c>
      <c r="P650" s="81">
        <v>1000</v>
      </c>
      <c r="Q650" s="33"/>
    </row>
    <row r="651" spans="2:18">
      <c r="C651" s="44">
        <v>34</v>
      </c>
      <c r="D651" s="26" t="s">
        <v>568</v>
      </c>
      <c r="E651" s="26"/>
      <c r="F651" s="254">
        <v>198920</v>
      </c>
      <c r="G651" s="240">
        <f t="shared" si="61"/>
        <v>198.92</v>
      </c>
      <c r="H651" s="41"/>
      <c r="L651" s="34" t="s">
        <v>198</v>
      </c>
      <c r="M651" s="52" t="s">
        <v>585</v>
      </c>
      <c r="N651" s="52"/>
      <c r="O651" s="88">
        <v>1133584</v>
      </c>
      <c r="P651" s="81">
        <v>1000</v>
      </c>
      <c r="Q651" s="33"/>
    </row>
    <row r="652" spans="2:18">
      <c r="C652" s="44">
        <v>35</v>
      </c>
      <c r="D652" s="26" t="s">
        <v>569</v>
      </c>
      <c r="E652" s="26"/>
      <c r="F652" s="254">
        <v>122150</v>
      </c>
      <c r="G652" s="240">
        <f t="shared" si="61"/>
        <v>122.15</v>
      </c>
      <c r="H652" s="41"/>
      <c r="L652" s="34" t="s">
        <v>199</v>
      </c>
      <c r="M652" s="52" t="s">
        <v>587</v>
      </c>
      <c r="N652" s="52"/>
      <c r="O652" s="88">
        <v>1117033</v>
      </c>
      <c r="P652" s="81">
        <v>1000</v>
      </c>
      <c r="Q652" s="33"/>
    </row>
    <row r="653" spans="2:18">
      <c r="B653">
        <v>5</v>
      </c>
      <c r="C653" s="41">
        <f>C652</f>
        <v>35</v>
      </c>
      <c r="D653" s="26" t="s">
        <v>485</v>
      </c>
      <c r="E653" s="27">
        <f>0.75*C652</f>
        <v>26.25</v>
      </c>
      <c r="F653" s="27">
        <f>SUM(F618:F650)</f>
        <v>37219892</v>
      </c>
      <c r="G653" s="27">
        <f>SUM(G618:G650)</f>
        <v>29784.133000000005</v>
      </c>
      <c r="H653" s="240">
        <f>G653-H626</f>
        <v>20784.133000000005</v>
      </c>
      <c r="L653" s="34" t="s">
        <v>200</v>
      </c>
      <c r="M653" s="52" t="s">
        <v>573</v>
      </c>
      <c r="N653" s="52"/>
      <c r="O653" s="88">
        <v>1105337</v>
      </c>
      <c r="P653" s="81">
        <v>1000</v>
      </c>
      <c r="Q653" s="33"/>
    </row>
    <row r="654" spans="2:18">
      <c r="L654" s="34" t="s">
        <v>201</v>
      </c>
      <c r="M654" s="52" t="s">
        <v>595</v>
      </c>
      <c r="N654" s="52"/>
      <c r="O654" s="88">
        <v>1086620</v>
      </c>
      <c r="P654" s="81">
        <v>1000</v>
      </c>
      <c r="Q654" s="36">
        <f>SUM(P645:P654)</f>
        <v>10000</v>
      </c>
    </row>
    <row r="655" spans="2:18">
      <c r="L655" s="34" t="s">
        <v>202</v>
      </c>
      <c r="M655" s="53" t="s">
        <v>676</v>
      </c>
      <c r="N655" s="53"/>
      <c r="O655" s="89">
        <v>2887223</v>
      </c>
      <c r="P655" s="82">
        <v>1000</v>
      </c>
      <c r="Q655" s="33"/>
    </row>
    <row r="656" spans="2:18">
      <c r="L656" s="34" t="s">
        <v>203</v>
      </c>
      <c r="M656" s="53" t="s">
        <v>576</v>
      </c>
      <c r="N656" s="53"/>
      <c r="O656" s="89">
        <v>2685900</v>
      </c>
      <c r="P656" s="82">
        <v>1000</v>
      </c>
      <c r="Q656" s="33"/>
    </row>
    <row r="657" spans="2:17" ht="15.75">
      <c r="B657">
        <v>6</v>
      </c>
      <c r="C657" s="217" t="s">
        <v>789</v>
      </c>
      <c r="D657" s="217"/>
      <c r="E657" s="217"/>
      <c r="F657" s="217"/>
      <c r="G657" s="217"/>
      <c r="H657" s="217"/>
      <c r="L657" s="34" t="s">
        <v>204</v>
      </c>
      <c r="M657" s="53" t="s">
        <v>578</v>
      </c>
      <c r="N657" s="53"/>
      <c r="O657" s="89">
        <v>2567718</v>
      </c>
      <c r="P657" s="82">
        <v>1000</v>
      </c>
      <c r="Q657" s="33"/>
    </row>
    <row r="658" spans="2:17">
      <c r="C658" s="216" t="s">
        <v>760</v>
      </c>
      <c r="D658" s="203" t="s">
        <v>739</v>
      </c>
      <c r="E658" s="203"/>
      <c r="F658" s="203" t="s">
        <v>738</v>
      </c>
      <c r="G658" s="203"/>
      <c r="H658" s="203"/>
      <c r="L658" s="34" t="s">
        <v>205</v>
      </c>
      <c r="M658" s="53" t="s">
        <v>584</v>
      </c>
      <c r="N658" s="53"/>
      <c r="O658" s="89">
        <v>2103401</v>
      </c>
      <c r="P658" s="82">
        <v>1000</v>
      </c>
      <c r="Q658" s="33"/>
    </row>
    <row r="659" spans="2:17" ht="90">
      <c r="C659" s="216"/>
      <c r="D659" s="68" t="s">
        <v>740</v>
      </c>
      <c r="E659" s="112" t="s">
        <v>743</v>
      </c>
      <c r="F659" s="112" t="s">
        <v>737</v>
      </c>
      <c r="G659" s="112" t="s">
        <v>751</v>
      </c>
      <c r="H659" s="69" t="s">
        <v>746</v>
      </c>
      <c r="L659" s="34" t="s">
        <v>206</v>
      </c>
      <c r="M659" s="53" t="s">
        <v>593</v>
      </c>
      <c r="N659" s="53"/>
      <c r="O659" s="89">
        <v>1731731</v>
      </c>
      <c r="P659" s="82">
        <v>1000</v>
      </c>
      <c r="Q659" s="33"/>
    </row>
    <row r="660" spans="2:17" ht="14.1" customHeight="1">
      <c r="C660" s="44">
        <v>1</v>
      </c>
      <c r="D660" s="156" t="s">
        <v>591</v>
      </c>
      <c r="E660" s="156"/>
      <c r="F660" s="157">
        <v>1315125</v>
      </c>
      <c r="G660" s="85">
        <v>1000</v>
      </c>
      <c r="H660" s="41"/>
      <c r="L660" s="34" t="s">
        <v>207</v>
      </c>
      <c r="M660" s="53" t="s">
        <v>575</v>
      </c>
      <c r="N660" s="53"/>
      <c r="O660" s="89">
        <v>1656020</v>
      </c>
      <c r="P660" s="82">
        <v>1000</v>
      </c>
      <c r="Q660" s="33"/>
    </row>
    <row r="661" spans="2:17" ht="14.1" customHeight="1">
      <c r="C661" s="44">
        <v>2</v>
      </c>
      <c r="D661" s="156" t="s">
        <v>574</v>
      </c>
      <c r="E661" s="156"/>
      <c r="F661" s="157">
        <v>1240322</v>
      </c>
      <c r="G661" s="85">
        <v>1000</v>
      </c>
      <c r="H661" s="41"/>
      <c r="L661" s="34" t="s">
        <v>208</v>
      </c>
      <c r="M661" s="53" t="s">
        <v>583</v>
      </c>
      <c r="N661" s="53"/>
      <c r="O661" s="89">
        <v>1619035</v>
      </c>
      <c r="P661" s="82">
        <v>1000</v>
      </c>
      <c r="Q661" s="33"/>
    </row>
    <row r="662" spans="2:17" ht="14.1" customHeight="1">
      <c r="C662" s="44">
        <v>3</v>
      </c>
      <c r="D662" s="156" t="s">
        <v>592</v>
      </c>
      <c r="E662" s="156"/>
      <c r="F662" s="157">
        <v>1209543</v>
      </c>
      <c r="G662" s="85">
        <v>1000</v>
      </c>
      <c r="H662" s="41"/>
      <c r="L662" s="34" t="s">
        <v>209</v>
      </c>
      <c r="M662" s="53" t="s">
        <v>579</v>
      </c>
      <c r="N662" s="53"/>
      <c r="O662" s="89">
        <v>1371509</v>
      </c>
      <c r="P662" s="82">
        <v>1000</v>
      </c>
      <c r="Q662" s="33"/>
    </row>
    <row r="663" spans="2:17" ht="14.1" customHeight="1">
      <c r="C663" s="44">
        <v>4</v>
      </c>
      <c r="D663" s="156" t="s">
        <v>582</v>
      </c>
      <c r="E663" s="156"/>
      <c r="F663" s="157">
        <v>1159965</v>
      </c>
      <c r="G663" s="85">
        <v>1000</v>
      </c>
      <c r="H663" s="41"/>
      <c r="L663" s="34" t="s">
        <v>210</v>
      </c>
      <c r="M663" s="53" t="s">
        <v>586</v>
      </c>
      <c r="N663" s="53"/>
      <c r="O663" s="89">
        <v>1335972</v>
      </c>
      <c r="P663" s="82">
        <v>1000</v>
      </c>
      <c r="Q663" s="33"/>
    </row>
    <row r="664" spans="2:17" ht="14.1" customHeight="1">
      <c r="C664" s="44">
        <v>5</v>
      </c>
      <c r="D664" s="156" t="s">
        <v>577</v>
      </c>
      <c r="E664" s="156"/>
      <c r="F664" s="157">
        <v>1137227</v>
      </c>
      <c r="G664" s="85">
        <v>1000</v>
      </c>
      <c r="H664" s="41"/>
      <c r="L664" s="34" t="s">
        <v>211</v>
      </c>
      <c r="M664" s="53" t="s">
        <v>594</v>
      </c>
      <c r="N664" s="53"/>
      <c r="O664" s="89">
        <v>1332664</v>
      </c>
      <c r="P664" s="82">
        <v>1000</v>
      </c>
      <c r="Q664" s="33"/>
    </row>
    <row r="665" spans="2:17" ht="14.1" customHeight="1">
      <c r="C665" s="44">
        <v>6</v>
      </c>
      <c r="D665" s="156" t="s">
        <v>598</v>
      </c>
      <c r="E665" s="156"/>
      <c r="F665" s="157">
        <v>1136632</v>
      </c>
      <c r="G665" s="85">
        <v>1000</v>
      </c>
      <c r="H665" s="41"/>
      <c r="L665" s="34" t="s">
        <v>212</v>
      </c>
      <c r="M665" s="53" t="s">
        <v>596</v>
      </c>
      <c r="N665" s="53"/>
      <c r="O665" s="89">
        <v>984162</v>
      </c>
      <c r="P665" s="82">
        <f t="shared" ref="P665:P682" si="62">(1/1000)*O665</f>
        <v>984.16200000000003</v>
      </c>
      <c r="Q665" s="33"/>
    </row>
    <row r="666" spans="2:17" ht="14.1" customHeight="1">
      <c r="C666" s="44">
        <v>7</v>
      </c>
      <c r="D666" s="156" t="s">
        <v>585</v>
      </c>
      <c r="E666" s="156"/>
      <c r="F666" s="157">
        <v>1133584</v>
      </c>
      <c r="G666" s="85">
        <v>1000</v>
      </c>
      <c r="H666" s="41"/>
      <c r="L666" s="34" t="s">
        <v>213</v>
      </c>
      <c r="M666" s="53" t="s">
        <v>571</v>
      </c>
      <c r="N666" s="53"/>
      <c r="O666" s="89">
        <v>964253</v>
      </c>
      <c r="P666" s="82">
        <f t="shared" si="62"/>
        <v>964.25300000000004</v>
      </c>
      <c r="Q666" s="33"/>
    </row>
    <row r="667" spans="2:17" ht="14.1" customHeight="1">
      <c r="C667" s="44">
        <v>8</v>
      </c>
      <c r="D667" s="156" t="s">
        <v>587</v>
      </c>
      <c r="E667" s="156"/>
      <c r="F667" s="157">
        <v>1117033</v>
      </c>
      <c r="G667" s="85">
        <v>1000</v>
      </c>
      <c r="H667" s="41"/>
      <c r="L667" s="34" t="s">
        <v>214</v>
      </c>
      <c r="M667" s="53" t="s">
        <v>590</v>
      </c>
      <c r="N667" s="53"/>
      <c r="O667" s="89">
        <v>877432</v>
      </c>
      <c r="P667" s="82">
        <f t="shared" si="62"/>
        <v>877.43200000000002</v>
      </c>
      <c r="Q667" s="33"/>
    </row>
    <row r="668" spans="2:17" ht="14.1" customHeight="1">
      <c r="C668" s="44">
        <v>9</v>
      </c>
      <c r="D668" s="156" t="s">
        <v>573</v>
      </c>
      <c r="E668" s="156"/>
      <c r="F668" s="157">
        <v>1105337</v>
      </c>
      <c r="G668" s="85">
        <v>1000</v>
      </c>
      <c r="H668" s="27">
        <f>SUM(G660:G668)</f>
        <v>9000</v>
      </c>
      <c r="L668" s="34" t="s">
        <v>219</v>
      </c>
      <c r="M668" s="53" t="s">
        <v>597</v>
      </c>
      <c r="N668" s="53"/>
      <c r="O668" s="89">
        <v>857818</v>
      </c>
      <c r="P668" s="82">
        <f t="shared" si="62"/>
        <v>857.81799999999998</v>
      </c>
      <c r="Q668" s="33"/>
    </row>
    <row r="669" spans="2:17" ht="14.1" customHeight="1">
      <c r="C669" s="44">
        <v>10</v>
      </c>
      <c r="D669" s="156" t="s">
        <v>676</v>
      </c>
      <c r="E669" s="156"/>
      <c r="F669" s="246">
        <v>2887223</v>
      </c>
      <c r="G669" s="240">
        <v>1000</v>
      </c>
      <c r="H669" s="41"/>
      <c r="L669" s="34" t="s">
        <v>372</v>
      </c>
      <c r="M669" s="53" t="s">
        <v>671</v>
      </c>
      <c r="N669" s="53"/>
      <c r="O669" s="89">
        <v>846126</v>
      </c>
      <c r="P669" s="82">
        <f t="shared" si="62"/>
        <v>846.12599999999998</v>
      </c>
      <c r="Q669" s="33"/>
    </row>
    <row r="670" spans="2:17" ht="14.1" customHeight="1">
      <c r="C670" s="44">
        <v>11</v>
      </c>
      <c r="D670" s="156" t="s">
        <v>576</v>
      </c>
      <c r="E670" s="156"/>
      <c r="F670" s="246">
        <v>2685900</v>
      </c>
      <c r="G670" s="240">
        <v>1000</v>
      </c>
      <c r="H670" s="41"/>
      <c r="L670" s="34" t="s">
        <v>373</v>
      </c>
      <c r="M670" s="53" t="s">
        <v>580</v>
      </c>
      <c r="N670" s="53"/>
      <c r="O670" s="89">
        <v>781417</v>
      </c>
      <c r="P670" s="82">
        <f t="shared" si="62"/>
        <v>781.41700000000003</v>
      </c>
      <c r="Q670" s="33"/>
    </row>
    <row r="671" spans="2:17" ht="14.1" customHeight="1">
      <c r="C671" s="44">
        <v>12</v>
      </c>
      <c r="D671" s="156" t="s">
        <v>578</v>
      </c>
      <c r="E671" s="156"/>
      <c r="F671" s="246">
        <v>2567718</v>
      </c>
      <c r="G671" s="240">
        <v>1000</v>
      </c>
      <c r="H671" s="41"/>
      <c r="L671" s="34" t="s">
        <v>374</v>
      </c>
      <c r="M671" s="53" t="s">
        <v>588</v>
      </c>
      <c r="N671" s="53"/>
      <c r="O671" s="89">
        <v>757665</v>
      </c>
      <c r="P671" s="82">
        <f t="shared" si="62"/>
        <v>757.66499999999996</v>
      </c>
      <c r="Q671" s="33"/>
    </row>
    <row r="672" spans="2:17" ht="14.1" customHeight="1">
      <c r="C672" s="44">
        <v>13</v>
      </c>
      <c r="D672" s="156" t="s">
        <v>584</v>
      </c>
      <c r="E672" s="156"/>
      <c r="F672" s="246">
        <v>2103401</v>
      </c>
      <c r="G672" s="240">
        <v>1000</v>
      </c>
      <c r="H672" s="41"/>
      <c r="L672" s="34" t="s">
        <v>375</v>
      </c>
      <c r="M672" s="53" t="s">
        <v>572</v>
      </c>
      <c r="N672" s="53"/>
      <c r="O672" s="89">
        <v>739669</v>
      </c>
      <c r="P672" s="82">
        <f t="shared" si="62"/>
        <v>739.66899999999998</v>
      </c>
      <c r="Q672" s="33"/>
    </row>
    <row r="673" spans="3:18" ht="14.1" customHeight="1">
      <c r="C673" s="44">
        <v>14</v>
      </c>
      <c r="D673" s="156" t="s">
        <v>593</v>
      </c>
      <c r="E673" s="156"/>
      <c r="F673" s="246">
        <v>1731731</v>
      </c>
      <c r="G673" s="240">
        <v>1000</v>
      </c>
      <c r="H673" s="41"/>
      <c r="L673" s="34" t="s">
        <v>376</v>
      </c>
      <c r="M673" s="53" t="s">
        <v>581</v>
      </c>
      <c r="N673" s="53"/>
      <c r="O673" s="89">
        <v>691260</v>
      </c>
      <c r="P673" s="82">
        <f t="shared" si="62"/>
        <v>691.26</v>
      </c>
      <c r="Q673" s="33"/>
    </row>
    <row r="674" spans="3:18" ht="14.1" customHeight="1">
      <c r="C674" s="44">
        <v>15</v>
      </c>
      <c r="D674" s="156" t="s">
        <v>575</v>
      </c>
      <c r="E674" s="156"/>
      <c r="F674" s="246">
        <v>1656020</v>
      </c>
      <c r="G674" s="240">
        <v>1000</v>
      </c>
      <c r="H674" s="41"/>
      <c r="L674" s="34" t="s">
        <v>377</v>
      </c>
      <c r="M674" s="53" t="s">
        <v>589</v>
      </c>
      <c r="N674" s="53"/>
      <c r="O674" s="89">
        <v>678343</v>
      </c>
      <c r="P674" s="82">
        <f t="shared" si="62"/>
        <v>678.34299999999996</v>
      </c>
      <c r="Q674" s="33"/>
    </row>
    <row r="675" spans="3:18" ht="14.1" customHeight="1">
      <c r="C675" s="44">
        <v>16</v>
      </c>
      <c r="D675" s="156" t="s">
        <v>583</v>
      </c>
      <c r="E675" s="156"/>
      <c r="F675" s="246">
        <v>1619035</v>
      </c>
      <c r="G675" s="240">
        <v>1000</v>
      </c>
      <c r="H675" s="41"/>
      <c r="L675" s="34" t="s">
        <v>378</v>
      </c>
      <c r="M675" s="53" t="s">
        <v>570</v>
      </c>
      <c r="N675" s="53"/>
      <c r="O675" s="89">
        <v>592916</v>
      </c>
      <c r="P675" s="82">
        <f t="shared" si="62"/>
        <v>592.91600000000005</v>
      </c>
      <c r="Q675" s="33"/>
    </row>
    <row r="676" spans="3:18" ht="14.1" customHeight="1">
      <c r="C676" s="44">
        <v>17</v>
      </c>
      <c r="D676" s="156" t="s">
        <v>579</v>
      </c>
      <c r="E676" s="156"/>
      <c r="F676" s="246">
        <v>1371509</v>
      </c>
      <c r="G676" s="240">
        <v>1000</v>
      </c>
      <c r="H676" s="41"/>
      <c r="L676" s="34" t="s">
        <v>379</v>
      </c>
      <c r="M676" s="53" t="s">
        <v>669</v>
      </c>
      <c r="N676" s="53"/>
      <c r="O676" s="89">
        <v>289418</v>
      </c>
      <c r="P676" s="82">
        <f t="shared" si="62"/>
        <v>289.41800000000001</v>
      </c>
      <c r="Q676" s="33"/>
    </row>
    <row r="677" spans="3:18" ht="14.1" customHeight="1">
      <c r="C677" s="44">
        <v>18</v>
      </c>
      <c r="D677" s="156" t="s">
        <v>586</v>
      </c>
      <c r="E677" s="156"/>
      <c r="F677" s="246">
        <v>1335972</v>
      </c>
      <c r="G677" s="240">
        <v>1000</v>
      </c>
      <c r="H677" s="41"/>
      <c r="L677" s="34" t="s">
        <v>380</v>
      </c>
      <c r="M677" s="53" t="s">
        <v>672</v>
      </c>
      <c r="N677" s="53"/>
      <c r="O677" s="89">
        <v>243200</v>
      </c>
      <c r="P677" s="82">
        <f t="shared" si="62"/>
        <v>243.20000000000002</v>
      </c>
      <c r="Q677" s="33"/>
    </row>
    <row r="678" spans="3:18" ht="14.1" customHeight="1">
      <c r="C678" s="44">
        <v>19</v>
      </c>
      <c r="D678" s="156" t="s">
        <v>594</v>
      </c>
      <c r="E678" s="156"/>
      <c r="F678" s="246">
        <v>1332664</v>
      </c>
      <c r="G678" s="240">
        <v>1000</v>
      </c>
      <c r="H678" s="41"/>
      <c r="L678" s="34" t="s">
        <v>639</v>
      </c>
      <c r="M678" s="53" t="s">
        <v>677</v>
      </c>
      <c r="N678" s="53"/>
      <c r="O678" s="89">
        <v>216735</v>
      </c>
      <c r="P678" s="82">
        <f t="shared" si="62"/>
        <v>216.73500000000001</v>
      </c>
      <c r="Q678" s="33"/>
    </row>
    <row r="679" spans="3:18" ht="14.1" customHeight="1">
      <c r="C679" s="44">
        <v>20</v>
      </c>
      <c r="D679" s="156" t="s">
        <v>595</v>
      </c>
      <c r="E679" s="156"/>
      <c r="F679" s="246">
        <v>1086620</v>
      </c>
      <c r="G679" s="240">
        <v>1000</v>
      </c>
      <c r="H679" s="41"/>
      <c r="L679" s="34" t="s">
        <v>640</v>
      </c>
      <c r="M679" s="53" t="s">
        <v>673</v>
      </c>
      <c r="N679" s="53"/>
      <c r="O679" s="89">
        <v>211497</v>
      </c>
      <c r="P679" s="82">
        <f t="shared" si="62"/>
        <v>211.49700000000001</v>
      </c>
      <c r="Q679" s="33"/>
    </row>
    <row r="680" spans="3:18" ht="14.1" customHeight="1">
      <c r="C680" s="44">
        <v>21</v>
      </c>
      <c r="D680" s="156" t="s">
        <v>596</v>
      </c>
      <c r="E680" s="156"/>
      <c r="F680" s="246">
        <v>984162</v>
      </c>
      <c r="G680" s="240">
        <f t="shared" ref="G680:G697" si="63">(1/1000)*F680</f>
        <v>984.16200000000003</v>
      </c>
      <c r="H680" s="41"/>
      <c r="L680" s="34" t="s">
        <v>641</v>
      </c>
      <c r="M680" s="53" t="s">
        <v>675</v>
      </c>
      <c r="N680" s="53"/>
      <c r="O680" s="89">
        <v>199192</v>
      </c>
      <c r="P680" s="82">
        <f t="shared" si="62"/>
        <v>199.19200000000001</v>
      </c>
      <c r="Q680" s="33"/>
    </row>
    <row r="681" spans="3:18" ht="14.1" customHeight="1">
      <c r="C681" s="44">
        <v>22</v>
      </c>
      <c r="D681" s="156" t="s">
        <v>571</v>
      </c>
      <c r="E681" s="156"/>
      <c r="F681" s="246">
        <v>964253</v>
      </c>
      <c r="G681" s="240">
        <f t="shared" si="63"/>
        <v>964.25300000000004</v>
      </c>
      <c r="H681" s="41"/>
      <c r="L681" s="34" t="s">
        <v>642</v>
      </c>
      <c r="M681" s="53" t="s">
        <v>670</v>
      </c>
      <c r="N681" s="53"/>
      <c r="O681" s="89">
        <v>151960</v>
      </c>
      <c r="P681" s="82">
        <f t="shared" si="62"/>
        <v>151.96</v>
      </c>
      <c r="Q681" s="33"/>
    </row>
    <row r="682" spans="3:18" ht="14.1" customHeight="1">
      <c r="C682" s="44">
        <v>23</v>
      </c>
      <c r="D682" s="156" t="s">
        <v>590</v>
      </c>
      <c r="E682" s="156"/>
      <c r="F682" s="246">
        <v>877432</v>
      </c>
      <c r="G682" s="240">
        <f t="shared" si="63"/>
        <v>877.43200000000002</v>
      </c>
      <c r="H682" s="41"/>
      <c r="L682" s="34" t="s">
        <v>643</v>
      </c>
      <c r="M682" s="53" t="s">
        <v>674</v>
      </c>
      <c r="N682" s="53"/>
      <c r="O682" s="89">
        <v>134350</v>
      </c>
      <c r="P682" s="82">
        <f t="shared" si="62"/>
        <v>134.35</v>
      </c>
      <c r="Q682" s="33"/>
    </row>
    <row r="683" spans="3:18" ht="14.1" customHeight="1">
      <c r="C683" s="44">
        <v>24</v>
      </c>
      <c r="D683" s="156" t="s">
        <v>597</v>
      </c>
      <c r="E683" s="156"/>
      <c r="F683" s="246">
        <v>857818</v>
      </c>
      <c r="G683" s="240">
        <f t="shared" si="63"/>
        <v>857.81799999999998</v>
      </c>
      <c r="H683" s="41"/>
      <c r="L683" s="34"/>
      <c r="M683" s="19" t="s">
        <v>599</v>
      </c>
      <c r="N683" s="19"/>
      <c r="O683" s="90">
        <f>SUM(O645:O682)</f>
        <v>41149974</v>
      </c>
      <c r="P683" s="36">
        <f>SUM(P645:P682)</f>
        <v>30217.413000000004</v>
      </c>
      <c r="Q683">
        <f>0.75*39</f>
        <v>29.25</v>
      </c>
      <c r="R683" s="46">
        <f>P683-Q654</f>
        <v>20217.413000000004</v>
      </c>
    </row>
    <row r="684" spans="3:18" ht="14.1" customHeight="1">
      <c r="C684" s="44">
        <v>25</v>
      </c>
      <c r="D684" s="156" t="s">
        <v>671</v>
      </c>
      <c r="E684" s="156"/>
      <c r="F684" s="246">
        <v>846126</v>
      </c>
      <c r="G684" s="240">
        <f t="shared" si="63"/>
        <v>846.12599999999998</v>
      </c>
      <c r="H684" s="41"/>
      <c r="L684" s="34"/>
      <c r="M684" s="19"/>
      <c r="N684" s="19"/>
      <c r="O684" s="90"/>
      <c r="P684" s="36"/>
      <c r="Q684" s="134">
        <v>29</v>
      </c>
      <c r="R684" s="46"/>
    </row>
    <row r="685" spans="3:18" ht="14.1" customHeight="1">
      <c r="C685" s="44">
        <v>26</v>
      </c>
      <c r="D685" s="156" t="s">
        <v>580</v>
      </c>
      <c r="E685" s="156"/>
      <c r="F685" s="246">
        <v>781417</v>
      </c>
      <c r="G685" s="240">
        <f t="shared" si="63"/>
        <v>781.41700000000003</v>
      </c>
      <c r="H685" s="41"/>
      <c r="L685" s="33">
        <f>L682+L640+L601+L592+L561+L552</f>
        <v>118</v>
      </c>
      <c r="M685" s="53" t="s">
        <v>712</v>
      </c>
      <c r="N685" s="53"/>
      <c r="O685" s="36">
        <f>O683+O641+O602+O593+O563+O553</f>
        <v>155909637</v>
      </c>
      <c r="P685" s="33"/>
      <c r="Q685" s="33">
        <f>Q684+Q642+Q603+Q594+Q564+Q553</f>
        <v>90</v>
      </c>
      <c r="R685" s="9">
        <f>R683+R641+R602+R593+R563+R553</f>
        <v>70772.096000000005</v>
      </c>
    </row>
    <row r="686" spans="3:18" ht="14.1" customHeight="1">
      <c r="C686" s="44">
        <v>27</v>
      </c>
      <c r="D686" s="156" t="s">
        <v>588</v>
      </c>
      <c r="E686" s="156"/>
      <c r="F686" s="246">
        <v>757665</v>
      </c>
      <c r="G686" s="240">
        <f t="shared" si="63"/>
        <v>757.66499999999996</v>
      </c>
      <c r="H686" s="41"/>
    </row>
    <row r="687" spans="3:18" ht="14.1" customHeight="1">
      <c r="C687" s="44">
        <v>28</v>
      </c>
      <c r="D687" s="156" t="s">
        <v>572</v>
      </c>
      <c r="E687" s="156"/>
      <c r="F687" s="246">
        <v>739669</v>
      </c>
      <c r="G687" s="240">
        <f t="shared" si="63"/>
        <v>739.66899999999998</v>
      </c>
      <c r="H687" s="41"/>
    </row>
    <row r="688" spans="3:18" ht="14.1" customHeight="1">
      <c r="C688" s="44">
        <v>29</v>
      </c>
      <c r="D688" s="156" t="s">
        <v>581</v>
      </c>
      <c r="E688" s="156"/>
      <c r="F688" s="246">
        <v>691260</v>
      </c>
      <c r="G688" s="240">
        <f t="shared" si="63"/>
        <v>691.26</v>
      </c>
      <c r="H688" s="41"/>
    </row>
    <row r="689" spans="2:17" ht="14.1" customHeight="1">
      <c r="C689" s="44">
        <v>30</v>
      </c>
      <c r="D689" s="156" t="s">
        <v>589</v>
      </c>
      <c r="E689" s="156"/>
      <c r="F689" s="246">
        <v>678343</v>
      </c>
      <c r="G689" s="240">
        <f t="shared" si="63"/>
        <v>678.34299999999996</v>
      </c>
      <c r="H689" s="41"/>
    </row>
    <row r="690" spans="2:17" ht="14.1" customHeight="1">
      <c r="C690" s="44">
        <v>31</v>
      </c>
      <c r="D690" s="156" t="s">
        <v>570</v>
      </c>
      <c r="E690" s="156"/>
      <c r="F690" s="246">
        <v>592916</v>
      </c>
      <c r="G690" s="240">
        <f t="shared" si="63"/>
        <v>592.91600000000005</v>
      </c>
      <c r="H690" s="41"/>
    </row>
    <row r="691" spans="2:17" ht="14.1" customHeight="1">
      <c r="C691" s="44">
        <v>32</v>
      </c>
      <c r="D691" s="156" t="s">
        <v>669</v>
      </c>
      <c r="E691" s="156"/>
      <c r="F691" s="246">
        <v>289418</v>
      </c>
      <c r="G691" s="240">
        <f t="shared" si="63"/>
        <v>289.41800000000001</v>
      </c>
      <c r="H691" s="41"/>
    </row>
    <row r="692" spans="2:17" ht="14.1" customHeight="1">
      <c r="C692" s="44">
        <v>33</v>
      </c>
      <c r="D692" s="156" t="s">
        <v>672</v>
      </c>
      <c r="E692" s="156"/>
      <c r="F692" s="246">
        <v>243200</v>
      </c>
      <c r="G692" s="240">
        <f t="shared" si="63"/>
        <v>243.20000000000002</v>
      </c>
      <c r="H692" s="41"/>
    </row>
    <row r="693" spans="2:17" ht="14.1" customHeight="1">
      <c r="C693" s="44">
        <v>34</v>
      </c>
      <c r="D693" s="156" t="s">
        <v>677</v>
      </c>
      <c r="E693" s="156"/>
      <c r="F693" s="246">
        <v>216735</v>
      </c>
      <c r="G693" s="240">
        <f t="shared" si="63"/>
        <v>216.73500000000001</v>
      </c>
      <c r="H693" s="41"/>
    </row>
    <row r="694" spans="2:17" ht="14.1" customHeight="1">
      <c r="C694" s="44">
        <v>35</v>
      </c>
      <c r="D694" s="156" t="s">
        <v>673</v>
      </c>
      <c r="E694" s="156"/>
      <c r="F694" s="246">
        <v>211497</v>
      </c>
      <c r="G694" s="240">
        <f t="shared" si="63"/>
        <v>211.49700000000001</v>
      </c>
      <c r="H694" s="41"/>
    </row>
    <row r="695" spans="2:17" ht="14.1" customHeight="1">
      <c r="C695" s="44">
        <v>36</v>
      </c>
      <c r="D695" s="156" t="s">
        <v>675</v>
      </c>
      <c r="E695" s="156"/>
      <c r="F695" s="246">
        <v>199192</v>
      </c>
      <c r="G695" s="240">
        <f t="shared" si="63"/>
        <v>199.19200000000001</v>
      </c>
      <c r="H695" s="26"/>
    </row>
    <row r="696" spans="2:17" ht="14.1" customHeight="1">
      <c r="C696" s="44">
        <v>37</v>
      </c>
      <c r="D696" s="156" t="s">
        <v>670</v>
      </c>
      <c r="E696" s="156"/>
      <c r="F696" s="246">
        <v>151960</v>
      </c>
      <c r="G696" s="240">
        <f t="shared" si="63"/>
        <v>151.96</v>
      </c>
      <c r="H696" s="26"/>
    </row>
    <row r="697" spans="2:17" ht="14.1" customHeight="1">
      <c r="C697" s="44">
        <v>38</v>
      </c>
      <c r="D697" s="156" t="s">
        <v>674</v>
      </c>
      <c r="E697" s="156"/>
      <c r="F697" s="246">
        <v>134350</v>
      </c>
      <c r="G697" s="240">
        <f t="shared" si="63"/>
        <v>134.35</v>
      </c>
      <c r="H697" s="26"/>
    </row>
    <row r="698" spans="2:17" ht="14.1" customHeight="1">
      <c r="B698">
        <v>6</v>
      </c>
      <c r="C698" s="41">
        <f>C697</f>
        <v>38</v>
      </c>
      <c r="D698" s="156" t="s">
        <v>486</v>
      </c>
      <c r="E698" s="27">
        <f>0.75*C697</f>
        <v>28.5</v>
      </c>
      <c r="F698" s="27">
        <f>SUM(F660:F697)</f>
        <v>41149974</v>
      </c>
      <c r="G698" s="27">
        <f>SUM(G660:G697)</f>
        <v>30217.413000000004</v>
      </c>
      <c r="H698" s="240">
        <f>G698-H668</f>
        <v>21217.413000000004</v>
      </c>
    </row>
    <row r="700" spans="2:17">
      <c r="B700">
        <f>B657</f>
        <v>6</v>
      </c>
      <c r="C700" s="133">
        <f>W579</f>
        <v>119</v>
      </c>
      <c r="D700" s="134" t="s">
        <v>664</v>
      </c>
      <c r="E700" s="172">
        <f>Y579</f>
        <v>89.25</v>
      </c>
      <c r="F700" s="172">
        <f>Z579</f>
        <v>155588567</v>
      </c>
      <c r="G700" s="172">
        <f>AA579</f>
        <v>99451.025999999998</v>
      </c>
      <c r="H700" s="172">
        <f>AB579</f>
        <v>70451.026000000013</v>
      </c>
    </row>
    <row r="702" spans="2:17">
      <c r="L702" s="60" t="s">
        <v>487</v>
      </c>
      <c r="M702" s="61" t="s">
        <v>678</v>
      </c>
      <c r="N702" s="61"/>
      <c r="O702" s="60" t="s">
        <v>690</v>
      </c>
      <c r="P702" s="106" t="s">
        <v>667</v>
      </c>
      <c r="Q702" s="33"/>
    </row>
    <row r="703" spans="2:17">
      <c r="L703" s="34" t="s">
        <v>192</v>
      </c>
      <c r="M703" s="20" t="s">
        <v>608</v>
      </c>
      <c r="N703" s="20"/>
      <c r="O703" s="91">
        <v>820480</v>
      </c>
      <c r="P703" s="107">
        <f t="shared" ref="P703:P711" si="64">(1/1000)*O703</f>
        <v>820.48</v>
      </c>
      <c r="Q703" s="55"/>
    </row>
    <row r="704" spans="2:17">
      <c r="C704" s="205" t="s">
        <v>790</v>
      </c>
      <c r="D704" s="206"/>
      <c r="E704" s="206"/>
      <c r="F704" s="206"/>
      <c r="G704" s="206"/>
      <c r="H704" s="207"/>
      <c r="L704" s="34" t="s">
        <v>193</v>
      </c>
      <c r="M704" s="20" t="s">
        <v>609</v>
      </c>
      <c r="N704" s="20"/>
      <c r="O704" s="92">
        <v>762480</v>
      </c>
      <c r="P704" s="107">
        <f t="shared" si="64"/>
        <v>762.48</v>
      </c>
      <c r="Q704" s="55"/>
    </row>
    <row r="705" spans="2:28" ht="15.75">
      <c r="B705">
        <v>1</v>
      </c>
      <c r="C705" s="211" t="s">
        <v>791</v>
      </c>
      <c r="D705" s="214"/>
      <c r="E705" s="214"/>
      <c r="F705" s="214"/>
      <c r="G705" s="214"/>
      <c r="H705" s="212"/>
      <c r="L705" s="34" t="s">
        <v>194</v>
      </c>
      <c r="M705" s="20" t="s">
        <v>603</v>
      </c>
      <c r="N705" s="20"/>
      <c r="O705" s="93">
        <v>573700</v>
      </c>
      <c r="P705" s="108">
        <f t="shared" si="64"/>
        <v>573.70000000000005</v>
      </c>
      <c r="Q705" s="38">
        <f>SUM(P703:P704)</f>
        <v>1582.96</v>
      </c>
    </row>
    <row r="706" spans="2:28">
      <c r="C706" s="227" t="s">
        <v>767</v>
      </c>
      <c r="D706" s="203" t="s">
        <v>739</v>
      </c>
      <c r="E706" s="203"/>
      <c r="F706" s="203" t="s">
        <v>738</v>
      </c>
      <c r="G706" s="203"/>
      <c r="H706" s="203"/>
      <c r="L706" s="34" t="s">
        <v>195</v>
      </c>
      <c r="M706" s="20" t="s">
        <v>604</v>
      </c>
      <c r="N706" s="20"/>
      <c r="O706" s="94">
        <v>530120</v>
      </c>
      <c r="P706" s="108">
        <f t="shared" si="64"/>
        <v>530.12</v>
      </c>
      <c r="Q706" s="55"/>
    </row>
    <row r="707" spans="2:28" ht="90">
      <c r="C707" s="228"/>
      <c r="D707" s="68" t="s">
        <v>740</v>
      </c>
      <c r="E707" s="112" t="s">
        <v>743</v>
      </c>
      <c r="F707" s="112" t="s">
        <v>737</v>
      </c>
      <c r="G707" s="112" t="s">
        <v>751</v>
      </c>
      <c r="H707" s="69" t="s">
        <v>746</v>
      </c>
      <c r="L707" s="34" t="s">
        <v>196</v>
      </c>
      <c r="M707" s="20" t="s">
        <v>607</v>
      </c>
      <c r="N707" s="20"/>
      <c r="O707" s="93">
        <v>504610</v>
      </c>
      <c r="P707" s="108">
        <f t="shared" si="64"/>
        <v>504.61</v>
      </c>
      <c r="Q707" s="55"/>
    </row>
    <row r="708" spans="2:28">
      <c r="C708" s="44">
        <v>1</v>
      </c>
      <c r="D708" s="20" t="s">
        <v>608</v>
      </c>
      <c r="E708" s="20"/>
      <c r="F708" s="91">
        <v>820480</v>
      </c>
      <c r="G708" s="107">
        <f t="shared" ref="G708:G716" si="65">(1/1000)*F708</f>
        <v>820.48</v>
      </c>
      <c r="H708" s="55"/>
      <c r="L708" s="34" t="s">
        <v>197</v>
      </c>
      <c r="M708" s="20" t="s">
        <v>602</v>
      </c>
      <c r="N708" s="20"/>
      <c r="O708" s="94">
        <v>469130</v>
      </c>
      <c r="P708" s="108">
        <f t="shared" si="64"/>
        <v>469.13</v>
      </c>
      <c r="Q708" s="55"/>
    </row>
    <row r="709" spans="2:28">
      <c r="C709" s="44">
        <v>2</v>
      </c>
      <c r="D709" s="20" t="s">
        <v>609</v>
      </c>
      <c r="E709" s="20"/>
      <c r="F709" s="92">
        <v>762480</v>
      </c>
      <c r="G709" s="107">
        <f t="shared" si="65"/>
        <v>762.48</v>
      </c>
      <c r="H709" s="55"/>
      <c r="L709" s="34" t="s">
        <v>198</v>
      </c>
      <c r="M709" s="20" t="s">
        <v>601</v>
      </c>
      <c r="N709" s="20"/>
      <c r="O709" s="94">
        <v>327710</v>
      </c>
      <c r="P709" s="108">
        <f t="shared" si="64"/>
        <v>327.71</v>
      </c>
      <c r="Q709" s="55"/>
    </row>
    <row r="710" spans="2:28">
      <c r="C710" s="44">
        <v>3</v>
      </c>
      <c r="D710" s="20" t="s">
        <v>603</v>
      </c>
      <c r="E710" s="20"/>
      <c r="F710" s="247">
        <v>573700</v>
      </c>
      <c r="G710" s="248">
        <f t="shared" si="65"/>
        <v>573.70000000000005</v>
      </c>
      <c r="H710" s="38">
        <f>SUM(G708:G709)</f>
        <v>1582.96</v>
      </c>
      <c r="L710" s="34" t="s">
        <v>199</v>
      </c>
      <c r="M710" s="20" t="s">
        <v>606</v>
      </c>
      <c r="N710" s="20"/>
      <c r="O710" s="94">
        <v>263170</v>
      </c>
      <c r="P710" s="108">
        <f t="shared" si="64"/>
        <v>263.17</v>
      </c>
      <c r="Q710" s="55"/>
    </row>
    <row r="711" spans="2:28">
      <c r="C711" s="44">
        <v>4</v>
      </c>
      <c r="D711" s="20" t="s">
        <v>604</v>
      </c>
      <c r="E711" s="20"/>
      <c r="F711" s="248">
        <v>530120</v>
      </c>
      <c r="G711" s="248">
        <f t="shared" si="65"/>
        <v>530.12</v>
      </c>
      <c r="H711" s="55"/>
      <c r="L711" s="34" t="s">
        <v>200</v>
      </c>
      <c r="M711" s="20" t="s">
        <v>605</v>
      </c>
      <c r="N711" s="20"/>
      <c r="O711" s="94">
        <v>209870</v>
      </c>
      <c r="P711" s="108">
        <f t="shared" si="64"/>
        <v>209.87</v>
      </c>
      <c r="Q711" s="55"/>
      <c r="V711">
        <v>1</v>
      </c>
      <c r="W711">
        <v>9</v>
      </c>
      <c r="X711" t="s">
        <v>791</v>
      </c>
      <c r="Y711" s="9">
        <v>6.75</v>
      </c>
      <c r="Z711" s="9">
        <v>4461270</v>
      </c>
      <c r="AA711" s="9">
        <v>4461.2699999999995</v>
      </c>
      <c r="AB711" s="9">
        <v>2878.3099999999995</v>
      </c>
    </row>
    <row r="712" spans="2:28">
      <c r="C712" s="44">
        <v>5</v>
      </c>
      <c r="D712" s="20" t="s">
        <v>607</v>
      </c>
      <c r="E712" s="20"/>
      <c r="F712" s="247">
        <v>504610</v>
      </c>
      <c r="G712" s="248">
        <f t="shared" si="65"/>
        <v>504.61</v>
      </c>
      <c r="H712" s="55"/>
      <c r="L712" s="33"/>
      <c r="M712" s="20"/>
      <c r="N712" s="20"/>
      <c r="O712" s="95">
        <f>SUM(O703:O711)</f>
        <v>4461270</v>
      </c>
      <c r="P712" s="38">
        <f>SUM(P703:P711)</f>
        <v>4461.2699999999995</v>
      </c>
      <c r="Q712" s="55"/>
      <c r="V712">
        <v>2</v>
      </c>
      <c r="W712">
        <v>10</v>
      </c>
      <c r="X712" t="s">
        <v>793</v>
      </c>
      <c r="Y712" s="9">
        <v>7.5</v>
      </c>
      <c r="Z712" s="9">
        <v>5731107</v>
      </c>
      <c r="AA712" s="9">
        <v>5163.9720000000007</v>
      </c>
      <c r="AB712" s="9">
        <v>3163.9720000000007</v>
      </c>
    </row>
    <row r="713" spans="2:28">
      <c r="C713" s="44">
        <v>6</v>
      </c>
      <c r="D713" s="20" t="s">
        <v>602</v>
      </c>
      <c r="E713" s="20"/>
      <c r="F713" s="248">
        <v>469130</v>
      </c>
      <c r="G713" s="248">
        <f t="shared" si="65"/>
        <v>469.13</v>
      </c>
      <c r="H713" s="55"/>
      <c r="L713" s="33"/>
      <c r="M713" s="54" t="s">
        <v>610</v>
      </c>
      <c r="N713" s="54"/>
      <c r="O713" s="96"/>
      <c r="P713" s="109"/>
      <c r="Q713" s="55">
        <f>0.75*9</f>
        <v>6.75</v>
      </c>
      <c r="V713">
        <v>3</v>
      </c>
      <c r="W713">
        <v>22</v>
      </c>
      <c r="X713" t="s">
        <v>794</v>
      </c>
      <c r="Y713" s="9">
        <v>16.5</v>
      </c>
      <c r="Z713" s="9">
        <v>2871307</v>
      </c>
      <c r="AA713" s="9">
        <v>2871.3069999999998</v>
      </c>
      <c r="AB713" s="9">
        <v>1849.17</v>
      </c>
    </row>
    <row r="714" spans="2:28">
      <c r="C714" s="44">
        <v>7</v>
      </c>
      <c r="D714" s="20" t="s">
        <v>601</v>
      </c>
      <c r="E714" s="20"/>
      <c r="F714" s="248">
        <v>327710</v>
      </c>
      <c r="G714" s="248">
        <f t="shared" si="65"/>
        <v>327.71</v>
      </c>
      <c r="H714" s="55"/>
      <c r="L714" s="33"/>
      <c r="O714" s="33"/>
      <c r="P714" s="33"/>
      <c r="Q714" s="133">
        <v>7</v>
      </c>
      <c r="W714">
        <f>SUM(W711:W713)</f>
        <v>41</v>
      </c>
      <c r="Y714" s="9">
        <f>SUM(Y711:Y713)</f>
        <v>30.75</v>
      </c>
      <c r="Z714" s="9">
        <f t="shared" ref="Z714:AB714" si="66">SUM(Z711:Z713)</f>
        <v>13063684</v>
      </c>
      <c r="AA714" s="9">
        <f t="shared" si="66"/>
        <v>12496.548999999999</v>
      </c>
      <c r="AB714" s="9">
        <f t="shared" si="66"/>
        <v>7891.4520000000002</v>
      </c>
    </row>
    <row r="715" spans="2:28">
      <c r="C715" s="139">
        <v>8</v>
      </c>
      <c r="D715" s="20" t="s">
        <v>606</v>
      </c>
      <c r="E715" s="20"/>
      <c r="F715" s="248">
        <v>263170</v>
      </c>
      <c r="G715" s="248">
        <f t="shared" si="65"/>
        <v>263.17</v>
      </c>
      <c r="H715" s="55"/>
    </row>
    <row r="716" spans="2:28">
      <c r="C716" s="44">
        <v>9</v>
      </c>
      <c r="D716" s="20" t="s">
        <v>605</v>
      </c>
      <c r="E716" s="20"/>
      <c r="F716" s="248">
        <v>209870</v>
      </c>
      <c r="G716" s="248">
        <f t="shared" si="65"/>
        <v>209.87</v>
      </c>
      <c r="H716" s="55"/>
    </row>
    <row r="717" spans="2:28">
      <c r="B717">
        <v>1</v>
      </c>
      <c r="C717" s="41">
        <f>C716</f>
        <v>9</v>
      </c>
      <c r="D717" s="26" t="s">
        <v>791</v>
      </c>
      <c r="E717" s="71">
        <f>0.75*C716</f>
        <v>6.75</v>
      </c>
      <c r="F717" s="27">
        <f>SUM(F708:F716)</f>
        <v>4461270</v>
      </c>
      <c r="G717" s="27">
        <f>SUM(G708:G716)</f>
        <v>4461.2699999999995</v>
      </c>
      <c r="H717" s="240">
        <f>G717-G709-G708</f>
        <v>2878.3099999999995</v>
      </c>
    </row>
    <row r="718" spans="2:28" ht="15.75" thickBot="1">
      <c r="L718" s="55"/>
      <c r="M718" s="55" t="s">
        <v>613</v>
      </c>
      <c r="N718" s="55"/>
      <c r="O718" s="55"/>
      <c r="P718" s="55"/>
      <c r="Q718" s="55"/>
    </row>
    <row r="719" spans="2:28" ht="15.75" thickBot="1">
      <c r="L719" s="57" t="s">
        <v>192</v>
      </c>
      <c r="M719" s="58" t="s">
        <v>680</v>
      </c>
      <c r="N719" s="111"/>
      <c r="O719" s="97">
        <v>1437357</v>
      </c>
      <c r="P719" s="107">
        <v>1000</v>
      </c>
      <c r="Q719" s="55"/>
    </row>
    <row r="720" spans="2:28" ht="15.75" thickBot="1">
      <c r="L720" s="57" t="s">
        <v>193</v>
      </c>
      <c r="M720" s="58" t="s">
        <v>681</v>
      </c>
      <c r="N720" s="111"/>
      <c r="O720" s="97">
        <v>1129778</v>
      </c>
      <c r="P720" s="107">
        <v>1000</v>
      </c>
      <c r="Q720" s="55"/>
    </row>
    <row r="721" spans="2:17" ht="16.5" thickBot="1">
      <c r="B721">
        <v>2</v>
      </c>
      <c r="C721" s="211" t="s">
        <v>792</v>
      </c>
      <c r="D721" s="214"/>
      <c r="E721" s="214"/>
      <c r="F721" s="214"/>
      <c r="G721" s="214"/>
      <c r="H721" s="212"/>
      <c r="L721" s="57" t="s">
        <v>194</v>
      </c>
      <c r="M721" s="58" t="s">
        <v>682</v>
      </c>
      <c r="N721" s="111"/>
      <c r="O721" s="98">
        <v>776300</v>
      </c>
      <c r="P721" s="38">
        <f t="shared" ref="P721:P728" si="67">O721/1000</f>
        <v>776.3</v>
      </c>
      <c r="Q721" s="38">
        <f>SUM(P719:P720)</f>
        <v>2000</v>
      </c>
    </row>
    <row r="722" spans="2:17" ht="15.75" thickBot="1">
      <c r="C722" s="227" t="s">
        <v>767</v>
      </c>
      <c r="D722" s="203" t="s">
        <v>739</v>
      </c>
      <c r="E722" s="203"/>
      <c r="F722" s="203" t="s">
        <v>738</v>
      </c>
      <c r="G722" s="203"/>
      <c r="H722" s="203"/>
      <c r="L722" s="57" t="s">
        <v>195</v>
      </c>
      <c r="M722" s="58" t="s">
        <v>683</v>
      </c>
      <c r="N722" s="111"/>
      <c r="O722" s="98">
        <v>551404</v>
      </c>
      <c r="P722" s="38">
        <f t="shared" si="67"/>
        <v>551.404</v>
      </c>
      <c r="Q722" s="55"/>
    </row>
    <row r="723" spans="2:17" ht="90.75" thickBot="1">
      <c r="C723" s="229"/>
      <c r="D723" s="150" t="s">
        <v>740</v>
      </c>
      <c r="E723" s="137" t="s">
        <v>743</v>
      </c>
      <c r="F723" s="137" t="s">
        <v>737</v>
      </c>
      <c r="G723" s="137" t="s">
        <v>751</v>
      </c>
      <c r="H723" s="151" t="s">
        <v>746</v>
      </c>
      <c r="L723" s="57" t="s">
        <v>196</v>
      </c>
      <c r="M723" s="58" t="s">
        <v>684</v>
      </c>
      <c r="N723" s="111"/>
      <c r="O723" s="98">
        <v>543676</v>
      </c>
      <c r="P723" s="38">
        <f t="shared" si="67"/>
        <v>543.67600000000004</v>
      </c>
      <c r="Q723" s="55"/>
    </row>
    <row r="724" spans="2:17" ht="18.95" customHeight="1" thickBot="1">
      <c r="C724" s="44">
        <v>1</v>
      </c>
      <c r="D724" s="158" t="s">
        <v>680</v>
      </c>
      <c r="E724" s="158"/>
      <c r="F724" s="159">
        <v>1437357</v>
      </c>
      <c r="G724" s="160">
        <v>1000</v>
      </c>
      <c r="H724" s="161"/>
      <c r="L724" s="57" t="s">
        <v>197</v>
      </c>
      <c r="M724" s="58" t="s">
        <v>685</v>
      </c>
      <c r="N724" s="111"/>
      <c r="O724" s="98">
        <v>448775</v>
      </c>
      <c r="P724" s="38">
        <f t="shared" si="67"/>
        <v>448.77499999999998</v>
      </c>
      <c r="Q724" s="55"/>
    </row>
    <row r="725" spans="2:17" ht="27" customHeight="1" thickBot="1">
      <c r="C725" s="44">
        <v>2</v>
      </c>
      <c r="D725" s="158" t="s">
        <v>681</v>
      </c>
      <c r="E725" s="158"/>
      <c r="F725" s="159">
        <v>1129778</v>
      </c>
      <c r="G725" s="160">
        <v>1000</v>
      </c>
      <c r="H725" s="161"/>
      <c r="L725" s="57" t="s">
        <v>198</v>
      </c>
      <c r="M725" s="58" t="s">
        <v>686</v>
      </c>
      <c r="N725" s="111"/>
      <c r="O725" s="98">
        <v>265176</v>
      </c>
      <c r="P725" s="38">
        <f t="shared" si="67"/>
        <v>265.17599999999999</v>
      </c>
      <c r="Q725" s="55"/>
    </row>
    <row r="726" spans="2:17" ht="18.95" customHeight="1" thickBot="1">
      <c r="C726" s="44">
        <v>3</v>
      </c>
      <c r="D726" s="158" t="s">
        <v>682</v>
      </c>
      <c r="E726" s="158"/>
      <c r="F726" s="249">
        <v>776300</v>
      </c>
      <c r="G726" s="250">
        <f t="shared" ref="G726:G733" si="68">F726/1000</f>
        <v>776.3</v>
      </c>
      <c r="H726" s="162">
        <f>SUM(G724:G725)</f>
        <v>2000</v>
      </c>
      <c r="L726" s="57" t="s">
        <v>199</v>
      </c>
      <c r="M726" s="58" t="s">
        <v>687</v>
      </c>
      <c r="N726" s="111"/>
      <c r="O726" s="98">
        <v>254667</v>
      </c>
      <c r="P726" s="38">
        <f t="shared" si="67"/>
        <v>254.667</v>
      </c>
      <c r="Q726" s="55"/>
    </row>
    <row r="727" spans="2:17" ht="18.95" customHeight="1" thickBot="1">
      <c r="C727" s="44">
        <v>4</v>
      </c>
      <c r="D727" s="158" t="s">
        <v>683</v>
      </c>
      <c r="E727" s="158"/>
      <c r="F727" s="249">
        <v>551404</v>
      </c>
      <c r="G727" s="250">
        <f t="shared" si="68"/>
        <v>551.404</v>
      </c>
      <c r="H727" s="161"/>
      <c r="L727" s="57" t="s">
        <v>200</v>
      </c>
      <c r="M727" s="58" t="s">
        <v>611</v>
      </c>
      <c r="N727" s="111"/>
      <c r="O727" s="98">
        <v>165844</v>
      </c>
      <c r="P727" s="38">
        <f t="shared" si="67"/>
        <v>165.84399999999999</v>
      </c>
      <c r="Q727" s="55"/>
    </row>
    <row r="728" spans="2:17" ht="18.95" customHeight="1" thickBot="1">
      <c r="C728" s="44">
        <v>5</v>
      </c>
      <c r="D728" s="158" t="s">
        <v>684</v>
      </c>
      <c r="E728" s="158"/>
      <c r="F728" s="249">
        <v>543676</v>
      </c>
      <c r="G728" s="250">
        <f t="shared" si="68"/>
        <v>543.67600000000004</v>
      </c>
      <c r="H728" s="161"/>
      <c r="L728" s="57" t="s">
        <v>201</v>
      </c>
      <c r="M728" s="58" t="s">
        <v>612</v>
      </c>
      <c r="N728" s="111"/>
      <c r="O728" s="98">
        <v>158130</v>
      </c>
      <c r="P728" s="38">
        <f t="shared" si="67"/>
        <v>158.13</v>
      </c>
      <c r="Q728" s="55"/>
    </row>
    <row r="729" spans="2:17" ht="18.95" customHeight="1" thickBot="1">
      <c r="C729" s="44">
        <v>6</v>
      </c>
      <c r="D729" s="158" t="s">
        <v>685</v>
      </c>
      <c r="E729" s="158"/>
      <c r="F729" s="249">
        <v>448775</v>
      </c>
      <c r="G729" s="250">
        <f t="shared" si="68"/>
        <v>448.77499999999998</v>
      </c>
      <c r="H729" s="161"/>
      <c r="L729" s="55"/>
      <c r="M729" s="58"/>
      <c r="N729" s="111"/>
      <c r="O729" s="98">
        <f>SUM(O719:O728)</f>
        <v>5731107</v>
      </c>
      <c r="P729" s="38">
        <f>SUM(P719:P728)</f>
        <v>5163.9720000000007</v>
      </c>
      <c r="Q729" s="55">
        <f>0.75*10</f>
        <v>7.5</v>
      </c>
    </row>
    <row r="730" spans="2:17" ht="18.95" customHeight="1">
      <c r="C730" s="44">
        <v>7</v>
      </c>
      <c r="D730" s="158" t="s">
        <v>686</v>
      </c>
      <c r="E730" s="158"/>
      <c r="F730" s="249">
        <v>265176</v>
      </c>
      <c r="G730" s="250">
        <f t="shared" si="68"/>
        <v>265.17599999999999</v>
      </c>
      <c r="H730" s="161"/>
      <c r="L730" s="55"/>
      <c r="M730" s="58" t="s">
        <v>613</v>
      </c>
      <c r="N730" s="111"/>
      <c r="O730" s="99" t="s">
        <v>614</v>
      </c>
      <c r="P730" s="55"/>
      <c r="Q730" s="135">
        <v>8</v>
      </c>
    </row>
    <row r="731" spans="2:17" ht="18.95" customHeight="1">
      <c r="C731" s="139">
        <v>8</v>
      </c>
      <c r="D731" s="158" t="s">
        <v>687</v>
      </c>
      <c r="E731" s="158"/>
      <c r="F731" s="249">
        <v>254667</v>
      </c>
      <c r="G731" s="250">
        <f t="shared" si="68"/>
        <v>254.667</v>
      </c>
      <c r="H731" s="161"/>
      <c r="L731" s="55"/>
      <c r="M731" s="23"/>
      <c r="N731" s="23"/>
      <c r="O731" s="55"/>
      <c r="P731" s="55"/>
      <c r="Q731" s="55"/>
    </row>
    <row r="732" spans="2:17" ht="18.95" customHeight="1">
      <c r="C732" s="44">
        <v>9</v>
      </c>
      <c r="D732" s="158" t="s">
        <v>611</v>
      </c>
      <c r="E732" s="158"/>
      <c r="F732" s="249">
        <v>165844</v>
      </c>
      <c r="G732" s="250">
        <f t="shared" si="68"/>
        <v>165.84399999999999</v>
      </c>
      <c r="H732" s="161"/>
      <c r="L732" s="55"/>
      <c r="M732" s="23"/>
      <c r="N732" s="23"/>
      <c r="O732" s="55"/>
      <c r="P732" s="55"/>
      <c r="Q732" s="55"/>
    </row>
    <row r="733" spans="2:17" ht="18.95" customHeight="1">
      <c r="C733" s="139">
        <v>10</v>
      </c>
      <c r="D733" s="158" t="s">
        <v>612</v>
      </c>
      <c r="E733" s="158"/>
      <c r="F733" s="249">
        <v>158130</v>
      </c>
      <c r="G733" s="250">
        <f t="shared" si="68"/>
        <v>158.13</v>
      </c>
      <c r="H733" s="161"/>
      <c r="L733" s="55"/>
      <c r="M733" s="23"/>
      <c r="N733" s="23"/>
      <c r="O733" s="55"/>
      <c r="P733" s="55"/>
      <c r="Q733" s="55"/>
    </row>
    <row r="734" spans="2:17" ht="18.95" customHeight="1">
      <c r="B734">
        <v>2</v>
      </c>
      <c r="C734" s="41">
        <f>C733</f>
        <v>10</v>
      </c>
      <c r="D734" s="26" t="s">
        <v>825</v>
      </c>
      <c r="E734" s="71">
        <f>0.75*C733</f>
        <v>7.5</v>
      </c>
      <c r="F734" s="27">
        <f>SUM(F724:F733)</f>
        <v>5731107</v>
      </c>
      <c r="G734" s="27">
        <f>SUM(G724:G733)</f>
        <v>5163.9720000000007</v>
      </c>
      <c r="H734" s="240">
        <f>G734-G725-G724</f>
        <v>3163.9720000000007</v>
      </c>
      <c r="L734" s="55"/>
      <c r="M734" s="23"/>
      <c r="N734" s="23"/>
      <c r="O734" s="55"/>
      <c r="P734" s="55"/>
      <c r="Q734" s="55"/>
    </row>
    <row r="735" spans="2:17" ht="18.95" customHeight="1" thickBot="1">
      <c r="L735" s="55"/>
      <c r="M735" s="23" t="s">
        <v>637</v>
      </c>
      <c r="N735" s="23"/>
      <c r="O735" s="55"/>
      <c r="P735" s="55"/>
      <c r="Q735" s="55"/>
    </row>
    <row r="736" spans="2:17" ht="15.75" thickBot="1">
      <c r="L736" s="57" t="s">
        <v>192</v>
      </c>
      <c r="M736" s="58" t="s">
        <v>615</v>
      </c>
      <c r="N736" s="111"/>
      <c r="O736" s="97">
        <v>245988</v>
      </c>
      <c r="P736" s="107">
        <f t="shared" ref="P736:P757" si="69">O736/1000</f>
        <v>245.988</v>
      </c>
      <c r="Q736" s="55"/>
    </row>
    <row r="737" spans="2:17" ht="15.75" thickBot="1">
      <c r="L737" s="57" t="s">
        <v>193</v>
      </c>
      <c r="M737" s="58" t="s">
        <v>616</v>
      </c>
      <c r="N737" s="111"/>
      <c r="O737" s="97">
        <v>239831</v>
      </c>
      <c r="P737" s="107">
        <f t="shared" si="69"/>
        <v>239.83099999999999</v>
      </c>
      <c r="Q737" s="55"/>
    </row>
    <row r="738" spans="2:17" ht="16.5" thickBot="1">
      <c r="B738">
        <v>3</v>
      </c>
      <c r="C738" s="217" t="s">
        <v>794</v>
      </c>
      <c r="D738" s="217"/>
      <c r="E738" s="217"/>
      <c r="F738" s="217"/>
      <c r="G738" s="217"/>
      <c r="H738" s="217"/>
      <c r="L738" s="57" t="s">
        <v>194</v>
      </c>
      <c r="M738" s="58" t="s">
        <v>617</v>
      </c>
      <c r="N738" s="111"/>
      <c r="O738" s="97">
        <v>189367</v>
      </c>
      <c r="P738" s="107">
        <f t="shared" si="69"/>
        <v>189.36699999999999</v>
      </c>
      <c r="Q738" s="55"/>
    </row>
    <row r="739" spans="2:17" ht="29.25" thickBot="1">
      <c r="C739" s="216" t="s">
        <v>760</v>
      </c>
      <c r="D739" s="203" t="s">
        <v>739</v>
      </c>
      <c r="E739" s="203"/>
      <c r="F739" s="203" t="s">
        <v>738</v>
      </c>
      <c r="G739" s="203"/>
      <c r="H739" s="203"/>
      <c r="L739" s="57" t="s">
        <v>195</v>
      </c>
      <c r="M739" s="58" t="s">
        <v>618</v>
      </c>
      <c r="N739" s="111"/>
      <c r="O739" s="97">
        <v>176983</v>
      </c>
      <c r="P739" s="107">
        <f t="shared" si="69"/>
        <v>176.983</v>
      </c>
      <c r="Q739" s="55"/>
    </row>
    <row r="740" spans="2:17" ht="90.75" thickBot="1">
      <c r="C740" s="216"/>
      <c r="D740" s="68" t="s">
        <v>740</v>
      </c>
      <c r="E740" s="112" t="s">
        <v>743</v>
      </c>
      <c r="F740" s="112" t="s">
        <v>737</v>
      </c>
      <c r="G740" s="112" t="s">
        <v>751</v>
      </c>
      <c r="H740" s="69" t="s">
        <v>746</v>
      </c>
      <c r="L740" s="57" t="s">
        <v>196</v>
      </c>
      <c r="M740" s="58" t="s">
        <v>619</v>
      </c>
      <c r="N740" s="111"/>
      <c r="O740" s="97">
        <v>169968</v>
      </c>
      <c r="P740" s="107">
        <f t="shared" si="69"/>
        <v>169.96799999999999</v>
      </c>
      <c r="Q740" s="55"/>
    </row>
    <row r="741" spans="2:17" ht="20.100000000000001" customHeight="1" thickBot="1">
      <c r="C741" s="44">
        <v>1</v>
      </c>
      <c r="D741" s="158" t="s">
        <v>615</v>
      </c>
      <c r="E741" s="158"/>
      <c r="F741" s="159">
        <v>245988</v>
      </c>
      <c r="G741" s="160">
        <f t="shared" ref="G741:G762" si="70">F741/1000</f>
        <v>245.988</v>
      </c>
      <c r="H741" s="161"/>
      <c r="L741" s="57" t="s">
        <v>197</v>
      </c>
      <c r="M741" s="58" t="s">
        <v>620</v>
      </c>
      <c r="N741" s="111"/>
      <c r="O741" s="100">
        <v>163987</v>
      </c>
      <c r="P741" s="108">
        <f t="shared" si="69"/>
        <v>163.98699999999999</v>
      </c>
      <c r="Q741" s="38">
        <f>SUM(P736:P740)</f>
        <v>1022.1369999999998</v>
      </c>
    </row>
    <row r="742" spans="2:17" ht="20.100000000000001" customHeight="1" thickBot="1">
      <c r="C742" s="44">
        <v>2</v>
      </c>
      <c r="D742" s="158" t="s">
        <v>616</v>
      </c>
      <c r="E742" s="158"/>
      <c r="F742" s="159">
        <v>239831</v>
      </c>
      <c r="G742" s="160">
        <f t="shared" si="70"/>
        <v>239.83099999999999</v>
      </c>
      <c r="H742" s="161"/>
      <c r="L742" s="57" t="s">
        <v>198</v>
      </c>
      <c r="M742" s="58" t="s">
        <v>621</v>
      </c>
      <c r="N742" s="111"/>
      <c r="O742" s="100">
        <v>150641</v>
      </c>
      <c r="P742" s="108">
        <f t="shared" si="69"/>
        <v>150.64099999999999</v>
      </c>
      <c r="Q742" s="55"/>
    </row>
    <row r="743" spans="2:17" ht="20.100000000000001" customHeight="1" thickBot="1">
      <c r="C743" s="44">
        <v>3</v>
      </c>
      <c r="D743" s="158" t="s">
        <v>617</v>
      </c>
      <c r="E743" s="158"/>
      <c r="F743" s="159">
        <v>189367</v>
      </c>
      <c r="G743" s="160">
        <f t="shared" si="70"/>
        <v>189.36699999999999</v>
      </c>
      <c r="H743" s="161"/>
      <c r="L743" s="57" t="s">
        <v>199</v>
      </c>
      <c r="M743" s="58" t="s">
        <v>622</v>
      </c>
      <c r="N743" s="111"/>
      <c r="O743" s="100">
        <v>149119</v>
      </c>
      <c r="P743" s="108">
        <f t="shared" si="69"/>
        <v>149.119</v>
      </c>
      <c r="Q743" s="55"/>
    </row>
    <row r="744" spans="2:17" ht="29.25" customHeight="1" thickBot="1">
      <c r="C744" s="44">
        <v>4</v>
      </c>
      <c r="D744" s="158" t="s">
        <v>618</v>
      </c>
      <c r="E744" s="158"/>
      <c r="F744" s="159">
        <v>176983</v>
      </c>
      <c r="G744" s="160">
        <f t="shared" si="70"/>
        <v>176.983</v>
      </c>
      <c r="H744" s="161"/>
      <c r="L744" s="57" t="s">
        <v>200</v>
      </c>
      <c r="M744" s="58" t="s">
        <v>623</v>
      </c>
      <c r="N744" s="111"/>
      <c r="O744" s="100">
        <v>144775</v>
      </c>
      <c r="P744" s="108">
        <f t="shared" si="69"/>
        <v>144.77500000000001</v>
      </c>
      <c r="Q744" s="55"/>
    </row>
    <row r="745" spans="2:17" ht="26.25" customHeight="1" thickBot="1">
      <c r="C745" s="44">
        <v>5</v>
      </c>
      <c r="D745" s="158" t="s">
        <v>619</v>
      </c>
      <c r="E745" s="158"/>
      <c r="F745" s="159">
        <v>169968</v>
      </c>
      <c r="G745" s="160">
        <f t="shared" si="70"/>
        <v>169.96799999999999</v>
      </c>
      <c r="H745" s="161"/>
      <c r="L745" s="57" t="s">
        <v>201</v>
      </c>
      <c r="M745" s="58" t="s">
        <v>624</v>
      </c>
      <c r="N745" s="111"/>
      <c r="O745" s="100">
        <v>140372</v>
      </c>
      <c r="P745" s="108">
        <f t="shared" si="69"/>
        <v>140.37200000000001</v>
      </c>
      <c r="Q745" s="55"/>
    </row>
    <row r="746" spans="2:17" ht="20.100000000000001" customHeight="1" thickBot="1">
      <c r="C746" s="44">
        <v>6</v>
      </c>
      <c r="D746" s="158" t="s">
        <v>620</v>
      </c>
      <c r="E746" s="158"/>
      <c r="F746" s="249">
        <v>163987</v>
      </c>
      <c r="G746" s="250">
        <f t="shared" si="70"/>
        <v>163.98699999999999</v>
      </c>
      <c r="H746" s="162">
        <f>SUM(G741:G745)</f>
        <v>1022.1369999999998</v>
      </c>
      <c r="L746" s="57" t="s">
        <v>202</v>
      </c>
      <c r="M746" s="58" t="s">
        <v>625</v>
      </c>
      <c r="N746" s="111"/>
      <c r="O746" s="100">
        <v>139280</v>
      </c>
      <c r="P746" s="108">
        <f t="shared" si="69"/>
        <v>139.28</v>
      </c>
      <c r="Q746" s="55"/>
    </row>
    <row r="747" spans="2:17" ht="20.100000000000001" customHeight="1" thickBot="1">
      <c r="C747" s="44">
        <v>7</v>
      </c>
      <c r="D747" s="158" t="s">
        <v>621</v>
      </c>
      <c r="E747" s="158"/>
      <c r="F747" s="249">
        <v>150641</v>
      </c>
      <c r="G747" s="250">
        <f t="shared" si="70"/>
        <v>150.64099999999999</v>
      </c>
      <c r="H747" s="161"/>
      <c r="L747" s="57" t="s">
        <v>203</v>
      </c>
      <c r="M747" s="58" t="s">
        <v>626</v>
      </c>
      <c r="N747" s="111"/>
      <c r="O747" s="100">
        <v>128293</v>
      </c>
      <c r="P747" s="108">
        <f t="shared" si="69"/>
        <v>128.29300000000001</v>
      </c>
      <c r="Q747" s="55"/>
    </row>
    <row r="748" spans="2:17" ht="20.100000000000001" customHeight="1" thickBot="1">
      <c r="C748" s="44">
        <v>8</v>
      </c>
      <c r="D748" s="158" t="s">
        <v>622</v>
      </c>
      <c r="E748" s="158"/>
      <c r="F748" s="249">
        <v>149119</v>
      </c>
      <c r="G748" s="250">
        <f t="shared" si="70"/>
        <v>149.119</v>
      </c>
      <c r="H748" s="161"/>
      <c r="L748" s="57" t="s">
        <v>204</v>
      </c>
      <c r="M748" s="58" t="s">
        <v>627</v>
      </c>
      <c r="N748" s="111"/>
      <c r="O748" s="100">
        <v>120176</v>
      </c>
      <c r="P748" s="108">
        <f t="shared" si="69"/>
        <v>120.176</v>
      </c>
      <c r="Q748" s="55"/>
    </row>
    <row r="749" spans="2:17" ht="20.100000000000001" customHeight="1" thickBot="1">
      <c r="C749" s="44">
        <v>9</v>
      </c>
      <c r="D749" s="158" t="s">
        <v>623</v>
      </c>
      <c r="E749" s="158"/>
      <c r="F749" s="249">
        <v>144775</v>
      </c>
      <c r="G749" s="250">
        <f t="shared" si="70"/>
        <v>144.77500000000001</v>
      </c>
      <c r="H749" s="161"/>
      <c r="L749" s="57" t="s">
        <v>205</v>
      </c>
      <c r="M749" s="58" t="s">
        <v>628</v>
      </c>
      <c r="N749" s="111"/>
      <c r="O749" s="100">
        <v>115301</v>
      </c>
      <c r="P749" s="108">
        <f t="shared" si="69"/>
        <v>115.301</v>
      </c>
      <c r="Q749" s="55"/>
    </row>
    <row r="750" spans="2:17" ht="20.100000000000001" customHeight="1" thickBot="1">
      <c r="C750" s="44">
        <v>10</v>
      </c>
      <c r="D750" s="158" t="s">
        <v>624</v>
      </c>
      <c r="E750" s="158"/>
      <c r="F750" s="249">
        <v>140372</v>
      </c>
      <c r="G750" s="250">
        <f t="shared" si="70"/>
        <v>140.37200000000001</v>
      </c>
      <c r="H750" s="161"/>
      <c r="L750" s="57" t="s">
        <v>206</v>
      </c>
      <c r="M750" s="58" t="s">
        <v>629</v>
      </c>
      <c r="N750" s="111"/>
      <c r="O750" s="100">
        <v>99214</v>
      </c>
      <c r="P750" s="108">
        <f t="shared" si="69"/>
        <v>99.213999999999999</v>
      </c>
      <c r="Q750" s="55"/>
    </row>
    <row r="751" spans="2:17" ht="20.100000000000001" customHeight="1" thickBot="1">
      <c r="C751" s="44">
        <v>11</v>
      </c>
      <c r="D751" s="158" t="s">
        <v>625</v>
      </c>
      <c r="E751" s="158"/>
      <c r="F751" s="249">
        <v>139280</v>
      </c>
      <c r="G751" s="250">
        <f t="shared" si="70"/>
        <v>139.28</v>
      </c>
      <c r="H751" s="161"/>
      <c r="L751" s="57" t="s">
        <v>207</v>
      </c>
      <c r="M751" s="58" t="s">
        <v>630</v>
      </c>
      <c r="N751" s="111"/>
      <c r="O751" s="100">
        <v>89391</v>
      </c>
      <c r="P751" s="108">
        <f t="shared" si="69"/>
        <v>89.391000000000005</v>
      </c>
      <c r="Q751" s="55"/>
    </row>
    <row r="752" spans="2:17" ht="20.100000000000001" customHeight="1" thickBot="1">
      <c r="C752" s="44">
        <v>12</v>
      </c>
      <c r="D752" s="158" t="s">
        <v>626</v>
      </c>
      <c r="E752" s="158"/>
      <c r="F752" s="249">
        <v>128293</v>
      </c>
      <c r="G752" s="250">
        <f t="shared" si="70"/>
        <v>128.29300000000001</v>
      </c>
      <c r="H752" s="161"/>
      <c r="L752" s="57" t="s">
        <v>208</v>
      </c>
      <c r="M752" s="58" t="s">
        <v>631</v>
      </c>
      <c r="N752" s="111"/>
      <c r="O752" s="100">
        <v>86335</v>
      </c>
      <c r="P752" s="108">
        <f t="shared" si="69"/>
        <v>86.334999999999994</v>
      </c>
      <c r="Q752" s="55"/>
    </row>
    <row r="753" spans="2:17" ht="20.100000000000001" customHeight="1" thickBot="1">
      <c r="C753" s="44">
        <v>13</v>
      </c>
      <c r="D753" s="158" t="s">
        <v>627</v>
      </c>
      <c r="E753" s="158"/>
      <c r="F753" s="249">
        <v>120176</v>
      </c>
      <c r="G753" s="250">
        <f t="shared" si="70"/>
        <v>120.176</v>
      </c>
      <c r="H753" s="161"/>
      <c r="L753" s="57" t="s">
        <v>209</v>
      </c>
      <c r="M753" s="58" t="s">
        <v>632</v>
      </c>
      <c r="N753" s="111"/>
      <c r="O753" s="100">
        <v>77199</v>
      </c>
      <c r="P753" s="108">
        <f t="shared" si="69"/>
        <v>77.198999999999998</v>
      </c>
      <c r="Q753" s="55"/>
    </row>
    <row r="754" spans="2:17" ht="20.100000000000001" customHeight="1" thickBot="1">
      <c r="C754" s="44">
        <v>14</v>
      </c>
      <c r="D754" s="158" t="s">
        <v>628</v>
      </c>
      <c r="E754" s="158"/>
      <c r="F754" s="249">
        <v>115301</v>
      </c>
      <c r="G754" s="250">
        <f t="shared" si="70"/>
        <v>115.301</v>
      </c>
      <c r="H754" s="161"/>
      <c r="L754" s="57" t="s">
        <v>210</v>
      </c>
      <c r="M754" s="58" t="s">
        <v>633</v>
      </c>
      <c r="N754" s="111"/>
      <c r="O754" s="100">
        <v>77068</v>
      </c>
      <c r="P754" s="108">
        <f t="shared" si="69"/>
        <v>77.067999999999998</v>
      </c>
      <c r="Q754" s="55"/>
    </row>
    <row r="755" spans="2:17" ht="29.25" customHeight="1" thickBot="1">
      <c r="C755" s="44">
        <v>15</v>
      </c>
      <c r="D755" s="158" t="s">
        <v>629</v>
      </c>
      <c r="E755" s="158"/>
      <c r="F755" s="249">
        <v>99214</v>
      </c>
      <c r="G755" s="250">
        <f t="shared" si="70"/>
        <v>99.213999999999999</v>
      </c>
      <c r="H755" s="161"/>
      <c r="L755" s="57" t="s">
        <v>211</v>
      </c>
      <c r="M755" s="58" t="s">
        <v>634</v>
      </c>
      <c r="N755" s="111"/>
      <c r="O755" s="100">
        <v>74819</v>
      </c>
      <c r="P755" s="108">
        <f t="shared" si="69"/>
        <v>74.819000000000003</v>
      </c>
      <c r="Q755" s="55"/>
    </row>
    <row r="756" spans="2:17" ht="20.100000000000001" customHeight="1" thickBot="1">
      <c r="C756" s="44">
        <v>16</v>
      </c>
      <c r="D756" s="158" t="s">
        <v>630</v>
      </c>
      <c r="E756" s="158"/>
      <c r="F756" s="249">
        <v>89391</v>
      </c>
      <c r="G756" s="250">
        <f t="shared" si="70"/>
        <v>89.391000000000005</v>
      </c>
      <c r="H756" s="161"/>
      <c r="L756" s="57" t="s">
        <v>212</v>
      </c>
      <c r="M756" s="58" t="s">
        <v>635</v>
      </c>
      <c r="N756" s="111"/>
      <c r="O756" s="100">
        <v>47287</v>
      </c>
      <c r="P756" s="108">
        <f t="shared" si="69"/>
        <v>47.286999999999999</v>
      </c>
      <c r="Q756" s="55"/>
    </row>
    <row r="757" spans="2:17" ht="24" customHeight="1" thickBot="1">
      <c r="C757" s="44">
        <v>17</v>
      </c>
      <c r="D757" s="158" t="s">
        <v>631</v>
      </c>
      <c r="E757" s="158"/>
      <c r="F757" s="249">
        <v>86335</v>
      </c>
      <c r="G757" s="250">
        <f t="shared" si="70"/>
        <v>86.334999999999994</v>
      </c>
      <c r="H757" s="161"/>
      <c r="L757" s="57" t="s">
        <v>213</v>
      </c>
      <c r="M757" s="58" t="s">
        <v>636</v>
      </c>
      <c r="N757" s="111"/>
      <c r="O757" s="100">
        <v>45913</v>
      </c>
      <c r="P757" s="108">
        <f t="shared" si="69"/>
        <v>45.912999999999997</v>
      </c>
      <c r="Q757" s="55"/>
    </row>
    <row r="758" spans="2:17" ht="20.100000000000001" customHeight="1" thickBot="1">
      <c r="C758" s="44">
        <v>18</v>
      </c>
      <c r="D758" s="158" t="s">
        <v>632</v>
      </c>
      <c r="E758" s="158"/>
      <c r="F758" s="249">
        <v>77199</v>
      </c>
      <c r="G758" s="250">
        <f t="shared" si="70"/>
        <v>77.198999999999998</v>
      </c>
      <c r="H758" s="161"/>
      <c r="L758" s="55"/>
      <c r="M758" s="58" t="s">
        <v>489</v>
      </c>
      <c r="N758" s="111"/>
      <c r="O758" s="98">
        <f>SUM(O736:O757)</f>
        <v>2871307</v>
      </c>
      <c r="P758" s="38">
        <f>SUM(P736:P757)</f>
        <v>2871.3069999999998</v>
      </c>
      <c r="Q758" s="55">
        <f>0.75*22</f>
        <v>16.5</v>
      </c>
    </row>
    <row r="759" spans="2:17" ht="20.100000000000001" customHeight="1">
      <c r="C759" s="44">
        <v>19</v>
      </c>
      <c r="D759" s="158" t="s">
        <v>633</v>
      </c>
      <c r="E759" s="158"/>
      <c r="F759" s="249">
        <v>77068</v>
      </c>
      <c r="G759" s="250">
        <f t="shared" si="70"/>
        <v>77.067999999999998</v>
      </c>
      <c r="H759" s="161"/>
      <c r="L759" s="55"/>
      <c r="M759" s="58" t="s">
        <v>637</v>
      </c>
      <c r="N759" s="111"/>
      <c r="O759" s="99" t="s">
        <v>638</v>
      </c>
      <c r="P759" s="110" t="s">
        <v>600</v>
      </c>
      <c r="Q759" s="135">
        <v>17</v>
      </c>
    </row>
    <row r="760" spans="2:17" ht="20.100000000000001" customHeight="1">
      <c r="C760" s="44">
        <v>20</v>
      </c>
      <c r="D760" s="158" t="s">
        <v>634</v>
      </c>
      <c r="E760" s="158"/>
      <c r="F760" s="249">
        <v>74819</v>
      </c>
      <c r="G760" s="250">
        <f t="shared" si="70"/>
        <v>74.819000000000003</v>
      </c>
      <c r="H760" s="161"/>
      <c r="L760" s="55"/>
      <c r="M760" s="25"/>
      <c r="N760" s="25"/>
      <c r="O760" s="101"/>
      <c r="P760" s="101"/>
      <c r="Q760" s="55"/>
    </row>
    <row r="761" spans="2:17" ht="20.100000000000001" customHeight="1">
      <c r="C761" s="44">
        <v>21</v>
      </c>
      <c r="D761" s="158" t="s">
        <v>635</v>
      </c>
      <c r="E761" s="158"/>
      <c r="F761" s="249">
        <v>47287</v>
      </c>
      <c r="G761" s="250">
        <f t="shared" si="70"/>
        <v>47.286999999999999</v>
      </c>
      <c r="H761" s="161"/>
      <c r="L761" s="55">
        <f>L757+L728+L713</f>
        <v>32</v>
      </c>
      <c r="M761" s="25" t="s">
        <v>713</v>
      </c>
      <c r="N761" s="25"/>
      <c r="O761" s="101"/>
      <c r="P761" s="101"/>
      <c r="Q761" s="135">
        <f>Q759+Q730+Q716</f>
        <v>25</v>
      </c>
    </row>
    <row r="762" spans="2:17" ht="20.100000000000001" customHeight="1">
      <c r="C762" s="44">
        <v>22</v>
      </c>
      <c r="D762" s="158" t="s">
        <v>636</v>
      </c>
      <c r="E762" s="158"/>
      <c r="F762" s="249">
        <v>45913</v>
      </c>
      <c r="G762" s="250">
        <f t="shared" si="70"/>
        <v>45.912999999999997</v>
      </c>
      <c r="H762" s="161"/>
    </row>
    <row r="763" spans="2:17" ht="20.100000000000001" customHeight="1">
      <c r="B763">
        <v>3</v>
      </c>
      <c r="C763" s="41">
        <f>C762</f>
        <v>22</v>
      </c>
      <c r="D763" s="26" t="s">
        <v>826</v>
      </c>
      <c r="E763" s="167">
        <f>0.75*C762</f>
        <v>16.5</v>
      </c>
      <c r="F763" s="167">
        <f>SUM(F741:F762)</f>
        <v>2871307</v>
      </c>
      <c r="G763" s="162">
        <f>SUM(G741:G762)</f>
        <v>2871.3069999999998</v>
      </c>
      <c r="H763" s="250">
        <f>G763-H746</f>
        <v>1849.17</v>
      </c>
    </row>
    <row r="764" spans="2:17" ht="20.100000000000001" customHeight="1">
      <c r="D764" s="163"/>
      <c r="E764" s="163"/>
      <c r="F764" s="164"/>
      <c r="G764" s="164"/>
      <c r="H764" s="55"/>
    </row>
    <row r="766" spans="2:17">
      <c r="B766">
        <f>B738</f>
        <v>3</v>
      </c>
      <c r="C766" s="133">
        <f>W714</f>
        <v>41</v>
      </c>
      <c r="D766" s="133" t="s">
        <v>651</v>
      </c>
      <c r="E766" s="172">
        <f>Y714</f>
        <v>30.75</v>
      </c>
      <c r="F766" s="172">
        <f>Z714</f>
        <v>13063684</v>
      </c>
      <c r="G766" s="172">
        <f t="shared" ref="G766:H766" si="71">AA714</f>
        <v>12496.548999999999</v>
      </c>
      <c r="H766" s="172">
        <f t="shared" si="71"/>
        <v>7891.4520000000002</v>
      </c>
    </row>
    <row r="768" spans="2:17">
      <c r="B768" s="33">
        <f>B766+B700+B539+B315+B201+B110+B76</f>
        <v>38</v>
      </c>
      <c r="C768" s="33"/>
      <c r="D768" t="s">
        <v>24</v>
      </c>
    </row>
    <row r="769" spans="1:16">
      <c r="B769" s="33"/>
      <c r="C769" s="33"/>
    </row>
    <row r="770" spans="1:16" ht="15.75">
      <c r="A770">
        <v>1</v>
      </c>
      <c r="B770" s="237">
        <v>6</v>
      </c>
      <c r="C770" s="237">
        <f>C76</f>
        <v>42</v>
      </c>
      <c r="D770" s="238" t="s">
        <v>741</v>
      </c>
      <c r="E770" s="239">
        <v>31.5</v>
      </c>
      <c r="F770" s="239">
        <v>5668142</v>
      </c>
      <c r="G770" s="239">
        <v>5687.0020000000004</v>
      </c>
      <c r="H770" s="239">
        <v>3132.2469999999998</v>
      </c>
    </row>
    <row r="771" spans="1:16" ht="15.75">
      <c r="A771">
        <v>2</v>
      </c>
      <c r="B771" s="237">
        <v>2</v>
      </c>
      <c r="C771" s="237">
        <v>21</v>
      </c>
      <c r="D771" s="238" t="s">
        <v>758</v>
      </c>
      <c r="E771" s="239">
        <v>15.75</v>
      </c>
      <c r="F771" s="239">
        <v>3264948</v>
      </c>
      <c r="G771" s="239">
        <v>3264.9479999999999</v>
      </c>
      <c r="H771" s="239">
        <v>1772.9169999999999</v>
      </c>
    </row>
    <row r="772" spans="1:16" ht="15.75">
      <c r="A772">
        <v>3</v>
      </c>
      <c r="B772" s="237">
        <v>6</v>
      </c>
      <c r="C772" s="237">
        <v>81</v>
      </c>
      <c r="D772" s="238" t="s">
        <v>647</v>
      </c>
      <c r="E772" s="239">
        <v>60.75</v>
      </c>
      <c r="F772" s="239">
        <v>19788688</v>
      </c>
      <c r="G772" s="239">
        <v>19788.688000000002</v>
      </c>
      <c r="H772" s="239">
        <v>11521.077000000001</v>
      </c>
    </row>
    <row r="773" spans="1:16" ht="15.75">
      <c r="A773">
        <v>4</v>
      </c>
      <c r="B773" s="237">
        <v>5</v>
      </c>
      <c r="C773" s="237">
        <v>56</v>
      </c>
      <c r="D773" s="238" t="s">
        <v>648</v>
      </c>
      <c r="E773" s="239">
        <v>42</v>
      </c>
      <c r="F773" s="239">
        <v>17286751</v>
      </c>
      <c r="G773" s="239">
        <v>17286.751</v>
      </c>
      <c r="H773" s="239">
        <v>10627.726000000001</v>
      </c>
    </row>
    <row r="774" spans="1:16" ht="15.75">
      <c r="A774">
        <v>5</v>
      </c>
      <c r="B774" s="237">
        <v>10</v>
      </c>
      <c r="C774" s="237">
        <v>154</v>
      </c>
      <c r="D774" s="238" t="s">
        <v>805</v>
      </c>
      <c r="E774" s="239">
        <v>115.5</v>
      </c>
      <c r="F774" s="239">
        <v>59745793</v>
      </c>
      <c r="G774" s="239">
        <v>55426.683000000005</v>
      </c>
      <c r="H774" s="239">
        <v>29662.243999999999</v>
      </c>
    </row>
    <row r="775" spans="1:16" ht="15.75">
      <c r="A775">
        <v>6</v>
      </c>
      <c r="B775" s="237">
        <v>6</v>
      </c>
      <c r="C775" s="237">
        <v>119</v>
      </c>
      <c r="D775" s="238" t="s">
        <v>664</v>
      </c>
      <c r="E775" s="239">
        <v>89.25</v>
      </c>
      <c r="F775" s="239">
        <v>155588567</v>
      </c>
      <c r="G775" s="239">
        <v>99451.025999999998</v>
      </c>
      <c r="H775" s="239">
        <v>70451.026000000013</v>
      </c>
    </row>
    <row r="776" spans="1:16" ht="15.75">
      <c r="A776">
        <v>7</v>
      </c>
      <c r="B776" s="237">
        <v>3</v>
      </c>
      <c r="C776" s="237">
        <v>41</v>
      </c>
      <c r="D776" s="238" t="s">
        <v>651</v>
      </c>
      <c r="E776" s="239">
        <v>30.75</v>
      </c>
      <c r="F776" s="239">
        <v>13063684</v>
      </c>
      <c r="G776" s="239">
        <v>12496.548999999999</v>
      </c>
      <c r="H776" s="239">
        <v>7891.4520000000002</v>
      </c>
    </row>
    <row r="777" spans="1:16" ht="15.75">
      <c r="B777" s="237">
        <f>SUM(B770:B776)</f>
        <v>38</v>
      </c>
      <c r="C777" s="237">
        <f>SUM(C770:C776)</f>
        <v>514</v>
      </c>
      <c r="D777" s="238"/>
      <c r="E777" s="239">
        <f>SUM(E770:E776)</f>
        <v>385.5</v>
      </c>
      <c r="F777" s="239">
        <f t="shared" ref="F777:H777" si="72">SUM(F770:F776)</f>
        <v>274406573</v>
      </c>
      <c r="G777" s="239">
        <f t="shared" si="72"/>
        <v>213401.647</v>
      </c>
      <c r="H777" s="239">
        <f t="shared" si="72"/>
        <v>135058.68900000001</v>
      </c>
    </row>
    <row r="778" spans="1:16">
      <c r="B778" s="33"/>
      <c r="C778" s="33"/>
      <c r="E778" s="36">
        <f t="shared" ref="E778:G778" si="73">SUM(E770:E776)</f>
        <v>385.5</v>
      </c>
      <c r="F778" s="36">
        <f t="shared" si="73"/>
        <v>274406573</v>
      </c>
      <c r="G778" s="36">
        <f t="shared" si="73"/>
        <v>213401.647</v>
      </c>
      <c r="H778" s="36">
        <f>SUM(H770:H776)</f>
        <v>135058.68900000001</v>
      </c>
    </row>
    <row r="780" spans="1:16">
      <c r="D780" s="202" t="s">
        <v>36</v>
      </c>
      <c r="E780" s="216" t="s">
        <v>752</v>
      </c>
      <c r="F780" s="216" t="s">
        <v>812</v>
      </c>
      <c r="G780" s="201" t="s">
        <v>738</v>
      </c>
      <c r="H780" s="201"/>
      <c r="I780" s="201"/>
      <c r="L780" t="s">
        <v>807</v>
      </c>
    </row>
    <row r="781" spans="1:16" ht="75">
      <c r="D781" s="202"/>
      <c r="E781" s="216"/>
      <c r="F781" s="216"/>
      <c r="G781" s="28" t="s">
        <v>747</v>
      </c>
      <c r="H781" s="69" t="s">
        <v>813</v>
      </c>
      <c r="I781" s="69" t="s">
        <v>811</v>
      </c>
      <c r="L781" s="202" t="s">
        <v>36</v>
      </c>
      <c r="M781" s="202" t="s">
        <v>752</v>
      </c>
      <c r="N781" s="202" t="s">
        <v>33</v>
      </c>
      <c r="O781" s="202"/>
      <c r="P781" s="69" t="s">
        <v>806</v>
      </c>
    </row>
    <row r="782" spans="1:16">
      <c r="D782" s="26" t="s">
        <v>96</v>
      </c>
      <c r="E782" s="41">
        <v>2</v>
      </c>
      <c r="F782" s="41">
        <v>21</v>
      </c>
      <c r="G782" s="27">
        <v>3264948</v>
      </c>
      <c r="H782" s="27">
        <v>3264.9479999999999</v>
      </c>
      <c r="I782" s="27">
        <v>1772.9169999999999</v>
      </c>
      <c r="L782" s="202"/>
      <c r="M782" s="202"/>
      <c r="N782" s="41" t="s">
        <v>711</v>
      </c>
      <c r="O782" s="41" t="s">
        <v>748</v>
      </c>
      <c r="P782" s="26"/>
    </row>
    <row r="783" spans="1:16">
      <c r="D783" s="26" t="s">
        <v>39</v>
      </c>
      <c r="E783" s="41">
        <v>6</v>
      </c>
      <c r="F783" s="41">
        <v>42</v>
      </c>
      <c r="G783" s="27">
        <v>5668142</v>
      </c>
      <c r="H783" s="27">
        <v>5687.0020000000004</v>
      </c>
      <c r="I783" s="27">
        <v>3132.2469999999998</v>
      </c>
      <c r="L783" s="26" t="s">
        <v>650</v>
      </c>
      <c r="M783" s="41">
        <v>6</v>
      </c>
      <c r="N783" s="41">
        <v>119</v>
      </c>
      <c r="O783" s="27">
        <f>E775</f>
        <v>89.25</v>
      </c>
      <c r="P783" s="27">
        <f>H775</f>
        <v>70451.026000000013</v>
      </c>
    </row>
    <row r="784" spans="1:16">
      <c r="D784" s="26" t="s">
        <v>713</v>
      </c>
      <c r="E784" s="41">
        <v>3</v>
      </c>
      <c r="F784" s="41">
        <v>41</v>
      </c>
      <c r="G784" s="27">
        <v>13063684</v>
      </c>
      <c r="H784" s="27">
        <v>12496.548999999999</v>
      </c>
      <c r="I784" s="27">
        <v>7891.4520000000002</v>
      </c>
      <c r="L784" s="26" t="s">
        <v>649</v>
      </c>
      <c r="M784" s="41">
        <v>10</v>
      </c>
      <c r="N784" s="41">
        <v>154</v>
      </c>
      <c r="O784" s="27">
        <f>E774</f>
        <v>115.5</v>
      </c>
      <c r="P784" s="27">
        <f>H774</f>
        <v>29662.243999999999</v>
      </c>
    </row>
    <row r="785" spans="4:16">
      <c r="D785" s="26" t="s">
        <v>727</v>
      </c>
      <c r="E785" s="41">
        <v>5</v>
      </c>
      <c r="F785" s="41">
        <v>56</v>
      </c>
      <c r="G785" s="27">
        <v>17286751</v>
      </c>
      <c r="H785" s="27">
        <v>17286.751</v>
      </c>
      <c r="I785" s="27">
        <v>10627.726000000001</v>
      </c>
      <c r="L785" s="26" t="s">
        <v>108</v>
      </c>
      <c r="M785" s="41">
        <v>6</v>
      </c>
      <c r="N785" s="41">
        <f>C772</f>
        <v>81</v>
      </c>
      <c r="O785" s="27">
        <f>E772</f>
        <v>60.75</v>
      </c>
      <c r="P785" s="27">
        <f>H772</f>
        <v>11521.077000000001</v>
      </c>
    </row>
    <row r="786" spans="4:16">
      <c r="D786" s="26" t="s">
        <v>721</v>
      </c>
      <c r="E786" s="41">
        <v>6</v>
      </c>
      <c r="F786" s="41">
        <v>81</v>
      </c>
      <c r="G786" s="27">
        <v>19788688</v>
      </c>
      <c r="H786" s="27">
        <v>19788.688000000002</v>
      </c>
      <c r="I786" s="27">
        <v>11521.077000000001</v>
      </c>
      <c r="L786" s="26" t="s">
        <v>220</v>
      </c>
      <c r="M786" s="41">
        <v>5</v>
      </c>
      <c r="N786" s="41">
        <v>56</v>
      </c>
      <c r="O786" s="27">
        <v>42</v>
      </c>
      <c r="P786" s="27">
        <f>H773</f>
        <v>10627.726000000001</v>
      </c>
    </row>
    <row r="787" spans="4:16">
      <c r="D787" s="26" t="s">
        <v>730</v>
      </c>
      <c r="E787" s="41">
        <v>10</v>
      </c>
      <c r="F787" s="41">
        <v>154</v>
      </c>
      <c r="G787" s="27">
        <v>59745793</v>
      </c>
      <c r="H787" s="27">
        <v>55426.683000000005</v>
      </c>
      <c r="I787" s="27">
        <v>29662.243999999999</v>
      </c>
      <c r="L787" s="26" t="s">
        <v>654</v>
      </c>
      <c r="M787" s="41">
        <v>3</v>
      </c>
      <c r="N787" s="41">
        <v>41</v>
      </c>
      <c r="O787" s="27">
        <v>31</v>
      </c>
      <c r="P787" s="27">
        <f>H776</f>
        <v>7891.4520000000002</v>
      </c>
    </row>
    <row r="788" spans="4:16">
      <c r="D788" s="26" t="s">
        <v>731</v>
      </c>
      <c r="E788" s="41">
        <v>6</v>
      </c>
      <c r="F788" s="41">
        <v>119</v>
      </c>
      <c r="G788" s="27">
        <v>155588567</v>
      </c>
      <c r="H788" s="27">
        <v>99451.025999999998</v>
      </c>
      <c r="I788" s="27">
        <v>70451.026000000013</v>
      </c>
      <c r="L788" s="26" t="s">
        <v>37</v>
      </c>
      <c r="M788" s="41">
        <v>6</v>
      </c>
      <c r="N788" s="41">
        <f>C770</f>
        <v>42</v>
      </c>
      <c r="O788" s="27">
        <f>E770</f>
        <v>31.5</v>
      </c>
      <c r="P788" s="27">
        <f>H770</f>
        <v>3132.2469999999998</v>
      </c>
    </row>
    <row r="789" spans="4:16">
      <c r="D789" s="78" t="s">
        <v>718</v>
      </c>
      <c r="E789" s="41">
        <f>SUM(E782:E788)</f>
        <v>38</v>
      </c>
      <c r="F789" s="41">
        <v>514</v>
      </c>
      <c r="G789" s="27">
        <f>SUM(G782:G788)</f>
        <v>274406573</v>
      </c>
      <c r="H789" s="27">
        <f>SUM(H782:H788)</f>
        <v>213401.647</v>
      </c>
      <c r="I789" s="27">
        <f>SUM(I782:I788)</f>
        <v>135058.68900000001</v>
      </c>
      <c r="L789" s="26" t="s">
        <v>84</v>
      </c>
      <c r="M789" s="41">
        <v>2</v>
      </c>
      <c r="N789" s="41">
        <v>21</v>
      </c>
      <c r="O789" s="27">
        <v>15.75</v>
      </c>
      <c r="P789" s="27">
        <f>H771</f>
        <v>1772.9169999999999</v>
      </c>
    </row>
    <row r="790" spans="4:16">
      <c r="D790" s="201" t="s">
        <v>656</v>
      </c>
      <c r="E790" s="201"/>
      <c r="F790" s="201"/>
      <c r="G790" s="201"/>
      <c r="H790" s="201"/>
      <c r="I790" s="125">
        <v>135000</v>
      </c>
      <c r="L790" s="26" t="s">
        <v>655</v>
      </c>
      <c r="M790" s="41">
        <v>38</v>
      </c>
      <c r="N790" s="41">
        <f>SUM(N783:N789)</f>
        <v>514</v>
      </c>
      <c r="O790" s="27">
        <f>SUM(O783:O789)</f>
        <v>385.75</v>
      </c>
      <c r="P790" s="27">
        <f>SUM(P783:P789)</f>
        <v>135058.68900000001</v>
      </c>
    </row>
    <row r="791" spans="4:16">
      <c r="L791" s="205" t="s">
        <v>656</v>
      </c>
      <c r="M791" s="206"/>
      <c r="N791" s="206"/>
      <c r="O791" s="207"/>
      <c r="P791" s="27">
        <v>135000</v>
      </c>
    </row>
    <row r="792" spans="4:16" ht="34.5" customHeight="1">
      <c r="I792" s="9">
        <f>0.75*H789</f>
        <v>160051.23525</v>
      </c>
      <c r="L792" s="233" t="s">
        <v>808</v>
      </c>
      <c r="M792" s="233"/>
      <c r="N792" s="233"/>
      <c r="O792" s="233"/>
      <c r="P792" s="233"/>
    </row>
    <row r="797" spans="4:16">
      <c r="L797" s="220" t="s">
        <v>807</v>
      </c>
      <c r="M797" s="221"/>
      <c r="N797" s="221"/>
      <c r="O797" s="221"/>
      <c r="P797" s="222"/>
    </row>
    <row r="798" spans="4:16" ht="45">
      <c r="L798" s="235" t="s">
        <v>36</v>
      </c>
      <c r="M798" s="235" t="s">
        <v>752</v>
      </c>
      <c r="N798" s="28" t="s">
        <v>33</v>
      </c>
      <c r="O798" s="28"/>
      <c r="P798" s="69" t="s">
        <v>806</v>
      </c>
    </row>
    <row r="799" spans="4:16">
      <c r="L799" s="236"/>
      <c r="M799" s="236"/>
      <c r="N799" s="26" t="s">
        <v>711</v>
      </c>
      <c r="O799" s="26" t="s">
        <v>748</v>
      </c>
      <c r="P799" s="26"/>
    </row>
    <row r="800" spans="4:16">
      <c r="L800" s="26" t="s">
        <v>650</v>
      </c>
      <c r="M800" s="27">
        <v>6</v>
      </c>
      <c r="N800" s="27">
        <v>119</v>
      </c>
      <c r="O800" s="27">
        <v>89.25</v>
      </c>
      <c r="P800" s="27">
        <v>70451.026000000013</v>
      </c>
    </row>
    <row r="801" spans="12:16">
      <c r="L801" s="26" t="s">
        <v>649</v>
      </c>
      <c r="M801" s="27">
        <v>10</v>
      </c>
      <c r="N801" s="27">
        <v>154</v>
      </c>
      <c r="O801" s="27">
        <v>115.5</v>
      </c>
      <c r="P801" s="27">
        <v>29662.243999999999</v>
      </c>
    </row>
    <row r="802" spans="12:16">
      <c r="L802" s="26" t="s">
        <v>108</v>
      </c>
      <c r="M802" s="27">
        <v>6</v>
      </c>
      <c r="N802" s="27">
        <v>81</v>
      </c>
      <c r="O802" s="27">
        <v>60.75</v>
      </c>
      <c r="P802" s="27">
        <v>11521.077000000001</v>
      </c>
    </row>
    <row r="803" spans="12:16">
      <c r="L803" s="26" t="s">
        <v>220</v>
      </c>
      <c r="M803" s="27">
        <v>5</v>
      </c>
      <c r="N803" s="27">
        <v>56</v>
      </c>
      <c r="O803" s="27">
        <v>42</v>
      </c>
      <c r="P803" s="27">
        <v>10627.726000000001</v>
      </c>
    </row>
    <row r="804" spans="12:16">
      <c r="L804" s="26" t="s">
        <v>654</v>
      </c>
      <c r="M804" s="27">
        <v>3</v>
      </c>
      <c r="N804" s="27">
        <v>41</v>
      </c>
      <c r="O804" s="27">
        <v>31</v>
      </c>
      <c r="P804" s="27">
        <v>7891.4520000000002</v>
      </c>
    </row>
    <row r="805" spans="12:16">
      <c r="L805" s="26" t="s">
        <v>37</v>
      </c>
      <c r="M805" s="27">
        <v>6</v>
      </c>
      <c r="N805" s="27">
        <v>42</v>
      </c>
      <c r="O805" s="27">
        <v>31.5</v>
      </c>
      <c r="P805" s="27">
        <v>3132.2469999999998</v>
      </c>
    </row>
    <row r="806" spans="12:16">
      <c r="L806" s="26" t="s">
        <v>84</v>
      </c>
      <c r="M806" s="27">
        <v>2</v>
      </c>
      <c r="N806" s="27">
        <v>21</v>
      </c>
      <c r="O806" s="27">
        <v>15.75</v>
      </c>
      <c r="P806" s="27">
        <v>1772.9169999999999</v>
      </c>
    </row>
    <row r="807" spans="12:16">
      <c r="L807" s="26" t="s">
        <v>655</v>
      </c>
      <c r="M807" s="27">
        <v>38</v>
      </c>
      <c r="N807" s="27">
        <v>514</v>
      </c>
      <c r="O807" s="27">
        <v>385.75</v>
      </c>
      <c r="P807" s="27">
        <v>135058.68900000001</v>
      </c>
    </row>
    <row r="808" spans="12:16">
      <c r="L808" s="205" t="s">
        <v>656</v>
      </c>
      <c r="M808" s="206"/>
      <c r="N808" s="206"/>
      <c r="O808" s="207"/>
      <c r="P808" s="27">
        <v>135000</v>
      </c>
    </row>
    <row r="809" spans="12:16" ht="31.5" customHeight="1">
      <c r="L809" s="234" t="s">
        <v>808</v>
      </c>
      <c r="M809" s="234"/>
      <c r="N809" s="234"/>
      <c r="O809" s="234"/>
      <c r="P809" s="234"/>
    </row>
    <row r="1149" ht="81.75" customHeight="1"/>
    <row r="1159" spans="8:8">
      <c r="H1159" s="122"/>
    </row>
    <row r="1170" spans="2:6" ht="15.75">
      <c r="B1170" s="223"/>
      <c r="C1170" s="224"/>
      <c r="D1170" s="225"/>
      <c r="E1170" s="225"/>
      <c r="F1170" s="226"/>
    </row>
    <row r="1171" spans="2:6" ht="15.75">
      <c r="B1171" s="223"/>
      <c r="C1171" s="224"/>
      <c r="D1171" s="40"/>
      <c r="E1171" s="146"/>
      <c r="F1171" s="226"/>
    </row>
    <row r="1172" spans="2:6">
      <c r="C1172" s="33"/>
      <c r="D1172" s="33"/>
      <c r="E1172" s="36"/>
      <c r="F1172" s="116"/>
    </row>
    <row r="1173" spans="2:6">
      <c r="C1173" s="33"/>
      <c r="D1173" s="33"/>
      <c r="E1173" s="36"/>
      <c r="F1173" s="116"/>
    </row>
    <row r="1174" spans="2:6">
      <c r="C1174" s="33"/>
      <c r="D1174" s="33"/>
      <c r="E1174" s="36"/>
      <c r="F1174" s="116"/>
    </row>
    <row r="1175" spans="2:6">
      <c r="C1175" s="33"/>
      <c r="D1175" s="33"/>
      <c r="E1175" s="36"/>
      <c r="F1175" s="116"/>
    </row>
    <row r="1176" spans="2:6">
      <c r="B1176" s="147"/>
      <c r="C1176" s="33"/>
      <c r="D1176" s="33"/>
      <c r="E1176" s="66"/>
      <c r="F1176" s="148"/>
    </row>
    <row r="1177" spans="2:6">
      <c r="C1177" s="33"/>
      <c r="D1177" s="33"/>
      <c r="E1177" s="36"/>
      <c r="F1177" s="116"/>
    </row>
    <row r="1178" spans="2:6">
      <c r="C1178" s="33"/>
      <c r="D1178" s="33"/>
      <c r="E1178" s="36"/>
      <c r="F1178" s="116"/>
    </row>
    <row r="1179" spans="2:6">
      <c r="B1179" s="50"/>
      <c r="C1179" s="33"/>
      <c r="D1179" s="33"/>
      <c r="E1179" s="36"/>
      <c r="F1179" s="116"/>
    </row>
    <row r="1180" spans="2:6">
      <c r="B1180" s="149"/>
      <c r="C1180" s="149"/>
      <c r="D1180" s="149"/>
      <c r="E1180" s="149"/>
      <c r="F1180" s="36"/>
    </row>
  </sheetData>
  <sortState xmlns:xlrd2="http://schemas.microsoft.com/office/spreadsheetml/2017/richdata2" ref="D782:I788">
    <sortCondition ref="I782:I788"/>
  </sortState>
  <mergeCells count="196">
    <mergeCell ref="C114:H114"/>
    <mergeCell ref="C116:C117"/>
    <mergeCell ref="D116:E116"/>
    <mergeCell ref="F116:H116"/>
    <mergeCell ref="C136:C137"/>
    <mergeCell ref="L563:M563"/>
    <mergeCell ref="Z1:AF1"/>
    <mergeCell ref="Z2:AF2"/>
    <mergeCell ref="Z3:Z4"/>
    <mergeCell ref="AA3:AB3"/>
    <mergeCell ref="AC3:AF3"/>
    <mergeCell ref="Z545:AE545"/>
    <mergeCell ref="Z547:Z548"/>
    <mergeCell ref="AA547:AB547"/>
    <mergeCell ref="AC547:AE547"/>
    <mergeCell ref="L792:P792"/>
    <mergeCell ref="L809:P809"/>
    <mergeCell ref="L808:O808"/>
    <mergeCell ref="L797:P797"/>
    <mergeCell ref="M798:M799"/>
    <mergeCell ref="L798:L799"/>
    <mergeCell ref="D739:E739"/>
    <mergeCell ref="F739:H739"/>
    <mergeCell ref="D790:H790"/>
    <mergeCell ref="G780:I780"/>
    <mergeCell ref="F780:F781"/>
    <mergeCell ref="E780:E781"/>
    <mergeCell ref="D780:D781"/>
    <mergeCell ref="N781:O781"/>
    <mergeCell ref="L781:L782"/>
    <mergeCell ref="M781:M782"/>
    <mergeCell ref="C571:C572"/>
    <mergeCell ref="D571:E571"/>
    <mergeCell ref="F571:H571"/>
    <mergeCell ref="C604:C605"/>
    <mergeCell ref="D604:E604"/>
    <mergeCell ref="F604:H604"/>
    <mergeCell ref="C570:H570"/>
    <mergeCell ref="C603:H603"/>
    <mergeCell ref="L791:O791"/>
    <mergeCell ref="L593:M593"/>
    <mergeCell ref="C159:C160"/>
    <mergeCell ref="D159:E159"/>
    <mergeCell ref="F159:H159"/>
    <mergeCell ref="C202:C203"/>
    <mergeCell ref="D202:E202"/>
    <mergeCell ref="F202:H202"/>
    <mergeCell ref="C558:C559"/>
    <mergeCell ref="D558:E558"/>
    <mergeCell ref="F558:H558"/>
    <mergeCell ref="L233:M233"/>
    <mergeCell ref="C170:C171"/>
    <mergeCell ref="D170:E170"/>
    <mergeCell ref="F170:H170"/>
    <mergeCell ref="C188:G188"/>
    <mergeCell ref="D189:E189"/>
    <mergeCell ref="C232:H232"/>
    <mergeCell ref="M308:P308"/>
    <mergeCell ref="L296:M296"/>
    <mergeCell ref="L307:P307"/>
    <mergeCell ref="C158:H158"/>
    <mergeCell ref="C247:H247"/>
    <mergeCell ref="C265:H265"/>
    <mergeCell ref="C285:H285"/>
    <mergeCell ref="C169:H169"/>
    <mergeCell ref="F189:H189"/>
    <mergeCell ref="C115:H115"/>
    <mergeCell ref="C201:H201"/>
    <mergeCell ref="C135:H135"/>
    <mergeCell ref="D96:E96"/>
    <mergeCell ref="F96:H96"/>
    <mergeCell ref="D136:E136"/>
    <mergeCell ref="F136:H136"/>
    <mergeCell ref="C18:H18"/>
    <mergeCell ref="C3:H3"/>
    <mergeCell ref="C5:C6"/>
    <mergeCell ref="D5:E5"/>
    <mergeCell ref="F5:H5"/>
    <mergeCell ref="C78:H78"/>
    <mergeCell ref="C80:C81"/>
    <mergeCell ref="D80:E80"/>
    <mergeCell ref="F80:H80"/>
    <mergeCell ref="C30:H30"/>
    <mergeCell ref="C41:H41"/>
    <mergeCell ref="C54:H54"/>
    <mergeCell ref="C4:H4"/>
    <mergeCell ref="C95:H95"/>
    <mergeCell ref="D19:E19"/>
    <mergeCell ref="F19:H19"/>
    <mergeCell ref="D31:E31"/>
    <mergeCell ref="F31:H31"/>
    <mergeCell ref="D42:E42"/>
    <mergeCell ref="F42:H42"/>
    <mergeCell ref="D55:E55"/>
    <mergeCell ref="F55:H55"/>
    <mergeCell ref="D68:E68"/>
    <mergeCell ref="F68:H68"/>
    <mergeCell ref="C67:H67"/>
    <mergeCell ref="C19:C20"/>
    <mergeCell ref="C31:C32"/>
    <mergeCell ref="C42:C43"/>
    <mergeCell ref="C55:C56"/>
    <mergeCell ref="C68:C69"/>
    <mergeCell ref="C79:H79"/>
    <mergeCell ref="B1170:B1171"/>
    <mergeCell ref="C1170:C1171"/>
    <mergeCell ref="D1170:E1170"/>
    <mergeCell ref="F1170:F1171"/>
    <mergeCell ref="C541:H541"/>
    <mergeCell ref="C543:C544"/>
    <mergeCell ref="D543:E543"/>
    <mergeCell ref="F543:H543"/>
    <mergeCell ref="C616:C617"/>
    <mergeCell ref="D616:E616"/>
    <mergeCell ref="F616:H616"/>
    <mergeCell ref="C658:C659"/>
    <mergeCell ref="D658:E658"/>
    <mergeCell ref="F658:H658"/>
    <mergeCell ref="C704:H704"/>
    <mergeCell ref="C706:C707"/>
    <mergeCell ref="D706:E706"/>
    <mergeCell ref="F706:H706"/>
    <mergeCell ref="C722:C723"/>
    <mergeCell ref="C721:H721"/>
    <mergeCell ref="C738:H738"/>
    <mergeCell ref="D722:E722"/>
    <mergeCell ref="F722:H722"/>
    <mergeCell ref="C739:C740"/>
    <mergeCell ref="C388:C389"/>
    <mergeCell ref="D388:E388"/>
    <mergeCell ref="F388:H388"/>
    <mergeCell ref="C414:C415"/>
    <mergeCell ref="C320:C321"/>
    <mergeCell ref="D320:E320"/>
    <mergeCell ref="F320:H320"/>
    <mergeCell ref="C413:H413"/>
    <mergeCell ref="C349:C350"/>
    <mergeCell ref="C348:H348"/>
    <mergeCell ref="C446:H446"/>
    <mergeCell ref="C478:H478"/>
    <mergeCell ref="C495:H495"/>
    <mergeCell ref="C542:H542"/>
    <mergeCell ref="M419:O419"/>
    <mergeCell ref="M459:O459"/>
    <mergeCell ref="C231:H231"/>
    <mergeCell ref="C233:C234"/>
    <mergeCell ref="D233:E233"/>
    <mergeCell ref="F233:H233"/>
    <mergeCell ref="C248:C249"/>
    <mergeCell ref="D248:E248"/>
    <mergeCell ref="F248:H248"/>
    <mergeCell ref="C266:C267"/>
    <mergeCell ref="D266:E266"/>
    <mergeCell ref="F266:H266"/>
    <mergeCell ref="C286:C287"/>
    <mergeCell ref="D286:E286"/>
    <mergeCell ref="L246:M246"/>
    <mergeCell ref="L262:M262"/>
    <mergeCell ref="L279:M279"/>
    <mergeCell ref="C305:H305"/>
    <mergeCell ref="C319:H319"/>
    <mergeCell ref="C432:H432"/>
    <mergeCell ref="D520:E520"/>
    <mergeCell ref="F520:H520"/>
    <mergeCell ref="C461:C462"/>
    <mergeCell ref="D461:E461"/>
    <mergeCell ref="F461:H461"/>
    <mergeCell ref="C479:C480"/>
    <mergeCell ref="D479:E479"/>
    <mergeCell ref="F479:H479"/>
    <mergeCell ref="C460:H460"/>
    <mergeCell ref="C519:H519"/>
    <mergeCell ref="C557:H557"/>
    <mergeCell ref="C615:H615"/>
    <mergeCell ref="C705:H705"/>
    <mergeCell ref="D414:E414"/>
    <mergeCell ref="F414:H414"/>
    <mergeCell ref="D349:E349"/>
    <mergeCell ref="F349:H349"/>
    <mergeCell ref="F286:H286"/>
    <mergeCell ref="C306:C307"/>
    <mergeCell ref="D306:E306"/>
    <mergeCell ref="F306:H306"/>
    <mergeCell ref="C318:H318"/>
    <mergeCell ref="C387:H387"/>
    <mergeCell ref="C657:H657"/>
    <mergeCell ref="C433:C434"/>
    <mergeCell ref="D433:E433"/>
    <mergeCell ref="F433:H433"/>
    <mergeCell ref="C447:C448"/>
    <mergeCell ref="D447:E447"/>
    <mergeCell ref="F447:H447"/>
    <mergeCell ref="C496:C497"/>
    <mergeCell ref="D496:E496"/>
    <mergeCell ref="F496:H496"/>
    <mergeCell ref="C520:C521"/>
  </mergeCells>
  <phoneticPr fontId="3" type="noConversion"/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organisasi_masyumi</vt:lpstr>
      <vt:lpstr>1_per_1.000</vt:lpstr>
      <vt:lpstr>PENDUDUK</vt:lpstr>
      <vt:lpstr>WILAYAH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2024-12-01T14:23:05Z</dcterms:created>
  <dcterms:modified xsi:type="dcterms:W3CDTF">2025-04-03T04:08:45Z</dcterms:modified>
</cp:coreProperties>
</file>