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Budgets\2025\"/>
    </mc:Choice>
  </mc:AlternateContent>
  <xr:revisionPtr revIDLastSave="0" documentId="13_ncr:1_{73143DD4-39FC-4D0C-ACFE-36CDCCBC81F9}" xr6:coauthVersionLast="36" xr6:coauthVersionMax="47" xr10:uidLastSave="{00000000-0000-0000-0000-000000000000}"/>
  <bookViews>
    <workbookView xWindow="0" yWindow="0" windowWidth="23040" windowHeight="9060" tabRatio="605" xr2:uid="{61F9AB4E-1EA3-4C76-A3D5-95BCB53647C8}"/>
  </bookViews>
  <sheets>
    <sheet name="Appropriations" sheetId="3" r:id="rId1"/>
    <sheet name="Salaries &amp; Fees Split" sheetId="5" r:id="rId2"/>
    <sheet name="AWBInfo" sheetId="2" state="veryHidden" r:id="rId3"/>
  </sheets>
  <definedNames>
    <definedName name="_xlnm.Print_Area" localSheetId="0">Appropriations!$A$7:$W$308</definedName>
    <definedName name="_xlnm.Print_Titles" localSheetId="0">Appropriations!$1:$6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 l="1"/>
  <c r="W122" i="3"/>
  <c r="F36" i="5"/>
  <c r="Z21" i="3" l="1"/>
  <c r="D7" i="5"/>
  <c r="W59" i="3" l="1"/>
  <c r="W20" i="3"/>
  <c r="D9" i="5"/>
  <c r="D10" i="5"/>
  <c r="E65" i="5" l="1"/>
  <c r="E66" i="5"/>
  <c r="E46" i="5"/>
  <c r="E36" i="5"/>
  <c r="W79" i="3" s="1"/>
  <c r="E22" i="5"/>
  <c r="W45" i="3" s="1"/>
  <c r="E39" i="5"/>
  <c r="E17" i="5"/>
  <c r="W31" i="3" s="1"/>
  <c r="W290" i="3" l="1"/>
  <c r="W289" i="3"/>
  <c r="Z290" i="3"/>
  <c r="W287" i="3"/>
  <c r="Z203" i="3" l="1"/>
  <c r="D88" i="5" l="1"/>
  <c r="E89" i="5" s="1"/>
  <c r="W18" i="3"/>
  <c r="E88" i="5" l="1"/>
  <c r="E90" i="5" s="1"/>
  <c r="E69" i="5" l="1"/>
  <c r="W87" i="3"/>
  <c r="E59" i="5"/>
  <c r="W12" i="3" l="1"/>
  <c r="AD12" i="3"/>
  <c r="D8" i="5" l="1"/>
  <c r="W7" i="3" l="1"/>
  <c r="W8" i="3" s="1"/>
  <c r="D12" i="5"/>
  <c r="D13" i="5"/>
  <c r="W9" i="3" l="1"/>
  <c r="G14" i="5"/>
  <c r="Z10" i="3"/>
  <c r="AA21" i="3" s="1"/>
  <c r="W167" i="3"/>
  <c r="Z30" i="3"/>
  <c r="E47" i="5" l="1"/>
  <c r="E67" i="5"/>
  <c r="E57" i="5"/>
  <c r="E52" i="5"/>
  <c r="E53" i="5" s="1"/>
  <c r="W158" i="3" s="1"/>
  <c r="W157" i="3" l="1"/>
  <c r="E54" i="5"/>
  <c r="W159" i="3" s="1"/>
  <c r="Z172" i="3" l="1"/>
  <c r="W286" i="3"/>
  <c r="W284" i="3"/>
  <c r="AA284" i="3" s="1"/>
  <c r="W283" i="3"/>
  <c r="AA283" i="3" s="1"/>
  <c r="W269" i="3" l="1"/>
  <c r="F226" i="3"/>
  <c r="Y223" i="3"/>
  <c r="W223" i="3"/>
  <c r="F223" i="3"/>
  <c r="E68" i="5" l="1"/>
  <c r="E64" i="5"/>
  <c r="E58" i="5"/>
  <c r="E45" i="5"/>
  <c r="F47" i="5" l="1"/>
  <c r="E49" i="5" s="1"/>
  <c r="W129" i="3" s="1"/>
  <c r="E48" i="5"/>
  <c r="W127" i="3"/>
  <c r="F69" i="5"/>
  <c r="W238" i="3" s="1"/>
  <c r="F59" i="5"/>
  <c r="W128" i="3"/>
  <c r="E40" i="5"/>
  <c r="V92" i="3"/>
  <c r="W92" i="3"/>
  <c r="F92" i="3"/>
  <c r="E38" i="5"/>
  <c r="W91" i="3"/>
  <c r="E34" i="5"/>
  <c r="E33" i="5"/>
  <c r="W74" i="3"/>
  <c r="W75" i="3" s="1"/>
  <c r="W62" i="3"/>
  <c r="W65" i="3" s="1"/>
  <c r="E28" i="5"/>
  <c r="E30" i="5" s="1"/>
  <c r="E86" i="5"/>
  <c r="W251" i="3"/>
  <c r="E77" i="5"/>
  <c r="E76" i="5"/>
  <c r="E75" i="5"/>
  <c r="E74" i="5"/>
  <c r="W80" i="3"/>
  <c r="W55" i="3"/>
  <c r="E23" i="5"/>
  <c r="E25" i="5" s="1"/>
  <c r="E21" i="5"/>
  <c r="E16" i="5"/>
  <c r="W47" i="3"/>
  <c r="W33" i="3"/>
  <c r="E24" i="5" l="1"/>
  <c r="E26" i="5"/>
  <c r="E42" i="5"/>
  <c r="E41" i="5"/>
  <c r="E19" i="5"/>
  <c r="E18" i="5"/>
  <c r="W48" i="3"/>
  <c r="W94" i="3"/>
  <c r="W93" i="3"/>
  <c r="W49" i="3"/>
  <c r="W76" i="3"/>
  <c r="W63" i="3"/>
  <c r="W32" i="3"/>
  <c r="Z147" i="3"/>
  <c r="E71" i="5"/>
  <c r="W240" i="3" s="1"/>
  <c r="E70" i="5"/>
  <c r="W239" i="3" s="1"/>
  <c r="E61" i="5"/>
  <c r="W212" i="3" s="1"/>
  <c r="W210" i="3"/>
  <c r="E60" i="5"/>
  <c r="W211" i="3" s="1"/>
  <c r="E29" i="5"/>
  <c r="E78" i="5"/>
  <c r="Z271" i="3" l="1"/>
  <c r="Z236" i="3"/>
  <c r="W308" i="3"/>
  <c r="Y122" i="3"/>
  <c r="Y121" i="3"/>
  <c r="F121" i="3"/>
  <c r="F117" i="3"/>
  <c r="P117" i="3"/>
  <c r="P308" i="3" l="1"/>
  <c r="O308" i="3"/>
  <c r="F122" i="3"/>
  <c r="N246" i="3" l="1"/>
  <c r="N220" i="3"/>
  <c r="N55" i="3"/>
  <c r="N107" i="3"/>
  <c r="N26" i="3"/>
  <c r="N113" i="3"/>
  <c r="N214" i="3"/>
  <c r="M140" i="3"/>
  <c r="F236" i="3"/>
  <c r="M220" i="3"/>
  <c r="M106" i="3"/>
  <c r="M29" i="3"/>
  <c r="M26" i="3"/>
  <c r="M113" i="3"/>
  <c r="S284" i="3" l="1"/>
  <c r="L248" i="3"/>
  <c r="L140" i="3"/>
  <c r="S140" i="3" s="1"/>
  <c r="L246" i="3"/>
  <c r="L220" i="3"/>
  <c r="L26" i="3"/>
  <c r="L113" i="3"/>
  <c r="J248" i="3"/>
  <c r="J246" i="3"/>
  <c r="I246" i="3"/>
  <c r="I210" i="3"/>
  <c r="S210" i="3" s="1"/>
  <c r="K26" i="3"/>
  <c r="K308" i="3" s="1"/>
  <c r="K113" i="3"/>
  <c r="U300" i="3"/>
  <c r="V300" i="3" s="1"/>
  <c r="U296" i="3"/>
  <c r="V296" i="3" s="1"/>
  <c r="S306" i="3"/>
  <c r="U306" i="3" s="1"/>
  <c r="V306" i="3" s="1"/>
  <c r="S305" i="3"/>
  <c r="U305" i="3" s="1"/>
  <c r="V305" i="3" s="1"/>
  <c r="S304" i="3"/>
  <c r="U304" i="3" s="1"/>
  <c r="V304" i="3" s="1"/>
  <c r="S303" i="3"/>
  <c r="U303" i="3" s="1"/>
  <c r="V303" i="3" s="1"/>
  <c r="S302" i="3"/>
  <c r="U302" i="3" s="1"/>
  <c r="V302" i="3" s="1"/>
  <c r="S301" i="3"/>
  <c r="U301" i="3" s="1"/>
  <c r="V301" i="3" s="1"/>
  <c r="S299" i="3"/>
  <c r="U299" i="3" s="1"/>
  <c r="V299" i="3" s="1"/>
  <c r="S298" i="3"/>
  <c r="U298" i="3" s="1"/>
  <c r="V298" i="3" s="1"/>
  <c r="S297" i="3"/>
  <c r="U297" i="3" s="1"/>
  <c r="V297" i="3" s="1"/>
  <c r="S295" i="3"/>
  <c r="U295" i="3" s="1"/>
  <c r="V295" i="3" s="1"/>
  <c r="S294" i="3"/>
  <c r="U294" i="3" s="1"/>
  <c r="V294" i="3" s="1"/>
  <c r="S293" i="3"/>
  <c r="U293" i="3" s="1"/>
  <c r="V293" i="3" s="1"/>
  <c r="S292" i="3"/>
  <c r="U292" i="3" s="1"/>
  <c r="V292" i="3" s="1"/>
  <c r="S290" i="3"/>
  <c r="S289" i="3"/>
  <c r="S287" i="3"/>
  <c r="S286" i="3"/>
  <c r="S283" i="3"/>
  <c r="S281" i="3"/>
  <c r="U281" i="3" s="1"/>
  <c r="V281" i="3" s="1"/>
  <c r="S280" i="3"/>
  <c r="U280" i="3" s="1"/>
  <c r="V280" i="3" s="1"/>
  <c r="S279" i="3"/>
  <c r="U279" i="3" s="1"/>
  <c r="V279" i="3" s="1"/>
  <c r="S278" i="3"/>
  <c r="U278" i="3" s="1"/>
  <c r="S276" i="3"/>
  <c r="U276" i="3" s="1"/>
  <c r="V276" i="3" s="1"/>
  <c r="S275" i="3"/>
  <c r="U275" i="3" s="1"/>
  <c r="V275" i="3" s="1"/>
  <c r="S274" i="3"/>
  <c r="U274" i="3" s="1"/>
  <c r="V274" i="3" s="1"/>
  <c r="S273" i="3"/>
  <c r="U273" i="3" s="1"/>
  <c r="V273" i="3" s="1"/>
  <c r="S271" i="3"/>
  <c r="U271" i="3" s="1"/>
  <c r="V271" i="3" s="1"/>
  <c r="S270" i="3"/>
  <c r="U270" i="3" s="1"/>
  <c r="V270" i="3" s="1"/>
  <c r="S269" i="3"/>
  <c r="S268" i="3"/>
  <c r="U268" i="3" s="1"/>
  <c r="V268" i="3" s="1"/>
  <c r="S267" i="3"/>
  <c r="U267" i="3" s="1"/>
  <c r="V267" i="3" s="1"/>
  <c r="S266" i="3"/>
  <c r="U266" i="3" s="1"/>
  <c r="V266" i="3" s="1"/>
  <c r="S265" i="3"/>
  <c r="U265" i="3" s="1"/>
  <c r="V265" i="3" s="1"/>
  <c r="S264" i="3"/>
  <c r="U264" i="3" s="1"/>
  <c r="V264" i="3" s="1"/>
  <c r="S263" i="3"/>
  <c r="U263" i="3" s="1"/>
  <c r="V263" i="3" s="1"/>
  <c r="S262" i="3"/>
  <c r="U262" i="3" s="1"/>
  <c r="V262" i="3" s="1"/>
  <c r="S261" i="3"/>
  <c r="U261" i="3" s="1"/>
  <c r="V261" i="3" s="1"/>
  <c r="S260" i="3"/>
  <c r="U260" i="3" s="1"/>
  <c r="V260" i="3" s="1"/>
  <c r="S259" i="3"/>
  <c r="U259" i="3" s="1"/>
  <c r="V259" i="3" s="1"/>
  <c r="S258" i="3"/>
  <c r="U258" i="3" s="1"/>
  <c r="V258" i="3" s="1"/>
  <c r="S257" i="3"/>
  <c r="U257" i="3" s="1"/>
  <c r="V257" i="3" s="1"/>
  <c r="S256" i="3"/>
  <c r="U256" i="3" s="1"/>
  <c r="V256" i="3" s="1"/>
  <c r="S255" i="3"/>
  <c r="U255" i="3" s="1"/>
  <c r="V255" i="3" s="1"/>
  <c r="S254" i="3"/>
  <c r="U254" i="3" s="1"/>
  <c r="V254" i="3" s="1"/>
  <c r="S253" i="3"/>
  <c r="S252" i="3"/>
  <c r="U252" i="3" s="1"/>
  <c r="V252" i="3" s="1"/>
  <c r="S251" i="3"/>
  <c r="S250" i="3"/>
  <c r="U250" i="3" s="1"/>
  <c r="V250" i="3" s="1"/>
  <c r="S249" i="3"/>
  <c r="S247" i="3"/>
  <c r="U247" i="3" s="1"/>
  <c r="V247" i="3" s="1"/>
  <c r="S245" i="3"/>
  <c r="S244" i="3"/>
  <c r="S242" i="3"/>
  <c r="U242" i="3" s="1"/>
  <c r="V242" i="3" s="1"/>
  <c r="S241" i="3"/>
  <c r="U241" i="3" s="1"/>
  <c r="V241" i="3" s="1"/>
  <c r="S240" i="3"/>
  <c r="S239" i="3"/>
  <c r="S238" i="3"/>
  <c r="S236" i="3"/>
  <c r="U236" i="3" s="1"/>
  <c r="V236" i="3" s="1"/>
  <c r="S235" i="3"/>
  <c r="U235" i="3" s="1"/>
  <c r="V235" i="3" s="1"/>
  <c r="S234" i="3"/>
  <c r="U234" i="3" s="1"/>
  <c r="V234" i="3" s="1"/>
  <c r="S233" i="3"/>
  <c r="U233" i="3" s="1"/>
  <c r="V233" i="3" s="1"/>
  <c r="S232" i="3"/>
  <c r="U232" i="3" s="1"/>
  <c r="V232" i="3" s="1"/>
  <c r="S231" i="3"/>
  <c r="U231" i="3" s="1"/>
  <c r="V231" i="3" s="1"/>
  <c r="S230" i="3"/>
  <c r="U230" i="3" s="1"/>
  <c r="V230" i="3" s="1"/>
  <c r="S229" i="3"/>
  <c r="U229" i="3" s="1"/>
  <c r="V229" i="3" s="1"/>
  <c r="S228" i="3"/>
  <c r="U228" i="3" s="1"/>
  <c r="V228" i="3" s="1"/>
  <c r="S227" i="3"/>
  <c r="U227" i="3" s="1"/>
  <c r="V227" i="3" s="1"/>
  <c r="S225" i="3"/>
  <c r="U225" i="3" s="1"/>
  <c r="V225" i="3" s="1"/>
  <c r="S224" i="3"/>
  <c r="S223" i="3"/>
  <c r="U223" i="3" s="1"/>
  <c r="V223" i="3" s="1"/>
  <c r="S222" i="3"/>
  <c r="U222" i="3" s="1"/>
  <c r="V222" i="3" s="1"/>
  <c r="S221" i="3"/>
  <c r="U221" i="3" s="1"/>
  <c r="V221" i="3" s="1"/>
  <c r="S219" i="3"/>
  <c r="U219" i="3" s="1"/>
  <c r="V219" i="3" s="1"/>
  <c r="S218" i="3"/>
  <c r="U218" i="3" s="1"/>
  <c r="V218" i="3" s="1"/>
  <c r="S217" i="3"/>
  <c r="S216" i="3"/>
  <c r="S215" i="3"/>
  <c r="U215" i="3" s="1"/>
  <c r="V215" i="3" s="1"/>
  <c r="S214" i="3"/>
  <c r="S213" i="3"/>
  <c r="U213" i="3" s="1"/>
  <c r="V213" i="3" s="1"/>
  <c r="S212" i="3"/>
  <c r="S211" i="3"/>
  <c r="S209" i="3"/>
  <c r="U209" i="3" s="1"/>
  <c r="V209" i="3" s="1"/>
  <c r="S207" i="3"/>
  <c r="U207" i="3" s="1"/>
  <c r="V207" i="3" s="1"/>
  <c r="S206" i="3"/>
  <c r="U206" i="3" s="1"/>
  <c r="V206" i="3" s="1"/>
  <c r="S205" i="3"/>
  <c r="U205" i="3" s="1"/>
  <c r="V205" i="3" s="1"/>
  <c r="S203" i="3"/>
  <c r="U203" i="3" s="1"/>
  <c r="V203" i="3" s="1"/>
  <c r="S202" i="3"/>
  <c r="U202" i="3" s="1"/>
  <c r="V202" i="3" s="1"/>
  <c r="S201" i="3"/>
  <c r="S200" i="3"/>
  <c r="U200" i="3" s="1"/>
  <c r="V200" i="3" s="1"/>
  <c r="S199" i="3"/>
  <c r="S198" i="3"/>
  <c r="U198" i="3" s="1"/>
  <c r="V198" i="3" s="1"/>
  <c r="S197" i="3"/>
  <c r="U197" i="3" s="1"/>
  <c r="V197" i="3" s="1"/>
  <c r="S196" i="3"/>
  <c r="U196" i="3" s="1"/>
  <c r="V196" i="3" s="1"/>
  <c r="S195" i="3"/>
  <c r="S194" i="3"/>
  <c r="U194" i="3" s="1"/>
  <c r="V194" i="3" s="1"/>
  <c r="S193" i="3"/>
  <c r="U193" i="3" s="1"/>
  <c r="V193" i="3" s="1"/>
  <c r="S192" i="3"/>
  <c r="U192" i="3" s="1"/>
  <c r="V192" i="3" s="1"/>
  <c r="S191" i="3"/>
  <c r="U191" i="3" s="1"/>
  <c r="V191" i="3" s="1"/>
  <c r="S190" i="3"/>
  <c r="U190" i="3" s="1"/>
  <c r="V190" i="3" s="1"/>
  <c r="S189" i="3"/>
  <c r="U189" i="3" s="1"/>
  <c r="V189" i="3" s="1"/>
  <c r="S187" i="3"/>
  <c r="U187" i="3" s="1"/>
  <c r="V187" i="3" s="1"/>
  <c r="S185" i="3"/>
  <c r="U185" i="3" s="1"/>
  <c r="V185" i="3" s="1"/>
  <c r="S184" i="3"/>
  <c r="U184" i="3" s="1"/>
  <c r="V184" i="3" s="1"/>
  <c r="S183" i="3"/>
  <c r="U183" i="3" s="1"/>
  <c r="V183" i="3" s="1"/>
  <c r="S182" i="3"/>
  <c r="U182" i="3" s="1"/>
  <c r="V182" i="3" s="1"/>
  <c r="S181" i="3"/>
  <c r="U181" i="3" s="1"/>
  <c r="V181" i="3" s="1"/>
  <c r="S180" i="3"/>
  <c r="U180" i="3" s="1"/>
  <c r="V180" i="3" s="1"/>
  <c r="S177" i="3"/>
  <c r="U177" i="3" s="1"/>
  <c r="V177" i="3" s="1"/>
  <c r="S176" i="3"/>
  <c r="U176" i="3" s="1"/>
  <c r="S175" i="3"/>
  <c r="U175" i="3" s="1"/>
  <c r="V175" i="3" s="1"/>
  <c r="S172" i="3"/>
  <c r="U172" i="3" s="1"/>
  <c r="V172" i="3" s="1"/>
  <c r="S171" i="3"/>
  <c r="U171" i="3" s="1"/>
  <c r="V171" i="3" s="1"/>
  <c r="S170" i="3"/>
  <c r="U170" i="3" s="1"/>
  <c r="V170" i="3" s="1"/>
  <c r="S169" i="3"/>
  <c r="U169" i="3" s="1"/>
  <c r="V169" i="3" s="1"/>
  <c r="S168" i="3"/>
  <c r="U168" i="3" s="1"/>
  <c r="V168" i="3" s="1"/>
  <c r="S167" i="3"/>
  <c r="S166" i="3"/>
  <c r="U166" i="3" s="1"/>
  <c r="V166" i="3" s="1"/>
  <c r="S165" i="3"/>
  <c r="S164" i="3"/>
  <c r="S163" i="3"/>
  <c r="U163" i="3" s="1"/>
  <c r="S162" i="3"/>
  <c r="U162" i="3" s="1"/>
  <c r="V162" i="3" s="1"/>
  <c r="S161" i="3"/>
  <c r="U161" i="3" s="1"/>
  <c r="V161" i="3" s="1"/>
  <c r="S160" i="3"/>
  <c r="U160" i="3" s="1"/>
  <c r="V160" i="3" s="1"/>
  <c r="S159" i="3"/>
  <c r="U159" i="3" s="1"/>
  <c r="V159" i="3" s="1"/>
  <c r="S158" i="3"/>
  <c r="U158" i="3" s="1"/>
  <c r="V158" i="3" s="1"/>
  <c r="S157" i="3"/>
  <c r="U157" i="3" s="1"/>
  <c r="V157" i="3" s="1"/>
  <c r="S156" i="3"/>
  <c r="U156" i="3" s="1"/>
  <c r="V156" i="3" s="1"/>
  <c r="S153" i="3"/>
  <c r="U153" i="3" s="1"/>
  <c r="V153" i="3" s="1"/>
  <c r="S152" i="3"/>
  <c r="U152" i="3" s="1"/>
  <c r="V152" i="3" s="1"/>
  <c r="S151" i="3"/>
  <c r="U151" i="3" s="1"/>
  <c r="V151" i="3" s="1"/>
  <c r="S150" i="3"/>
  <c r="U150" i="3" s="1"/>
  <c r="V150" i="3" s="1"/>
  <c r="S147" i="3"/>
  <c r="U147" i="3" s="1"/>
  <c r="V147" i="3" s="1"/>
  <c r="S146" i="3"/>
  <c r="U146" i="3" s="1"/>
  <c r="V146" i="3" s="1"/>
  <c r="S145" i="3"/>
  <c r="U145" i="3" s="1"/>
  <c r="V145" i="3" s="1"/>
  <c r="S144" i="3"/>
  <c r="U144" i="3" s="1"/>
  <c r="V144" i="3" s="1"/>
  <c r="S143" i="3"/>
  <c r="U143" i="3" s="1"/>
  <c r="V143" i="3" s="1"/>
  <c r="S142" i="3"/>
  <c r="U142" i="3" s="1"/>
  <c r="V142" i="3" s="1"/>
  <c r="S141" i="3"/>
  <c r="U141" i="3" s="1"/>
  <c r="V141" i="3" s="1"/>
  <c r="S139" i="3"/>
  <c r="U139" i="3" s="1"/>
  <c r="V139" i="3" s="1"/>
  <c r="S138" i="3"/>
  <c r="U138" i="3" s="1"/>
  <c r="V138" i="3" s="1"/>
  <c r="S137" i="3"/>
  <c r="U137" i="3" s="1"/>
  <c r="V137" i="3" s="1"/>
  <c r="S136" i="3"/>
  <c r="U136" i="3" s="1"/>
  <c r="V136" i="3" s="1"/>
  <c r="S135" i="3"/>
  <c r="U135" i="3" s="1"/>
  <c r="V135" i="3" s="1"/>
  <c r="S134" i="3"/>
  <c r="U134" i="3" s="1"/>
  <c r="V134" i="3" s="1"/>
  <c r="S133" i="3"/>
  <c r="U133" i="3" s="1"/>
  <c r="V133" i="3" s="1"/>
  <c r="S131" i="3"/>
  <c r="U131" i="3" s="1"/>
  <c r="V131" i="3" s="1"/>
  <c r="S130" i="3"/>
  <c r="U130" i="3" s="1"/>
  <c r="V130" i="3" s="1"/>
  <c r="S129" i="3"/>
  <c r="S128" i="3"/>
  <c r="S127" i="3"/>
  <c r="S124" i="3"/>
  <c r="U124" i="3" s="1"/>
  <c r="V124" i="3" s="1"/>
  <c r="S123" i="3"/>
  <c r="U123" i="3" s="1"/>
  <c r="V123" i="3" s="1"/>
  <c r="S122" i="3"/>
  <c r="U122" i="3" s="1"/>
  <c r="V122" i="3" s="1"/>
  <c r="S121" i="3"/>
  <c r="U121" i="3" s="1"/>
  <c r="V121" i="3" s="1"/>
  <c r="S120" i="3"/>
  <c r="U120" i="3" s="1"/>
  <c r="V120" i="3" s="1"/>
  <c r="S119" i="3"/>
  <c r="U119" i="3" s="1"/>
  <c r="V119" i="3" s="1"/>
  <c r="S118" i="3"/>
  <c r="U118" i="3" s="1"/>
  <c r="V118" i="3" s="1"/>
  <c r="S117" i="3"/>
  <c r="U117" i="3" s="1"/>
  <c r="V117" i="3" s="1"/>
  <c r="S116" i="3"/>
  <c r="U116" i="3" s="1"/>
  <c r="V116" i="3" s="1"/>
  <c r="S115" i="3"/>
  <c r="S114" i="3"/>
  <c r="U114" i="3" s="1"/>
  <c r="V114" i="3" s="1"/>
  <c r="S112" i="3"/>
  <c r="U112" i="3" s="1"/>
  <c r="V112" i="3" s="1"/>
  <c r="S111" i="3"/>
  <c r="U111" i="3" s="1"/>
  <c r="V111" i="3" s="1"/>
  <c r="S110" i="3"/>
  <c r="U110" i="3" s="1"/>
  <c r="V110" i="3" s="1"/>
  <c r="S109" i="3"/>
  <c r="U109" i="3" s="1"/>
  <c r="V109" i="3" s="1"/>
  <c r="S108" i="3"/>
  <c r="U108" i="3" s="1"/>
  <c r="V108" i="3" s="1"/>
  <c r="S107" i="3"/>
  <c r="S105" i="3"/>
  <c r="S104" i="3"/>
  <c r="U104" i="3" s="1"/>
  <c r="V104" i="3" s="1"/>
  <c r="S103" i="3"/>
  <c r="U103" i="3" s="1"/>
  <c r="V103" i="3" s="1"/>
  <c r="S102" i="3"/>
  <c r="U102" i="3" s="1"/>
  <c r="V102" i="3" s="1"/>
  <c r="S101" i="3"/>
  <c r="U101" i="3" s="1"/>
  <c r="V101" i="3" s="1"/>
  <c r="S100" i="3"/>
  <c r="U100" i="3" s="1"/>
  <c r="V100" i="3" s="1"/>
  <c r="S99" i="3"/>
  <c r="U99" i="3" s="1"/>
  <c r="V99" i="3" s="1"/>
  <c r="S98" i="3"/>
  <c r="U98" i="3" s="1"/>
  <c r="V98" i="3" s="1"/>
  <c r="S97" i="3"/>
  <c r="U97" i="3" s="1"/>
  <c r="V97" i="3" s="1"/>
  <c r="S96" i="3"/>
  <c r="U96" i="3" s="1"/>
  <c r="V96" i="3" s="1"/>
  <c r="S95" i="3"/>
  <c r="U95" i="3" s="1"/>
  <c r="V95" i="3" s="1"/>
  <c r="S94" i="3"/>
  <c r="S93" i="3"/>
  <c r="S91" i="3"/>
  <c r="S90" i="3"/>
  <c r="U90" i="3" s="1"/>
  <c r="V90" i="3" s="1"/>
  <c r="S89" i="3"/>
  <c r="U89" i="3" s="1"/>
  <c r="V89" i="3" s="1"/>
  <c r="S88" i="3"/>
  <c r="U88" i="3" s="1"/>
  <c r="V88" i="3" s="1"/>
  <c r="S87" i="3"/>
  <c r="S86" i="3"/>
  <c r="U86" i="3" s="1"/>
  <c r="V86" i="3" s="1"/>
  <c r="S85" i="3"/>
  <c r="U85" i="3" s="1"/>
  <c r="V85" i="3" s="1"/>
  <c r="S84" i="3"/>
  <c r="U84" i="3" s="1"/>
  <c r="V84" i="3" s="1"/>
  <c r="S83" i="3"/>
  <c r="U83" i="3" s="1"/>
  <c r="V83" i="3" s="1"/>
  <c r="S82" i="3"/>
  <c r="U82" i="3" s="1"/>
  <c r="V82" i="3" s="1"/>
  <c r="S81" i="3"/>
  <c r="U81" i="3" s="1"/>
  <c r="V81" i="3" s="1"/>
  <c r="S80" i="3"/>
  <c r="S79" i="3"/>
  <c r="S78" i="3"/>
  <c r="S77" i="3"/>
  <c r="U77" i="3" s="1"/>
  <c r="V77" i="3" s="1"/>
  <c r="S76" i="3"/>
  <c r="U76" i="3" s="1"/>
  <c r="V76" i="3" s="1"/>
  <c r="S75" i="3"/>
  <c r="S74" i="3"/>
  <c r="S73" i="3"/>
  <c r="U73" i="3" s="1"/>
  <c r="V73" i="3" s="1"/>
  <c r="S72" i="3"/>
  <c r="U72" i="3" s="1"/>
  <c r="V72" i="3" s="1"/>
  <c r="S71" i="3"/>
  <c r="U71" i="3" s="1"/>
  <c r="V71" i="3" s="1"/>
  <c r="S70" i="3"/>
  <c r="U70" i="3" s="1"/>
  <c r="V70" i="3" s="1"/>
  <c r="S69" i="3"/>
  <c r="U69" i="3" s="1"/>
  <c r="V69" i="3" s="1"/>
  <c r="S68" i="3"/>
  <c r="U68" i="3" s="1"/>
  <c r="V68" i="3" s="1"/>
  <c r="S67" i="3"/>
  <c r="U67" i="3" s="1"/>
  <c r="V67" i="3" s="1"/>
  <c r="S66" i="3"/>
  <c r="U66" i="3" s="1"/>
  <c r="V66" i="3" s="1"/>
  <c r="S65" i="3"/>
  <c r="S64" i="3"/>
  <c r="U64" i="3" s="1"/>
  <c r="V64" i="3" s="1"/>
  <c r="S63" i="3"/>
  <c r="S62" i="3"/>
  <c r="S61" i="3"/>
  <c r="U61" i="3" s="1"/>
  <c r="V61" i="3" s="1"/>
  <c r="S60" i="3"/>
  <c r="S59" i="3"/>
  <c r="S58" i="3"/>
  <c r="S57" i="3"/>
  <c r="U57" i="3" s="1"/>
  <c r="V57" i="3" s="1"/>
  <c r="S56" i="3"/>
  <c r="U56" i="3" s="1"/>
  <c r="V56" i="3" s="1"/>
  <c r="S55" i="3"/>
  <c r="S54" i="3"/>
  <c r="U54" i="3" s="1"/>
  <c r="V54" i="3" s="1"/>
  <c r="S53" i="3"/>
  <c r="U53" i="3" s="1"/>
  <c r="V53" i="3" s="1"/>
  <c r="S52" i="3"/>
  <c r="U52" i="3" s="1"/>
  <c r="V52" i="3" s="1"/>
  <c r="S51" i="3"/>
  <c r="U51" i="3" s="1"/>
  <c r="V51" i="3" s="1"/>
  <c r="S50" i="3"/>
  <c r="U50" i="3" s="1"/>
  <c r="V50" i="3" s="1"/>
  <c r="S49" i="3"/>
  <c r="S48" i="3"/>
  <c r="S47" i="3"/>
  <c r="S46" i="3"/>
  <c r="U46" i="3" s="1"/>
  <c r="V46" i="3" s="1"/>
  <c r="S45" i="3"/>
  <c r="S44" i="3"/>
  <c r="U44" i="3" s="1"/>
  <c r="V44" i="3" s="1"/>
  <c r="S43" i="3"/>
  <c r="U43" i="3" s="1"/>
  <c r="V43" i="3" s="1"/>
  <c r="S42" i="3"/>
  <c r="U42" i="3" s="1"/>
  <c r="V42" i="3" s="1"/>
  <c r="S41" i="3"/>
  <c r="U41" i="3" s="1"/>
  <c r="V41" i="3" s="1"/>
  <c r="S40" i="3"/>
  <c r="U40" i="3" s="1"/>
  <c r="V40" i="3" s="1"/>
  <c r="S39" i="3"/>
  <c r="U39" i="3" s="1"/>
  <c r="V39" i="3" s="1"/>
  <c r="S38" i="3"/>
  <c r="U38" i="3" s="1"/>
  <c r="V38" i="3" s="1"/>
  <c r="S37" i="3"/>
  <c r="S36" i="3"/>
  <c r="U36" i="3" s="1"/>
  <c r="V36" i="3" s="1"/>
  <c r="S35" i="3"/>
  <c r="U35" i="3" s="1"/>
  <c r="V35" i="3" s="1"/>
  <c r="S34" i="3"/>
  <c r="U34" i="3" s="1"/>
  <c r="V34" i="3" s="1"/>
  <c r="S33" i="3"/>
  <c r="S32" i="3"/>
  <c r="S31" i="3"/>
  <c r="S30" i="3"/>
  <c r="S28" i="3"/>
  <c r="S27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N308" i="3"/>
  <c r="M308" i="3"/>
  <c r="J29" i="3"/>
  <c r="S29" i="3" s="1"/>
  <c r="J106" i="3"/>
  <c r="S106" i="3" s="1"/>
  <c r="U106" i="3" s="1"/>
  <c r="V106" i="3" s="1"/>
  <c r="J132" i="3"/>
  <c r="S132" i="3" s="1"/>
  <c r="U132" i="3" s="1"/>
  <c r="V132" i="3" s="1"/>
  <c r="J26" i="3"/>
  <c r="J113" i="3"/>
  <c r="J243" i="3"/>
  <c r="S243" i="3" s="1"/>
  <c r="U243" i="3" s="1"/>
  <c r="V243" i="3" s="1"/>
  <c r="F225" i="3"/>
  <c r="I226" i="3"/>
  <c r="S226" i="3" s="1"/>
  <c r="U226" i="3" s="1"/>
  <c r="V226" i="3" s="1"/>
  <c r="F220" i="3"/>
  <c r="I220" i="3"/>
  <c r="S220" i="3" s="1"/>
  <c r="U220" i="3" s="1"/>
  <c r="V220" i="3" s="1"/>
  <c r="I26" i="3"/>
  <c r="I113" i="3"/>
  <c r="X79" i="3"/>
  <c r="X80" i="3"/>
  <c r="T80" i="3" s="1"/>
  <c r="S248" i="3" l="1"/>
  <c r="U248" i="3" s="1"/>
  <c r="V248" i="3" s="1"/>
  <c r="L308" i="3"/>
  <c r="J308" i="3"/>
  <c r="I308" i="3"/>
  <c r="U80" i="3"/>
  <c r="V80" i="3" s="1"/>
  <c r="S246" i="3"/>
  <c r="U246" i="3" s="1"/>
  <c r="V246" i="3" s="1"/>
  <c r="H26" i="3" l="1"/>
  <c r="H113" i="3"/>
  <c r="S113" i="3" s="1"/>
  <c r="T58" i="3"/>
  <c r="U58" i="3" s="1"/>
  <c r="V58" i="3" s="1"/>
  <c r="G308" i="3"/>
  <c r="T290" i="3"/>
  <c r="U290" i="3" s="1"/>
  <c r="V290" i="3" s="1"/>
  <c r="T289" i="3"/>
  <c r="U289" i="3" s="1"/>
  <c r="V289" i="3" s="1"/>
  <c r="T287" i="3"/>
  <c r="U287" i="3" s="1"/>
  <c r="V287" i="3" s="1"/>
  <c r="T286" i="3"/>
  <c r="U286" i="3" s="1"/>
  <c r="V286" i="3" s="1"/>
  <c r="T284" i="3"/>
  <c r="U284" i="3" s="1"/>
  <c r="V284" i="3" s="1"/>
  <c r="T283" i="3"/>
  <c r="U283" i="3" s="1"/>
  <c r="V283" i="3" s="1"/>
  <c r="T269" i="3"/>
  <c r="T253" i="3"/>
  <c r="U253" i="3" s="1"/>
  <c r="V253" i="3" s="1"/>
  <c r="T251" i="3"/>
  <c r="U251" i="3" s="1"/>
  <c r="V251" i="3" s="1"/>
  <c r="T249" i="3"/>
  <c r="U249" i="3" s="1"/>
  <c r="V249" i="3" s="1"/>
  <c r="T245" i="3"/>
  <c r="U245" i="3" s="1"/>
  <c r="V245" i="3" s="1"/>
  <c r="T244" i="3"/>
  <c r="U244" i="3" s="1"/>
  <c r="V244" i="3" s="1"/>
  <c r="T240" i="3"/>
  <c r="U240" i="3" s="1"/>
  <c r="V240" i="3" s="1"/>
  <c r="T239" i="3"/>
  <c r="U239" i="3" s="1"/>
  <c r="V239" i="3" s="1"/>
  <c r="T238" i="3"/>
  <c r="U238" i="3" s="1"/>
  <c r="V238" i="3" s="1"/>
  <c r="T224" i="3"/>
  <c r="U224" i="3" s="1"/>
  <c r="V224" i="3" s="1"/>
  <c r="T217" i="3"/>
  <c r="U217" i="3" s="1"/>
  <c r="V217" i="3" s="1"/>
  <c r="T216" i="3"/>
  <c r="U216" i="3" s="1"/>
  <c r="V216" i="3" s="1"/>
  <c r="T214" i="3"/>
  <c r="U214" i="3" s="1"/>
  <c r="V214" i="3" s="1"/>
  <c r="T212" i="3"/>
  <c r="U212" i="3" s="1"/>
  <c r="V212" i="3" s="1"/>
  <c r="T211" i="3"/>
  <c r="U211" i="3" s="1"/>
  <c r="V211" i="3" s="1"/>
  <c r="T210" i="3"/>
  <c r="U210" i="3" s="1"/>
  <c r="V210" i="3" s="1"/>
  <c r="T201" i="3"/>
  <c r="U201" i="3" s="1"/>
  <c r="V201" i="3" s="1"/>
  <c r="T199" i="3"/>
  <c r="U199" i="3" s="1"/>
  <c r="V199" i="3" s="1"/>
  <c r="T195" i="3"/>
  <c r="U195" i="3" s="1"/>
  <c r="V195" i="3" s="1"/>
  <c r="T167" i="3"/>
  <c r="U167" i="3" s="1"/>
  <c r="V167" i="3" s="1"/>
  <c r="T165" i="3"/>
  <c r="U165" i="3" s="1"/>
  <c r="V165" i="3" s="1"/>
  <c r="T164" i="3"/>
  <c r="U164" i="3" s="1"/>
  <c r="V164" i="3" s="1"/>
  <c r="T140" i="3"/>
  <c r="U140" i="3" s="1"/>
  <c r="V140" i="3" s="1"/>
  <c r="T129" i="3"/>
  <c r="U129" i="3" s="1"/>
  <c r="V129" i="3" s="1"/>
  <c r="T128" i="3"/>
  <c r="U128" i="3" s="1"/>
  <c r="V128" i="3" s="1"/>
  <c r="T127" i="3"/>
  <c r="U127" i="3" s="1"/>
  <c r="V127" i="3" s="1"/>
  <c r="T115" i="3"/>
  <c r="U115" i="3" s="1"/>
  <c r="V115" i="3" s="1"/>
  <c r="T113" i="3"/>
  <c r="T107" i="3"/>
  <c r="U107" i="3" s="1"/>
  <c r="V107" i="3" s="1"/>
  <c r="T105" i="3"/>
  <c r="U105" i="3" s="1"/>
  <c r="V105" i="3" s="1"/>
  <c r="T94" i="3"/>
  <c r="U94" i="3" s="1"/>
  <c r="V94" i="3" s="1"/>
  <c r="T93" i="3"/>
  <c r="U93" i="3" s="1"/>
  <c r="V93" i="3" s="1"/>
  <c r="T91" i="3"/>
  <c r="U91" i="3" s="1"/>
  <c r="V91" i="3" s="1"/>
  <c r="T87" i="3"/>
  <c r="U87" i="3" s="1"/>
  <c r="V87" i="3" s="1"/>
  <c r="T79" i="3"/>
  <c r="U79" i="3" s="1"/>
  <c r="V79" i="3" s="1"/>
  <c r="T78" i="3"/>
  <c r="U78" i="3" s="1"/>
  <c r="V78" i="3" s="1"/>
  <c r="T75" i="3"/>
  <c r="U75" i="3" s="1"/>
  <c r="V75" i="3" s="1"/>
  <c r="T74" i="3"/>
  <c r="U74" i="3" s="1"/>
  <c r="V74" i="3" s="1"/>
  <c r="T65" i="3"/>
  <c r="U65" i="3" s="1"/>
  <c r="V65" i="3" s="1"/>
  <c r="T63" i="3"/>
  <c r="U63" i="3" s="1"/>
  <c r="V63" i="3" s="1"/>
  <c r="T62" i="3"/>
  <c r="U62" i="3" s="1"/>
  <c r="V62" i="3" s="1"/>
  <c r="T60" i="3"/>
  <c r="U60" i="3" s="1"/>
  <c r="V60" i="3" s="1"/>
  <c r="T59" i="3"/>
  <c r="U59" i="3" s="1"/>
  <c r="V59" i="3" s="1"/>
  <c r="T55" i="3"/>
  <c r="U55" i="3" s="1"/>
  <c r="V55" i="3" s="1"/>
  <c r="T49" i="3"/>
  <c r="U49" i="3" s="1"/>
  <c r="V49" i="3" s="1"/>
  <c r="T48" i="3"/>
  <c r="U48" i="3" s="1"/>
  <c r="V48" i="3" s="1"/>
  <c r="T47" i="3"/>
  <c r="U47" i="3" s="1"/>
  <c r="V47" i="3" s="1"/>
  <c r="T45" i="3"/>
  <c r="U45" i="3" s="1"/>
  <c r="V45" i="3" s="1"/>
  <c r="T37" i="3"/>
  <c r="U37" i="3" s="1"/>
  <c r="V37" i="3" s="1"/>
  <c r="T33" i="3"/>
  <c r="U33" i="3" s="1"/>
  <c r="V33" i="3" s="1"/>
  <c r="T32" i="3"/>
  <c r="U32" i="3" s="1"/>
  <c r="V32" i="3" s="1"/>
  <c r="T31" i="3"/>
  <c r="U31" i="3" s="1"/>
  <c r="V31" i="3" s="1"/>
  <c r="T30" i="3"/>
  <c r="U30" i="3" s="1"/>
  <c r="V30" i="3" s="1"/>
  <c r="T29" i="3"/>
  <c r="U29" i="3" s="1"/>
  <c r="V29" i="3" s="1"/>
  <c r="T28" i="3"/>
  <c r="U28" i="3" s="1"/>
  <c r="V28" i="3" s="1"/>
  <c r="T27" i="3"/>
  <c r="U27" i="3" s="1"/>
  <c r="V27" i="3" s="1"/>
  <c r="T26" i="3"/>
  <c r="T22" i="3"/>
  <c r="U22" i="3" s="1"/>
  <c r="V22" i="3" s="1"/>
  <c r="T21" i="3"/>
  <c r="U21" i="3" s="1"/>
  <c r="V21" i="3" s="1"/>
  <c r="T20" i="3"/>
  <c r="U20" i="3" s="1"/>
  <c r="V20" i="3" s="1"/>
  <c r="T19" i="3"/>
  <c r="U19" i="3" s="1"/>
  <c r="V19" i="3" s="1"/>
  <c r="T18" i="3"/>
  <c r="U18" i="3" s="1"/>
  <c r="V18" i="3" s="1"/>
  <c r="T17" i="3"/>
  <c r="U17" i="3" s="1"/>
  <c r="V17" i="3" s="1"/>
  <c r="T16" i="3"/>
  <c r="U16" i="3" s="1"/>
  <c r="V16" i="3" s="1"/>
  <c r="T15" i="3"/>
  <c r="U15" i="3" s="1"/>
  <c r="V15" i="3" s="1"/>
  <c r="T14" i="3"/>
  <c r="U14" i="3" s="1"/>
  <c r="V14" i="3" s="1"/>
  <c r="T13" i="3"/>
  <c r="U13" i="3" s="1"/>
  <c r="V13" i="3" s="1"/>
  <c r="T12" i="3"/>
  <c r="U12" i="3" s="1"/>
  <c r="V12" i="3" s="1"/>
  <c r="T11" i="3"/>
  <c r="U11" i="3" s="1"/>
  <c r="V11" i="3" s="1"/>
  <c r="T10" i="3"/>
  <c r="U10" i="3" s="1"/>
  <c r="V10" i="3" s="1"/>
  <c r="T9" i="3"/>
  <c r="U9" i="3" s="1"/>
  <c r="V9" i="3" s="1"/>
  <c r="T8" i="3"/>
  <c r="U8" i="3" s="1"/>
  <c r="T7" i="3"/>
  <c r="V8" i="3" l="1"/>
  <c r="T308" i="3"/>
  <c r="U7" i="3"/>
  <c r="V7" i="3" s="1"/>
  <c r="U113" i="3"/>
  <c r="V113" i="3" s="1"/>
  <c r="H308" i="3"/>
  <c r="S26" i="3"/>
  <c r="Y308" i="3"/>
  <c r="X308" i="3"/>
  <c r="F308" i="3"/>
  <c r="E308" i="3"/>
  <c r="U26" i="3" l="1"/>
  <c r="S308" i="3"/>
  <c r="U308" i="3" l="1"/>
  <c r="V26" i="3"/>
  <c r="V125" i="3" l="1"/>
  <c r="V30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UANUser</author>
  </authors>
  <commentList>
    <comment ref="N20" authorId="0" shapeId="0" xr:uid="{6C063317-5203-4F83-85AD-8E9D7838E9F6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Amazon $592.09 Printer, Charger &amp; Stapler
</t>
        </r>
      </text>
    </comment>
    <comment ref="I55" authorId="0" shapeId="0" xr:uid="{C6387016-FA45-4ED7-8BCA-896E8BE6D9D4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Merger $73
</t>
        </r>
      </text>
    </comment>
    <comment ref="M55" authorId="0" shapeId="0" xr:uid="{4BAE64CD-88A4-4A33-81F6-C0D584BC3BC3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A. Lodder $20.78
Merger Commission Ad</t>
        </r>
      </text>
    </comment>
    <comment ref="N55" authorId="0" shapeId="0" xr:uid="{B2192212-6044-4BF3-9423-2C7BAA380EF3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Plank- Merger $45
Plank Merger $165
</t>
        </r>
      </text>
    </comment>
    <comment ref="I58" authorId="0" shapeId="0" xr:uid="{F7D338A7-2FB4-4139-8532-E1D7E7AA9D07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Safty Deposit Box
</t>
        </r>
      </text>
    </comment>
    <comment ref="N139" authorId="0" shapeId="0" xr:uid="{2FA3B966-94D9-44D7-A288-6F25FFB7937C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Licking County Health 
$1,512.
</t>
        </r>
      </text>
    </comment>
    <comment ref="K140" authorId="0" shapeId="0" xr:uid="{52DCEF33-1BDD-44C6-9CD7-82906F18C603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48 bags of Asphat @$16.48
</t>
        </r>
      </text>
    </comment>
    <comment ref="L140" authorId="0" shapeId="0" xr:uid="{5CB353FC-FE6E-41D9-83D7-628D155AFA97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Tires for Lawn Mower $236.
Duncan Oll $ Used 275 Tank $600.00
Granville Milling $354.91
</t>
        </r>
      </text>
    </comment>
    <comment ref="N140" authorId="0" shapeId="0" xr:uid="{C27593B5-4337-4EF0-BA5B-04F56EA12E4A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Lowes $214.50 Street Paint
</t>
        </r>
      </text>
    </comment>
    <comment ref="I226" authorId="0" shapeId="0" xr:uid="{3D3308F0-71C9-4B93-A087-778FDBF9E979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$6107.44 Repair Waterline</t>
        </r>
      </text>
    </comment>
    <comment ref="N246" authorId="0" shapeId="0" xr:uid="{86C67600-A38F-4961-A909-6A10D972130F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Donald Frey $961.13
</t>
        </r>
      </text>
    </comment>
    <comment ref="K248" authorId="0" shapeId="0" xr:uid="{55B82FCD-5868-480D-913C-5F13F97BB936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Cummins Inc
$2,089.69
</t>
        </r>
      </text>
    </comment>
    <comment ref="L248" authorId="0" shapeId="0" xr:uid="{66A4D23A-B6EC-440F-A6D3-78CC1F3016C5}">
      <text>
        <r>
          <rPr>
            <b/>
            <sz val="9"/>
            <color indexed="81"/>
            <rFont val="Tahoma"/>
            <family val="2"/>
          </rPr>
          <t>UANUser:</t>
        </r>
        <r>
          <rPr>
            <sz val="9"/>
            <color indexed="81"/>
            <rFont val="Tahoma"/>
            <family val="2"/>
          </rPr>
          <t xml:space="preserve">
Cummins Inc
$1,756.06
City of Johnstown
$1,8774.46
Glasco UV $1,969.76
</t>
        </r>
      </text>
    </comment>
  </commentList>
</comments>
</file>

<file path=xl/sharedStrings.xml><?xml version="1.0" encoding="utf-8"?>
<sst xmlns="http://schemas.openxmlformats.org/spreadsheetml/2006/main" count="917" uniqueCount="446">
  <si>
    <t>AWB Workbook</t>
  </si>
  <si>
    <t>Application Version</t>
  </si>
  <si>
    <t>Processing Year:</t>
  </si>
  <si>
    <t>Entity Header</t>
  </si>
  <si>
    <t>Entity County</t>
  </si>
  <si>
    <t>Entity Type</t>
  </si>
  <si>
    <t>Chart Of Accounts</t>
  </si>
  <si>
    <t>AWB Data Custom Part GUID</t>
  </si>
  <si>
    <t>24.2.0.0</t>
  </si>
  <si>
    <t>VILLAGE OF ALEXANDRIA, LICKING COUNTY</t>
  </si>
  <si>
    <t>LICKING</t>
  </si>
  <si>
    <t>Account Code</t>
  </si>
  <si>
    <t>1000-110-190-0000</t>
  </si>
  <si>
    <t>1000-110-211-0000</t>
  </si>
  <si>
    <t>1000-110-213-0000</t>
  </si>
  <si>
    <t>1000-110-225-0000</t>
  </si>
  <si>
    <t>1000-110-270-0000</t>
  </si>
  <si>
    <t>1000-110-321-0000</t>
  </si>
  <si>
    <t>1000-110-341-0000</t>
  </si>
  <si>
    <t>1000-110-348-0000</t>
  </si>
  <si>
    <t>1000-110-351-0000</t>
  </si>
  <si>
    <t>1000-110-391-0000</t>
  </si>
  <si>
    <t>1000-110-393-0000</t>
  </si>
  <si>
    <t>1000-110-399-0000</t>
  </si>
  <si>
    <t>1000-110-410-0000</t>
  </si>
  <si>
    <t>1000-110-420-0000</t>
  </si>
  <si>
    <t>1000-110-433-0000</t>
  </si>
  <si>
    <t>1000-110-440-0000</t>
  </si>
  <si>
    <t>1000-130-311-0000</t>
  </si>
  <si>
    <t>1000-310-311-0000</t>
  </si>
  <si>
    <t>1000-310-399-0000</t>
  </si>
  <si>
    <t>1000-320-311-0000</t>
  </si>
  <si>
    <t>1000-320-399-0000</t>
  </si>
  <si>
    <t>1000-410-100-0000</t>
  </si>
  <si>
    <t>1000-410-211-0000</t>
  </si>
  <si>
    <t>1000-410-213-0000</t>
  </si>
  <si>
    <t>1000-410-225-0000</t>
  </si>
  <si>
    <t>1000-410-252-0000</t>
  </si>
  <si>
    <t>1000-410-322-0000</t>
  </si>
  <si>
    <t>1000-410-325-0000</t>
  </si>
  <si>
    <t>1000-410-341-0000</t>
  </si>
  <si>
    <t>1000-410-351-0000</t>
  </si>
  <si>
    <t>1000-410-391-0000</t>
  </si>
  <si>
    <t>1000-410-399-0000</t>
  </si>
  <si>
    <t>1000-410-410-0000</t>
  </si>
  <si>
    <t>1000-410-440-0000</t>
  </si>
  <si>
    <t>1000-541-690-0000</t>
  </si>
  <si>
    <t>1000-710-131-0000</t>
  </si>
  <si>
    <t>1000-710-132-0000</t>
  </si>
  <si>
    <t>1000-710-161-0000</t>
  </si>
  <si>
    <t>1000-710-211-0000</t>
  </si>
  <si>
    <t>1000-710-213-0000</t>
  </si>
  <si>
    <t>1000-710-225-0000</t>
  </si>
  <si>
    <t>1000-710-240-0000</t>
  </si>
  <si>
    <t>1000-710-252-0000</t>
  </si>
  <si>
    <t>1000-710-322-0000</t>
  </si>
  <si>
    <t>1000-710-325-0000</t>
  </si>
  <si>
    <t>1000-710-341-0000</t>
  </si>
  <si>
    <t>1000-710-348-0000</t>
  </si>
  <si>
    <t>1000-710-351-0000</t>
  </si>
  <si>
    <t>1000-710-391-0000</t>
  </si>
  <si>
    <t>1000-710-399-0000</t>
  </si>
  <si>
    <t>1000-710-410-0000</t>
  </si>
  <si>
    <t>1000-710-440-0000</t>
  </si>
  <si>
    <t>1000-715-111-0000</t>
  </si>
  <si>
    <t>1000-715-211-0000</t>
  </si>
  <si>
    <t>1000-715-212-0000</t>
  </si>
  <si>
    <t>1000-715-213-0000</t>
  </si>
  <si>
    <t>1000-715-225-0000</t>
  </si>
  <si>
    <t>1000-715-341-0000</t>
  </si>
  <si>
    <t>1000-715-342-0000</t>
  </si>
  <si>
    <t>1000-715-348-0000</t>
  </si>
  <si>
    <t>1000-715-351-0000</t>
  </si>
  <si>
    <t>1000-715-391-0000</t>
  </si>
  <si>
    <t>1000-715-410-0000</t>
  </si>
  <si>
    <t>1000-715-600-0000</t>
  </si>
  <si>
    <t>1000-720-132-0000</t>
  </si>
  <si>
    <t>1000-720-211-0000</t>
  </si>
  <si>
    <t>1000-720-213-0000</t>
  </si>
  <si>
    <t>1000-720-240-0000</t>
  </si>
  <si>
    <t>1000-720-321-0000</t>
  </si>
  <si>
    <t>1000-720-340-0000</t>
  </si>
  <si>
    <t>1000-720-341-0000</t>
  </si>
  <si>
    <t>1000-720-342-0000</t>
  </si>
  <si>
    <t>1000-720-343-0000</t>
  </si>
  <si>
    <t>1000-720-348-0000</t>
  </si>
  <si>
    <t>1000-720-349-0000</t>
  </si>
  <si>
    <t>1000-720-351-0000</t>
  </si>
  <si>
    <t>1000-720-391-0000</t>
  </si>
  <si>
    <t>1000-720-399-0000</t>
  </si>
  <si>
    <t>1000-720-410-0000</t>
  </si>
  <si>
    <t>1000-720-420-0000</t>
  </si>
  <si>
    <t>1000-720-520-0000</t>
  </si>
  <si>
    <t>1000-725-121-0000</t>
  </si>
  <si>
    <t>1000-725-211-0000</t>
  </si>
  <si>
    <t>1000-725-213-0000</t>
  </si>
  <si>
    <t>1000-725-225-0000</t>
  </si>
  <si>
    <t>1000-725-252-0000</t>
  </si>
  <si>
    <t>1000-725-322-0000</t>
  </si>
  <si>
    <t>1000-725-329-0000</t>
  </si>
  <si>
    <t>1000-725-341-0000</t>
  </si>
  <si>
    <t>1000-725-342-0000</t>
  </si>
  <si>
    <t>1000-725-343-0000</t>
  </si>
  <si>
    <t>1000-725-348-0000</t>
  </si>
  <si>
    <t>1000-725-351-0000</t>
  </si>
  <si>
    <t>1000-725-391-0000</t>
  </si>
  <si>
    <t>1000-725-410-0000</t>
  </si>
  <si>
    <t>1000-730-311-0000</t>
  </si>
  <si>
    <t>1000-730-313-0000</t>
  </si>
  <si>
    <t>1000-730-321-0000</t>
  </si>
  <si>
    <t>1000-730-351-0000</t>
  </si>
  <si>
    <t>1000-730-410-0000</t>
  </si>
  <si>
    <t>1000-730-431-0000</t>
  </si>
  <si>
    <t>1000-730-640-0000</t>
  </si>
  <si>
    <t>1000-735-349-0000</t>
  </si>
  <si>
    <t>1000-735-640-0000</t>
  </si>
  <si>
    <t>1000-740-344-0000</t>
  </si>
  <si>
    <t>1000-740-344-0006</t>
  </si>
  <si>
    <t>1000-800-390-0000</t>
  </si>
  <si>
    <t>1000-800-590-0000</t>
  </si>
  <si>
    <t>1000-850-710-0000</t>
  </si>
  <si>
    <t>1000-850-720-0000</t>
  </si>
  <si>
    <t>1000-910-910-0000</t>
  </si>
  <si>
    <t>1000-930-930-0000</t>
  </si>
  <si>
    <t>1000-990-990-0000</t>
  </si>
  <si>
    <t>1000-990-990-0006</t>
  </si>
  <si>
    <t>2011-620-190-0000</t>
  </si>
  <si>
    <t>2011-620-211-0000</t>
  </si>
  <si>
    <t>2011-620-213-0000</t>
  </si>
  <si>
    <t>2011-620-225-0000</t>
  </si>
  <si>
    <t>2011-620-252-0000</t>
  </si>
  <si>
    <t>2011-620-311-0000</t>
  </si>
  <si>
    <t>2011-620-313-0000</t>
  </si>
  <si>
    <t>2011-620-329-0000</t>
  </si>
  <si>
    <t>2011-620-341-0000</t>
  </si>
  <si>
    <t>2011-620-342-0000</t>
  </si>
  <si>
    <t>2011-620-344-0000</t>
  </si>
  <si>
    <t>2011-620-351-0000</t>
  </si>
  <si>
    <t>2011-620-399-0000</t>
  </si>
  <si>
    <t>2011-620-420-0000</t>
  </si>
  <si>
    <t>2011-620-430-0000</t>
  </si>
  <si>
    <t>2011-620-433-0000</t>
  </si>
  <si>
    <t>2011-620-440-0000</t>
  </si>
  <si>
    <t>2011-710-341-0000</t>
  </si>
  <si>
    <t>2011-850-710-0000</t>
  </si>
  <si>
    <t>2011-850-720-0000</t>
  </si>
  <si>
    <t>2011-930-930-0000</t>
  </si>
  <si>
    <t>2021-620-420-0000</t>
  </si>
  <si>
    <t>2021-650-311-0000</t>
  </si>
  <si>
    <t>2021-730-399-0000</t>
  </si>
  <si>
    <t>2021-930-930-0000</t>
  </si>
  <si>
    <t>2041-310-690-0000</t>
  </si>
  <si>
    <t>2041-320-190-0000</t>
  </si>
  <si>
    <t>2041-320-211-0000</t>
  </si>
  <si>
    <t>2041-320-213-0000</t>
  </si>
  <si>
    <t>2041-320-225-0000</t>
  </si>
  <si>
    <t>2041-320-311-0000</t>
  </si>
  <si>
    <t>2041-320-340-0000</t>
  </si>
  <si>
    <t>2041-320-351-0000</t>
  </si>
  <si>
    <t>2041-320-390-0000</t>
  </si>
  <si>
    <t>2041-320-395-0000</t>
  </si>
  <si>
    <t>2041-320-398-0000</t>
  </si>
  <si>
    <t>2041-320-420-0000</t>
  </si>
  <si>
    <t>2041-320-432-0000</t>
  </si>
  <si>
    <t>2041-320-440-0000</t>
  </si>
  <si>
    <t>2041-320-600-0000</t>
  </si>
  <si>
    <t>2041-800-530-0000</t>
  </si>
  <si>
    <t>2041-930-930-0000</t>
  </si>
  <si>
    <t>2061-539-420-0000</t>
  </si>
  <si>
    <t>2061-539-430-0000</t>
  </si>
  <si>
    <t>2061-539-439-0000</t>
  </si>
  <si>
    <t>2101-650-311-0000</t>
  </si>
  <si>
    <t>2101-650-420-0000</t>
  </si>
  <si>
    <t>2101-800-390-0000</t>
  </si>
  <si>
    <t>2101-930-930-0000</t>
  </si>
  <si>
    <t>2901-110-420-0000</t>
  </si>
  <si>
    <t>2902-720-342-0000</t>
  </si>
  <si>
    <t>2903-790-342-0000</t>
  </si>
  <si>
    <t>2903-790-346-0000</t>
  </si>
  <si>
    <t>2903-790-349-0000</t>
  </si>
  <si>
    <t>2903-790-351-0000</t>
  </si>
  <si>
    <t>2903-790-352-0000</t>
  </si>
  <si>
    <t>2903-790-390-0000</t>
  </si>
  <si>
    <t>2903-790-391-0000</t>
  </si>
  <si>
    <t>2903-790-392-0000</t>
  </si>
  <si>
    <t>2903-790-399-0000</t>
  </si>
  <si>
    <t>2903-790-410-0000</t>
  </si>
  <si>
    <t>2903-790-420-0000</t>
  </si>
  <si>
    <t>2903-790-430-0000</t>
  </si>
  <si>
    <t>2903-790-431-0000</t>
  </si>
  <si>
    <t>2903-790-490-0000</t>
  </si>
  <si>
    <t>2903-930-930-0000</t>
  </si>
  <si>
    <t>4901-310-590-0000</t>
  </si>
  <si>
    <t>4951-320-600-0000</t>
  </si>
  <si>
    <t>4951-910-910-0000</t>
  </si>
  <si>
    <t>5101-531-391-0000</t>
  </si>
  <si>
    <t>5101-539-190-0000</t>
  </si>
  <si>
    <t>5101-539-211-0000</t>
  </si>
  <si>
    <t>5101-539-213-0000</t>
  </si>
  <si>
    <t>5101-539-225-0000</t>
  </si>
  <si>
    <t>5101-539-311-0000</t>
  </si>
  <si>
    <t>5101-539-312-0000</t>
  </si>
  <si>
    <t>5101-539-322-0000</t>
  </si>
  <si>
    <t>5101-539-341-0000</t>
  </si>
  <si>
    <t>5101-539-342-0000</t>
  </si>
  <si>
    <t>5101-539-343-0000</t>
  </si>
  <si>
    <t>5101-539-349-0000</t>
  </si>
  <si>
    <t>5101-539-351-0000</t>
  </si>
  <si>
    <t>5101-539-391-0000</t>
  </si>
  <si>
    <t>5101-539-399-0000</t>
  </si>
  <si>
    <t>5101-539-410-0000</t>
  </si>
  <si>
    <t>5101-539-420-0000</t>
  </si>
  <si>
    <t>5101-539-430-0000</t>
  </si>
  <si>
    <t>5101-539-440-0000</t>
  </si>
  <si>
    <t>5101-539-560-0000</t>
  </si>
  <si>
    <t>5101-542-391-0000</t>
  </si>
  <si>
    <t>5101-740-344-0000</t>
  </si>
  <si>
    <t>5101-750-141-0000</t>
  </si>
  <si>
    <t>5101-800-560-0000</t>
  </si>
  <si>
    <t>5101-850-710-0000</t>
  </si>
  <si>
    <t>5101-850-720-0000</t>
  </si>
  <si>
    <t>5101-910-910-0000</t>
  </si>
  <si>
    <t>5101-930-930-0000</t>
  </si>
  <si>
    <t>5201-541-100-0000</t>
  </si>
  <si>
    <t>5201-541-211-0000</t>
  </si>
  <si>
    <t>5201-541-213-0000</t>
  </si>
  <si>
    <t>5201-541-225-0000</t>
  </si>
  <si>
    <t>5201-541-240-0000</t>
  </si>
  <si>
    <t>5201-541-311-0000</t>
  </si>
  <si>
    <t>5201-541-321-0000</t>
  </si>
  <si>
    <t>5201-541-322-0000</t>
  </si>
  <si>
    <t>5201-541-340-0000</t>
  </si>
  <si>
    <t>5201-541-350-0000</t>
  </si>
  <si>
    <t>5201-541-390-0000</t>
  </si>
  <si>
    <t>5201-541-400-0000</t>
  </si>
  <si>
    <t>5201-541-600-0000</t>
  </si>
  <si>
    <t>5201-542-341-0000</t>
  </si>
  <si>
    <t>5201-542-343-0000</t>
  </si>
  <si>
    <t>5201-542-391-0000</t>
  </si>
  <si>
    <t>5201-542-410-0000</t>
  </si>
  <si>
    <t>5201-543-342-0000</t>
  </si>
  <si>
    <t>5201-543-390-0000</t>
  </si>
  <si>
    <t>5201-543-430-0000</t>
  </si>
  <si>
    <t>5201-549-300-0000</t>
  </si>
  <si>
    <t>5201-549-420-0000</t>
  </si>
  <si>
    <t>5201-551-240-0000</t>
  </si>
  <si>
    <t>5201-553-141-0000</t>
  </si>
  <si>
    <t>5201-710-341-0000</t>
  </si>
  <si>
    <t>5201-740-344-0000</t>
  </si>
  <si>
    <t>5201-800-590-0000</t>
  </si>
  <si>
    <t>5201-850-710-0000</t>
  </si>
  <si>
    <t>5201-850-710-0004</t>
  </si>
  <si>
    <t>5201-850-720-0004</t>
  </si>
  <si>
    <t>5201-850-720-0005</t>
  </si>
  <si>
    <t>5201-910-910-0000</t>
  </si>
  <si>
    <t>5201-930-930-0000</t>
  </si>
  <si>
    <t>5201-990-990-0000</t>
  </si>
  <si>
    <t>5721-850-710-0000</t>
  </si>
  <si>
    <t>5721-850-720-0000</t>
  </si>
  <si>
    <t>5721-850-790-0000</t>
  </si>
  <si>
    <t>5721-910-910-0000</t>
  </si>
  <si>
    <t>5722-850-710-0000</t>
  </si>
  <si>
    <t>5722-850-720-0000</t>
  </si>
  <si>
    <t>5722-850-790-0000</t>
  </si>
  <si>
    <t>5722-910-910-0000</t>
  </si>
  <si>
    <t>5723-850-710-0000</t>
  </si>
  <si>
    <t>5723-850-720-0000</t>
  </si>
  <si>
    <t>5724-850-710-0000</t>
  </si>
  <si>
    <t>5724-850-720-0000</t>
  </si>
  <si>
    <t>5725-850-710-0000</t>
  </si>
  <si>
    <t>5725-850-720-0000</t>
  </si>
  <si>
    <t>5741-850-710-0000</t>
  </si>
  <si>
    <t>5741-850-720-0000</t>
  </si>
  <si>
    <t>5741-850-790-0000</t>
  </si>
  <si>
    <t>5741-910-910-0000</t>
  </si>
  <si>
    <t>5901-850-710-0000</t>
  </si>
  <si>
    <t>5901-850-720-0000</t>
  </si>
  <si>
    <t>5901-850-790-0000</t>
  </si>
  <si>
    <t>9976-889-352-0000</t>
  </si>
  <si>
    <t>9976-889-391-0000</t>
  </si>
  <si>
    <t>9976-889-420-0000</t>
  </si>
  <si>
    <t>9976-889-430-0000</t>
  </si>
  <si>
    <t>9976-889-600-0000</t>
  </si>
  <si>
    <t>9977-910-910-0000</t>
  </si>
  <si>
    <t>Account Name</t>
  </si>
  <si>
    <t>Other - Personal Services</t>
  </si>
  <si>
    <t>Ohio Public Employees Retirement System</t>
  </si>
  <si>
    <t>Medicare</t>
  </si>
  <si>
    <t>Workers' Compensation</t>
  </si>
  <si>
    <t>Uniforms and Clothing</t>
  </si>
  <si>
    <t>Telephone</t>
  </si>
  <si>
    <t>Accounting and Legal Fees</t>
  </si>
  <si>
    <t>Training Services</t>
  </si>
  <si>
    <t>Insurance and Bonding</t>
  </si>
  <si>
    <t>Dues and Fees</t>
  </si>
  <si>
    <t>Motor Vehicles</t>
  </si>
  <si>
    <t>Other - Other Contractual Services</t>
  </si>
  <si>
    <t>Office Supplies and Materials</t>
  </si>
  <si>
    <t>Operating Supplies and Materials</t>
  </si>
  <si>
    <t>Repairs and Maintenance of Motor Vehicles</t>
  </si>
  <si>
    <t>Small Tools and Minor Equipment</t>
  </si>
  <si>
    <t>Electricity</t>
  </si>
  <si>
    <t>Personal Services</t>
  </si>
  <si>
    <t>Travel and Transportation</t>
  </si>
  <si>
    <t>Postage</t>
  </si>
  <si>
    <t>Advertising</t>
  </si>
  <si>
    <t>Other - Other</t>
  </si>
  <si>
    <t>Salary - Administrator</t>
  </si>
  <si>
    <t>Salaries - Administrator's Staff</t>
  </si>
  <si>
    <t>Salary - Mayor</t>
  </si>
  <si>
    <t>Unemployment Compensation</t>
  </si>
  <si>
    <t>Salaries - Council</t>
  </si>
  <si>
    <t>Social Security</t>
  </si>
  <si>
    <t>Auditing Services</t>
  </si>
  <si>
    <t>Other</t>
  </si>
  <si>
    <t>Professional and Technical Services</t>
  </si>
  <si>
    <t>Uniform Accounting Network Fees</t>
  </si>
  <si>
    <t>Other - Professional and Technical Services</t>
  </si>
  <si>
    <t>Equipment</t>
  </si>
  <si>
    <t>Salary - Clerk/Treasurer</t>
  </si>
  <si>
    <t>Other-Communications, Printing &amp; Advertising</t>
  </si>
  <si>
    <t>Natural Gas</t>
  </si>
  <si>
    <t>Repairs and Maintenance of Buildings and Land</t>
  </si>
  <si>
    <t>Payment to Another Political Subdivision</t>
  </si>
  <si>
    <t>Tax Collection Fees</t>
  </si>
  <si>
    <t>Tax Collection Fees{MFG HOME TAX}</t>
  </si>
  <si>
    <t>Other Contractual Services</t>
  </si>
  <si>
    <t>Other - Capital Outlay</t>
  </si>
  <si>
    <t>Principal</t>
  </si>
  <si>
    <t>Interest</t>
  </si>
  <si>
    <t>Transfers - Out</t>
  </si>
  <si>
    <t>Contingencies</t>
  </si>
  <si>
    <t>Other - Other Financing Uses</t>
  </si>
  <si>
    <t>Other - Other Financing Uses{MFG HOME TAX}</t>
  </si>
  <si>
    <t>Repairs and Maintenance</t>
  </si>
  <si>
    <t>Land and Improvements</t>
  </si>
  <si>
    <t>Garbage and Trash Removal</t>
  </si>
  <si>
    <t>Repairs and Maintenance of Machinery &amp; Equip</t>
  </si>
  <si>
    <t>Buildings and Other Structures</t>
  </si>
  <si>
    <t>Other - Repairs and Maintenance</t>
  </si>
  <si>
    <t>Engineering Services</t>
  </si>
  <si>
    <t>Property Insurance Premiums</t>
  </si>
  <si>
    <t>Other - Supplies and Materials</t>
  </si>
  <si>
    <t>Water and Sewage</t>
  </si>
  <si>
    <t>Utility Distribution Systems</t>
  </si>
  <si>
    <t>Salary - Legal Counsel</t>
  </si>
  <si>
    <t>Insurance and Bonding Services</t>
  </si>
  <si>
    <t>Supplies and Materials</t>
  </si>
  <si>
    <t>Contractual Services</t>
  </si>
  <si>
    <t>Principal{USDA LOAN PRINCIPAL}</t>
  </si>
  <si>
    <t>Interest{USDA LOAN PRINCIPAL}</t>
  </si>
  <si>
    <t>Interest{USDA LOAN INTEREST}</t>
  </si>
  <si>
    <t>Other - Debt Service</t>
  </si>
  <si>
    <t>Reserved for Encumbrance 12/31</t>
  </si>
  <si>
    <t>Final Appropriation</t>
  </si>
  <si>
    <t>YTD Expenditures</t>
  </si>
  <si>
    <t>Unencumbered Balance</t>
  </si>
  <si>
    <t>Appropriation Status</t>
  </si>
  <si>
    <t>Report Total: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</si>
  <si>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</si>
  <si>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</si>
  <si>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</si>
  <si>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</si>
  <si>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</si>
  <si>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</si>
  <si>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</si>
  <si>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</si>
  <si>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</si>
  <si>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Police Department </t>
  </si>
  <si>
    <t>Street Lighting</t>
  </si>
  <si>
    <t>Park</t>
  </si>
  <si>
    <t>Community Planning &amp; Zoning</t>
  </si>
  <si>
    <t>Mayor &amp; Adm. Offices</t>
  </si>
  <si>
    <t>Council</t>
  </si>
  <si>
    <t>Mayors Court</t>
  </si>
  <si>
    <t>Fiscal Officer</t>
  </si>
  <si>
    <t>Museum</t>
  </si>
  <si>
    <t>Megan Barnes</t>
  </si>
  <si>
    <t>Electricity-7370</t>
  </si>
  <si>
    <t>Electricity-4811</t>
  </si>
  <si>
    <t/>
  </si>
  <si>
    <t>Insurance</t>
  </si>
  <si>
    <t>Police</t>
  </si>
  <si>
    <t>Mayor</t>
  </si>
  <si>
    <t>Sewer</t>
  </si>
  <si>
    <t>Jan to Sept</t>
  </si>
  <si>
    <t>YTD Expenditures UAN</t>
  </si>
  <si>
    <t>9 Months Actual Expenses x 12 months</t>
  </si>
  <si>
    <t>October</t>
  </si>
  <si>
    <t>2025 Appropriations</t>
  </si>
  <si>
    <t>Salaries</t>
  </si>
  <si>
    <t>Administrator</t>
  </si>
  <si>
    <t>Legal Fees</t>
  </si>
  <si>
    <t>Water</t>
  </si>
  <si>
    <t>Village of Alexandria</t>
  </si>
  <si>
    <t>2025 Salaries</t>
  </si>
  <si>
    <t>D. Bunting</t>
  </si>
  <si>
    <t>J.Finley</t>
  </si>
  <si>
    <t>Total General Fund</t>
  </si>
  <si>
    <t>1000-725-122-0000</t>
  </si>
  <si>
    <t>Salaries-Clerk/Treasurer's Staff</t>
  </si>
  <si>
    <t>J. Jasper</t>
  </si>
  <si>
    <t>J.Jasper</t>
  </si>
  <si>
    <t>J. Liggert</t>
  </si>
  <si>
    <t>R. Fitch</t>
  </si>
  <si>
    <t>OPWC Debt Service</t>
  </si>
  <si>
    <t>OPWC-Water Meter/Tap Repl Debt Service</t>
  </si>
  <si>
    <t>9624 Refinance of USDA Loan</t>
  </si>
  <si>
    <t>9625 Refinance of USDA Loan</t>
  </si>
  <si>
    <t xml:space="preserve">YTD as of 9/30/24 Expenditures </t>
  </si>
  <si>
    <t>J. Lee</t>
  </si>
  <si>
    <t>Village Adm.</t>
  </si>
  <si>
    <t>Streets</t>
  </si>
  <si>
    <t>Park Maint.</t>
  </si>
  <si>
    <t>Gas</t>
  </si>
  <si>
    <t>First Net</t>
  </si>
  <si>
    <t>operating Budget</t>
  </si>
  <si>
    <t>H. Steel</t>
  </si>
  <si>
    <t xml:space="preserve">1-Month </t>
  </si>
  <si>
    <t>11-Months</t>
  </si>
  <si>
    <t>per month</t>
  </si>
  <si>
    <t>MT Services</t>
  </si>
  <si>
    <t>Leads</t>
  </si>
  <si>
    <t>MC-Legal Fees</t>
  </si>
  <si>
    <t xml:space="preserve">$360 MC Software, $280 Ticket Payments Module </t>
  </si>
  <si>
    <t>Baldwin- MC Software &amp; Ticket Payments Module</t>
  </si>
  <si>
    <t>American Legal Publishing</t>
  </si>
  <si>
    <t>*Added $600 for  LEADS using some Mayor's Court funds from 2024</t>
  </si>
  <si>
    <t>1 Book at $525 plus Online $295.00</t>
  </si>
  <si>
    <t>Leads $1,200 Amer. Legal $410, Marcs Radios</t>
  </si>
  <si>
    <t>1-Book $525 Online $295</t>
  </si>
  <si>
    <t xml:space="preserve">Temp. </t>
  </si>
  <si>
    <t xml:space="preserve">Council Meeting 2-18-2025 Updated </t>
  </si>
  <si>
    <t xml:space="preserve">  2025 APPROPRIATIONS  </t>
  </si>
  <si>
    <t>Wait until 4-1-2025</t>
  </si>
  <si>
    <t>Personal Services (200 per Month Wage increase in March</t>
  </si>
  <si>
    <t>Salary - Administrator (500 per month wage increase in March</t>
  </si>
  <si>
    <t>Tracy</t>
  </si>
  <si>
    <t>Salary - Clerk/Treasurer-$200 per month in March</t>
  </si>
  <si>
    <t xml:space="preserve">Martha, Provided amounts for appropriations and revenue in </t>
  </si>
  <si>
    <t>T. Van Winlkle</t>
  </si>
  <si>
    <t>Other - Personal Services(500 per monthwage increase in March)</t>
  </si>
  <si>
    <t>J. Wise</t>
  </si>
  <si>
    <t>for IT Services</t>
  </si>
  <si>
    <t>Total Police Budget</t>
  </si>
  <si>
    <t>Reduced by $3,500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</si>
</sst>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43" fontId="1" fillId="0" borderId="0" xfId="1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ill="1"/>
    <xf numFmtId="0" fontId="0" fillId="12" borderId="0" xfId="0" applyFill="1"/>
    <xf numFmtId="164" fontId="1" fillId="12" borderId="0" xfId="0" applyNumberFormat="1" applyFont="1" applyFill="1" applyBorder="1" applyAlignment="1">
      <alignment horizontal="right"/>
    </xf>
    <xf numFmtId="164" fontId="1" fillId="0" borderId="0" xfId="0" quotePrefix="1" applyNumberFormat="1" applyFont="1" applyFill="1" applyBorder="1" applyAlignment="1">
      <alignment horizontal="right"/>
    </xf>
    <xf numFmtId="43" fontId="0" fillId="0" borderId="0" xfId="1" applyFont="1"/>
    <xf numFmtId="43" fontId="0" fillId="0" borderId="0" xfId="0" applyNumberFormat="1"/>
    <xf numFmtId="164" fontId="1" fillId="13" borderId="0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 wrapText="1"/>
    </xf>
    <xf numFmtId="164" fontId="1" fillId="14" borderId="0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horizontal="right"/>
    </xf>
    <xf numFmtId="43" fontId="0" fillId="0" borderId="3" xfId="1" applyFont="1" applyBorder="1"/>
    <xf numFmtId="0" fontId="7" fillId="0" borderId="0" xfId="0" applyFont="1"/>
    <xf numFmtId="0" fontId="7" fillId="3" borderId="0" xfId="0" applyFont="1" applyFill="1"/>
    <xf numFmtId="0" fontId="0" fillId="0" borderId="0" xfId="0" applyFill="1" applyAlignment="1">
      <alignment wrapText="1"/>
    </xf>
    <xf numFmtId="0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0" fontId="0" fillId="0" borderId="0" xfId="0" applyFill="1"/>
    <xf numFmtId="43" fontId="0" fillId="0" borderId="0" xfId="0" applyNumberFormat="1" applyFill="1"/>
    <xf numFmtId="0" fontId="7" fillId="0" borderId="0" xfId="0" applyFont="1" applyFill="1" applyAlignment="1">
      <alignment wrapText="1"/>
    </xf>
    <xf numFmtId="43" fontId="0" fillId="0" borderId="0" xfId="1" applyFont="1" applyFill="1"/>
    <xf numFmtId="164" fontId="1" fillId="12" borderId="2" xfId="0" applyNumberFormat="1" applyFont="1" applyFill="1" applyBorder="1" applyAlignment="1">
      <alignment horizontal="right"/>
    </xf>
    <xf numFmtId="164" fontId="0" fillId="0" borderId="0" xfId="0" applyNumberFormat="1"/>
    <xf numFmtId="3" fontId="0" fillId="0" borderId="0" xfId="0" applyNumberFormat="1"/>
    <xf numFmtId="164" fontId="0" fillId="3" borderId="0" xfId="0" applyNumberFormat="1" applyFill="1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left" wrapText="1"/>
    </xf>
    <xf numFmtId="0" fontId="7" fillId="0" borderId="0" xfId="0" applyFont="1" applyFill="1"/>
    <xf numFmtId="44" fontId="0" fillId="0" borderId="0" xfId="2" applyFont="1"/>
    <xf numFmtId="43" fontId="0" fillId="0" borderId="0" xfId="1" applyNumberFormat="1" applyFont="1"/>
    <xf numFmtId="43" fontId="0" fillId="0" borderId="3" xfId="1" applyNumberFormat="1" applyFont="1" applyBorder="1"/>
    <xf numFmtId="0" fontId="9" fillId="0" borderId="0" xfId="0" applyFont="1"/>
    <xf numFmtId="43" fontId="0" fillId="15" borderId="0" xfId="1" applyFont="1" applyFill="1"/>
    <xf numFmtId="0" fontId="1" fillId="12" borderId="0" xfId="0" applyNumberFormat="1" applyFont="1" applyFill="1" applyBorder="1" applyAlignment="1">
      <alignment horizontal="left"/>
    </xf>
    <xf numFmtId="9" fontId="0" fillId="0" borderId="0" xfId="0" applyNumberFormat="1"/>
    <xf numFmtId="0" fontId="1" fillId="15" borderId="0" xfId="0" applyNumberFormat="1" applyFont="1" applyFill="1" applyBorder="1" applyAlignment="1">
      <alignment horizontal="right"/>
    </xf>
    <xf numFmtId="0" fontId="10" fillId="15" borderId="0" xfId="0" applyNumberFormat="1" applyFont="1" applyFill="1" applyBorder="1" applyAlignment="1">
      <alignment horizontal="left"/>
    </xf>
    <xf numFmtId="0" fontId="0" fillId="15" borderId="0" xfId="0" applyFill="1"/>
    <xf numFmtId="0" fontId="1" fillId="15" borderId="0" xfId="0" applyNumberFormat="1" applyFont="1" applyFill="1" applyBorder="1" applyAlignment="1">
      <alignment horizontal="left"/>
    </xf>
    <xf numFmtId="9" fontId="0" fillId="0" borderId="0" xfId="0" applyNumberFormat="1" applyFill="1"/>
    <xf numFmtId="43" fontId="0" fillId="15" borderId="0" xfId="0" applyNumberFormat="1" applyFill="1"/>
    <xf numFmtId="165" fontId="0" fillId="0" borderId="0" xfId="1" applyNumberFormat="1" applyFont="1"/>
    <xf numFmtId="165" fontId="0" fillId="0" borderId="0" xfId="0" applyNumberFormat="1"/>
    <xf numFmtId="6" fontId="0" fillId="0" borderId="0" xfId="0" applyNumberFormat="1"/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9CF2-DDCD-4499-876C-79842F927F95}">
  <sheetPr>
    <pageSetUpPr fitToPage="1"/>
  </sheetPr>
  <dimension ref="A1:AE309"/>
  <sheetViews>
    <sheetView tabSelected="1"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W7" sqref="W7"/>
    </sheetView>
  </sheetViews>
  <sheetFormatPr defaultRowHeight="14.4" x14ac:dyDescent="0.3"/>
  <cols>
    <col min="1" max="1" width="36.33203125" customWidth="1"/>
    <col min="2" max="2" width="17.21875" style="1" bestFit="1" customWidth="1"/>
    <col min="3" max="3" width="35.33203125" style="2" customWidth="1"/>
    <col min="4" max="4" width="17.109375" style="2" customWidth="1"/>
    <col min="5" max="5" width="12.88671875" style="4" customWidth="1"/>
    <col min="6" max="6" width="14" style="4" customWidth="1"/>
    <col min="7" max="20" width="17.88671875" style="4" hidden="1" customWidth="1"/>
    <col min="21" max="21" width="13.33203125" style="4" customWidth="1"/>
    <col min="22" max="22" width="16.21875" style="4" hidden="1" customWidth="1"/>
    <col min="23" max="23" width="15.88671875" style="4" customWidth="1"/>
    <col min="24" max="24" width="16.77734375" style="4" hidden="1" customWidth="1"/>
    <col min="25" max="25" width="22" style="4" hidden="1" customWidth="1"/>
    <col min="26" max="26" width="11" bestFit="1" customWidth="1"/>
    <col min="27" max="27" width="10" bestFit="1" customWidth="1"/>
    <col min="29" max="29" width="9.88671875" bestFit="1" customWidth="1"/>
  </cols>
  <sheetData>
    <row r="1" spans="1:31" ht="15.6" x14ac:dyDescent="0.3">
      <c r="B1" s="59" t="s">
        <v>357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31" ht="15.6" x14ac:dyDescent="0.3">
      <c r="B2" s="59" t="s">
        <v>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31" ht="15.6" x14ac:dyDescent="0.3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31" ht="15.6" x14ac:dyDescent="0.3">
      <c r="B4" s="59" t="s">
        <v>433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31" ht="15" thickBot="1" x14ac:dyDescent="0.35">
      <c r="B5" s="61" t="s">
        <v>432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31" ht="40.799999999999997" thickBot="1" x14ac:dyDescent="0.35">
      <c r="B6" s="3" t="s">
        <v>11</v>
      </c>
      <c r="C6" s="3" t="s">
        <v>284</v>
      </c>
      <c r="D6" s="3"/>
      <c r="E6" s="22" t="s">
        <v>353</v>
      </c>
      <c r="F6" s="22" t="s">
        <v>354</v>
      </c>
      <c r="G6" s="3" t="s">
        <v>359</v>
      </c>
      <c r="H6" s="3" t="s">
        <v>360</v>
      </c>
      <c r="I6" s="3" t="s">
        <v>361</v>
      </c>
      <c r="J6" s="3" t="s">
        <v>362</v>
      </c>
      <c r="K6" s="3" t="s">
        <v>363</v>
      </c>
      <c r="L6" s="3" t="s">
        <v>364</v>
      </c>
      <c r="M6" s="3" t="s">
        <v>365</v>
      </c>
      <c r="N6" s="3" t="s">
        <v>366</v>
      </c>
      <c r="O6" s="3" t="s">
        <v>367</v>
      </c>
      <c r="P6" s="3" t="s">
        <v>388</v>
      </c>
      <c r="Q6" s="3"/>
      <c r="R6" s="3"/>
      <c r="S6" s="3" t="s">
        <v>385</v>
      </c>
      <c r="T6" s="22" t="s">
        <v>386</v>
      </c>
      <c r="U6" s="22" t="s">
        <v>409</v>
      </c>
      <c r="V6" s="22" t="s">
        <v>387</v>
      </c>
      <c r="W6" s="22" t="s">
        <v>389</v>
      </c>
      <c r="X6" s="3" t="s">
        <v>355</v>
      </c>
      <c r="Y6" s="3" t="s">
        <v>356</v>
      </c>
    </row>
    <row r="7" spans="1:31" x14ac:dyDescent="0.3">
      <c r="A7" s="7" t="s">
        <v>368</v>
      </c>
      <c r="B7" s="1" t="s">
        <v>12</v>
      </c>
      <c r="C7" s="2" t="s">
        <v>285</v>
      </c>
      <c r="E7" s="4">
        <v>1482.7</v>
      </c>
      <c r="F7" s="4">
        <v>47844</v>
      </c>
      <c r="S7" s="4">
        <f t="shared" ref="S7:S22" si="0">SUM(G7:O7)</f>
        <v>0</v>
      </c>
      <c r="T7" s="4">
        <f>X7</f>
        <v>29194.98</v>
      </c>
      <c r="U7" s="4">
        <f>S7+T7</f>
        <v>29194.98</v>
      </c>
      <c r="V7" s="4">
        <f>(U7/8)*12</f>
        <v>43792.47</v>
      </c>
      <c r="W7" s="4">
        <f>'Salaries &amp; Fees Split'!F11</f>
        <v>41800</v>
      </c>
      <c r="X7" s="4">
        <v>29194.98</v>
      </c>
      <c r="Y7" s="4">
        <v>19539</v>
      </c>
    </row>
    <row r="8" spans="1:31" x14ac:dyDescent="0.3">
      <c r="A8" s="7" t="s">
        <v>368</v>
      </c>
      <c r="B8" s="1" t="s">
        <v>13</v>
      </c>
      <c r="C8" s="2" t="s">
        <v>286</v>
      </c>
      <c r="E8" s="4">
        <v>940</v>
      </c>
      <c r="F8" s="4">
        <v>11482.56</v>
      </c>
      <c r="S8" s="4">
        <f t="shared" si="0"/>
        <v>0</v>
      </c>
      <c r="T8" s="4">
        <f t="shared" ref="T8:T33" si="1">X8</f>
        <v>6629.74</v>
      </c>
      <c r="U8" s="4">
        <f t="shared" ref="U8:U73" si="2">S8+T8</f>
        <v>6629.74</v>
      </c>
      <c r="V8" s="4">
        <f t="shared" ref="V8:V73" si="3">(U8/9)*12</f>
        <v>8839.6533333333318</v>
      </c>
      <c r="W8" s="4">
        <f>W7*24%</f>
        <v>10032</v>
      </c>
      <c r="X8" s="4">
        <v>6629.74</v>
      </c>
      <c r="Y8" s="4">
        <v>4783.32</v>
      </c>
    </row>
    <row r="9" spans="1:31" x14ac:dyDescent="0.3">
      <c r="A9" s="7" t="s">
        <v>368</v>
      </c>
      <c r="B9" s="1" t="s">
        <v>14</v>
      </c>
      <c r="C9" s="2" t="s">
        <v>287</v>
      </c>
      <c r="E9" s="4">
        <v>0</v>
      </c>
      <c r="F9" s="4">
        <v>693.74</v>
      </c>
      <c r="S9" s="4">
        <f t="shared" si="0"/>
        <v>0</v>
      </c>
      <c r="T9" s="4">
        <f t="shared" si="1"/>
        <v>120.54</v>
      </c>
      <c r="U9" s="4">
        <f t="shared" si="2"/>
        <v>120.54</v>
      </c>
      <c r="V9" s="4">
        <f t="shared" si="3"/>
        <v>160.72000000000003</v>
      </c>
      <c r="W9" s="4">
        <f>W7*1.45%</f>
        <v>606.09999999999991</v>
      </c>
      <c r="X9" s="4">
        <v>120.54</v>
      </c>
      <c r="Y9" s="4">
        <v>573.20000000000005</v>
      </c>
      <c r="Z9" s="37"/>
    </row>
    <row r="10" spans="1:31" x14ac:dyDescent="0.3">
      <c r="A10" s="7" t="s">
        <v>368</v>
      </c>
      <c r="B10" s="1" t="s">
        <v>15</v>
      </c>
      <c r="C10" s="2" t="s">
        <v>288</v>
      </c>
      <c r="E10" s="4">
        <v>0</v>
      </c>
      <c r="F10" s="4">
        <v>400</v>
      </c>
      <c r="G10" s="4">
        <v>150</v>
      </c>
      <c r="L10" s="4">
        <v>50</v>
      </c>
      <c r="S10" s="4">
        <f t="shared" si="0"/>
        <v>200</v>
      </c>
      <c r="T10" s="4">
        <f t="shared" si="1"/>
        <v>0</v>
      </c>
      <c r="U10" s="4">
        <f t="shared" si="2"/>
        <v>200</v>
      </c>
      <c r="V10" s="4">
        <f t="shared" si="3"/>
        <v>266.66666666666663</v>
      </c>
      <c r="W10" s="4">
        <v>100</v>
      </c>
      <c r="X10" s="4">
        <v>0</v>
      </c>
      <c r="Y10" s="4">
        <v>400</v>
      </c>
      <c r="Z10" s="37">
        <f>SUM(W7:W10)</f>
        <v>52538.1</v>
      </c>
    </row>
    <row r="11" spans="1:31" x14ac:dyDescent="0.3">
      <c r="A11" s="7" t="s">
        <v>368</v>
      </c>
      <c r="B11" s="1" t="s">
        <v>16</v>
      </c>
      <c r="C11" s="2" t="s">
        <v>289</v>
      </c>
      <c r="E11" s="4">
        <v>8800.59</v>
      </c>
      <c r="F11" s="4">
        <v>199.92</v>
      </c>
      <c r="S11" s="4">
        <f t="shared" si="0"/>
        <v>0</v>
      </c>
      <c r="T11" s="4">
        <f t="shared" si="1"/>
        <v>8988.2099999999991</v>
      </c>
      <c r="U11" s="4">
        <f t="shared" si="2"/>
        <v>8988.2099999999991</v>
      </c>
      <c r="V11" s="4">
        <f t="shared" si="3"/>
        <v>11984.279999999999</v>
      </c>
      <c r="W11" s="25">
        <v>0</v>
      </c>
      <c r="X11" s="4">
        <v>8988.2099999999991</v>
      </c>
      <c r="Y11" s="4">
        <v>12.3</v>
      </c>
    </row>
    <row r="12" spans="1:31" x14ac:dyDescent="0.3">
      <c r="A12" s="7" t="s">
        <v>368</v>
      </c>
      <c r="B12" s="1" t="s">
        <v>17</v>
      </c>
      <c r="C12" s="2" t="s">
        <v>290</v>
      </c>
      <c r="E12" s="4">
        <v>0</v>
      </c>
      <c r="F12" s="4">
        <v>1182.42</v>
      </c>
      <c r="S12" s="4">
        <f t="shared" si="0"/>
        <v>0</v>
      </c>
      <c r="T12" s="4">
        <f t="shared" si="1"/>
        <v>464.87</v>
      </c>
      <c r="U12" s="4">
        <f t="shared" si="2"/>
        <v>464.87</v>
      </c>
      <c r="V12" s="4">
        <f t="shared" si="3"/>
        <v>619.8266666666666</v>
      </c>
      <c r="W12" s="25">
        <f>217.12+(136.96*11)</f>
        <v>1723.6800000000003</v>
      </c>
      <c r="X12" s="4">
        <v>464.87</v>
      </c>
      <c r="Y12" s="4">
        <v>0</v>
      </c>
      <c r="Z12" t="s">
        <v>415</v>
      </c>
      <c r="AA12" t="s">
        <v>418</v>
      </c>
      <c r="AB12">
        <v>217.12</v>
      </c>
      <c r="AC12" t="s">
        <v>419</v>
      </c>
      <c r="AD12">
        <f>217.12-40.08-40.08</f>
        <v>136.96000000000004</v>
      </c>
      <c r="AE12" t="s">
        <v>420</v>
      </c>
    </row>
    <row r="13" spans="1:31" x14ac:dyDescent="0.3">
      <c r="A13" s="7" t="s">
        <v>368</v>
      </c>
      <c r="B13" s="1" t="s">
        <v>18</v>
      </c>
      <c r="C13" s="2" t="s">
        <v>291</v>
      </c>
      <c r="E13" s="4">
        <v>0</v>
      </c>
      <c r="F13" s="4">
        <v>650</v>
      </c>
      <c r="S13" s="4">
        <f t="shared" si="0"/>
        <v>0</v>
      </c>
      <c r="T13" s="4">
        <f t="shared" si="1"/>
        <v>650</v>
      </c>
      <c r="U13" s="4">
        <f t="shared" si="2"/>
        <v>650</v>
      </c>
      <c r="V13" s="4">
        <f t="shared" si="3"/>
        <v>866.66666666666674</v>
      </c>
      <c r="W13" s="25"/>
      <c r="X13" s="4">
        <v>650</v>
      </c>
      <c r="Y13" s="4">
        <v>0</v>
      </c>
    </row>
    <row r="14" spans="1:31" x14ac:dyDescent="0.3">
      <c r="A14" s="7" t="s">
        <v>368</v>
      </c>
      <c r="B14" s="1" t="s">
        <v>19</v>
      </c>
      <c r="C14" s="2" t="s">
        <v>292</v>
      </c>
      <c r="E14" s="4">
        <v>0</v>
      </c>
      <c r="F14" s="4">
        <v>300</v>
      </c>
      <c r="S14" s="4">
        <f t="shared" si="0"/>
        <v>0</v>
      </c>
      <c r="T14" s="4">
        <f t="shared" si="1"/>
        <v>0</v>
      </c>
      <c r="U14" s="4">
        <f t="shared" si="2"/>
        <v>0</v>
      </c>
      <c r="V14" s="4">
        <f t="shared" si="3"/>
        <v>0</v>
      </c>
      <c r="W14" s="25">
        <v>100</v>
      </c>
      <c r="X14" s="4">
        <v>0</v>
      </c>
      <c r="Y14" s="4">
        <v>300</v>
      </c>
    </row>
    <row r="15" spans="1:31" x14ac:dyDescent="0.3">
      <c r="A15" s="7" t="s">
        <v>368</v>
      </c>
      <c r="B15" s="1" t="s">
        <v>20</v>
      </c>
      <c r="C15" s="2" t="s">
        <v>293</v>
      </c>
      <c r="E15" s="4">
        <v>0</v>
      </c>
      <c r="F15" s="4">
        <v>1500</v>
      </c>
      <c r="J15" s="21">
        <v>1500</v>
      </c>
      <c r="S15" s="4">
        <f t="shared" si="0"/>
        <v>1500</v>
      </c>
      <c r="T15" s="4">
        <f t="shared" si="1"/>
        <v>0</v>
      </c>
      <c r="U15" s="4">
        <f t="shared" si="2"/>
        <v>1500</v>
      </c>
      <c r="V15" s="4">
        <f t="shared" si="3"/>
        <v>2000</v>
      </c>
      <c r="W15" s="25">
        <v>1400</v>
      </c>
      <c r="X15" s="4">
        <v>0</v>
      </c>
      <c r="Y15" s="4">
        <v>1500</v>
      </c>
    </row>
    <row r="16" spans="1:31" x14ac:dyDescent="0.3">
      <c r="A16" s="7" t="s">
        <v>368</v>
      </c>
      <c r="B16" s="1" t="s">
        <v>21</v>
      </c>
      <c r="C16" s="2" t="s">
        <v>294</v>
      </c>
      <c r="E16" s="4">
        <v>0</v>
      </c>
      <c r="F16" s="4">
        <v>0</v>
      </c>
      <c r="S16" s="4">
        <f t="shared" si="0"/>
        <v>0</v>
      </c>
      <c r="T16" s="4">
        <f t="shared" si="1"/>
        <v>0</v>
      </c>
      <c r="U16" s="4">
        <f t="shared" si="2"/>
        <v>0</v>
      </c>
      <c r="V16" s="4">
        <f t="shared" si="3"/>
        <v>0</v>
      </c>
      <c r="W16" s="25"/>
      <c r="X16" s="4">
        <v>0</v>
      </c>
      <c r="Y16" s="4">
        <v>0</v>
      </c>
    </row>
    <row r="17" spans="1:28" x14ac:dyDescent="0.3">
      <c r="A17" s="7" t="s">
        <v>368</v>
      </c>
      <c r="B17" s="1" t="s">
        <v>22</v>
      </c>
      <c r="C17" s="2" t="s">
        <v>295</v>
      </c>
      <c r="E17" s="4">
        <v>0</v>
      </c>
      <c r="F17" s="4">
        <v>8210</v>
      </c>
      <c r="S17" s="4">
        <f t="shared" si="0"/>
        <v>0</v>
      </c>
      <c r="T17" s="4">
        <f t="shared" si="1"/>
        <v>7980</v>
      </c>
      <c r="U17" s="4">
        <f t="shared" si="2"/>
        <v>7980</v>
      </c>
      <c r="V17" s="4">
        <f t="shared" si="3"/>
        <v>10640</v>
      </c>
      <c r="W17" s="25">
        <v>0</v>
      </c>
      <c r="X17" s="4">
        <v>7980</v>
      </c>
      <c r="Y17" s="4">
        <v>100</v>
      </c>
      <c r="AA17" s="37"/>
    </row>
    <row r="18" spans="1:28" ht="40.200000000000003" x14ac:dyDescent="0.3">
      <c r="A18" s="7" t="s">
        <v>368</v>
      </c>
      <c r="B18" s="1" t="s">
        <v>23</v>
      </c>
      <c r="C18" s="2" t="s">
        <v>296</v>
      </c>
      <c r="D18" s="41" t="s">
        <v>429</v>
      </c>
      <c r="E18" s="4">
        <v>850</v>
      </c>
      <c r="F18" s="4">
        <v>1765</v>
      </c>
      <c r="S18" s="4">
        <f t="shared" si="0"/>
        <v>0</v>
      </c>
      <c r="T18" s="4">
        <f t="shared" si="1"/>
        <v>2255</v>
      </c>
      <c r="U18" s="4">
        <f t="shared" si="2"/>
        <v>2255</v>
      </c>
      <c r="V18" s="4">
        <f t="shared" si="3"/>
        <v>3006.6666666666665</v>
      </c>
      <c r="W18" s="25">
        <f>(600+600)+((525+295)/2)+180</f>
        <v>1790</v>
      </c>
      <c r="X18" s="4">
        <v>2255</v>
      </c>
      <c r="Y18" s="4">
        <v>0</v>
      </c>
      <c r="Z18" t="s">
        <v>422</v>
      </c>
      <c r="AA18" s="37">
        <v>1200</v>
      </c>
      <c r="AB18" t="s">
        <v>428</v>
      </c>
    </row>
    <row r="19" spans="1:28" x14ac:dyDescent="0.3">
      <c r="A19" s="7" t="s">
        <v>368</v>
      </c>
      <c r="B19" s="1" t="s">
        <v>24</v>
      </c>
      <c r="C19" s="2" t="s">
        <v>297</v>
      </c>
      <c r="E19" s="4">
        <v>0</v>
      </c>
      <c r="F19" s="4">
        <v>266.14</v>
      </c>
      <c r="S19" s="4">
        <f t="shared" si="0"/>
        <v>0</v>
      </c>
      <c r="T19" s="4">
        <f t="shared" si="1"/>
        <v>234.03</v>
      </c>
      <c r="U19" s="4">
        <f t="shared" si="2"/>
        <v>234.03</v>
      </c>
      <c r="V19" s="4">
        <f t="shared" si="3"/>
        <v>312.04000000000002</v>
      </c>
      <c r="W19" s="25"/>
      <c r="X19" s="4">
        <v>234.03</v>
      </c>
      <c r="Y19" s="4">
        <v>0</v>
      </c>
    </row>
    <row r="20" spans="1:28" x14ac:dyDescent="0.3">
      <c r="A20" s="7" t="s">
        <v>368</v>
      </c>
      <c r="B20" s="1" t="s">
        <v>25</v>
      </c>
      <c r="C20" s="2" t="s">
        <v>298</v>
      </c>
      <c r="E20" s="4">
        <v>37062.019999999997</v>
      </c>
      <c r="F20" s="4">
        <v>12077.96</v>
      </c>
      <c r="M20" s="4">
        <v>296.85000000000002</v>
      </c>
      <c r="N20" s="4">
        <v>592.09</v>
      </c>
      <c r="S20" s="4">
        <f t="shared" si="0"/>
        <v>888.94</v>
      </c>
      <c r="T20" s="4">
        <f t="shared" si="1"/>
        <v>34247.94</v>
      </c>
      <c r="U20" s="4">
        <f t="shared" si="2"/>
        <v>35136.880000000005</v>
      </c>
      <c r="V20" s="4">
        <f t="shared" si="3"/>
        <v>46849.17333333334</v>
      </c>
      <c r="W20" s="25">
        <f>10000-W12-W14-W15-W21-W25-0.41-100-600</f>
        <v>5075.91</v>
      </c>
      <c r="X20" s="4">
        <v>34247.94</v>
      </c>
      <c r="Y20" s="4">
        <v>4058.99</v>
      </c>
    </row>
    <row r="21" spans="1:28" x14ac:dyDescent="0.3">
      <c r="A21" s="7" t="s">
        <v>368</v>
      </c>
      <c r="B21" s="1" t="s">
        <v>26</v>
      </c>
      <c r="C21" s="2" t="s">
        <v>299</v>
      </c>
      <c r="E21" s="4">
        <v>1427.11</v>
      </c>
      <c r="F21" s="4">
        <v>21.5</v>
      </c>
      <c r="S21" s="4">
        <f t="shared" si="0"/>
        <v>0</v>
      </c>
      <c r="T21" s="4">
        <f t="shared" si="1"/>
        <v>679.06</v>
      </c>
      <c r="U21" s="4">
        <f t="shared" si="2"/>
        <v>679.06</v>
      </c>
      <c r="V21" s="4">
        <f t="shared" si="3"/>
        <v>905.41333333333318</v>
      </c>
      <c r="W21" s="25">
        <v>1000</v>
      </c>
      <c r="X21" s="4">
        <v>679.06</v>
      </c>
      <c r="Y21" s="4">
        <v>0</v>
      </c>
      <c r="Z21" s="39">
        <f>SUM(W11:W22)</f>
        <v>11089.59</v>
      </c>
      <c r="AA21" s="37">
        <f>Z10+Z21</f>
        <v>63627.69</v>
      </c>
      <c r="AB21" t="s">
        <v>444</v>
      </c>
    </row>
    <row r="22" spans="1:28" ht="13.8" customHeight="1" x14ac:dyDescent="0.3">
      <c r="A22" s="7" t="s">
        <v>368</v>
      </c>
      <c r="B22" s="1" t="s">
        <v>27</v>
      </c>
      <c r="C22" s="2" t="s">
        <v>300</v>
      </c>
      <c r="E22" s="4">
        <v>0</v>
      </c>
      <c r="F22" s="4">
        <v>0</v>
      </c>
      <c r="S22" s="4">
        <f t="shared" si="0"/>
        <v>0</v>
      </c>
      <c r="T22" s="4">
        <f t="shared" si="1"/>
        <v>0</v>
      </c>
      <c r="U22" s="4">
        <f t="shared" si="2"/>
        <v>0</v>
      </c>
      <c r="V22" s="4">
        <f t="shared" si="3"/>
        <v>0</v>
      </c>
      <c r="W22" s="4">
        <v>0</v>
      </c>
      <c r="X22" s="4">
        <v>0</v>
      </c>
      <c r="Y22" s="4">
        <v>0</v>
      </c>
    </row>
    <row r="23" spans="1:28" ht="13.8" customHeight="1" x14ac:dyDescent="0.3">
      <c r="A23" s="42" t="s">
        <v>427</v>
      </c>
    </row>
    <row r="24" spans="1:28" ht="13.8" customHeight="1" x14ac:dyDescent="0.3">
      <c r="A24" s="7"/>
    </row>
    <row r="25" spans="1:28" ht="13.8" customHeight="1" x14ac:dyDescent="0.3">
      <c r="Z25" s="37"/>
    </row>
    <row r="26" spans="1:28" x14ac:dyDescent="0.3">
      <c r="A26" s="8" t="s">
        <v>369</v>
      </c>
      <c r="B26" s="1" t="s">
        <v>28</v>
      </c>
      <c r="C26" s="2" t="s">
        <v>301</v>
      </c>
      <c r="E26" s="4">
        <v>1070.6300000000001</v>
      </c>
      <c r="F26" s="4">
        <v>10000</v>
      </c>
      <c r="H26" s="4">
        <f>88.18+936.22+680.39+25.59</f>
        <v>1730.3799999999999</v>
      </c>
      <c r="I26" s="4">
        <f>92.53+631.26+25.77</f>
        <v>749.56</v>
      </c>
      <c r="J26" s="4">
        <f>88.35+637.61+25.13</f>
        <v>751.09</v>
      </c>
      <c r="K26" s="4">
        <f>86.64+634.22+24.07</f>
        <v>744.93000000000006</v>
      </c>
      <c r="L26" s="4">
        <f>87.23+617.55+20.95</f>
        <v>725.73</v>
      </c>
      <c r="M26" s="4">
        <f>99.53+597.37+21.35</f>
        <v>718.25</v>
      </c>
      <c r="N26" s="4">
        <f>86.03+613.13</f>
        <v>699.16</v>
      </c>
      <c r="S26" s="4">
        <f t="shared" ref="S26:S57" si="4">SUM(G26:O26)</f>
        <v>6119.1</v>
      </c>
      <c r="T26" s="4">
        <f t="shared" si="1"/>
        <v>88.17</v>
      </c>
      <c r="U26" s="4">
        <f t="shared" si="2"/>
        <v>6207.27</v>
      </c>
      <c r="V26" s="4">
        <f t="shared" si="3"/>
        <v>8276.36</v>
      </c>
      <c r="W26" s="4">
        <v>9500</v>
      </c>
      <c r="X26" s="4">
        <v>88.17</v>
      </c>
      <c r="Y26" s="4">
        <v>10000</v>
      </c>
    </row>
    <row r="27" spans="1:28" x14ac:dyDescent="0.3">
      <c r="A27" s="9" t="s">
        <v>370</v>
      </c>
      <c r="B27" s="1" t="s">
        <v>29</v>
      </c>
      <c r="C27" s="2" t="s">
        <v>301</v>
      </c>
      <c r="E27" s="4">
        <v>0</v>
      </c>
      <c r="F27" s="4">
        <v>0</v>
      </c>
      <c r="S27" s="4">
        <f t="shared" si="4"/>
        <v>0</v>
      </c>
      <c r="T27" s="4">
        <f t="shared" si="1"/>
        <v>0</v>
      </c>
      <c r="U27" s="4">
        <f t="shared" si="2"/>
        <v>0</v>
      </c>
      <c r="V27" s="4">
        <f t="shared" si="3"/>
        <v>0</v>
      </c>
      <c r="W27" s="4">
        <v>0</v>
      </c>
      <c r="X27" s="4">
        <v>0</v>
      </c>
      <c r="Y27" s="4">
        <v>0</v>
      </c>
    </row>
    <row r="28" spans="1:28" x14ac:dyDescent="0.3">
      <c r="A28" s="9" t="s">
        <v>370</v>
      </c>
      <c r="B28" s="1" t="s">
        <v>30</v>
      </c>
      <c r="C28" s="2" t="s">
        <v>296</v>
      </c>
      <c r="E28" s="4">
        <v>0</v>
      </c>
      <c r="F28" s="4">
        <v>1360</v>
      </c>
      <c r="G28" s="4">
        <v>113.3</v>
      </c>
      <c r="H28" s="4">
        <v>113.3</v>
      </c>
      <c r="I28" s="4">
        <v>113.3</v>
      </c>
      <c r="J28" s="4">
        <v>113.3</v>
      </c>
      <c r="K28" s="4">
        <v>113.3</v>
      </c>
      <c r="L28" s="4">
        <v>113.3</v>
      </c>
      <c r="N28" s="4">
        <v>113.3</v>
      </c>
      <c r="S28" s="4">
        <f t="shared" si="4"/>
        <v>793.09999999999991</v>
      </c>
      <c r="T28" s="4">
        <f t="shared" si="1"/>
        <v>226.6</v>
      </c>
      <c r="U28" s="4">
        <f t="shared" si="2"/>
        <v>1019.6999999999999</v>
      </c>
      <c r="V28" s="4">
        <f t="shared" si="3"/>
        <v>1359.6</v>
      </c>
      <c r="W28" s="4">
        <v>0</v>
      </c>
      <c r="X28" s="4">
        <v>226.6</v>
      </c>
      <c r="Y28" s="4">
        <v>1133.4000000000001</v>
      </c>
    </row>
    <row r="29" spans="1:28" x14ac:dyDescent="0.3">
      <c r="A29" s="9" t="s">
        <v>370</v>
      </c>
      <c r="B29" s="1" t="s">
        <v>31</v>
      </c>
      <c r="C29" s="2" t="s">
        <v>301</v>
      </c>
      <c r="E29" s="4">
        <v>294.12</v>
      </c>
      <c r="F29" s="4">
        <v>1200</v>
      </c>
      <c r="H29" s="4">
        <v>43.85</v>
      </c>
      <c r="I29" s="4">
        <v>42.62</v>
      </c>
      <c r="J29" s="4">
        <f>96.14+127.35</f>
        <v>223.49</v>
      </c>
      <c r="K29" s="4">
        <v>75.63</v>
      </c>
      <c r="M29" s="4">
        <f>87.47+88.61</f>
        <v>176.07999999999998</v>
      </c>
      <c r="S29" s="4">
        <f t="shared" si="4"/>
        <v>561.67000000000007</v>
      </c>
      <c r="T29" s="4">
        <f t="shared" si="1"/>
        <v>0</v>
      </c>
      <c r="U29" s="4">
        <f t="shared" si="2"/>
        <v>561.67000000000007</v>
      </c>
      <c r="V29" s="4">
        <f t="shared" si="3"/>
        <v>748.89333333333343</v>
      </c>
      <c r="W29" s="4">
        <v>800</v>
      </c>
      <c r="X29" s="4">
        <v>0</v>
      </c>
      <c r="Y29" s="4">
        <v>1200</v>
      </c>
    </row>
    <row r="30" spans="1:28" x14ac:dyDescent="0.3">
      <c r="A30" s="9" t="s">
        <v>370</v>
      </c>
      <c r="B30" s="1" t="s">
        <v>32</v>
      </c>
      <c r="C30" s="2" t="s">
        <v>296</v>
      </c>
      <c r="E30" s="4">
        <v>0</v>
      </c>
      <c r="F30" s="4">
        <v>5000</v>
      </c>
      <c r="J30" s="4">
        <v>4800</v>
      </c>
      <c r="S30" s="4">
        <f t="shared" si="4"/>
        <v>4800</v>
      </c>
      <c r="T30" s="4">
        <f t="shared" si="1"/>
        <v>0</v>
      </c>
      <c r="U30" s="4">
        <f t="shared" si="2"/>
        <v>4800</v>
      </c>
      <c r="V30" s="4">
        <f t="shared" si="3"/>
        <v>6400</v>
      </c>
      <c r="W30" s="4">
        <v>2500</v>
      </c>
      <c r="X30" s="4">
        <v>0</v>
      </c>
      <c r="Y30" s="4">
        <v>5000</v>
      </c>
      <c r="Z30" s="19">
        <f>115.5*12</f>
        <v>1386</v>
      </c>
      <c r="AA30" t="s">
        <v>421</v>
      </c>
      <c r="AB30" s="37"/>
    </row>
    <row r="31" spans="1:28" x14ac:dyDescent="0.3">
      <c r="A31" s="10" t="s">
        <v>371</v>
      </c>
      <c r="B31" s="1" t="s">
        <v>33</v>
      </c>
      <c r="C31" s="2" t="s">
        <v>302</v>
      </c>
      <c r="E31" s="4">
        <v>13.92</v>
      </c>
      <c r="F31" s="4">
        <v>1800</v>
      </c>
      <c r="S31" s="4">
        <f t="shared" si="4"/>
        <v>0</v>
      </c>
      <c r="T31" s="4">
        <f t="shared" si="1"/>
        <v>1193.22</v>
      </c>
      <c r="U31" s="4">
        <f t="shared" si="2"/>
        <v>1193.22</v>
      </c>
      <c r="V31" s="4">
        <f t="shared" si="3"/>
        <v>1590.96</v>
      </c>
      <c r="W31" s="4">
        <f>(300*12)+'Salaries &amp; Fees Split'!E17</f>
        <v>5600</v>
      </c>
      <c r="X31" s="4">
        <v>1193.22</v>
      </c>
      <c r="Y31" s="4">
        <v>600</v>
      </c>
    </row>
    <row r="32" spans="1:28" x14ac:dyDescent="0.3">
      <c r="A32" s="10" t="s">
        <v>371</v>
      </c>
      <c r="B32" s="1" t="s">
        <v>34</v>
      </c>
      <c r="C32" s="2" t="s">
        <v>286</v>
      </c>
      <c r="E32" s="4">
        <v>30</v>
      </c>
      <c r="F32" s="4">
        <v>432</v>
      </c>
      <c r="S32" s="4">
        <f t="shared" si="4"/>
        <v>0</v>
      </c>
      <c r="T32" s="4">
        <f t="shared" si="1"/>
        <v>216</v>
      </c>
      <c r="U32" s="4">
        <f t="shared" si="2"/>
        <v>216</v>
      </c>
      <c r="V32" s="4">
        <f t="shared" si="3"/>
        <v>288</v>
      </c>
      <c r="W32" s="4">
        <f>W31*24%</f>
        <v>1344</v>
      </c>
      <c r="X32" s="4">
        <v>216</v>
      </c>
      <c r="Y32" s="4">
        <v>186</v>
      </c>
    </row>
    <row r="33" spans="1:25" x14ac:dyDescent="0.3">
      <c r="A33" s="10" t="s">
        <v>371</v>
      </c>
      <c r="B33" s="1" t="s">
        <v>35</v>
      </c>
      <c r="C33" s="2" t="s">
        <v>287</v>
      </c>
      <c r="E33" s="4">
        <v>0</v>
      </c>
      <c r="F33" s="4">
        <v>27</v>
      </c>
      <c r="S33" s="4">
        <f t="shared" si="4"/>
        <v>0</v>
      </c>
      <c r="T33" s="4">
        <f t="shared" si="1"/>
        <v>15.26</v>
      </c>
      <c r="U33" s="4">
        <f t="shared" si="2"/>
        <v>15.26</v>
      </c>
      <c r="V33" s="4">
        <f t="shared" si="3"/>
        <v>20.346666666666664</v>
      </c>
      <c r="W33" s="4">
        <f>W31*1.45%</f>
        <v>81.199999999999989</v>
      </c>
      <c r="X33" s="4">
        <v>15.26</v>
      </c>
      <c r="Y33" s="4">
        <v>11.74</v>
      </c>
    </row>
    <row r="34" spans="1:25" x14ac:dyDescent="0.3">
      <c r="A34" s="10" t="s">
        <v>371</v>
      </c>
      <c r="B34" s="1" t="s">
        <v>36</v>
      </c>
      <c r="C34" s="2" t="s">
        <v>288</v>
      </c>
      <c r="E34" s="4">
        <v>0</v>
      </c>
      <c r="F34" s="4">
        <v>100</v>
      </c>
      <c r="S34" s="4">
        <f t="shared" si="4"/>
        <v>0</v>
      </c>
      <c r="U34" s="4">
        <f t="shared" si="2"/>
        <v>0</v>
      </c>
      <c r="V34" s="4">
        <f t="shared" si="3"/>
        <v>0</v>
      </c>
      <c r="W34" s="4">
        <v>25</v>
      </c>
      <c r="X34" s="4">
        <v>0</v>
      </c>
      <c r="Y34" s="4">
        <v>100</v>
      </c>
    </row>
    <row r="35" spans="1:25" hidden="1" x14ac:dyDescent="0.3">
      <c r="A35" s="10" t="s">
        <v>371</v>
      </c>
      <c r="B35" s="1" t="s">
        <v>37</v>
      </c>
      <c r="C35" s="2" t="s">
        <v>303</v>
      </c>
      <c r="E35" s="4">
        <v>0</v>
      </c>
      <c r="F35" s="4">
        <v>0</v>
      </c>
      <c r="S35" s="4">
        <f t="shared" si="4"/>
        <v>0</v>
      </c>
      <c r="U35" s="4">
        <f t="shared" si="2"/>
        <v>0</v>
      </c>
      <c r="V35" s="4">
        <f t="shared" si="3"/>
        <v>0</v>
      </c>
      <c r="W35" s="4">
        <v>0</v>
      </c>
      <c r="X35" s="4">
        <v>0</v>
      </c>
      <c r="Y35" s="4">
        <v>0</v>
      </c>
    </row>
    <row r="36" spans="1:25" hidden="1" x14ac:dyDescent="0.3">
      <c r="A36" s="10" t="s">
        <v>371</v>
      </c>
      <c r="B36" s="1" t="s">
        <v>38</v>
      </c>
      <c r="C36" s="2" t="s">
        <v>304</v>
      </c>
      <c r="E36" s="4">
        <v>0</v>
      </c>
      <c r="F36" s="4">
        <v>200</v>
      </c>
      <c r="S36" s="4">
        <f t="shared" si="4"/>
        <v>0</v>
      </c>
      <c r="U36" s="4">
        <f t="shared" si="2"/>
        <v>0</v>
      </c>
      <c r="V36" s="4">
        <f t="shared" si="3"/>
        <v>0</v>
      </c>
      <c r="W36" s="4">
        <v>0</v>
      </c>
      <c r="X36" s="4">
        <v>0</v>
      </c>
      <c r="Y36" s="4">
        <v>200</v>
      </c>
    </row>
    <row r="37" spans="1:25" x14ac:dyDescent="0.3">
      <c r="A37" s="10" t="s">
        <v>371</v>
      </c>
      <c r="B37" s="1" t="s">
        <v>39</v>
      </c>
      <c r="C37" s="2" t="s">
        <v>305</v>
      </c>
      <c r="E37" s="4">
        <v>0</v>
      </c>
      <c r="F37" s="4">
        <v>100</v>
      </c>
      <c r="S37" s="4">
        <f t="shared" si="4"/>
        <v>0</v>
      </c>
      <c r="T37" s="4">
        <f t="shared" ref="T37" si="5">X37</f>
        <v>58.19</v>
      </c>
      <c r="U37" s="4">
        <f t="shared" si="2"/>
        <v>58.19</v>
      </c>
      <c r="V37" s="4">
        <f t="shared" si="3"/>
        <v>77.586666666666673</v>
      </c>
      <c r="W37" s="4">
        <v>80</v>
      </c>
      <c r="X37" s="4">
        <v>58.19</v>
      </c>
      <c r="Y37" s="4">
        <v>116.81</v>
      </c>
    </row>
    <row r="38" spans="1:25" x14ac:dyDescent="0.3">
      <c r="A38" s="10" t="s">
        <v>371</v>
      </c>
      <c r="B38" s="1" t="s">
        <v>40</v>
      </c>
      <c r="C38" s="2" t="s">
        <v>291</v>
      </c>
      <c r="E38" s="4">
        <v>0</v>
      </c>
      <c r="F38" s="4">
        <v>504</v>
      </c>
      <c r="S38" s="4">
        <f t="shared" si="4"/>
        <v>0</v>
      </c>
      <c r="U38" s="4">
        <f t="shared" si="2"/>
        <v>0</v>
      </c>
      <c r="V38" s="4">
        <f t="shared" si="3"/>
        <v>0</v>
      </c>
      <c r="W38" s="4">
        <v>0</v>
      </c>
      <c r="X38" s="4">
        <v>0</v>
      </c>
      <c r="Y38" s="4">
        <v>504</v>
      </c>
    </row>
    <row r="39" spans="1:25" x14ac:dyDescent="0.3">
      <c r="A39" s="10" t="s">
        <v>371</v>
      </c>
      <c r="B39" s="1" t="s">
        <v>41</v>
      </c>
      <c r="C39" s="2" t="s">
        <v>293</v>
      </c>
      <c r="E39" s="4">
        <v>0</v>
      </c>
      <c r="F39" s="4">
        <v>50</v>
      </c>
      <c r="S39" s="4">
        <f t="shared" si="4"/>
        <v>0</v>
      </c>
      <c r="U39" s="4">
        <f t="shared" si="2"/>
        <v>0</v>
      </c>
      <c r="V39" s="4">
        <f t="shared" si="3"/>
        <v>0</v>
      </c>
      <c r="W39" s="4">
        <v>0</v>
      </c>
      <c r="X39" s="4">
        <v>0</v>
      </c>
      <c r="Y39" s="4">
        <v>50</v>
      </c>
    </row>
    <row r="40" spans="1:25" x14ac:dyDescent="0.3">
      <c r="A40" s="10" t="s">
        <v>371</v>
      </c>
      <c r="B40" s="1" t="s">
        <v>42</v>
      </c>
      <c r="C40" s="2" t="s">
        <v>294</v>
      </c>
      <c r="E40" s="4">
        <v>0</v>
      </c>
      <c r="F40" s="4">
        <v>0</v>
      </c>
      <c r="H40" s="4">
        <v>71.05</v>
      </c>
      <c r="S40" s="4">
        <f t="shared" si="4"/>
        <v>71.05</v>
      </c>
      <c r="U40" s="4">
        <f t="shared" si="2"/>
        <v>71.05</v>
      </c>
      <c r="V40" s="4">
        <f t="shared" si="3"/>
        <v>94.73333333333332</v>
      </c>
      <c r="W40" s="4">
        <v>100</v>
      </c>
      <c r="X40" s="4">
        <v>0</v>
      </c>
      <c r="Y40" s="4">
        <v>0</v>
      </c>
    </row>
    <row r="41" spans="1:25" hidden="1" x14ac:dyDescent="0.3">
      <c r="A41" s="10" t="s">
        <v>371</v>
      </c>
      <c r="B41" s="1" t="s">
        <v>43</v>
      </c>
      <c r="C41" s="2" t="s">
        <v>296</v>
      </c>
      <c r="E41" s="4">
        <v>0</v>
      </c>
      <c r="F41" s="4">
        <v>0</v>
      </c>
      <c r="S41" s="4">
        <f t="shared" si="4"/>
        <v>0</v>
      </c>
      <c r="U41" s="4">
        <f t="shared" si="2"/>
        <v>0</v>
      </c>
      <c r="V41" s="4">
        <f t="shared" si="3"/>
        <v>0</v>
      </c>
      <c r="W41" s="4">
        <v>0</v>
      </c>
      <c r="X41" s="4">
        <v>0</v>
      </c>
      <c r="Y41" s="4">
        <v>0</v>
      </c>
    </row>
    <row r="42" spans="1:25" x14ac:dyDescent="0.3">
      <c r="A42" s="10" t="s">
        <v>371</v>
      </c>
      <c r="B42" s="1" t="s">
        <v>44</v>
      </c>
      <c r="C42" s="2" t="s">
        <v>297</v>
      </c>
      <c r="E42" s="4">
        <v>0</v>
      </c>
      <c r="F42" s="4">
        <v>300</v>
      </c>
      <c r="M42" s="4">
        <v>237</v>
      </c>
      <c r="S42" s="4">
        <f t="shared" si="4"/>
        <v>237</v>
      </c>
      <c r="U42" s="4">
        <f t="shared" si="2"/>
        <v>237</v>
      </c>
      <c r="V42" s="4">
        <f t="shared" si="3"/>
        <v>316</v>
      </c>
      <c r="W42" s="4">
        <v>250</v>
      </c>
      <c r="X42" s="4">
        <v>0</v>
      </c>
      <c r="Y42" s="4">
        <v>200</v>
      </c>
    </row>
    <row r="43" spans="1:25" hidden="1" x14ac:dyDescent="0.3">
      <c r="A43" s="10" t="s">
        <v>371</v>
      </c>
      <c r="B43" s="1" t="s">
        <v>45</v>
      </c>
      <c r="C43" s="2" t="s">
        <v>300</v>
      </c>
      <c r="E43" s="4">
        <v>0</v>
      </c>
      <c r="F43" s="4">
        <v>0</v>
      </c>
      <c r="S43" s="4">
        <f t="shared" si="4"/>
        <v>0</v>
      </c>
      <c r="U43" s="4">
        <f t="shared" si="2"/>
        <v>0</v>
      </c>
      <c r="V43" s="4">
        <f t="shared" si="3"/>
        <v>0</v>
      </c>
      <c r="W43" s="4">
        <v>0</v>
      </c>
      <c r="X43" s="4">
        <v>0</v>
      </c>
      <c r="Y43" s="4">
        <v>0</v>
      </c>
    </row>
    <row r="44" spans="1:25" hidden="1" x14ac:dyDescent="0.3">
      <c r="B44" s="1" t="s">
        <v>46</v>
      </c>
      <c r="C44" s="2" t="s">
        <v>306</v>
      </c>
      <c r="E44" s="4">
        <v>0</v>
      </c>
      <c r="F44" s="4">
        <v>0</v>
      </c>
      <c r="S44" s="4">
        <f t="shared" si="4"/>
        <v>0</v>
      </c>
      <c r="U44" s="4">
        <f t="shared" si="2"/>
        <v>0</v>
      </c>
      <c r="V44" s="4">
        <f t="shared" si="3"/>
        <v>0</v>
      </c>
      <c r="X44" s="4">
        <v>0</v>
      </c>
      <c r="Y44" s="4">
        <v>0</v>
      </c>
    </row>
    <row r="45" spans="1:25" x14ac:dyDescent="0.3">
      <c r="A45" s="11" t="s">
        <v>372</v>
      </c>
      <c r="B45" s="1" t="s">
        <v>47</v>
      </c>
      <c r="C45" s="2" t="s">
        <v>307</v>
      </c>
      <c r="E45" s="4">
        <v>23.46</v>
      </c>
      <c r="F45" s="4">
        <v>2400</v>
      </c>
      <c r="S45" s="4">
        <f t="shared" si="4"/>
        <v>0</v>
      </c>
      <c r="T45" s="4">
        <f t="shared" ref="T45:T49" si="6">X45</f>
        <v>1595.82</v>
      </c>
      <c r="U45" s="4">
        <f t="shared" si="2"/>
        <v>1595.82</v>
      </c>
      <c r="V45" s="4">
        <f t="shared" si="3"/>
        <v>2127.7600000000002</v>
      </c>
      <c r="W45" s="4">
        <f>(200*12)+'Salaries &amp; Fees Split'!E22</f>
        <v>3400</v>
      </c>
      <c r="X45" s="4">
        <v>1595.82</v>
      </c>
      <c r="Y45" s="4">
        <v>800</v>
      </c>
    </row>
    <row r="46" spans="1:25" hidden="1" x14ac:dyDescent="0.3">
      <c r="A46" s="11" t="s">
        <v>372</v>
      </c>
      <c r="B46" s="1" t="s">
        <v>48</v>
      </c>
      <c r="C46" s="2" t="s">
        <v>308</v>
      </c>
      <c r="E46" s="4">
        <v>0</v>
      </c>
      <c r="F46" s="4">
        <v>0</v>
      </c>
      <c r="S46" s="4">
        <f t="shared" si="4"/>
        <v>0</v>
      </c>
      <c r="U46" s="4">
        <f t="shared" si="2"/>
        <v>0</v>
      </c>
      <c r="V46" s="4">
        <f t="shared" si="3"/>
        <v>0</v>
      </c>
      <c r="X46" s="4">
        <v>0</v>
      </c>
      <c r="Y46" s="4">
        <v>0</v>
      </c>
    </row>
    <row r="47" spans="1:25" x14ac:dyDescent="0.3">
      <c r="A47" s="11" t="s">
        <v>372</v>
      </c>
      <c r="B47" s="1" t="s">
        <v>49</v>
      </c>
      <c r="C47" s="2" t="s">
        <v>309</v>
      </c>
      <c r="E47" s="4">
        <v>171.76</v>
      </c>
      <c r="F47" s="4">
        <v>12000</v>
      </c>
      <c r="S47" s="4">
        <f t="shared" si="4"/>
        <v>0</v>
      </c>
      <c r="T47" s="4">
        <f t="shared" si="6"/>
        <v>8711.65</v>
      </c>
      <c r="U47" s="4">
        <f t="shared" si="2"/>
        <v>8711.65</v>
      </c>
      <c r="V47" s="4">
        <f t="shared" si="3"/>
        <v>11615.533333333333</v>
      </c>
      <c r="W47" s="4">
        <f>1000*12</f>
        <v>12000</v>
      </c>
      <c r="X47" s="4">
        <v>8711.65</v>
      </c>
      <c r="Y47" s="4">
        <v>3000</v>
      </c>
    </row>
    <row r="48" spans="1:25" x14ac:dyDescent="0.3">
      <c r="A48" s="11" t="s">
        <v>372</v>
      </c>
      <c r="B48" s="1" t="s">
        <v>50</v>
      </c>
      <c r="C48" s="2" t="s">
        <v>286</v>
      </c>
      <c r="E48" s="4">
        <v>200</v>
      </c>
      <c r="F48" s="4">
        <v>3256</v>
      </c>
      <c r="S48" s="4">
        <f t="shared" si="4"/>
        <v>0</v>
      </c>
      <c r="T48" s="4">
        <f t="shared" si="6"/>
        <v>2900</v>
      </c>
      <c r="U48" s="4">
        <f t="shared" si="2"/>
        <v>2900</v>
      </c>
      <c r="V48" s="4">
        <f t="shared" si="3"/>
        <v>3866.666666666667</v>
      </c>
      <c r="W48" s="4">
        <f>(W45*24%)+(W47*14%)</f>
        <v>2496</v>
      </c>
      <c r="X48" s="4">
        <v>2900</v>
      </c>
      <c r="Y48" s="4">
        <v>356</v>
      </c>
    </row>
    <row r="49" spans="1:28" x14ac:dyDescent="0.3">
      <c r="A49" s="11" t="s">
        <v>372</v>
      </c>
      <c r="B49" s="1" t="s">
        <v>51</v>
      </c>
      <c r="C49" s="2" t="s">
        <v>287</v>
      </c>
      <c r="E49" s="4">
        <v>0</v>
      </c>
      <c r="F49" s="4">
        <v>278.8</v>
      </c>
      <c r="S49" s="4">
        <f t="shared" si="4"/>
        <v>0</v>
      </c>
      <c r="T49" s="4">
        <f t="shared" si="6"/>
        <v>277.7</v>
      </c>
      <c r="U49" s="4">
        <f t="shared" si="2"/>
        <v>277.7</v>
      </c>
      <c r="V49" s="4">
        <f t="shared" si="3"/>
        <v>370.26666666666665</v>
      </c>
      <c r="W49" s="4">
        <f>(W45+W47)*1.45%</f>
        <v>223.29999999999998</v>
      </c>
      <c r="X49" s="4">
        <v>277.7</v>
      </c>
      <c r="Y49" s="4">
        <v>1.1000000000000001</v>
      </c>
    </row>
    <row r="50" spans="1:28" x14ac:dyDescent="0.3">
      <c r="A50" s="11" t="s">
        <v>372</v>
      </c>
      <c r="B50" s="1" t="s">
        <v>52</v>
      </c>
      <c r="C50" s="2" t="s">
        <v>288</v>
      </c>
      <c r="E50" s="4">
        <v>0</v>
      </c>
      <c r="F50" s="4">
        <v>200</v>
      </c>
      <c r="G50" s="4">
        <v>150</v>
      </c>
      <c r="L50" s="4">
        <v>50</v>
      </c>
      <c r="S50" s="4">
        <f t="shared" si="4"/>
        <v>200</v>
      </c>
      <c r="U50" s="4">
        <f t="shared" si="2"/>
        <v>200</v>
      </c>
      <c r="V50" s="4">
        <f t="shared" si="3"/>
        <v>266.66666666666663</v>
      </c>
      <c r="W50" s="4">
        <v>200</v>
      </c>
      <c r="X50" s="4">
        <v>0</v>
      </c>
      <c r="Y50" s="4">
        <v>200</v>
      </c>
    </row>
    <row r="51" spans="1:28" hidden="1" x14ac:dyDescent="0.3">
      <c r="A51" s="11" t="s">
        <v>372</v>
      </c>
      <c r="B51" s="1" t="s">
        <v>53</v>
      </c>
      <c r="C51" s="2" t="s">
        <v>310</v>
      </c>
      <c r="E51" s="4">
        <v>0</v>
      </c>
      <c r="F51" s="4">
        <v>0</v>
      </c>
      <c r="S51" s="4">
        <f t="shared" si="4"/>
        <v>0</v>
      </c>
      <c r="U51" s="4">
        <f t="shared" si="2"/>
        <v>0</v>
      </c>
      <c r="V51" s="4">
        <f t="shared" si="3"/>
        <v>0</v>
      </c>
      <c r="X51" s="4">
        <v>0</v>
      </c>
      <c r="Y51" s="4">
        <v>0</v>
      </c>
    </row>
    <row r="52" spans="1:28" hidden="1" x14ac:dyDescent="0.3">
      <c r="A52" s="11" t="s">
        <v>372</v>
      </c>
      <c r="B52" s="1" t="s">
        <v>54</v>
      </c>
      <c r="C52" s="2" t="s">
        <v>303</v>
      </c>
      <c r="E52" s="4">
        <v>0</v>
      </c>
      <c r="F52" s="4">
        <v>0</v>
      </c>
      <c r="S52" s="4">
        <f t="shared" si="4"/>
        <v>0</v>
      </c>
      <c r="U52" s="4">
        <f t="shared" si="2"/>
        <v>0</v>
      </c>
      <c r="V52" s="4">
        <f t="shared" si="3"/>
        <v>0</v>
      </c>
      <c r="X52" s="4">
        <v>0</v>
      </c>
      <c r="Y52" s="4">
        <v>0</v>
      </c>
    </row>
    <row r="53" spans="1:28" hidden="1" x14ac:dyDescent="0.3">
      <c r="A53" s="11" t="s">
        <v>372</v>
      </c>
      <c r="B53" s="1" t="s">
        <v>55</v>
      </c>
      <c r="C53" s="2" t="s">
        <v>304</v>
      </c>
      <c r="E53" s="4">
        <v>0</v>
      </c>
      <c r="F53" s="4">
        <v>0</v>
      </c>
      <c r="S53" s="4">
        <f t="shared" si="4"/>
        <v>0</v>
      </c>
      <c r="U53" s="4">
        <f t="shared" si="2"/>
        <v>0</v>
      </c>
      <c r="V53" s="4">
        <f t="shared" si="3"/>
        <v>0</v>
      </c>
      <c r="X53" s="4">
        <v>0</v>
      </c>
      <c r="Y53" s="4">
        <v>0</v>
      </c>
    </row>
    <row r="54" spans="1:28" hidden="1" x14ac:dyDescent="0.3">
      <c r="A54" s="11" t="s">
        <v>372</v>
      </c>
      <c r="B54" s="1" t="s">
        <v>56</v>
      </c>
      <c r="C54" s="2" t="s">
        <v>305</v>
      </c>
      <c r="E54" s="4">
        <v>0</v>
      </c>
      <c r="F54" s="4">
        <v>0</v>
      </c>
      <c r="S54" s="4">
        <f t="shared" si="4"/>
        <v>0</v>
      </c>
      <c r="U54" s="4">
        <f t="shared" si="2"/>
        <v>0</v>
      </c>
      <c r="V54" s="4">
        <f t="shared" si="3"/>
        <v>0</v>
      </c>
      <c r="X54" s="4">
        <v>0</v>
      </c>
      <c r="Y54" s="4">
        <v>0</v>
      </c>
    </row>
    <row r="55" spans="1:28" x14ac:dyDescent="0.3">
      <c r="A55" s="11" t="s">
        <v>372</v>
      </c>
      <c r="B55" s="1" t="s">
        <v>57</v>
      </c>
      <c r="C55" s="2" t="s">
        <v>291</v>
      </c>
      <c r="E55" s="4">
        <v>0</v>
      </c>
      <c r="F55" s="4">
        <v>16675</v>
      </c>
      <c r="I55" s="4">
        <v>73</v>
      </c>
      <c r="M55" s="4">
        <v>20.78</v>
      </c>
      <c r="N55" s="4">
        <f>45+165</f>
        <v>210</v>
      </c>
      <c r="S55" s="4">
        <f t="shared" si="4"/>
        <v>303.77999999999997</v>
      </c>
      <c r="T55" s="4">
        <f t="shared" ref="T55" si="7">X55</f>
        <v>10587.5</v>
      </c>
      <c r="U55" s="4">
        <f t="shared" si="2"/>
        <v>10891.28</v>
      </c>
      <c r="V55" s="4">
        <f t="shared" si="3"/>
        <v>14521.706666666667</v>
      </c>
      <c r="W55" s="25">
        <f>1200*12</f>
        <v>14400</v>
      </c>
      <c r="X55" s="4">
        <v>10587.5</v>
      </c>
      <c r="Y55" s="4">
        <v>4275</v>
      </c>
    </row>
    <row r="56" spans="1:28" hidden="1" x14ac:dyDescent="0.3">
      <c r="A56" s="11" t="s">
        <v>372</v>
      </c>
      <c r="B56" s="1" t="s">
        <v>58</v>
      </c>
      <c r="C56" s="2" t="s">
        <v>292</v>
      </c>
      <c r="E56" s="4">
        <v>0</v>
      </c>
      <c r="F56" s="4">
        <v>0</v>
      </c>
      <c r="S56" s="4">
        <f t="shared" si="4"/>
        <v>0</v>
      </c>
      <c r="U56" s="4">
        <f t="shared" si="2"/>
        <v>0</v>
      </c>
      <c r="V56" s="4">
        <f t="shared" si="3"/>
        <v>0</v>
      </c>
      <c r="X56" s="4">
        <v>0</v>
      </c>
      <c r="Y56" s="4">
        <v>0</v>
      </c>
    </row>
    <row r="57" spans="1:28" hidden="1" x14ac:dyDescent="0.3">
      <c r="A57" s="11" t="s">
        <v>372</v>
      </c>
      <c r="B57" s="1" t="s">
        <v>59</v>
      </c>
      <c r="C57" s="2" t="s">
        <v>293</v>
      </c>
      <c r="E57" s="4">
        <v>0</v>
      </c>
      <c r="F57" s="4">
        <v>7500</v>
      </c>
      <c r="S57" s="4">
        <f t="shared" si="4"/>
        <v>0</v>
      </c>
      <c r="U57" s="4">
        <f t="shared" si="2"/>
        <v>0</v>
      </c>
      <c r="V57" s="4">
        <f t="shared" si="3"/>
        <v>0</v>
      </c>
      <c r="X57" s="4">
        <v>0</v>
      </c>
      <c r="Y57" s="4">
        <v>7500</v>
      </c>
    </row>
    <row r="58" spans="1:28" x14ac:dyDescent="0.3">
      <c r="A58" s="11" t="s">
        <v>372</v>
      </c>
      <c r="B58" s="1" t="s">
        <v>60</v>
      </c>
      <c r="C58" s="2" t="s">
        <v>294</v>
      </c>
      <c r="E58" s="4">
        <v>0</v>
      </c>
      <c r="F58" s="4">
        <v>691</v>
      </c>
      <c r="G58" s="4">
        <v>350</v>
      </c>
      <c r="I58" s="4">
        <v>75</v>
      </c>
      <c r="S58" s="4">
        <f t="shared" ref="S58:S89" si="8">SUM(G58:O58)</f>
        <v>425</v>
      </c>
      <c r="T58" s="4">
        <f>G58+X58</f>
        <v>565</v>
      </c>
      <c r="U58" s="4">
        <f t="shared" si="2"/>
        <v>990</v>
      </c>
      <c r="V58" s="4">
        <f t="shared" si="3"/>
        <v>1320</v>
      </c>
      <c r="W58" s="4">
        <v>990</v>
      </c>
      <c r="X58" s="4">
        <v>215</v>
      </c>
      <c r="Y58" s="4">
        <v>476</v>
      </c>
    </row>
    <row r="59" spans="1:28" x14ac:dyDescent="0.3">
      <c r="A59" s="11" t="s">
        <v>372</v>
      </c>
      <c r="B59" s="1" t="s">
        <v>61</v>
      </c>
      <c r="C59" s="2" t="s">
        <v>296</v>
      </c>
      <c r="E59" s="4">
        <v>250</v>
      </c>
      <c r="F59" s="4">
        <v>11000</v>
      </c>
      <c r="H59" s="4">
        <v>175</v>
      </c>
      <c r="N59" s="4">
        <v>212.5</v>
      </c>
      <c r="S59" s="4">
        <f t="shared" si="8"/>
        <v>387.5</v>
      </c>
      <c r="T59" s="4">
        <f t="shared" ref="T59:T65" si="9">X59</f>
        <v>1010.68</v>
      </c>
      <c r="U59" s="4">
        <f t="shared" si="2"/>
        <v>1398.1799999999998</v>
      </c>
      <c r="V59" s="4">
        <f t="shared" si="3"/>
        <v>1864.2399999999998</v>
      </c>
      <c r="W59" s="4">
        <f>1400+10000</f>
        <v>11400</v>
      </c>
      <c r="X59" s="4">
        <v>1010.68</v>
      </c>
      <c r="Y59" s="4">
        <v>9989.32</v>
      </c>
      <c r="AA59" s="58">
        <v>10000</v>
      </c>
      <c r="AB59" t="s">
        <v>443</v>
      </c>
    </row>
    <row r="60" spans="1:28" x14ac:dyDescent="0.3">
      <c r="A60" s="11" t="s">
        <v>372</v>
      </c>
      <c r="B60" s="1" t="s">
        <v>62</v>
      </c>
      <c r="C60" s="2" t="s">
        <v>297</v>
      </c>
      <c r="E60" s="4">
        <v>0</v>
      </c>
      <c r="F60" s="4">
        <v>850</v>
      </c>
      <c r="N60" s="4">
        <v>13.93</v>
      </c>
      <c r="S60" s="4">
        <f t="shared" si="8"/>
        <v>13.93</v>
      </c>
      <c r="T60" s="4">
        <f t="shared" si="9"/>
        <v>374.97</v>
      </c>
      <c r="U60" s="4">
        <f t="shared" si="2"/>
        <v>388.90000000000003</v>
      </c>
      <c r="V60" s="4">
        <f t="shared" si="3"/>
        <v>518.53333333333342</v>
      </c>
      <c r="W60" s="4">
        <v>400</v>
      </c>
      <c r="X60" s="4">
        <v>374.97</v>
      </c>
      <c r="Y60" s="4">
        <v>264.69</v>
      </c>
    </row>
    <row r="61" spans="1:28" hidden="1" x14ac:dyDescent="0.3">
      <c r="A61" s="11" t="s">
        <v>372</v>
      </c>
      <c r="B61" s="1" t="s">
        <v>63</v>
      </c>
      <c r="C61" s="2" t="s">
        <v>300</v>
      </c>
      <c r="E61" s="4">
        <v>0</v>
      </c>
      <c r="F61" s="4">
        <v>0</v>
      </c>
      <c r="S61" s="4">
        <f t="shared" si="8"/>
        <v>0</v>
      </c>
      <c r="U61" s="4">
        <f t="shared" si="2"/>
        <v>0</v>
      </c>
      <c r="V61" s="4">
        <f t="shared" si="3"/>
        <v>0</v>
      </c>
      <c r="X61" s="4">
        <v>0</v>
      </c>
      <c r="Y61" s="4">
        <v>0</v>
      </c>
    </row>
    <row r="62" spans="1:28" x14ac:dyDescent="0.3">
      <c r="A62" s="12" t="s">
        <v>373</v>
      </c>
      <c r="B62" s="1" t="s">
        <v>64</v>
      </c>
      <c r="C62" s="2" t="s">
        <v>311</v>
      </c>
      <c r="E62" s="4">
        <v>169.86</v>
      </c>
      <c r="F62" s="4">
        <v>7200</v>
      </c>
      <c r="S62" s="4">
        <f t="shared" si="8"/>
        <v>0</v>
      </c>
      <c r="T62" s="4">
        <f t="shared" si="9"/>
        <v>5308.62</v>
      </c>
      <c r="U62" s="4">
        <f t="shared" si="2"/>
        <v>5308.62</v>
      </c>
      <c r="V62" s="4">
        <f t="shared" si="3"/>
        <v>7078.16</v>
      </c>
      <c r="W62" s="4">
        <f>(6*100)*12</f>
        <v>7200</v>
      </c>
      <c r="X62" s="4">
        <v>5308.62</v>
      </c>
      <c r="Y62" s="4">
        <v>1800</v>
      </c>
    </row>
    <row r="63" spans="1:28" x14ac:dyDescent="0.3">
      <c r="A63" s="12" t="s">
        <v>373</v>
      </c>
      <c r="B63" s="1" t="s">
        <v>65</v>
      </c>
      <c r="C63" s="2" t="s">
        <v>286</v>
      </c>
      <c r="E63" s="4">
        <v>0</v>
      </c>
      <c r="F63" s="4">
        <v>1008</v>
      </c>
      <c r="S63" s="4">
        <f t="shared" si="8"/>
        <v>0</v>
      </c>
      <c r="T63" s="4">
        <f t="shared" si="9"/>
        <v>560</v>
      </c>
      <c r="U63" s="4">
        <f t="shared" si="2"/>
        <v>560</v>
      </c>
      <c r="V63" s="4">
        <f t="shared" si="3"/>
        <v>746.66666666666663</v>
      </c>
      <c r="W63" s="4">
        <f>W62*14%</f>
        <v>1008.0000000000001</v>
      </c>
      <c r="X63" s="4">
        <v>560</v>
      </c>
      <c r="Y63" s="4">
        <v>448</v>
      </c>
    </row>
    <row r="64" spans="1:28" hidden="1" x14ac:dyDescent="0.3">
      <c r="A64" s="12" t="s">
        <v>373</v>
      </c>
      <c r="B64" s="1" t="s">
        <v>66</v>
      </c>
      <c r="C64" s="2" t="s">
        <v>312</v>
      </c>
      <c r="E64" s="4">
        <v>0</v>
      </c>
      <c r="F64" s="4">
        <v>0</v>
      </c>
      <c r="S64" s="4">
        <f t="shared" si="8"/>
        <v>0</v>
      </c>
      <c r="U64" s="4">
        <f t="shared" si="2"/>
        <v>0</v>
      </c>
      <c r="V64" s="4">
        <f t="shared" si="3"/>
        <v>0</v>
      </c>
      <c r="X64" s="4">
        <v>0</v>
      </c>
      <c r="Y64" s="4">
        <v>0</v>
      </c>
    </row>
    <row r="65" spans="1:25" x14ac:dyDescent="0.3">
      <c r="A65" s="12" t="s">
        <v>373</v>
      </c>
      <c r="B65" s="1" t="s">
        <v>67</v>
      </c>
      <c r="C65" s="2" t="s">
        <v>287</v>
      </c>
      <c r="E65" s="4">
        <v>0</v>
      </c>
      <c r="F65" s="4">
        <v>454.4</v>
      </c>
      <c r="S65" s="4">
        <f t="shared" si="8"/>
        <v>0</v>
      </c>
      <c r="T65" s="4">
        <f t="shared" si="9"/>
        <v>438.48</v>
      </c>
      <c r="U65" s="4">
        <f t="shared" si="2"/>
        <v>438.48</v>
      </c>
      <c r="V65" s="4">
        <f t="shared" si="3"/>
        <v>584.64</v>
      </c>
      <c r="W65" s="4">
        <f>W62*1.45%</f>
        <v>104.39999999999999</v>
      </c>
      <c r="X65" s="4">
        <v>438.48</v>
      </c>
      <c r="Y65" s="4">
        <v>15.92</v>
      </c>
    </row>
    <row r="66" spans="1:25" hidden="1" x14ac:dyDescent="0.3">
      <c r="A66" s="12" t="s">
        <v>373</v>
      </c>
      <c r="B66" s="1" t="s">
        <v>68</v>
      </c>
      <c r="C66" s="2" t="s">
        <v>288</v>
      </c>
      <c r="E66" s="4">
        <v>0</v>
      </c>
      <c r="F66" s="4">
        <v>0</v>
      </c>
      <c r="S66" s="4">
        <f t="shared" si="8"/>
        <v>0</v>
      </c>
      <c r="U66" s="4">
        <f t="shared" si="2"/>
        <v>0</v>
      </c>
      <c r="V66" s="4">
        <f t="shared" si="3"/>
        <v>0</v>
      </c>
      <c r="X66" s="4">
        <v>0</v>
      </c>
      <c r="Y66" s="4">
        <v>0</v>
      </c>
    </row>
    <row r="67" spans="1:25" hidden="1" x14ac:dyDescent="0.3">
      <c r="A67" s="12" t="s">
        <v>373</v>
      </c>
      <c r="B67" s="1" t="s">
        <v>69</v>
      </c>
      <c r="C67" s="2" t="s">
        <v>291</v>
      </c>
      <c r="E67" s="4">
        <v>0</v>
      </c>
      <c r="F67" s="4">
        <v>0</v>
      </c>
      <c r="S67" s="4">
        <f t="shared" si="8"/>
        <v>0</v>
      </c>
      <c r="U67" s="4">
        <f t="shared" si="2"/>
        <v>0</v>
      </c>
      <c r="V67" s="4">
        <f t="shared" si="3"/>
        <v>0</v>
      </c>
      <c r="X67" s="4">
        <v>0</v>
      </c>
      <c r="Y67" s="4">
        <v>0</v>
      </c>
    </row>
    <row r="68" spans="1:25" hidden="1" x14ac:dyDescent="0.3">
      <c r="A68" s="12" t="s">
        <v>373</v>
      </c>
      <c r="B68" s="1" t="s">
        <v>70</v>
      </c>
      <c r="C68" s="2" t="s">
        <v>313</v>
      </c>
      <c r="E68" s="4">
        <v>0</v>
      </c>
      <c r="F68" s="4">
        <v>0</v>
      </c>
      <c r="S68" s="4">
        <f t="shared" si="8"/>
        <v>0</v>
      </c>
      <c r="U68" s="4">
        <f t="shared" si="2"/>
        <v>0</v>
      </c>
      <c r="V68" s="4">
        <f t="shared" si="3"/>
        <v>0</v>
      </c>
      <c r="X68" s="4">
        <v>0</v>
      </c>
      <c r="Y68" s="4">
        <v>0</v>
      </c>
    </row>
    <row r="69" spans="1:25" hidden="1" x14ac:dyDescent="0.3">
      <c r="A69" s="12" t="s">
        <v>373</v>
      </c>
      <c r="B69" s="1" t="s">
        <v>71</v>
      </c>
      <c r="C69" s="2" t="s">
        <v>292</v>
      </c>
      <c r="E69" s="4">
        <v>0</v>
      </c>
      <c r="F69" s="4">
        <v>0</v>
      </c>
      <c r="S69" s="4">
        <f t="shared" si="8"/>
        <v>0</v>
      </c>
      <c r="U69" s="4">
        <f t="shared" si="2"/>
        <v>0</v>
      </c>
      <c r="V69" s="4">
        <f t="shared" si="3"/>
        <v>0</v>
      </c>
      <c r="X69" s="4">
        <v>0</v>
      </c>
      <c r="Y69" s="4">
        <v>0</v>
      </c>
    </row>
    <row r="70" spans="1:25" x14ac:dyDescent="0.3">
      <c r="A70" s="12" t="s">
        <v>373</v>
      </c>
      <c r="B70" s="1" t="s">
        <v>72</v>
      </c>
      <c r="C70" s="2" t="s">
        <v>293</v>
      </c>
      <c r="E70" s="4">
        <v>0</v>
      </c>
      <c r="F70" s="4">
        <v>50</v>
      </c>
      <c r="S70" s="4">
        <f t="shared" si="8"/>
        <v>0</v>
      </c>
      <c r="U70" s="4">
        <f t="shared" si="2"/>
        <v>0</v>
      </c>
      <c r="V70" s="4">
        <f t="shared" si="3"/>
        <v>0</v>
      </c>
      <c r="W70" s="4">
        <v>50</v>
      </c>
      <c r="X70" s="4">
        <v>0</v>
      </c>
      <c r="Y70" s="4">
        <v>50</v>
      </c>
    </row>
    <row r="71" spans="1:25" hidden="1" x14ac:dyDescent="0.3">
      <c r="A71" s="12" t="s">
        <v>373</v>
      </c>
      <c r="B71" s="1" t="s">
        <v>73</v>
      </c>
      <c r="C71" s="2" t="s">
        <v>294</v>
      </c>
      <c r="E71" s="4">
        <v>0</v>
      </c>
      <c r="F71" s="4">
        <v>0</v>
      </c>
      <c r="S71" s="4">
        <f t="shared" si="8"/>
        <v>0</v>
      </c>
      <c r="U71" s="4">
        <f t="shared" si="2"/>
        <v>0</v>
      </c>
      <c r="V71" s="4">
        <f t="shared" si="3"/>
        <v>0</v>
      </c>
      <c r="X71" s="4">
        <v>0</v>
      </c>
      <c r="Y71" s="4">
        <v>0</v>
      </c>
    </row>
    <row r="72" spans="1:25" hidden="1" x14ac:dyDescent="0.3">
      <c r="A72" s="12" t="s">
        <v>373</v>
      </c>
      <c r="B72" s="1" t="s">
        <v>74</v>
      </c>
      <c r="C72" s="2" t="s">
        <v>297</v>
      </c>
      <c r="E72" s="4">
        <v>0</v>
      </c>
      <c r="F72" s="4">
        <v>250</v>
      </c>
      <c r="S72" s="4">
        <f t="shared" si="8"/>
        <v>0</v>
      </c>
      <c r="U72" s="4">
        <f t="shared" si="2"/>
        <v>0</v>
      </c>
      <c r="V72" s="4">
        <f t="shared" si="3"/>
        <v>0</v>
      </c>
      <c r="X72" s="4">
        <v>0</v>
      </c>
      <c r="Y72" s="4">
        <v>250</v>
      </c>
    </row>
    <row r="73" spans="1:25" hidden="1" x14ac:dyDescent="0.3">
      <c r="A73" s="12" t="s">
        <v>373</v>
      </c>
      <c r="B73" s="1" t="s">
        <v>75</v>
      </c>
      <c r="C73" s="2" t="s">
        <v>314</v>
      </c>
      <c r="E73" s="4">
        <v>0</v>
      </c>
      <c r="F73" s="4">
        <v>0</v>
      </c>
      <c r="S73" s="4">
        <f t="shared" si="8"/>
        <v>0</v>
      </c>
      <c r="U73" s="4">
        <f t="shared" si="2"/>
        <v>0</v>
      </c>
      <c r="V73" s="4">
        <f t="shared" si="3"/>
        <v>0</v>
      </c>
      <c r="X73" s="4">
        <v>0</v>
      </c>
      <c r="Y73" s="4">
        <v>0</v>
      </c>
    </row>
    <row r="74" spans="1:25" x14ac:dyDescent="0.3">
      <c r="A74" s="13" t="s">
        <v>374</v>
      </c>
      <c r="B74" s="1" t="s">
        <v>76</v>
      </c>
      <c r="C74" s="2" t="s">
        <v>308</v>
      </c>
      <c r="D74" s="2" t="s">
        <v>377</v>
      </c>
      <c r="E74" s="4">
        <v>27.21</v>
      </c>
      <c r="F74" s="4">
        <v>3000</v>
      </c>
      <c r="S74" s="4">
        <f t="shared" si="8"/>
        <v>0</v>
      </c>
      <c r="T74" s="4">
        <f t="shared" ref="T74:T75" si="10">X74</f>
        <v>2235</v>
      </c>
      <c r="U74" s="4">
        <f t="shared" ref="U74:U138" si="11">S74+T74</f>
        <v>2235</v>
      </c>
      <c r="V74" s="4">
        <f t="shared" ref="V74:V138" si="12">(U74/9)*12</f>
        <v>2980</v>
      </c>
      <c r="W74" s="4">
        <f>250*12</f>
        <v>3000</v>
      </c>
      <c r="X74" s="4">
        <v>2235</v>
      </c>
      <c r="Y74" s="4">
        <v>750</v>
      </c>
    </row>
    <row r="75" spans="1:25" x14ac:dyDescent="0.3">
      <c r="A75" s="13" t="s">
        <v>374</v>
      </c>
      <c r="B75" s="1" t="s">
        <v>77</v>
      </c>
      <c r="C75" s="2" t="s">
        <v>286</v>
      </c>
      <c r="E75" s="4">
        <v>50</v>
      </c>
      <c r="F75" s="4">
        <v>720</v>
      </c>
      <c r="S75" s="4">
        <f t="shared" si="8"/>
        <v>0</v>
      </c>
      <c r="T75" s="4">
        <f t="shared" si="10"/>
        <v>480</v>
      </c>
      <c r="U75" s="4">
        <f t="shared" si="11"/>
        <v>480</v>
      </c>
      <c r="V75" s="4">
        <f t="shared" si="12"/>
        <v>640</v>
      </c>
      <c r="W75" s="4">
        <f>W74*24%</f>
        <v>720</v>
      </c>
      <c r="X75" s="4">
        <v>480</v>
      </c>
      <c r="Y75" s="4">
        <v>215</v>
      </c>
    </row>
    <row r="76" spans="1:25" x14ac:dyDescent="0.3">
      <c r="A76" s="13" t="s">
        <v>374</v>
      </c>
      <c r="B76" s="1" t="s">
        <v>78</v>
      </c>
      <c r="C76" s="2" t="s">
        <v>287</v>
      </c>
      <c r="E76" s="4">
        <v>0</v>
      </c>
      <c r="F76" s="4">
        <v>43.5</v>
      </c>
      <c r="S76" s="4">
        <f t="shared" si="8"/>
        <v>0</v>
      </c>
      <c r="U76" s="4">
        <f t="shared" si="11"/>
        <v>0</v>
      </c>
      <c r="V76" s="4">
        <f t="shared" si="12"/>
        <v>0</v>
      </c>
      <c r="W76" s="4">
        <f>W74*1.45%</f>
        <v>43.5</v>
      </c>
      <c r="X76" s="4">
        <v>0</v>
      </c>
      <c r="Y76" s="4">
        <v>43.5</v>
      </c>
    </row>
    <row r="77" spans="1:25" hidden="1" x14ac:dyDescent="0.3">
      <c r="A77" s="13" t="s">
        <v>374</v>
      </c>
      <c r="B77" s="1" t="s">
        <v>79</v>
      </c>
      <c r="C77" s="2" t="s">
        <v>310</v>
      </c>
      <c r="E77" s="4">
        <v>0</v>
      </c>
      <c r="F77" s="4">
        <v>0</v>
      </c>
      <c r="S77" s="4">
        <f t="shared" si="8"/>
        <v>0</v>
      </c>
      <c r="U77" s="4">
        <f t="shared" si="11"/>
        <v>0</v>
      </c>
      <c r="V77" s="4">
        <f t="shared" si="12"/>
        <v>0</v>
      </c>
      <c r="X77" s="4">
        <v>0</v>
      </c>
      <c r="Y77" s="4">
        <v>0</v>
      </c>
    </row>
    <row r="78" spans="1:25" x14ac:dyDescent="0.3">
      <c r="A78" s="13" t="s">
        <v>374</v>
      </c>
      <c r="B78" s="1" t="s">
        <v>80</v>
      </c>
      <c r="C78" s="2" t="s">
        <v>290</v>
      </c>
      <c r="E78" s="4">
        <v>0</v>
      </c>
      <c r="F78" s="4">
        <v>156.30000000000001</v>
      </c>
      <c r="S78" s="4">
        <f t="shared" si="8"/>
        <v>0</v>
      </c>
      <c r="T78" s="4">
        <f t="shared" ref="T78:T79" si="13">X78</f>
        <v>156.30000000000001</v>
      </c>
      <c r="U78" s="4">
        <f t="shared" si="11"/>
        <v>156.30000000000001</v>
      </c>
      <c r="V78" s="4">
        <f t="shared" si="12"/>
        <v>208.4</v>
      </c>
      <c r="W78" s="4">
        <v>2209</v>
      </c>
      <c r="X78" s="4">
        <v>156.30000000000001</v>
      </c>
      <c r="Y78" s="4">
        <v>0</v>
      </c>
    </row>
    <row r="79" spans="1:25" x14ac:dyDescent="0.3">
      <c r="A79" s="13" t="s">
        <v>374</v>
      </c>
      <c r="B79" s="1" t="s">
        <v>81</v>
      </c>
      <c r="C79" s="2" t="s">
        <v>315</v>
      </c>
      <c r="D79" s="2" t="s">
        <v>440</v>
      </c>
      <c r="E79" s="4">
        <v>0</v>
      </c>
      <c r="F79" s="4">
        <v>2088.6999999999998</v>
      </c>
      <c r="L79" s="4">
        <v>150</v>
      </c>
      <c r="N79" s="4">
        <v>150</v>
      </c>
      <c r="S79" s="4">
        <f t="shared" si="8"/>
        <v>300</v>
      </c>
      <c r="T79" s="4">
        <f t="shared" si="13"/>
        <v>1350</v>
      </c>
      <c r="U79" s="4">
        <f t="shared" si="11"/>
        <v>1650</v>
      </c>
      <c r="V79" s="4">
        <f t="shared" si="12"/>
        <v>2200</v>
      </c>
      <c r="W79" s="4">
        <f>'Salaries &amp; Fees Split'!E36</f>
        <v>4800</v>
      </c>
      <c r="X79" s="4">
        <f>450+450+150+150+150</f>
        <v>1350</v>
      </c>
      <c r="Y79" s="4">
        <v>1638.7</v>
      </c>
    </row>
    <row r="80" spans="1:25" x14ac:dyDescent="0.3">
      <c r="A80" s="13" t="s">
        <v>374</v>
      </c>
      <c r="B80" s="1" t="s">
        <v>82</v>
      </c>
      <c r="C80" s="2" t="s">
        <v>291</v>
      </c>
      <c r="D80" s="2" t="s">
        <v>423</v>
      </c>
      <c r="E80" s="4">
        <v>0</v>
      </c>
      <c r="F80" s="4">
        <v>3900</v>
      </c>
      <c r="S80" s="4">
        <f t="shared" si="8"/>
        <v>0</v>
      </c>
      <c r="T80" s="4">
        <f>X80</f>
        <v>2175</v>
      </c>
      <c r="U80" s="4">
        <f t="shared" si="11"/>
        <v>2175</v>
      </c>
      <c r="V80" s="4">
        <f t="shared" si="12"/>
        <v>2900</v>
      </c>
      <c r="W80" s="25">
        <f>300*12</f>
        <v>3600</v>
      </c>
      <c r="X80" s="4">
        <f>3075-450-150-150-150</f>
        <v>2175</v>
      </c>
      <c r="Y80" s="4">
        <v>0</v>
      </c>
    </row>
    <row r="81" spans="1:27" hidden="1" x14ac:dyDescent="0.3">
      <c r="A81" s="13" t="s">
        <v>374</v>
      </c>
      <c r="B81" s="1" t="s">
        <v>83</v>
      </c>
      <c r="C81" s="2" t="s">
        <v>313</v>
      </c>
      <c r="E81" s="4">
        <v>0</v>
      </c>
      <c r="F81" s="4">
        <v>546</v>
      </c>
      <c r="S81" s="4">
        <f t="shared" si="8"/>
        <v>0</v>
      </c>
      <c r="U81" s="4">
        <f t="shared" si="11"/>
        <v>0</v>
      </c>
      <c r="V81" s="4">
        <f t="shared" si="12"/>
        <v>0</v>
      </c>
      <c r="X81" s="4">
        <v>0</v>
      </c>
      <c r="Y81" s="4">
        <v>546</v>
      </c>
    </row>
    <row r="82" spans="1:27" hidden="1" x14ac:dyDescent="0.3">
      <c r="A82" s="13" t="s">
        <v>374</v>
      </c>
      <c r="B82" s="1" t="s">
        <v>84</v>
      </c>
      <c r="C82" s="2" t="s">
        <v>316</v>
      </c>
      <c r="E82" s="4">
        <v>0</v>
      </c>
      <c r="F82" s="4">
        <v>0</v>
      </c>
      <c r="S82" s="4">
        <f t="shared" si="8"/>
        <v>0</v>
      </c>
      <c r="U82" s="4">
        <f t="shared" si="11"/>
        <v>0</v>
      </c>
      <c r="V82" s="4">
        <f t="shared" si="12"/>
        <v>0</v>
      </c>
      <c r="X82" s="4">
        <v>0</v>
      </c>
      <c r="Y82" s="4">
        <v>0</v>
      </c>
    </row>
    <row r="83" spans="1:27" hidden="1" x14ac:dyDescent="0.3">
      <c r="A83" s="13" t="s">
        <v>374</v>
      </c>
      <c r="B83" s="1" t="s">
        <v>85</v>
      </c>
      <c r="C83" s="2" t="s">
        <v>292</v>
      </c>
      <c r="E83" s="4">
        <v>0</v>
      </c>
      <c r="F83" s="4">
        <v>0</v>
      </c>
      <c r="S83" s="4">
        <f t="shared" si="8"/>
        <v>0</v>
      </c>
      <c r="U83" s="4">
        <f t="shared" si="11"/>
        <v>0</v>
      </c>
      <c r="V83" s="4">
        <f t="shared" si="12"/>
        <v>0</v>
      </c>
      <c r="X83" s="4">
        <v>0</v>
      </c>
      <c r="Y83" s="4">
        <v>0</v>
      </c>
    </row>
    <row r="84" spans="1:27" hidden="1" x14ac:dyDescent="0.3">
      <c r="A84" s="13" t="s">
        <v>374</v>
      </c>
      <c r="B84" s="1" t="s">
        <v>86</v>
      </c>
      <c r="C84" s="2" t="s">
        <v>317</v>
      </c>
      <c r="E84" s="4">
        <v>0</v>
      </c>
      <c r="F84" s="4">
        <v>0</v>
      </c>
      <c r="S84" s="4">
        <f t="shared" si="8"/>
        <v>0</v>
      </c>
      <c r="U84" s="4">
        <f t="shared" si="11"/>
        <v>0</v>
      </c>
      <c r="V84" s="4">
        <f t="shared" si="12"/>
        <v>0</v>
      </c>
      <c r="X84" s="4">
        <v>0</v>
      </c>
      <c r="Y84" s="4">
        <v>0</v>
      </c>
    </row>
    <row r="85" spans="1:27" x14ac:dyDescent="0.3">
      <c r="A85" s="13" t="s">
        <v>374</v>
      </c>
      <c r="B85" s="1" t="s">
        <v>87</v>
      </c>
      <c r="C85" s="2" t="s">
        <v>293</v>
      </c>
      <c r="E85" s="4">
        <v>0</v>
      </c>
      <c r="F85" s="4">
        <v>0</v>
      </c>
      <c r="S85" s="4">
        <f t="shared" si="8"/>
        <v>0</v>
      </c>
      <c r="U85" s="4">
        <f t="shared" si="11"/>
        <v>0</v>
      </c>
      <c r="V85" s="4">
        <f t="shared" si="12"/>
        <v>0</v>
      </c>
      <c r="W85" s="4">
        <v>50</v>
      </c>
      <c r="X85" s="4">
        <v>0</v>
      </c>
      <c r="Y85" s="4">
        <v>0</v>
      </c>
    </row>
    <row r="86" spans="1:27" hidden="1" x14ac:dyDescent="0.3">
      <c r="A86" s="13" t="s">
        <v>374</v>
      </c>
      <c r="B86" s="1" t="s">
        <v>88</v>
      </c>
      <c r="C86" s="2" t="s">
        <v>294</v>
      </c>
      <c r="E86" s="4">
        <v>0</v>
      </c>
      <c r="F86" s="4">
        <v>0</v>
      </c>
      <c r="S86" s="4">
        <f t="shared" si="8"/>
        <v>0</v>
      </c>
      <c r="U86" s="4">
        <f t="shared" si="11"/>
        <v>0</v>
      </c>
      <c r="V86" s="4">
        <f t="shared" si="12"/>
        <v>0</v>
      </c>
      <c r="X86" s="4">
        <v>0</v>
      </c>
      <c r="Y86" s="4">
        <v>0</v>
      </c>
    </row>
    <row r="87" spans="1:27" ht="86.4" x14ac:dyDescent="0.3">
      <c r="A87" s="13" t="s">
        <v>374</v>
      </c>
      <c r="B87" s="1" t="s">
        <v>89</v>
      </c>
      <c r="C87" s="2" t="s">
        <v>296</v>
      </c>
      <c r="D87" s="41" t="s">
        <v>425</v>
      </c>
      <c r="E87" s="4">
        <v>0</v>
      </c>
      <c r="F87" s="4">
        <v>755</v>
      </c>
      <c r="S87" s="4">
        <f t="shared" si="8"/>
        <v>0</v>
      </c>
      <c r="T87" s="4">
        <f t="shared" ref="T87" si="14">X87</f>
        <v>590</v>
      </c>
      <c r="U87" s="4">
        <f t="shared" si="11"/>
        <v>590</v>
      </c>
      <c r="V87" s="4">
        <f t="shared" si="12"/>
        <v>786.66666666666674</v>
      </c>
      <c r="W87" s="4">
        <f>360+280</f>
        <v>640</v>
      </c>
      <c r="X87" s="4">
        <v>590</v>
      </c>
      <c r="Y87" s="4">
        <v>165</v>
      </c>
      <c r="AA87" s="40" t="s">
        <v>424</v>
      </c>
    </row>
    <row r="88" spans="1:27" x14ac:dyDescent="0.3">
      <c r="A88" s="13" t="s">
        <v>374</v>
      </c>
      <c r="B88" s="1" t="s">
        <v>90</v>
      </c>
      <c r="C88" s="2" t="s">
        <v>297</v>
      </c>
      <c r="E88" s="4">
        <v>0</v>
      </c>
      <c r="F88" s="4">
        <v>250</v>
      </c>
      <c r="S88" s="4">
        <f t="shared" si="8"/>
        <v>0</v>
      </c>
      <c r="U88" s="4">
        <f t="shared" si="11"/>
        <v>0</v>
      </c>
      <c r="V88" s="4">
        <f t="shared" si="12"/>
        <v>0</v>
      </c>
      <c r="W88" s="4">
        <v>250</v>
      </c>
      <c r="X88" s="4">
        <v>0</v>
      </c>
      <c r="Y88" s="4">
        <v>250</v>
      </c>
    </row>
    <row r="89" spans="1:27" hidden="1" x14ac:dyDescent="0.3">
      <c r="A89" s="13" t="s">
        <v>374</v>
      </c>
      <c r="B89" s="1" t="s">
        <v>91</v>
      </c>
      <c r="C89" s="2" t="s">
        <v>298</v>
      </c>
      <c r="E89" s="4">
        <v>0</v>
      </c>
      <c r="F89" s="4">
        <v>0</v>
      </c>
      <c r="S89" s="4">
        <f t="shared" si="8"/>
        <v>0</v>
      </c>
      <c r="U89" s="4">
        <f t="shared" si="11"/>
        <v>0</v>
      </c>
      <c r="V89" s="4">
        <f t="shared" si="12"/>
        <v>0</v>
      </c>
      <c r="X89" s="4">
        <v>0</v>
      </c>
      <c r="Y89" s="4">
        <v>0</v>
      </c>
    </row>
    <row r="90" spans="1:27" hidden="1" x14ac:dyDescent="0.3">
      <c r="A90" s="13" t="s">
        <v>374</v>
      </c>
      <c r="B90" s="1" t="s">
        <v>92</v>
      </c>
      <c r="C90" s="2" t="s">
        <v>318</v>
      </c>
      <c r="E90" s="4">
        <v>0</v>
      </c>
      <c r="F90" s="4">
        <v>0</v>
      </c>
      <c r="S90" s="4">
        <f t="shared" ref="S90:S124" si="15">SUM(G90:O90)</f>
        <v>0</v>
      </c>
      <c r="U90" s="4">
        <f t="shared" si="11"/>
        <v>0</v>
      </c>
      <c r="V90" s="4">
        <f t="shared" si="12"/>
        <v>0</v>
      </c>
      <c r="X90" s="4">
        <v>0</v>
      </c>
      <c r="Y90" s="4">
        <v>0</v>
      </c>
    </row>
    <row r="91" spans="1:27" x14ac:dyDescent="0.3">
      <c r="A91" s="14" t="s">
        <v>375</v>
      </c>
      <c r="B91" s="1" t="s">
        <v>93</v>
      </c>
      <c r="C91" s="2" t="s">
        <v>319</v>
      </c>
      <c r="E91" s="4">
        <v>804.63</v>
      </c>
      <c r="F91" s="4">
        <v>24000</v>
      </c>
      <c r="S91" s="4">
        <f t="shared" si="15"/>
        <v>0</v>
      </c>
      <c r="T91" s="4">
        <f t="shared" ref="T91:T94" si="16">X91</f>
        <v>17905.560000000001</v>
      </c>
      <c r="U91" s="4">
        <f t="shared" si="11"/>
        <v>17905.560000000001</v>
      </c>
      <c r="V91" s="4">
        <f t="shared" si="12"/>
        <v>23874.080000000002</v>
      </c>
      <c r="W91" s="4">
        <f>2000*12</f>
        <v>24000</v>
      </c>
      <c r="X91" s="4">
        <v>17905.560000000001</v>
      </c>
      <c r="Y91" s="4">
        <v>6000</v>
      </c>
    </row>
    <row r="92" spans="1:27" x14ac:dyDescent="0.3">
      <c r="A92" s="14" t="s">
        <v>375</v>
      </c>
      <c r="B92" s="1" t="s">
        <v>399</v>
      </c>
      <c r="C92" s="2" t="s">
        <v>400</v>
      </c>
      <c r="F92" s="4">
        <f>400</f>
        <v>400</v>
      </c>
      <c r="U92" s="4">
        <v>100</v>
      </c>
      <c r="V92" s="4">
        <f t="shared" si="12"/>
        <v>133.33333333333331</v>
      </c>
      <c r="W92" s="4">
        <f>100*12</f>
        <v>1200</v>
      </c>
    </row>
    <row r="93" spans="1:27" x14ac:dyDescent="0.3">
      <c r="A93" s="14" t="s">
        <v>375</v>
      </c>
      <c r="B93" s="1" t="s">
        <v>94</v>
      </c>
      <c r="C93" s="2" t="s">
        <v>286</v>
      </c>
      <c r="E93" s="4">
        <v>400</v>
      </c>
      <c r="F93" s="4">
        <v>5760</v>
      </c>
      <c r="S93" s="4">
        <f t="shared" si="15"/>
        <v>0</v>
      </c>
      <c r="T93" s="4">
        <f t="shared" si="16"/>
        <v>3840</v>
      </c>
      <c r="U93" s="4">
        <f t="shared" si="11"/>
        <v>3840</v>
      </c>
      <c r="V93" s="4">
        <f t="shared" si="12"/>
        <v>5120</v>
      </c>
      <c r="W93" s="4">
        <f>(W91+W92)*24%</f>
        <v>6048</v>
      </c>
      <c r="X93" s="4">
        <v>3840</v>
      </c>
      <c r="Y93" s="4">
        <v>1720</v>
      </c>
    </row>
    <row r="94" spans="1:27" x14ac:dyDescent="0.3">
      <c r="A94" s="14" t="s">
        <v>375</v>
      </c>
      <c r="B94" s="1" t="s">
        <v>95</v>
      </c>
      <c r="C94" s="2" t="s">
        <v>287</v>
      </c>
      <c r="E94" s="4">
        <v>0</v>
      </c>
      <c r="F94" s="4">
        <v>348</v>
      </c>
      <c r="S94" s="4">
        <f t="shared" si="15"/>
        <v>0</v>
      </c>
      <c r="T94" s="4">
        <f t="shared" si="16"/>
        <v>261</v>
      </c>
      <c r="U94" s="4">
        <f t="shared" si="11"/>
        <v>261</v>
      </c>
      <c r="V94" s="4">
        <f t="shared" si="12"/>
        <v>348</v>
      </c>
      <c r="W94" s="4">
        <f>(W91+W92)*1.45%</f>
        <v>365.4</v>
      </c>
      <c r="X94" s="4">
        <v>261</v>
      </c>
      <c r="Y94" s="4">
        <v>87</v>
      </c>
    </row>
    <row r="95" spans="1:27" x14ac:dyDescent="0.3">
      <c r="A95" s="14" t="s">
        <v>375</v>
      </c>
      <c r="B95" s="1" t="s">
        <v>96</v>
      </c>
      <c r="C95" s="2" t="s">
        <v>288</v>
      </c>
      <c r="E95" s="4">
        <v>0</v>
      </c>
      <c r="F95" s="4">
        <v>100</v>
      </c>
      <c r="G95" s="4">
        <v>100</v>
      </c>
      <c r="S95" s="4">
        <f t="shared" si="15"/>
        <v>100</v>
      </c>
      <c r="U95" s="4">
        <f t="shared" si="11"/>
        <v>100</v>
      </c>
      <c r="V95" s="4">
        <f t="shared" si="12"/>
        <v>133.33333333333331</v>
      </c>
      <c r="W95" s="4">
        <v>100</v>
      </c>
      <c r="X95" s="4">
        <v>0</v>
      </c>
      <c r="Y95" s="4">
        <v>100</v>
      </c>
    </row>
    <row r="96" spans="1:27" x14ac:dyDescent="0.3">
      <c r="A96" s="14" t="s">
        <v>375</v>
      </c>
      <c r="B96" s="1" t="s">
        <v>97</v>
      </c>
      <c r="C96" s="2" t="s">
        <v>303</v>
      </c>
      <c r="E96" s="4">
        <v>0</v>
      </c>
      <c r="F96" s="4">
        <v>0</v>
      </c>
      <c r="S96" s="4">
        <f t="shared" si="15"/>
        <v>0</v>
      </c>
      <c r="U96" s="4">
        <f t="shared" si="11"/>
        <v>0</v>
      </c>
      <c r="V96" s="4">
        <f t="shared" si="12"/>
        <v>0</v>
      </c>
      <c r="X96" s="4">
        <v>0</v>
      </c>
      <c r="Y96" s="4">
        <v>0</v>
      </c>
    </row>
    <row r="97" spans="1:25" hidden="1" x14ac:dyDescent="0.3">
      <c r="A97" s="14" t="s">
        <v>375</v>
      </c>
      <c r="B97" s="1" t="s">
        <v>98</v>
      </c>
      <c r="C97" s="2" t="s">
        <v>304</v>
      </c>
      <c r="E97" s="4">
        <v>0</v>
      </c>
      <c r="F97" s="4">
        <v>0</v>
      </c>
      <c r="S97" s="4">
        <f t="shared" si="15"/>
        <v>0</v>
      </c>
      <c r="U97" s="4">
        <f t="shared" si="11"/>
        <v>0</v>
      </c>
      <c r="V97" s="4">
        <f t="shared" si="12"/>
        <v>0</v>
      </c>
      <c r="X97" s="4">
        <v>0</v>
      </c>
      <c r="Y97" s="4">
        <v>0</v>
      </c>
    </row>
    <row r="98" spans="1:25" hidden="1" x14ac:dyDescent="0.3">
      <c r="A98" s="14" t="s">
        <v>375</v>
      </c>
      <c r="B98" s="1" t="s">
        <v>99</v>
      </c>
      <c r="C98" s="2" t="s">
        <v>320</v>
      </c>
      <c r="E98" s="4">
        <v>0</v>
      </c>
      <c r="F98" s="4">
        <v>0</v>
      </c>
      <c r="S98" s="4">
        <f t="shared" si="15"/>
        <v>0</v>
      </c>
      <c r="U98" s="4">
        <f t="shared" si="11"/>
        <v>0</v>
      </c>
      <c r="V98" s="4">
        <f t="shared" si="12"/>
        <v>0</v>
      </c>
      <c r="X98" s="4">
        <v>0</v>
      </c>
      <c r="Y98" s="4">
        <v>0</v>
      </c>
    </row>
    <row r="99" spans="1:25" hidden="1" x14ac:dyDescent="0.3">
      <c r="A99" s="14" t="s">
        <v>375</v>
      </c>
      <c r="B99" s="1" t="s">
        <v>100</v>
      </c>
      <c r="C99" s="2" t="s">
        <v>291</v>
      </c>
      <c r="E99" s="4">
        <v>0</v>
      </c>
      <c r="F99" s="4">
        <v>0</v>
      </c>
      <c r="S99" s="4">
        <f t="shared" si="15"/>
        <v>0</v>
      </c>
      <c r="U99" s="4">
        <f t="shared" si="11"/>
        <v>0</v>
      </c>
      <c r="V99" s="4">
        <f t="shared" si="12"/>
        <v>0</v>
      </c>
      <c r="X99" s="4">
        <v>0</v>
      </c>
      <c r="Y99" s="4">
        <v>0</v>
      </c>
    </row>
    <row r="100" spans="1:25" x14ac:dyDescent="0.3">
      <c r="A100" s="14" t="s">
        <v>375</v>
      </c>
      <c r="B100" s="1" t="s">
        <v>101</v>
      </c>
      <c r="C100" s="2" t="s">
        <v>313</v>
      </c>
      <c r="E100" s="4">
        <v>0</v>
      </c>
      <c r="F100" s="4">
        <v>2275</v>
      </c>
      <c r="S100" s="4">
        <f t="shared" si="15"/>
        <v>0</v>
      </c>
      <c r="U100" s="4">
        <f t="shared" si="11"/>
        <v>0</v>
      </c>
      <c r="V100" s="4">
        <f t="shared" si="12"/>
        <v>0</v>
      </c>
      <c r="X100" s="4">
        <v>0</v>
      </c>
      <c r="Y100" s="4">
        <v>2275</v>
      </c>
    </row>
    <row r="101" spans="1:25" x14ac:dyDescent="0.3">
      <c r="A101" s="14" t="s">
        <v>375</v>
      </c>
      <c r="B101" s="1" t="s">
        <v>102</v>
      </c>
      <c r="C101" s="2" t="s">
        <v>316</v>
      </c>
      <c r="E101" s="4">
        <v>0</v>
      </c>
      <c r="F101" s="4">
        <v>1266</v>
      </c>
      <c r="J101" s="17">
        <v>400</v>
      </c>
      <c r="L101" s="23">
        <v>400</v>
      </c>
      <c r="S101" s="4">
        <f t="shared" si="15"/>
        <v>800</v>
      </c>
      <c r="U101" s="4">
        <f t="shared" si="11"/>
        <v>800</v>
      </c>
      <c r="V101" s="4">
        <f t="shared" si="12"/>
        <v>1066.6666666666665</v>
      </c>
      <c r="W101" s="4">
        <v>1200</v>
      </c>
      <c r="X101" s="4">
        <v>0</v>
      </c>
      <c r="Y101" s="4">
        <v>1266</v>
      </c>
    </row>
    <row r="102" spans="1:25" x14ac:dyDescent="0.3">
      <c r="A102" s="14" t="s">
        <v>375</v>
      </c>
      <c r="B102" s="1" t="s">
        <v>103</v>
      </c>
      <c r="C102" s="2" t="s">
        <v>292</v>
      </c>
      <c r="E102" s="4">
        <v>0</v>
      </c>
      <c r="F102" s="4">
        <v>100</v>
      </c>
      <c r="S102" s="4">
        <f t="shared" si="15"/>
        <v>0</v>
      </c>
      <c r="U102" s="4">
        <f t="shared" si="11"/>
        <v>0</v>
      </c>
      <c r="V102" s="4">
        <f t="shared" si="12"/>
        <v>0</v>
      </c>
      <c r="W102" s="4">
        <v>100</v>
      </c>
      <c r="X102" s="4">
        <v>0</v>
      </c>
      <c r="Y102" s="4">
        <v>100</v>
      </c>
    </row>
    <row r="103" spans="1:25" x14ac:dyDescent="0.3">
      <c r="A103" s="14" t="s">
        <v>375</v>
      </c>
      <c r="B103" s="1" t="s">
        <v>104</v>
      </c>
      <c r="C103" s="2" t="s">
        <v>293</v>
      </c>
      <c r="E103" s="4">
        <v>0</v>
      </c>
      <c r="F103" s="4">
        <v>50</v>
      </c>
      <c r="S103" s="4">
        <f t="shared" si="15"/>
        <v>0</v>
      </c>
      <c r="U103" s="4">
        <f t="shared" si="11"/>
        <v>0</v>
      </c>
      <c r="V103" s="4">
        <f t="shared" si="12"/>
        <v>0</v>
      </c>
      <c r="W103" s="4">
        <v>50</v>
      </c>
      <c r="X103" s="4">
        <v>0</v>
      </c>
      <c r="Y103" s="4">
        <v>50</v>
      </c>
    </row>
    <row r="104" spans="1:25" x14ac:dyDescent="0.3">
      <c r="A104" s="14" t="s">
        <v>375</v>
      </c>
      <c r="B104" s="1" t="s">
        <v>105</v>
      </c>
      <c r="C104" s="2" t="s">
        <v>294</v>
      </c>
      <c r="E104" s="4">
        <v>0</v>
      </c>
      <c r="F104" s="4">
        <v>50</v>
      </c>
      <c r="S104" s="4">
        <f t="shared" si="15"/>
        <v>0</v>
      </c>
      <c r="U104" s="4">
        <f t="shared" si="11"/>
        <v>0</v>
      </c>
      <c r="V104" s="4">
        <f t="shared" si="12"/>
        <v>0</v>
      </c>
      <c r="W104" s="4">
        <v>50</v>
      </c>
      <c r="X104" s="4">
        <v>0</v>
      </c>
      <c r="Y104" s="4">
        <v>50</v>
      </c>
    </row>
    <row r="105" spans="1:25" x14ac:dyDescent="0.3">
      <c r="A105" s="14" t="s">
        <v>375</v>
      </c>
      <c r="B105" s="1" t="s">
        <v>106</v>
      </c>
      <c r="C105" s="2" t="s">
        <v>297</v>
      </c>
      <c r="E105" s="4">
        <v>68.56</v>
      </c>
      <c r="F105" s="4">
        <v>150</v>
      </c>
      <c r="S105" s="4">
        <f t="shared" si="15"/>
        <v>0</v>
      </c>
      <c r="T105" s="4">
        <f t="shared" ref="T105" si="17">X105</f>
        <v>93.83</v>
      </c>
      <c r="U105" s="4">
        <f t="shared" si="11"/>
        <v>93.83</v>
      </c>
      <c r="V105" s="4">
        <f t="shared" si="12"/>
        <v>125.10666666666665</v>
      </c>
      <c r="W105" s="4">
        <v>150</v>
      </c>
      <c r="X105" s="4">
        <v>93.83</v>
      </c>
      <c r="Y105" s="4">
        <v>84.03</v>
      </c>
    </row>
    <row r="106" spans="1:25" x14ac:dyDescent="0.3">
      <c r="B106" s="1" t="s">
        <v>107</v>
      </c>
      <c r="C106" s="2" t="s">
        <v>301</v>
      </c>
      <c r="E106" s="4">
        <v>0</v>
      </c>
      <c r="F106" s="4">
        <v>1300</v>
      </c>
      <c r="H106" s="4">
        <v>104.89</v>
      </c>
      <c r="I106" s="4">
        <v>113</v>
      </c>
      <c r="J106" s="4">
        <f>99.31+90.81</f>
        <v>190.12</v>
      </c>
      <c r="K106" s="4">
        <v>77.63</v>
      </c>
      <c r="M106" s="4">
        <f>88.59+91.24</f>
        <v>179.82999999999998</v>
      </c>
      <c r="S106" s="4">
        <f t="shared" si="15"/>
        <v>665.47</v>
      </c>
      <c r="U106" s="4">
        <f t="shared" si="11"/>
        <v>665.47</v>
      </c>
      <c r="V106" s="4">
        <f t="shared" si="12"/>
        <v>887.29333333333329</v>
      </c>
      <c r="W106" s="4">
        <v>1300</v>
      </c>
      <c r="X106" s="4">
        <v>0</v>
      </c>
      <c r="Y106" s="4">
        <v>1300</v>
      </c>
    </row>
    <row r="107" spans="1:25" x14ac:dyDescent="0.3">
      <c r="B107" s="1" t="s">
        <v>108</v>
      </c>
      <c r="C107" s="2" t="s">
        <v>321</v>
      </c>
      <c r="E107" s="4">
        <v>231.24</v>
      </c>
      <c r="F107" s="4">
        <v>940</v>
      </c>
      <c r="H107" s="4">
        <v>126.05</v>
      </c>
      <c r="I107" s="4">
        <v>115.57</v>
      </c>
      <c r="J107" s="4">
        <v>98.76</v>
      </c>
      <c r="K107" s="4">
        <v>87.53</v>
      </c>
      <c r="L107" s="4">
        <v>55.3</v>
      </c>
      <c r="M107" s="4">
        <v>49.18</v>
      </c>
      <c r="N107" s="4">
        <f>49.18+49.18</f>
        <v>98.36</v>
      </c>
      <c r="S107" s="4">
        <f t="shared" si="15"/>
        <v>630.75</v>
      </c>
      <c r="T107" s="4">
        <f t="shared" ref="T107" si="18">X107</f>
        <v>104.83</v>
      </c>
      <c r="U107" s="4">
        <f t="shared" si="11"/>
        <v>735.58</v>
      </c>
      <c r="V107" s="4">
        <f t="shared" si="12"/>
        <v>980.77333333333343</v>
      </c>
      <c r="W107" s="4">
        <v>960</v>
      </c>
      <c r="X107" s="4">
        <v>104.83</v>
      </c>
      <c r="Y107" s="4">
        <v>940</v>
      </c>
    </row>
    <row r="108" spans="1:25" x14ac:dyDescent="0.3">
      <c r="B108" s="1" t="s">
        <v>109</v>
      </c>
      <c r="C108" s="2" t="s">
        <v>290</v>
      </c>
      <c r="E108" s="4">
        <v>621.46</v>
      </c>
      <c r="F108" s="4">
        <v>2300</v>
      </c>
      <c r="G108" s="4">
        <v>89.99</v>
      </c>
      <c r="H108" s="4">
        <v>89.99</v>
      </c>
      <c r="I108" s="4">
        <v>89.99</v>
      </c>
      <c r="J108" s="4">
        <v>89.99</v>
      </c>
      <c r="K108" s="4">
        <v>89.99</v>
      </c>
      <c r="L108" s="4">
        <v>89.99</v>
      </c>
      <c r="M108" s="4">
        <v>89.99</v>
      </c>
      <c r="N108" s="4">
        <v>89.99</v>
      </c>
      <c r="S108" s="4">
        <f t="shared" si="15"/>
        <v>719.92</v>
      </c>
      <c r="U108" s="4">
        <f t="shared" si="11"/>
        <v>719.92</v>
      </c>
      <c r="V108" s="4">
        <f t="shared" si="12"/>
        <v>959.89333333333332</v>
      </c>
      <c r="W108" s="4">
        <v>2300</v>
      </c>
      <c r="X108" s="4">
        <v>0</v>
      </c>
      <c r="Y108" s="4">
        <v>2300</v>
      </c>
    </row>
    <row r="109" spans="1:25" hidden="1" x14ac:dyDescent="0.3">
      <c r="B109" s="1" t="s">
        <v>110</v>
      </c>
      <c r="C109" s="2" t="s">
        <v>293</v>
      </c>
      <c r="E109" s="4">
        <v>0</v>
      </c>
      <c r="F109" s="4">
        <v>0</v>
      </c>
      <c r="S109" s="4">
        <f t="shared" si="15"/>
        <v>0</v>
      </c>
      <c r="U109" s="4">
        <f t="shared" si="11"/>
        <v>0</v>
      </c>
      <c r="V109" s="4">
        <f t="shared" si="12"/>
        <v>0</v>
      </c>
      <c r="X109" s="4">
        <v>0</v>
      </c>
      <c r="Y109" s="4">
        <v>0</v>
      </c>
    </row>
    <row r="110" spans="1:25" hidden="1" x14ac:dyDescent="0.3">
      <c r="B110" s="1" t="s">
        <v>111</v>
      </c>
      <c r="C110" s="2" t="s">
        <v>297</v>
      </c>
      <c r="E110" s="4">
        <v>0</v>
      </c>
      <c r="F110" s="4">
        <v>0</v>
      </c>
      <c r="S110" s="4">
        <f t="shared" si="15"/>
        <v>0</v>
      </c>
      <c r="U110" s="4">
        <f t="shared" si="11"/>
        <v>0</v>
      </c>
      <c r="V110" s="4">
        <f t="shared" si="12"/>
        <v>0</v>
      </c>
      <c r="X110" s="4">
        <v>0</v>
      </c>
      <c r="Y110" s="4">
        <v>0</v>
      </c>
    </row>
    <row r="111" spans="1:25" hidden="1" x14ac:dyDescent="0.3">
      <c r="B111" s="1" t="s">
        <v>112</v>
      </c>
      <c r="C111" s="2" t="s">
        <v>322</v>
      </c>
      <c r="E111" s="4">
        <v>0</v>
      </c>
      <c r="F111" s="4">
        <v>0</v>
      </c>
      <c r="S111" s="4">
        <f t="shared" si="15"/>
        <v>0</v>
      </c>
      <c r="U111" s="4">
        <f t="shared" si="11"/>
        <v>0</v>
      </c>
      <c r="V111" s="4">
        <f t="shared" si="12"/>
        <v>0</v>
      </c>
      <c r="X111" s="4">
        <v>0</v>
      </c>
      <c r="Y111" s="4">
        <v>0</v>
      </c>
    </row>
    <row r="112" spans="1:25" hidden="1" x14ac:dyDescent="0.3">
      <c r="B112" s="1" t="s">
        <v>113</v>
      </c>
      <c r="C112" s="2" t="s">
        <v>323</v>
      </c>
      <c r="E112" s="4">
        <v>0</v>
      </c>
      <c r="F112" s="4">
        <v>0</v>
      </c>
      <c r="S112" s="4">
        <f t="shared" si="15"/>
        <v>0</v>
      </c>
      <c r="U112" s="4">
        <f t="shared" si="11"/>
        <v>0</v>
      </c>
      <c r="V112" s="4">
        <f t="shared" si="12"/>
        <v>0</v>
      </c>
      <c r="X112" s="4">
        <v>0</v>
      </c>
      <c r="Y112" s="4">
        <v>0</v>
      </c>
    </row>
    <row r="113" spans="1:27" x14ac:dyDescent="0.3">
      <c r="B113" s="1" t="s">
        <v>114</v>
      </c>
      <c r="C113" s="2" t="s">
        <v>317</v>
      </c>
      <c r="E113" s="4">
        <v>282.54000000000002</v>
      </c>
      <c r="F113" s="4">
        <v>2450</v>
      </c>
      <c r="G113" s="4">
        <v>121.02</v>
      </c>
      <c r="H113" s="4">
        <f>23.08+121.02</f>
        <v>144.1</v>
      </c>
      <c r="I113" s="4">
        <f>8.71+121.02</f>
        <v>129.72999999999999</v>
      </c>
      <c r="J113" s="4">
        <f>36.56+121.02</f>
        <v>157.57999999999998</v>
      </c>
      <c r="K113" s="4">
        <f>3.53+121.02</f>
        <v>124.55</v>
      </c>
      <c r="L113" s="4">
        <f>1.99+121.02</f>
        <v>123.00999999999999</v>
      </c>
      <c r="M113" s="4">
        <f>5.14+121.58</f>
        <v>126.72</v>
      </c>
      <c r="N113" s="4">
        <f>7.96+124.02</f>
        <v>131.97999999999999</v>
      </c>
      <c r="S113" s="4">
        <f t="shared" si="15"/>
        <v>1058.69</v>
      </c>
      <c r="T113" s="4">
        <f t="shared" ref="T113" si="19">X113</f>
        <v>12.58</v>
      </c>
      <c r="U113" s="4">
        <f t="shared" si="11"/>
        <v>1071.27</v>
      </c>
      <c r="V113" s="4">
        <f t="shared" si="12"/>
        <v>1428.3600000000001</v>
      </c>
      <c r="W113" s="4">
        <v>2450</v>
      </c>
      <c r="X113" s="4">
        <v>12.58</v>
      </c>
      <c r="Y113" s="4">
        <v>2450</v>
      </c>
    </row>
    <row r="114" spans="1:27" hidden="1" x14ac:dyDescent="0.3">
      <c r="B114" s="1" t="s">
        <v>115</v>
      </c>
      <c r="C114" s="2" t="s">
        <v>323</v>
      </c>
      <c r="E114" s="4">
        <v>0</v>
      </c>
      <c r="F114" s="4">
        <v>0</v>
      </c>
      <c r="S114" s="4">
        <f t="shared" si="15"/>
        <v>0</v>
      </c>
      <c r="U114" s="4">
        <f t="shared" si="11"/>
        <v>0</v>
      </c>
      <c r="V114" s="4">
        <f t="shared" si="12"/>
        <v>0</v>
      </c>
      <c r="X114" s="4">
        <v>0</v>
      </c>
      <c r="Y114" s="4">
        <v>0</v>
      </c>
    </row>
    <row r="115" spans="1:27" x14ac:dyDescent="0.3">
      <c r="B115" s="1" t="s">
        <v>116</v>
      </c>
      <c r="C115" s="2" t="s">
        <v>324</v>
      </c>
      <c r="E115" s="4">
        <v>0</v>
      </c>
      <c r="F115" s="4">
        <v>3000</v>
      </c>
      <c r="S115" s="4">
        <f t="shared" si="15"/>
        <v>0</v>
      </c>
      <c r="T115" s="4">
        <f t="shared" ref="T115" si="20">X115</f>
        <v>2221.6</v>
      </c>
      <c r="U115" s="4">
        <f t="shared" si="11"/>
        <v>2221.6</v>
      </c>
      <c r="V115" s="4">
        <f t="shared" si="12"/>
        <v>2962.1333333333332</v>
      </c>
      <c r="W115" s="4">
        <v>3500</v>
      </c>
      <c r="X115" s="4">
        <v>2221.6</v>
      </c>
      <c r="Y115" s="4">
        <v>778.4</v>
      </c>
    </row>
    <row r="116" spans="1:27" x14ac:dyDescent="0.3">
      <c r="B116" s="1" t="s">
        <v>117</v>
      </c>
      <c r="C116" s="2" t="s">
        <v>325</v>
      </c>
      <c r="E116" s="4">
        <v>0</v>
      </c>
      <c r="F116" s="4">
        <v>0</v>
      </c>
      <c r="S116" s="4">
        <f t="shared" si="15"/>
        <v>0</v>
      </c>
      <c r="U116" s="4">
        <f t="shared" si="11"/>
        <v>0</v>
      </c>
      <c r="V116" s="4">
        <f t="shared" si="12"/>
        <v>0</v>
      </c>
      <c r="X116" s="4">
        <v>0</v>
      </c>
      <c r="Y116" s="4">
        <v>0</v>
      </c>
    </row>
    <row r="117" spans="1:27" x14ac:dyDescent="0.3">
      <c r="B117" s="1" t="s">
        <v>118</v>
      </c>
      <c r="C117" s="2" t="s">
        <v>326</v>
      </c>
      <c r="E117" s="4">
        <v>0</v>
      </c>
      <c r="F117" s="17">
        <f>12631.54+10949</f>
        <v>23580.54</v>
      </c>
      <c r="P117" s="4">
        <f>12631.54+10948.78</f>
        <v>23580.32</v>
      </c>
      <c r="S117" s="4">
        <f t="shared" si="15"/>
        <v>0</v>
      </c>
      <c r="U117" s="4">
        <f t="shared" si="11"/>
        <v>0</v>
      </c>
      <c r="V117" s="4">
        <f t="shared" si="12"/>
        <v>0</v>
      </c>
      <c r="W117" s="4">
        <v>10000</v>
      </c>
      <c r="X117" s="4">
        <v>0</v>
      </c>
      <c r="Y117" s="4">
        <v>0</v>
      </c>
    </row>
    <row r="118" spans="1:27" hidden="1" x14ac:dyDescent="0.3">
      <c r="B118" s="1" t="s">
        <v>119</v>
      </c>
      <c r="C118" s="2" t="s">
        <v>327</v>
      </c>
      <c r="E118" s="4">
        <v>0</v>
      </c>
      <c r="F118" s="4">
        <v>0</v>
      </c>
      <c r="S118" s="4">
        <f t="shared" si="15"/>
        <v>0</v>
      </c>
      <c r="U118" s="4">
        <f t="shared" si="11"/>
        <v>0</v>
      </c>
      <c r="V118" s="4">
        <f t="shared" si="12"/>
        <v>0</v>
      </c>
      <c r="X118" s="4">
        <v>0</v>
      </c>
      <c r="Y118" s="4">
        <v>0</v>
      </c>
    </row>
    <row r="119" spans="1:27" hidden="1" x14ac:dyDescent="0.3">
      <c r="B119" s="1" t="s">
        <v>120</v>
      </c>
      <c r="C119" s="2" t="s">
        <v>328</v>
      </c>
      <c r="E119" s="4">
        <v>0</v>
      </c>
      <c r="F119" s="4">
        <v>0</v>
      </c>
      <c r="S119" s="4">
        <f t="shared" si="15"/>
        <v>0</v>
      </c>
      <c r="U119" s="4">
        <f t="shared" si="11"/>
        <v>0</v>
      </c>
      <c r="V119" s="4">
        <f t="shared" si="12"/>
        <v>0</v>
      </c>
      <c r="X119" s="4">
        <v>0</v>
      </c>
      <c r="Y119" s="4">
        <v>0</v>
      </c>
    </row>
    <row r="120" spans="1:27" hidden="1" x14ac:dyDescent="0.3">
      <c r="B120" s="1" t="s">
        <v>121</v>
      </c>
      <c r="C120" s="2" t="s">
        <v>329</v>
      </c>
      <c r="E120" s="4">
        <v>0</v>
      </c>
      <c r="F120" s="4">
        <v>0</v>
      </c>
      <c r="S120" s="4">
        <f t="shared" si="15"/>
        <v>0</v>
      </c>
      <c r="U120" s="4">
        <f t="shared" si="11"/>
        <v>0</v>
      </c>
      <c r="V120" s="4">
        <f t="shared" si="12"/>
        <v>0</v>
      </c>
      <c r="X120" s="4">
        <v>0</v>
      </c>
      <c r="Y120" s="4">
        <v>0</v>
      </c>
    </row>
    <row r="121" spans="1:27" x14ac:dyDescent="0.3">
      <c r="B121" s="1" t="s">
        <v>122</v>
      </c>
      <c r="C121" s="2" t="s">
        <v>330</v>
      </c>
      <c r="E121" s="4">
        <v>0</v>
      </c>
      <c r="F121" s="17">
        <f>35000-10949</f>
        <v>24051</v>
      </c>
      <c r="S121" s="4">
        <f t="shared" si="15"/>
        <v>0</v>
      </c>
      <c r="U121" s="4">
        <f t="shared" si="11"/>
        <v>0</v>
      </c>
      <c r="V121" s="4">
        <f t="shared" si="12"/>
        <v>0</v>
      </c>
      <c r="W121" s="4">
        <v>24000</v>
      </c>
      <c r="X121" s="4">
        <v>0</v>
      </c>
      <c r="Y121" s="4">
        <f>35000-10949</f>
        <v>24051</v>
      </c>
    </row>
    <row r="122" spans="1:27" x14ac:dyDescent="0.3">
      <c r="B122" s="1" t="s">
        <v>123</v>
      </c>
      <c r="C122" s="2" t="s">
        <v>331</v>
      </c>
      <c r="E122" s="4">
        <v>0</v>
      </c>
      <c r="F122" s="17">
        <f>15700-12631.54</f>
        <v>3068.4599999999991</v>
      </c>
      <c r="G122" s="18" t="s">
        <v>380</v>
      </c>
      <c r="S122" s="4">
        <f t="shared" si="15"/>
        <v>0</v>
      </c>
      <c r="U122" s="4">
        <f t="shared" si="11"/>
        <v>0</v>
      </c>
      <c r="V122" s="4">
        <f t="shared" si="12"/>
        <v>0</v>
      </c>
      <c r="W122" s="4">
        <f>7200-3500</f>
        <v>3700</v>
      </c>
      <c r="X122" s="4">
        <v>0</v>
      </c>
      <c r="Y122" s="4">
        <f>15700-12631.54</f>
        <v>3068.4599999999991</v>
      </c>
      <c r="AA122" t="s">
        <v>445</v>
      </c>
    </row>
    <row r="123" spans="1:27" x14ac:dyDescent="0.3">
      <c r="B123" s="1" t="s">
        <v>124</v>
      </c>
      <c r="C123" s="2" t="s">
        <v>332</v>
      </c>
      <c r="E123" s="4">
        <v>0</v>
      </c>
      <c r="F123" s="4">
        <v>0</v>
      </c>
      <c r="S123" s="4">
        <f t="shared" si="15"/>
        <v>0</v>
      </c>
      <c r="U123" s="4">
        <f t="shared" si="11"/>
        <v>0</v>
      </c>
      <c r="V123" s="4">
        <f t="shared" si="12"/>
        <v>0</v>
      </c>
      <c r="X123" s="4">
        <v>0</v>
      </c>
      <c r="Y123" s="4">
        <v>0</v>
      </c>
    </row>
    <row r="124" spans="1:27" x14ac:dyDescent="0.3">
      <c r="B124" s="1" t="s">
        <v>125</v>
      </c>
      <c r="C124" s="2" t="s">
        <v>333</v>
      </c>
      <c r="E124" s="4">
        <v>0</v>
      </c>
      <c r="F124" s="4">
        <v>0</v>
      </c>
      <c r="S124" s="4">
        <f t="shared" si="15"/>
        <v>0</v>
      </c>
      <c r="U124" s="4">
        <f t="shared" si="11"/>
        <v>0</v>
      </c>
      <c r="V124" s="4">
        <f t="shared" si="12"/>
        <v>0</v>
      </c>
      <c r="X124" s="4">
        <v>0</v>
      </c>
      <c r="Y124" s="4">
        <v>0</v>
      </c>
    </row>
    <row r="125" spans="1:27" x14ac:dyDescent="0.3">
      <c r="C125" s="30" t="s">
        <v>398</v>
      </c>
      <c r="D125" s="30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>
        <f>SUM(V7:V124)</f>
        <v>242030.93666666668</v>
      </c>
      <c r="W125" s="31"/>
    </row>
    <row r="127" spans="1:27" x14ac:dyDescent="0.3">
      <c r="A127" s="27" t="s">
        <v>412</v>
      </c>
      <c r="B127" s="1" t="s">
        <v>126</v>
      </c>
      <c r="C127" s="2" t="s">
        <v>285</v>
      </c>
      <c r="E127" s="4">
        <v>159.09</v>
      </c>
      <c r="F127" s="4">
        <v>14510</v>
      </c>
      <c r="S127" s="4">
        <f t="shared" ref="S127:S147" si="21">SUM(G127:O127)</f>
        <v>0</v>
      </c>
      <c r="T127" s="4">
        <f t="shared" ref="T127:T129" si="22">X127</f>
        <v>6512.67</v>
      </c>
      <c r="U127" s="4">
        <f t="shared" si="11"/>
        <v>6512.67</v>
      </c>
      <c r="V127" s="4">
        <f t="shared" si="12"/>
        <v>8683.56</v>
      </c>
      <c r="W127" s="4">
        <f>'Salaries &amp; Fees Split'!F47</f>
        <v>9160</v>
      </c>
      <c r="X127" s="4">
        <v>6512.67</v>
      </c>
      <c r="Y127" s="4">
        <v>7758</v>
      </c>
    </row>
    <row r="128" spans="1:27" x14ac:dyDescent="0.3">
      <c r="B128" s="1" t="s">
        <v>127</v>
      </c>
      <c r="C128" s="2" t="s">
        <v>286</v>
      </c>
      <c r="E128" s="4">
        <v>216</v>
      </c>
      <c r="F128" s="4">
        <v>2094.4</v>
      </c>
      <c r="S128" s="4">
        <f t="shared" si="21"/>
        <v>0</v>
      </c>
      <c r="T128" s="4">
        <f t="shared" si="22"/>
        <v>1601.28</v>
      </c>
      <c r="U128" s="4">
        <f t="shared" si="11"/>
        <v>1601.28</v>
      </c>
      <c r="V128" s="4">
        <f t="shared" si="12"/>
        <v>2135.04</v>
      </c>
      <c r="W128" s="4">
        <f>'Salaries &amp; Fees Split'!E48</f>
        <v>2198.4</v>
      </c>
      <c r="X128" s="4">
        <v>1601.28</v>
      </c>
      <c r="Y128" s="4">
        <v>133.12</v>
      </c>
    </row>
    <row r="129" spans="2:25" x14ac:dyDescent="0.3">
      <c r="B129" s="1" t="s">
        <v>128</v>
      </c>
      <c r="C129" s="2" t="s">
        <v>287</v>
      </c>
      <c r="E129" s="4">
        <v>0</v>
      </c>
      <c r="F129" s="4">
        <v>116.12</v>
      </c>
      <c r="S129" s="4">
        <f t="shared" si="21"/>
        <v>0</v>
      </c>
      <c r="T129" s="4">
        <f t="shared" si="22"/>
        <v>78.3</v>
      </c>
      <c r="U129" s="4">
        <f t="shared" si="11"/>
        <v>78.3</v>
      </c>
      <c r="V129" s="4">
        <f t="shared" si="12"/>
        <v>104.39999999999999</v>
      </c>
      <c r="W129" s="4">
        <f>'Salaries &amp; Fees Split'!E49</f>
        <v>132.82</v>
      </c>
      <c r="X129" s="4">
        <v>78.3</v>
      </c>
      <c r="Y129" s="4">
        <v>37.82</v>
      </c>
    </row>
    <row r="130" spans="2:25" x14ac:dyDescent="0.3">
      <c r="B130" s="1" t="s">
        <v>129</v>
      </c>
      <c r="C130" s="2" t="s">
        <v>288</v>
      </c>
      <c r="E130" s="4">
        <v>0</v>
      </c>
      <c r="F130" s="4">
        <v>50</v>
      </c>
      <c r="G130" s="4">
        <v>50</v>
      </c>
      <c r="S130" s="4">
        <f t="shared" si="21"/>
        <v>50</v>
      </c>
      <c r="U130" s="4">
        <f t="shared" si="11"/>
        <v>50</v>
      </c>
      <c r="V130" s="4">
        <f t="shared" si="12"/>
        <v>66.666666666666657</v>
      </c>
      <c r="W130" s="4">
        <v>100</v>
      </c>
      <c r="X130" s="4">
        <v>0</v>
      </c>
      <c r="Y130" s="4">
        <v>50</v>
      </c>
    </row>
    <row r="131" spans="2:25" x14ac:dyDescent="0.3">
      <c r="B131" s="1" t="s">
        <v>130</v>
      </c>
      <c r="C131" s="2" t="s">
        <v>303</v>
      </c>
      <c r="E131" s="4">
        <v>0</v>
      </c>
      <c r="F131" s="4">
        <v>0</v>
      </c>
      <c r="S131" s="4">
        <f t="shared" si="21"/>
        <v>0</v>
      </c>
      <c r="U131" s="4">
        <f t="shared" si="11"/>
        <v>0</v>
      </c>
      <c r="V131" s="4">
        <f t="shared" si="12"/>
        <v>0</v>
      </c>
      <c r="X131" s="4">
        <v>0</v>
      </c>
      <c r="Y131" s="4">
        <v>0</v>
      </c>
    </row>
    <row r="132" spans="2:25" x14ac:dyDescent="0.3">
      <c r="B132" s="1" t="s">
        <v>131</v>
      </c>
      <c r="C132" s="2" t="s">
        <v>301</v>
      </c>
      <c r="E132" s="4">
        <v>0</v>
      </c>
      <c r="F132" s="4">
        <v>960</v>
      </c>
      <c r="H132" s="4">
        <v>55.01</v>
      </c>
      <c r="I132" s="4">
        <v>51.98</v>
      </c>
      <c r="J132" s="4">
        <f>48.655</f>
        <v>48.655000000000001</v>
      </c>
      <c r="M132" s="4">
        <v>42.14</v>
      </c>
      <c r="S132" s="4">
        <f t="shared" si="21"/>
        <v>197.78499999999997</v>
      </c>
      <c r="U132" s="4">
        <f t="shared" si="11"/>
        <v>197.78499999999997</v>
      </c>
      <c r="V132" s="4">
        <f t="shared" si="12"/>
        <v>263.71333333333331</v>
      </c>
      <c r="W132" s="4">
        <v>1000</v>
      </c>
      <c r="X132" s="4">
        <v>0</v>
      </c>
      <c r="Y132" s="4">
        <v>960</v>
      </c>
    </row>
    <row r="133" spans="2:25" hidden="1" x14ac:dyDescent="0.3">
      <c r="B133" s="1" t="s">
        <v>132</v>
      </c>
      <c r="C133" s="2" t="s">
        <v>321</v>
      </c>
      <c r="E133" s="4">
        <v>0</v>
      </c>
      <c r="F133" s="4">
        <v>0</v>
      </c>
      <c r="S133" s="4">
        <f t="shared" si="21"/>
        <v>0</v>
      </c>
      <c r="U133" s="4">
        <f t="shared" si="11"/>
        <v>0</v>
      </c>
      <c r="V133" s="4">
        <f t="shared" si="12"/>
        <v>0</v>
      </c>
      <c r="X133" s="4">
        <v>0</v>
      </c>
      <c r="Y133" s="4">
        <v>0</v>
      </c>
    </row>
    <row r="134" spans="2:25" hidden="1" x14ac:dyDescent="0.3">
      <c r="B134" s="1" t="s">
        <v>133</v>
      </c>
      <c r="C134" s="2" t="s">
        <v>320</v>
      </c>
      <c r="E134" s="4">
        <v>0</v>
      </c>
      <c r="F134" s="4">
        <v>0</v>
      </c>
      <c r="S134" s="4">
        <f t="shared" si="21"/>
        <v>0</v>
      </c>
      <c r="U134" s="4">
        <f t="shared" si="11"/>
        <v>0</v>
      </c>
      <c r="V134" s="4">
        <f t="shared" si="12"/>
        <v>0</v>
      </c>
      <c r="X134" s="4">
        <v>0</v>
      </c>
      <c r="Y134" s="4">
        <v>0</v>
      </c>
    </row>
    <row r="135" spans="2:25" hidden="1" x14ac:dyDescent="0.3">
      <c r="B135" s="1" t="s">
        <v>134</v>
      </c>
      <c r="C135" s="2" t="s">
        <v>291</v>
      </c>
      <c r="E135" s="4">
        <v>0</v>
      </c>
      <c r="F135" s="4">
        <v>0</v>
      </c>
      <c r="S135" s="4">
        <f t="shared" si="21"/>
        <v>0</v>
      </c>
      <c r="U135" s="4">
        <f t="shared" si="11"/>
        <v>0</v>
      </c>
      <c r="V135" s="4">
        <f t="shared" si="12"/>
        <v>0</v>
      </c>
      <c r="X135" s="4">
        <v>0</v>
      </c>
      <c r="Y135" s="4">
        <v>0</v>
      </c>
    </row>
    <row r="136" spans="2:25" hidden="1" x14ac:dyDescent="0.3">
      <c r="B136" s="1" t="s">
        <v>135</v>
      </c>
      <c r="C136" s="2" t="s">
        <v>313</v>
      </c>
      <c r="E136" s="4">
        <v>0</v>
      </c>
      <c r="F136" s="4">
        <v>0</v>
      </c>
      <c r="S136" s="4">
        <f t="shared" si="21"/>
        <v>0</v>
      </c>
      <c r="U136" s="4">
        <f t="shared" si="11"/>
        <v>0</v>
      </c>
      <c r="V136" s="4">
        <f t="shared" si="12"/>
        <v>0</v>
      </c>
      <c r="X136" s="4">
        <v>0</v>
      </c>
      <c r="Y136" s="4">
        <v>0</v>
      </c>
    </row>
    <row r="137" spans="2:25" hidden="1" x14ac:dyDescent="0.3">
      <c r="B137" s="1" t="s">
        <v>136</v>
      </c>
      <c r="C137" s="2" t="s">
        <v>324</v>
      </c>
      <c r="E137" s="4">
        <v>0</v>
      </c>
      <c r="F137" s="4">
        <v>0</v>
      </c>
      <c r="S137" s="4">
        <f t="shared" si="21"/>
        <v>0</v>
      </c>
      <c r="U137" s="4">
        <f t="shared" si="11"/>
        <v>0</v>
      </c>
      <c r="V137" s="4">
        <f t="shared" si="12"/>
        <v>0</v>
      </c>
      <c r="X137" s="4">
        <v>0</v>
      </c>
      <c r="Y137" s="4">
        <v>0</v>
      </c>
    </row>
    <row r="138" spans="2:25" hidden="1" x14ac:dyDescent="0.3">
      <c r="B138" s="1" t="s">
        <v>137</v>
      </c>
      <c r="C138" s="2" t="s">
        <v>293</v>
      </c>
      <c r="E138" s="4">
        <v>0</v>
      </c>
      <c r="F138" s="4">
        <v>0</v>
      </c>
      <c r="S138" s="4">
        <f t="shared" si="21"/>
        <v>0</v>
      </c>
      <c r="U138" s="4">
        <f t="shared" si="11"/>
        <v>0</v>
      </c>
      <c r="V138" s="4">
        <f t="shared" si="12"/>
        <v>0</v>
      </c>
      <c r="X138" s="4">
        <v>0</v>
      </c>
      <c r="Y138" s="4">
        <v>0</v>
      </c>
    </row>
    <row r="139" spans="2:25" x14ac:dyDescent="0.3">
      <c r="B139" s="1" t="s">
        <v>138</v>
      </c>
      <c r="C139" s="2" t="s">
        <v>296</v>
      </c>
      <c r="E139" s="4">
        <v>416</v>
      </c>
      <c r="F139" s="17">
        <v>5000</v>
      </c>
      <c r="H139" s="4">
        <v>1278</v>
      </c>
      <c r="N139" s="4">
        <v>1512</v>
      </c>
      <c r="P139" s="4">
        <v>3770.1</v>
      </c>
      <c r="S139" s="4">
        <f t="shared" si="21"/>
        <v>2790</v>
      </c>
      <c r="U139" s="4">
        <f t="shared" ref="U139:U202" si="23">S139+T139</f>
        <v>2790</v>
      </c>
      <c r="V139" s="4">
        <f t="shared" ref="V139:V202" si="24">(U139/9)*12</f>
        <v>3720</v>
      </c>
      <c r="W139" s="4">
        <v>5000</v>
      </c>
      <c r="X139" s="4">
        <v>0</v>
      </c>
      <c r="Y139" s="4">
        <v>5000</v>
      </c>
    </row>
    <row r="140" spans="2:25" x14ac:dyDescent="0.3">
      <c r="B140" s="1" t="s">
        <v>139</v>
      </c>
      <c r="C140" s="2" t="s">
        <v>298</v>
      </c>
      <c r="E140" s="4">
        <v>662.61</v>
      </c>
      <c r="F140" s="4">
        <v>7000</v>
      </c>
      <c r="K140" s="4">
        <v>791.04</v>
      </c>
      <c r="L140" s="4">
        <f>236+600+354.91</f>
        <v>1190.9100000000001</v>
      </c>
      <c r="M140" s="4">
        <f>1749.48+261.11</f>
        <v>2010.5900000000001</v>
      </c>
      <c r="N140" s="4">
        <v>214.5</v>
      </c>
      <c r="S140" s="4">
        <f t="shared" si="21"/>
        <v>4207.04</v>
      </c>
      <c r="T140" s="4">
        <f t="shared" ref="T140" si="25">X140</f>
        <v>789.21</v>
      </c>
      <c r="U140" s="4">
        <f t="shared" si="23"/>
        <v>4996.25</v>
      </c>
      <c r="V140" s="4">
        <f t="shared" si="24"/>
        <v>6661.666666666667</v>
      </c>
      <c r="W140" s="4">
        <v>7000</v>
      </c>
      <c r="X140" s="4">
        <v>789.21</v>
      </c>
      <c r="Y140" s="4">
        <v>5379.67</v>
      </c>
    </row>
    <row r="141" spans="2:25" x14ac:dyDescent="0.3">
      <c r="B141" s="1" t="s">
        <v>140</v>
      </c>
      <c r="C141" s="2" t="s">
        <v>334</v>
      </c>
      <c r="E141" s="4">
        <v>0</v>
      </c>
      <c r="F141" s="4">
        <v>2770.1</v>
      </c>
      <c r="M141" s="4">
        <v>58</v>
      </c>
      <c r="S141" s="4">
        <f t="shared" si="21"/>
        <v>58</v>
      </c>
      <c r="U141" s="4">
        <f t="shared" si="23"/>
        <v>58</v>
      </c>
      <c r="V141" s="4">
        <f t="shared" si="24"/>
        <v>77.333333333333343</v>
      </c>
      <c r="W141" s="4">
        <v>3000</v>
      </c>
      <c r="X141" s="4">
        <v>0</v>
      </c>
      <c r="Y141" s="4">
        <v>2770.1</v>
      </c>
    </row>
    <row r="142" spans="2:25" x14ac:dyDescent="0.3">
      <c r="B142" s="1" t="s">
        <v>141</v>
      </c>
      <c r="C142" s="2" t="s">
        <v>299</v>
      </c>
      <c r="E142" s="4">
        <v>0</v>
      </c>
      <c r="F142" s="4">
        <v>0</v>
      </c>
      <c r="S142" s="4">
        <f t="shared" si="21"/>
        <v>0</v>
      </c>
      <c r="U142" s="4">
        <f t="shared" si="23"/>
        <v>0</v>
      </c>
      <c r="V142" s="4">
        <f t="shared" si="24"/>
        <v>0</v>
      </c>
      <c r="X142" s="4">
        <v>0</v>
      </c>
      <c r="Y142" s="4">
        <v>0</v>
      </c>
    </row>
    <row r="143" spans="2:25" x14ac:dyDescent="0.3">
      <c r="B143" s="1" t="s">
        <v>142</v>
      </c>
      <c r="C143" s="2" t="s">
        <v>300</v>
      </c>
      <c r="E143" s="4">
        <v>0</v>
      </c>
      <c r="F143" s="4">
        <v>0</v>
      </c>
      <c r="S143" s="4">
        <f t="shared" si="21"/>
        <v>0</v>
      </c>
      <c r="U143" s="4">
        <f t="shared" si="23"/>
        <v>0</v>
      </c>
      <c r="V143" s="4">
        <f t="shared" si="24"/>
        <v>0</v>
      </c>
      <c r="X143" s="4">
        <v>0</v>
      </c>
      <c r="Y143" s="4">
        <v>0</v>
      </c>
    </row>
    <row r="144" spans="2:25" x14ac:dyDescent="0.3">
      <c r="B144" s="1" t="s">
        <v>143</v>
      </c>
      <c r="C144" s="2" t="s">
        <v>291</v>
      </c>
      <c r="E144" s="4">
        <v>0</v>
      </c>
      <c r="F144" s="4">
        <v>0</v>
      </c>
      <c r="S144" s="4">
        <f t="shared" si="21"/>
        <v>0</v>
      </c>
      <c r="U144" s="4">
        <f t="shared" si="23"/>
        <v>0</v>
      </c>
      <c r="V144" s="4">
        <f t="shared" si="24"/>
        <v>0</v>
      </c>
      <c r="X144" s="4">
        <v>0</v>
      </c>
      <c r="Y144" s="4">
        <v>0</v>
      </c>
    </row>
    <row r="145" spans="1:28" x14ac:dyDescent="0.3">
      <c r="B145" s="1" t="s">
        <v>144</v>
      </c>
      <c r="C145" s="2" t="s">
        <v>328</v>
      </c>
      <c r="E145" s="4">
        <v>0</v>
      </c>
      <c r="F145" s="4">
        <v>13700</v>
      </c>
      <c r="S145" s="4">
        <f t="shared" si="21"/>
        <v>0</v>
      </c>
      <c r="U145" s="4">
        <f t="shared" si="23"/>
        <v>0</v>
      </c>
      <c r="V145" s="4">
        <f t="shared" si="24"/>
        <v>0</v>
      </c>
      <c r="W145" s="4">
        <v>13982</v>
      </c>
      <c r="X145" s="4">
        <v>0</v>
      </c>
      <c r="Y145" s="4">
        <v>13700</v>
      </c>
      <c r="AA145" s="17">
        <v>13982</v>
      </c>
      <c r="AB145" s="46" t="s">
        <v>434</v>
      </c>
    </row>
    <row r="146" spans="1:28" x14ac:dyDescent="0.3">
      <c r="B146" s="1" t="s">
        <v>145</v>
      </c>
      <c r="C146" s="2" t="s">
        <v>329</v>
      </c>
      <c r="E146" s="4">
        <v>0</v>
      </c>
      <c r="F146" s="4">
        <v>1841</v>
      </c>
      <c r="S146" s="4">
        <f t="shared" si="21"/>
        <v>0</v>
      </c>
      <c r="U146" s="4">
        <f t="shared" si="23"/>
        <v>0</v>
      </c>
      <c r="V146" s="4">
        <f t="shared" si="24"/>
        <v>0</v>
      </c>
      <c r="W146" s="4">
        <v>1559</v>
      </c>
      <c r="X146" s="4">
        <v>0</v>
      </c>
      <c r="Y146" s="4">
        <v>1841</v>
      </c>
      <c r="AA146" s="17">
        <v>1559</v>
      </c>
      <c r="AB146" s="46" t="s">
        <v>434</v>
      </c>
    </row>
    <row r="147" spans="1:28" x14ac:dyDescent="0.3">
      <c r="B147" s="1" t="s">
        <v>146</v>
      </c>
      <c r="C147" s="2" t="s">
        <v>331</v>
      </c>
      <c r="E147" s="4">
        <v>0</v>
      </c>
      <c r="F147" s="4">
        <v>0</v>
      </c>
      <c r="S147" s="4">
        <f t="shared" si="21"/>
        <v>0</v>
      </c>
      <c r="U147" s="4">
        <f t="shared" si="23"/>
        <v>0</v>
      </c>
      <c r="V147" s="4">
        <f t="shared" si="24"/>
        <v>0</v>
      </c>
      <c r="W147" s="4">
        <v>0</v>
      </c>
      <c r="X147" s="4">
        <v>0</v>
      </c>
      <c r="Y147" s="4">
        <v>0</v>
      </c>
      <c r="Z147" s="37">
        <f>SUM(W127:W147)</f>
        <v>43132.22</v>
      </c>
      <c r="AA147" s="46" t="s">
        <v>431</v>
      </c>
    </row>
    <row r="150" spans="1:28" x14ac:dyDescent="0.3">
      <c r="B150" s="1" t="s">
        <v>147</v>
      </c>
      <c r="C150" s="2" t="s">
        <v>298</v>
      </c>
      <c r="E150" s="4">
        <v>0</v>
      </c>
      <c r="F150" s="4">
        <v>0</v>
      </c>
      <c r="S150" s="4">
        <f>SUM(G150:O150)</f>
        <v>0</v>
      </c>
      <c r="U150" s="4">
        <f t="shared" si="23"/>
        <v>0</v>
      </c>
      <c r="V150" s="4">
        <f t="shared" si="24"/>
        <v>0</v>
      </c>
      <c r="W150" s="4">
        <v>0</v>
      </c>
      <c r="X150" s="4">
        <v>0</v>
      </c>
      <c r="Y150" s="4">
        <v>0</v>
      </c>
    </row>
    <row r="151" spans="1:28" x14ac:dyDescent="0.3">
      <c r="B151" s="1" t="s">
        <v>148</v>
      </c>
      <c r="C151" s="2" t="s">
        <v>301</v>
      </c>
      <c r="E151" s="4">
        <v>0</v>
      </c>
      <c r="F151" s="4">
        <v>0</v>
      </c>
      <c r="S151" s="4">
        <f>SUM(G151:O151)</f>
        <v>0</v>
      </c>
      <c r="U151" s="4">
        <f t="shared" si="23"/>
        <v>0</v>
      </c>
      <c r="V151" s="4">
        <f t="shared" si="24"/>
        <v>0</v>
      </c>
      <c r="W151" s="4">
        <v>0</v>
      </c>
      <c r="X151" s="4">
        <v>0</v>
      </c>
      <c r="Y151" s="4">
        <v>0</v>
      </c>
    </row>
    <row r="152" spans="1:28" x14ac:dyDescent="0.3">
      <c r="B152" s="1" t="s">
        <v>149</v>
      </c>
      <c r="C152" s="2" t="s">
        <v>296</v>
      </c>
      <c r="E152" s="4">
        <v>0</v>
      </c>
      <c r="F152" s="4">
        <v>6000</v>
      </c>
      <c r="P152" s="4">
        <v>6000</v>
      </c>
      <c r="S152" s="4">
        <f>SUM(G152:O152)</f>
        <v>0</v>
      </c>
      <c r="U152" s="4">
        <f t="shared" si="23"/>
        <v>0</v>
      </c>
      <c r="V152" s="4">
        <f t="shared" si="24"/>
        <v>0</v>
      </c>
      <c r="W152" s="4">
        <v>0</v>
      </c>
      <c r="X152" s="4">
        <v>0</v>
      </c>
      <c r="Y152" s="4">
        <v>6000</v>
      </c>
    </row>
    <row r="153" spans="1:28" x14ac:dyDescent="0.3">
      <c r="B153" s="1" t="s">
        <v>150</v>
      </c>
      <c r="C153" s="2" t="s">
        <v>331</v>
      </c>
      <c r="E153" s="4">
        <v>0</v>
      </c>
      <c r="F153" s="4">
        <v>0</v>
      </c>
      <c r="S153" s="4">
        <f>SUM(G153:O153)</f>
        <v>0</v>
      </c>
      <c r="U153" s="4">
        <f t="shared" si="23"/>
        <v>0</v>
      </c>
      <c r="V153" s="4">
        <f t="shared" si="24"/>
        <v>0</v>
      </c>
      <c r="W153" s="4">
        <v>0</v>
      </c>
      <c r="X153" s="4">
        <v>0</v>
      </c>
      <c r="Y153" s="4">
        <v>0</v>
      </c>
    </row>
    <row r="156" spans="1:28" x14ac:dyDescent="0.3">
      <c r="A156" s="16" t="s">
        <v>370</v>
      </c>
      <c r="B156" s="1" t="s">
        <v>151</v>
      </c>
      <c r="C156" s="2" t="s">
        <v>306</v>
      </c>
      <c r="E156" s="4">
        <v>0</v>
      </c>
      <c r="F156" s="4">
        <v>0</v>
      </c>
      <c r="S156" s="4">
        <f t="shared" ref="S156:S172" si="26">SUM(G156:O156)</f>
        <v>0</v>
      </c>
      <c r="U156" s="4">
        <f t="shared" si="23"/>
        <v>0</v>
      </c>
      <c r="V156" s="4">
        <f t="shared" si="24"/>
        <v>0</v>
      </c>
      <c r="X156" s="4">
        <v>0</v>
      </c>
      <c r="Y156" s="4">
        <v>0</v>
      </c>
    </row>
    <row r="157" spans="1:28" x14ac:dyDescent="0.3">
      <c r="A157" s="16" t="s">
        <v>370</v>
      </c>
      <c r="B157" s="1" t="s">
        <v>152</v>
      </c>
      <c r="C157" s="2" t="s">
        <v>285</v>
      </c>
      <c r="E157" s="4">
        <v>0</v>
      </c>
      <c r="F157" s="4">
        <v>0</v>
      </c>
      <c r="S157" s="4">
        <f t="shared" si="26"/>
        <v>0</v>
      </c>
      <c r="U157" s="4">
        <f t="shared" si="23"/>
        <v>0</v>
      </c>
      <c r="V157" s="4">
        <f t="shared" si="24"/>
        <v>0</v>
      </c>
      <c r="W157" s="4">
        <f>'Salaries &amp; Fees Split'!E52</f>
        <v>5760</v>
      </c>
      <c r="X157" s="4">
        <v>0</v>
      </c>
      <c r="Y157" s="4">
        <v>0</v>
      </c>
    </row>
    <row r="158" spans="1:28" x14ac:dyDescent="0.3">
      <c r="A158" s="16" t="s">
        <v>370</v>
      </c>
      <c r="B158" s="1" t="s">
        <v>153</v>
      </c>
      <c r="C158" s="2" t="s">
        <v>286</v>
      </c>
      <c r="E158" s="4">
        <v>0</v>
      </c>
      <c r="F158" s="4">
        <v>0</v>
      </c>
      <c r="S158" s="4">
        <f t="shared" si="26"/>
        <v>0</v>
      </c>
      <c r="U158" s="4">
        <f t="shared" si="23"/>
        <v>0</v>
      </c>
      <c r="V158" s="4">
        <f t="shared" si="24"/>
        <v>0</v>
      </c>
      <c r="W158" s="4">
        <f>'Salaries &amp; Fees Split'!E53</f>
        <v>1382.3999999999999</v>
      </c>
      <c r="X158" s="4">
        <v>0</v>
      </c>
      <c r="Y158" s="4">
        <v>0</v>
      </c>
    </row>
    <row r="159" spans="1:28" x14ac:dyDescent="0.3">
      <c r="A159" s="16" t="s">
        <v>370</v>
      </c>
      <c r="B159" s="1" t="s">
        <v>154</v>
      </c>
      <c r="C159" s="2" t="s">
        <v>287</v>
      </c>
      <c r="E159" s="4">
        <v>0</v>
      </c>
      <c r="F159" s="4">
        <v>0</v>
      </c>
      <c r="S159" s="4">
        <f t="shared" si="26"/>
        <v>0</v>
      </c>
      <c r="U159" s="4">
        <f t="shared" si="23"/>
        <v>0</v>
      </c>
      <c r="V159" s="4">
        <f t="shared" si="24"/>
        <v>0</v>
      </c>
      <c r="W159" s="4">
        <f>'Salaries &amp; Fees Split'!E54</f>
        <v>83.52</v>
      </c>
      <c r="X159" s="4">
        <v>0</v>
      </c>
      <c r="Y159" s="4">
        <v>0</v>
      </c>
    </row>
    <row r="160" spans="1:28" x14ac:dyDescent="0.3">
      <c r="A160" s="16" t="s">
        <v>370</v>
      </c>
      <c r="B160" s="1" t="s">
        <v>155</v>
      </c>
      <c r="C160" s="2" t="s">
        <v>288</v>
      </c>
      <c r="E160" s="4">
        <v>0</v>
      </c>
      <c r="F160" s="4">
        <v>0</v>
      </c>
      <c r="S160" s="4">
        <f t="shared" si="26"/>
        <v>0</v>
      </c>
      <c r="U160" s="4">
        <f t="shared" si="23"/>
        <v>0</v>
      </c>
      <c r="V160" s="4">
        <f t="shared" si="24"/>
        <v>0</v>
      </c>
      <c r="X160" s="4">
        <v>0</v>
      </c>
      <c r="Y160" s="4">
        <v>0</v>
      </c>
    </row>
    <row r="161" spans="1:26" x14ac:dyDescent="0.3">
      <c r="A161" s="16" t="s">
        <v>370</v>
      </c>
      <c r="B161" s="1" t="s">
        <v>156</v>
      </c>
      <c r="C161" s="2" t="s">
        <v>301</v>
      </c>
      <c r="E161" s="4">
        <v>0</v>
      </c>
      <c r="F161" s="4">
        <v>0</v>
      </c>
      <c r="S161" s="4">
        <f t="shared" si="26"/>
        <v>0</v>
      </c>
      <c r="U161" s="4">
        <f t="shared" si="23"/>
        <v>0</v>
      </c>
      <c r="V161" s="4">
        <f t="shared" si="24"/>
        <v>0</v>
      </c>
      <c r="X161" s="4">
        <v>0</v>
      </c>
      <c r="Y161" s="4">
        <v>0</v>
      </c>
    </row>
    <row r="162" spans="1:26" x14ac:dyDescent="0.3">
      <c r="A162" s="16" t="s">
        <v>370</v>
      </c>
      <c r="B162" s="1" t="s">
        <v>157</v>
      </c>
      <c r="C162" s="2" t="s">
        <v>315</v>
      </c>
      <c r="E162" s="4">
        <v>0</v>
      </c>
      <c r="F162" s="4">
        <v>0</v>
      </c>
      <c r="S162" s="4">
        <f t="shared" si="26"/>
        <v>0</v>
      </c>
      <c r="U162" s="4">
        <f t="shared" si="23"/>
        <v>0</v>
      </c>
      <c r="V162" s="4">
        <f t="shared" si="24"/>
        <v>0</v>
      </c>
      <c r="X162" s="4">
        <v>0</v>
      </c>
      <c r="Y162" s="4">
        <v>0</v>
      </c>
    </row>
    <row r="163" spans="1:26" x14ac:dyDescent="0.3">
      <c r="A163" s="16" t="s">
        <v>370</v>
      </c>
      <c r="B163" s="1" t="s">
        <v>158</v>
      </c>
      <c r="C163" s="2" t="s">
        <v>293</v>
      </c>
      <c r="E163" s="4">
        <v>0</v>
      </c>
      <c r="F163" s="4">
        <v>200</v>
      </c>
      <c r="S163" s="4">
        <f t="shared" si="26"/>
        <v>0</v>
      </c>
      <c r="U163" s="4">
        <f t="shared" si="23"/>
        <v>0</v>
      </c>
      <c r="V163" s="4">
        <v>200</v>
      </c>
      <c r="X163" s="4">
        <v>0</v>
      </c>
      <c r="Y163" s="4">
        <v>200</v>
      </c>
    </row>
    <row r="164" spans="1:26" x14ac:dyDescent="0.3">
      <c r="A164" s="16" t="s">
        <v>370</v>
      </c>
      <c r="B164" s="1" t="s">
        <v>159</v>
      </c>
      <c r="C164" s="2" t="s">
        <v>326</v>
      </c>
      <c r="E164" s="4">
        <v>0</v>
      </c>
      <c r="F164" s="4">
        <v>8936.7800000000007</v>
      </c>
      <c r="S164" s="4">
        <f t="shared" si="26"/>
        <v>0</v>
      </c>
      <c r="T164" s="4">
        <f t="shared" ref="T164:T165" si="27">X164</f>
        <v>8936.7800000000007</v>
      </c>
      <c r="U164" s="4">
        <f t="shared" si="23"/>
        <v>8936.7800000000007</v>
      </c>
      <c r="V164" s="4">
        <f t="shared" si="24"/>
        <v>11915.706666666667</v>
      </c>
      <c r="X164" s="4">
        <v>8936.7800000000007</v>
      </c>
      <c r="Y164" s="4">
        <v>0</v>
      </c>
    </row>
    <row r="165" spans="1:26" x14ac:dyDescent="0.3">
      <c r="A165" s="16" t="s">
        <v>370</v>
      </c>
      <c r="B165" s="1" t="s">
        <v>160</v>
      </c>
      <c r="C165" s="2" t="s">
        <v>335</v>
      </c>
      <c r="E165" s="4">
        <v>0</v>
      </c>
      <c r="F165" s="4">
        <v>4000</v>
      </c>
      <c r="S165" s="4">
        <f t="shared" si="26"/>
        <v>0</v>
      </c>
      <c r="T165" s="4">
        <f t="shared" si="27"/>
        <v>294.17</v>
      </c>
      <c r="U165" s="4">
        <f t="shared" si="23"/>
        <v>294.17</v>
      </c>
      <c r="V165" s="4">
        <f t="shared" si="24"/>
        <v>392.22666666666669</v>
      </c>
      <c r="X165" s="4">
        <v>294.17</v>
      </c>
      <c r="Y165" s="4">
        <v>3705.83</v>
      </c>
    </row>
    <row r="166" spans="1:26" x14ac:dyDescent="0.3">
      <c r="A166" s="16" t="s">
        <v>370</v>
      </c>
      <c r="B166" s="1" t="s">
        <v>161</v>
      </c>
      <c r="C166" s="2" t="s">
        <v>336</v>
      </c>
      <c r="E166" s="4">
        <v>0</v>
      </c>
      <c r="F166" s="4">
        <v>0</v>
      </c>
      <c r="S166" s="4">
        <f t="shared" si="26"/>
        <v>0</v>
      </c>
      <c r="U166" s="4">
        <f t="shared" si="23"/>
        <v>0</v>
      </c>
      <c r="V166" s="4">
        <f t="shared" si="24"/>
        <v>0</v>
      </c>
      <c r="X166" s="4">
        <v>0</v>
      </c>
      <c r="Y166" s="4">
        <v>0</v>
      </c>
    </row>
    <row r="167" spans="1:26" x14ac:dyDescent="0.3">
      <c r="A167" s="16" t="s">
        <v>370</v>
      </c>
      <c r="B167" s="1" t="s">
        <v>162</v>
      </c>
      <c r="C167" s="2" t="s">
        <v>298</v>
      </c>
      <c r="E167" s="4">
        <v>0</v>
      </c>
      <c r="F167" s="4">
        <v>5700</v>
      </c>
      <c r="S167" s="4">
        <f t="shared" si="26"/>
        <v>0</v>
      </c>
      <c r="T167" s="4">
        <f t="shared" ref="T167" si="28">X167</f>
        <v>234.86</v>
      </c>
      <c r="U167" s="4">
        <f t="shared" si="23"/>
        <v>234.86</v>
      </c>
      <c r="V167" s="4">
        <f t="shared" si="24"/>
        <v>313.14666666666665</v>
      </c>
      <c r="W167" s="4">
        <f>750</f>
        <v>750</v>
      </c>
      <c r="X167" s="4">
        <v>234.86</v>
      </c>
      <c r="Y167" s="4">
        <v>5465.14</v>
      </c>
      <c r="Z167" t="s">
        <v>414</v>
      </c>
    </row>
    <row r="168" spans="1:26" x14ac:dyDescent="0.3">
      <c r="A168" s="16" t="s">
        <v>370</v>
      </c>
      <c r="B168" s="1" t="s">
        <v>163</v>
      </c>
      <c r="C168" s="2" t="s">
        <v>337</v>
      </c>
      <c r="E168" s="4">
        <v>0</v>
      </c>
      <c r="F168" s="4">
        <v>0</v>
      </c>
      <c r="S168" s="4">
        <f t="shared" si="26"/>
        <v>0</v>
      </c>
      <c r="U168" s="4">
        <f t="shared" si="23"/>
        <v>0</v>
      </c>
      <c r="V168" s="4">
        <f t="shared" si="24"/>
        <v>0</v>
      </c>
      <c r="X168" s="4">
        <v>0</v>
      </c>
      <c r="Y168" s="4">
        <v>0</v>
      </c>
    </row>
    <row r="169" spans="1:26" x14ac:dyDescent="0.3">
      <c r="A169" s="16" t="s">
        <v>370</v>
      </c>
      <c r="B169" s="1" t="s">
        <v>164</v>
      </c>
      <c r="C169" s="2" t="s">
        <v>300</v>
      </c>
      <c r="E169" s="4">
        <v>0</v>
      </c>
      <c r="F169" s="4">
        <v>0</v>
      </c>
      <c r="S169" s="4">
        <f t="shared" si="26"/>
        <v>0</v>
      </c>
      <c r="U169" s="4">
        <f t="shared" si="23"/>
        <v>0</v>
      </c>
      <c r="V169" s="4">
        <f t="shared" si="24"/>
        <v>0</v>
      </c>
      <c r="X169" s="4">
        <v>0</v>
      </c>
      <c r="Y169" s="4">
        <v>0</v>
      </c>
    </row>
    <row r="170" spans="1:26" x14ac:dyDescent="0.3">
      <c r="A170" s="16" t="s">
        <v>370</v>
      </c>
      <c r="B170" s="1" t="s">
        <v>165</v>
      </c>
      <c r="C170" s="2" t="s">
        <v>314</v>
      </c>
      <c r="E170" s="4">
        <v>0</v>
      </c>
      <c r="F170" s="4">
        <v>0</v>
      </c>
      <c r="S170" s="4">
        <f t="shared" si="26"/>
        <v>0</v>
      </c>
      <c r="U170" s="4">
        <f t="shared" si="23"/>
        <v>0</v>
      </c>
      <c r="V170" s="4">
        <f t="shared" si="24"/>
        <v>0</v>
      </c>
      <c r="X170" s="4">
        <v>0</v>
      </c>
      <c r="Y170" s="4">
        <v>0</v>
      </c>
    </row>
    <row r="171" spans="1:26" x14ac:dyDescent="0.3">
      <c r="A171" s="16" t="s">
        <v>370</v>
      </c>
      <c r="B171" s="1" t="s">
        <v>166</v>
      </c>
      <c r="C171" s="2" t="s">
        <v>338</v>
      </c>
      <c r="E171" s="4">
        <v>0</v>
      </c>
      <c r="F171" s="4">
        <v>1000</v>
      </c>
      <c r="S171" s="4">
        <f t="shared" si="26"/>
        <v>0</v>
      </c>
      <c r="U171" s="4">
        <f t="shared" si="23"/>
        <v>0</v>
      </c>
      <c r="V171" s="4">
        <f t="shared" si="24"/>
        <v>0</v>
      </c>
      <c r="X171" s="4">
        <v>0</v>
      </c>
      <c r="Y171" s="4">
        <v>1000</v>
      </c>
    </row>
    <row r="172" spans="1:26" x14ac:dyDescent="0.3">
      <c r="A172" s="16" t="s">
        <v>370</v>
      </c>
      <c r="B172" s="1" t="s">
        <v>167</v>
      </c>
      <c r="C172" s="2" t="s">
        <v>331</v>
      </c>
      <c r="E172" s="4">
        <v>0</v>
      </c>
      <c r="F172" s="4">
        <v>1500</v>
      </c>
      <c r="S172" s="4">
        <f t="shared" si="26"/>
        <v>0</v>
      </c>
      <c r="U172" s="4">
        <f t="shared" si="23"/>
        <v>0</v>
      </c>
      <c r="V172" s="4">
        <f t="shared" si="24"/>
        <v>0</v>
      </c>
      <c r="X172" s="4">
        <v>0</v>
      </c>
      <c r="Y172" s="4">
        <v>1500</v>
      </c>
      <c r="Z172" s="37">
        <f>SUM(W157:W172)</f>
        <v>7975.92</v>
      </c>
    </row>
    <row r="175" spans="1:26" x14ac:dyDescent="0.3">
      <c r="B175" s="1" t="s">
        <v>168</v>
      </c>
      <c r="C175" s="2" t="s">
        <v>298</v>
      </c>
      <c r="E175" s="4">
        <v>0</v>
      </c>
      <c r="F175" s="4">
        <v>0</v>
      </c>
      <c r="S175" s="4">
        <f>SUM(G175:O175)</f>
        <v>0</v>
      </c>
      <c r="U175" s="4">
        <f t="shared" si="23"/>
        <v>0</v>
      </c>
      <c r="V175" s="4">
        <f t="shared" si="24"/>
        <v>0</v>
      </c>
      <c r="W175" s="4">
        <v>0</v>
      </c>
      <c r="X175" s="4">
        <v>0</v>
      </c>
      <c r="Y175" s="4">
        <v>0</v>
      </c>
    </row>
    <row r="176" spans="1:26" x14ac:dyDescent="0.3">
      <c r="B176" s="1" t="s">
        <v>169</v>
      </c>
      <c r="C176" s="2" t="s">
        <v>334</v>
      </c>
      <c r="E176" s="4">
        <v>0</v>
      </c>
      <c r="F176" s="4">
        <v>56888.37</v>
      </c>
      <c r="J176" s="4">
        <v>53928</v>
      </c>
      <c r="S176" s="4">
        <f>SUM(G176:O176)</f>
        <v>53928</v>
      </c>
      <c r="U176" s="4">
        <f t="shared" si="23"/>
        <v>53928</v>
      </c>
      <c r="V176" s="4">
        <v>0</v>
      </c>
      <c r="W176" s="4">
        <v>0</v>
      </c>
      <c r="X176" s="4">
        <v>0</v>
      </c>
      <c r="Y176" s="4">
        <v>2960.37</v>
      </c>
    </row>
    <row r="177" spans="1:27" x14ac:dyDescent="0.3">
      <c r="B177" s="1" t="s">
        <v>170</v>
      </c>
      <c r="C177" s="2" t="s">
        <v>339</v>
      </c>
      <c r="E177" s="4">
        <v>0</v>
      </c>
      <c r="F177" s="4">
        <v>0</v>
      </c>
      <c r="S177" s="4">
        <f>SUM(G177:O177)</f>
        <v>0</v>
      </c>
      <c r="U177" s="4">
        <f t="shared" si="23"/>
        <v>0</v>
      </c>
      <c r="V177" s="4">
        <f t="shared" si="24"/>
        <v>0</v>
      </c>
      <c r="W177" s="4">
        <v>0</v>
      </c>
      <c r="X177" s="4">
        <v>0</v>
      </c>
      <c r="Y177" s="4">
        <v>0</v>
      </c>
    </row>
    <row r="180" spans="1:27" hidden="1" x14ac:dyDescent="0.3">
      <c r="B180" s="1" t="s">
        <v>171</v>
      </c>
      <c r="C180" s="2" t="s">
        <v>301</v>
      </c>
      <c r="E180" s="4">
        <v>0</v>
      </c>
      <c r="F180" s="4">
        <v>0</v>
      </c>
      <c r="S180" s="4">
        <f t="shared" ref="S180:S185" si="29">SUM(G180:O180)</f>
        <v>0</v>
      </c>
      <c r="U180" s="4">
        <f t="shared" si="23"/>
        <v>0</v>
      </c>
      <c r="V180" s="4">
        <f t="shared" si="24"/>
        <v>0</v>
      </c>
      <c r="W180" s="4">
        <v>0</v>
      </c>
      <c r="X180" s="4">
        <v>0</v>
      </c>
      <c r="Y180" s="4">
        <v>0</v>
      </c>
    </row>
    <row r="181" spans="1:27" hidden="1" x14ac:dyDescent="0.3">
      <c r="B181" s="1" t="s">
        <v>172</v>
      </c>
      <c r="C181" s="2" t="s">
        <v>298</v>
      </c>
      <c r="E181" s="4">
        <v>0</v>
      </c>
      <c r="F181" s="4">
        <v>0</v>
      </c>
      <c r="S181" s="4">
        <f t="shared" si="29"/>
        <v>0</v>
      </c>
      <c r="U181" s="4">
        <f t="shared" si="23"/>
        <v>0</v>
      </c>
      <c r="V181" s="4">
        <f t="shared" si="24"/>
        <v>0</v>
      </c>
      <c r="W181" s="4">
        <v>0</v>
      </c>
      <c r="X181" s="4">
        <v>0</v>
      </c>
      <c r="Y181" s="4">
        <v>0</v>
      </c>
    </row>
    <row r="182" spans="1:27" x14ac:dyDescent="0.3">
      <c r="B182" s="1" t="s">
        <v>173</v>
      </c>
      <c r="C182" s="2" t="s">
        <v>326</v>
      </c>
      <c r="E182" s="4">
        <v>0</v>
      </c>
      <c r="F182" s="4">
        <v>30229.9</v>
      </c>
      <c r="P182" s="4">
        <v>30229.9</v>
      </c>
      <c r="S182" s="4">
        <f t="shared" si="29"/>
        <v>0</v>
      </c>
      <c r="U182" s="4">
        <f t="shared" si="23"/>
        <v>0</v>
      </c>
      <c r="V182" s="4">
        <f t="shared" si="24"/>
        <v>0</v>
      </c>
      <c r="W182" s="4">
        <v>0</v>
      </c>
      <c r="X182" s="4">
        <v>0</v>
      </c>
      <c r="Y182" s="4">
        <v>30229.9</v>
      </c>
    </row>
    <row r="183" spans="1:27" x14ac:dyDescent="0.3">
      <c r="B183" s="1" t="s">
        <v>174</v>
      </c>
      <c r="C183" s="2" t="s">
        <v>331</v>
      </c>
      <c r="E183" s="4">
        <v>0</v>
      </c>
      <c r="F183" s="4">
        <v>0</v>
      </c>
      <c r="S183" s="4">
        <f t="shared" si="29"/>
        <v>0</v>
      </c>
      <c r="U183" s="4">
        <f t="shared" si="23"/>
        <v>0</v>
      </c>
      <c r="V183" s="4">
        <f t="shared" si="24"/>
        <v>0</v>
      </c>
      <c r="W183" s="4">
        <v>0</v>
      </c>
      <c r="X183" s="4">
        <v>0</v>
      </c>
      <c r="Y183" s="4">
        <v>0</v>
      </c>
    </row>
    <row r="184" spans="1:27" x14ac:dyDescent="0.3">
      <c r="S184" s="4">
        <f t="shared" si="29"/>
        <v>0</v>
      </c>
      <c r="U184" s="4">
        <f t="shared" si="23"/>
        <v>0</v>
      </c>
      <c r="V184" s="4">
        <f t="shared" si="24"/>
        <v>0</v>
      </c>
      <c r="W184" s="4">
        <v>0</v>
      </c>
    </row>
    <row r="185" spans="1:27" x14ac:dyDescent="0.3">
      <c r="B185" s="1" t="s">
        <v>175</v>
      </c>
      <c r="C185" s="2" t="s">
        <v>298</v>
      </c>
      <c r="E185" s="4">
        <v>0</v>
      </c>
      <c r="F185" s="4">
        <v>0</v>
      </c>
      <c r="S185" s="4">
        <f t="shared" si="29"/>
        <v>0</v>
      </c>
      <c r="U185" s="4">
        <f t="shared" si="23"/>
        <v>0</v>
      </c>
      <c r="V185" s="4">
        <f t="shared" si="24"/>
        <v>0</v>
      </c>
      <c r="W185" s="4">
        <v>0</v>
      </c>
      <c r="X185" s="4">
        <v>0</v>
      </c>
      <c r="Y185" s="4">
        <v>0</v>
      </c>
    </row>
    <row r="187" spans="1:27" x14ac:dyDescent="0.3">
      <c r="B187" s="1" t="s">
        <v>176</v>
      </c>
      <c r="C187" s="2" t="s">
        <v>313</v>
      </c>
      <c r="E187" s="4">
        <v>0</v>
      </c>
      <c r="F187" s="4">
        <v>0</v>
      </c>
      <c r="S187" s="4">
        <f>SUM(G187:O187)</f>
        <v>0</v>
      </c>
      <c r="U187" s="4">
        <f t="shared" si="23"/>
        <v>0</v>
      </c>
      <c r="V187" s="4">
        <f t="shared" si="24"/>
        <v>0</v>
      </c>
      <c r="W187" s="4">
        <v>0</v>
      </c>
      <c r="X187" s="4">
        <v>0</v>
      </c>
      <c r="Y187" s="4">
        <v>0</v>
      </c>
    </row>
    <row r="189" spans="1:27" x14ac:dyDescent="0.3">
      <c r="A189" s="15" t="s">
        <v>376</v>
      </c>
      <c r="B189" s="1" t="s">
        <v>177</v>
      </c>
      <c r="C189" s="2" t="s">
        <v>313</v>
      </c>
      <c r="E189" s="4">
        <v>0</v>
      </c>
      <c r="F189" s="4">
        <v>0</v>
      </c>
      <c r="S189" s="4">
        <f t="shared" ref="S189:S203" si="30">SUM(G189:O189)</f>
        <v>0</v>
      </c>
      <c r="U189" s="4">
        <f t="shared" si="23"/>
        <v>0</v>
      </c>
      <c r="V189" s="4">
        <f t="shared" si="24"/>
        <v>0</v>
      </c>
      <c r="X189" s="4">
        <v>0</v>
      </c>
      <c r="Y189" s="4">
        <v>0</v>
      </c>
      <c r="AA189" t="s">
        <v>439</v>
      </c>
    </row>
    <row r="190" spans="1:27" x14ac:dyDescent="0.3">
      <c r="A190" s="15" t="s">
        <v>376</v>
      </c>
      <c r="B190" s="1" t="s">
        <v>178</v>
      </c>
      <c r="C190" s="2" t="s">
        <v>340</v>
      </c>
      <c r="E190" s="4">
        <v>0</v>
      </c>
      <c r="F190" s="4">
        <v>0</v>
      </c>
      <c r="S190" s="4">
        <f t="shared" si="30"/>
        <v>0</v>
      </c>
      <c r="U190" s="4">
        <f t="shared" si="23"/>
        <v>0</v>
      </c>
      <c r="V190" s="4">
        <f t="shared" si="24"/>
        <v>0</v>
      </c>
      <c r="X190" s="4">
        <v>0</v>
      </c>
      <c r="Y190" s="4">
        <v>0</v>
      </c>
    </row>
    <row r="191" spans="1:27" x14ac:dyDescent="0.3">
      <c r="A191" s="15" t="s">
        <v>376</v>
      </c>
      <c r="B191" s="1" t="s">
        <v>179</v>
      </c>
      <c r="C191" s="2" t="s">
        <v>317</v>
      </c>
      <c r="E191" s="4">
        <v>0</v>
      </c>
      <c r="F191" s="4">
        <v>0</v>
      </c>
      <c r="S191" s="4">
        <f t="shared" si="30"/>
        <v>0</v>
      </c>
      <c r="U191" s="4">
        <f t="shared" si="23"/>
        <v>0</v>
      </c>
      <c r="V191" s="4">
        <f t="shared" si="24"/>
        <v>0</v>
      </c>
      <c r="X191" s="4">
        <v>0</v>
      </c>
      <c r="Y191" s="4">
        <v>0</v>
      </c>
    </row>
    <row r="192" spans="1:27" x14ac:dyDescent="0.3">
      <c r="A192" s="15" t="s">
        <v>376</v>
      </c>
      <c r="B192" s="1" t="s">
        <v>180</v>
      </c>
      <c r="C192" s="2" t="s">
        <v>293</v>
      </c>
      <c r="E192" s="4">
        <v>0</v>
      </c>
      <c r="F192" s="4">
        <v>200</v>
      </c>
      <c r="H192" s="4">
        <v>50</v>
      </c>
      <c r="J192" s="21">
        <v>150</v>
      </c>
      <c r="S192" s="4">
        <f t="shared" si="30"/>
        <v>200</v>
      </c>
      <c r="U192" s="4">
        <f t="shared" si="23"/>
        <v>200</v>
      </c>
      <c r="V192" s="4">
        <f t="shared" si="24"/>
        <v>266.66666666666663</v>
      </c>
      <c r="W192" s="4">
        <v>200</v>
      </c>
      <c r="X192" s="4">
        <v>0</v>
      </c>
      <c r="Y192" s="4">
        <v>200</v>
      </c>
    </row>
    <row r="193" spans="1:26" x14ac:dyDescent="0.3">
      <c r="A193" s="15" t="s">
        <v>376</v>
      </c>
      <c r="B193" s="1" t="s">
        <v>181</v>
      </c>
      <c r="C193" s="2" t="s">
        <v>341</v>
      </c>
      <c r="E193" s="4">
        <v>0</v>
      </c>
      <c r="F193" s="4">
        <v>0</v>
      </c>
      <c r="S193" s="4">
        <f t="shared" si="30"/>
        <v>0</v>
      </c>
      <c r="U193" s="4">
        <f t="shared" si="23"/>
        <v>0</v>
      </c>
      <c r="V193" s="4">
        <f t="shared" si="24"/>
        <v>0</v>
      </c>
      <c r="X193" s="4">
        <v>0</v>
      </c>
      <c r="Y193" s="4">
        <v>0</v>
      </c>
    </row>
    <row r="194" spans="1:26" x14ac:dyDescent="0.3">
      <c r="A194" s="15" t="s">
        <v>376</v>
      </c>
      <c r="B194" s="1" t="s">
        <v>182</v>
      </c>
      <c r="C194" s="2" t="s">
        <v>326</v>
      </c>
      <c r="E194" s="4">
        <v>0</v>
      </c>
      <c r="F194" s="4">
        <v>0</v>
      </c>
      <c r="S194" s="4">
        <f t="shared" si="30"/>
        <v>0</v>
      </c>
      <c r="U194" s="4">
        <f t="shared" si="23"/>
        <v>0</v>
      </c>
      <c r="V194" s="4">
        <f t="shared" si="24"/>
        <v>0</v>
      </c>
      <c r="X194" s="4">
        <v>0</v>
      </c>
      <c r="Y194" s="4">
        <v>0</v>
      </c>
    </row>
    <row r="195" spans="1:26" x14ac:dyDescent="0.3">
      <c r="A195" s="15" t="s">
        <v>376</v>
      </c>
      <c r="B195" s="1" t="s">
        <v>183</v>
      </c>
      <c r="C195" s="2" t="s">
        <v>294</v>
      </c>
      <c r="E195" s="4">
        <v>0</v>
      </c>
      <c r="F195" s="4">
        <v>75</v>
      </c>
      <c r="S195" s="4">
        <f t="shared" si="30"/>
        <v>0</v>
      </c>
      <c r="T195" s="4">
        <f t="shared" ref="T195" si="31">X195</f>
        <v>50</v>
      </c>
      <c r="U195" s="4">
        <f t="shared" si="23"/>
        <v>50</v>
      </c>
      <c r="V195" s="4">
        <f t="shared" si="24"/>
        <v>66.666666666666657</v>
      </c>
      <c r="W195" s="4">
        <v>50</v>
      </c>
      <c r="X195" s="4">
        <v>50</v>
      </c>
      <c r="Y195" s="4">
        <v>25</v>
      </c>
    </row>
    <row r="196" spans="1:26" x14ac:dyDescent="0.3">
      <c r="A196" s="15" t="s">
        <v>376</v>
      </c>
      <c r="B196" s="1" t="s">
        <v>184</v>
      </c>
      <c r="C196" s="2" t="s">
        <v>338</v>
      </c>
      <c r="E196" s="4">
        <v>0</v>
      </c>
      <c r="F196" s="4">
        <v>0</v>
      </c>
      <c r="S196" s="4">
        <f t="shared" si="30"/>
        <v>0</v>
      </c>
      <c r="U196" s="4">
        <f t="shared" si="23"/>
        <v>0</v>
      </c>
      <c r="V196" s="4">
        <f t="shared" si="24"/>
        <v>0</v>
      </c>
      <c r="X196" s="4">
        <v>0</v>
      </c>
      <c r="Y196" s="4">
        <v>0</v>
      </c>
    </row>
    <row r="197" spans="1:26" x14ac:dyDescent="0.3">
      <c r="A197" s="15" t="s">
        <v>376</v>
      </c>
      <c r="B197" s="1" t="s">
        <v>185</v>
      </c>
      <c r="C197" s="2" t="s">
        <v>296</v>
      </c>
      <c r="E197" s="4">
        <v>0</v>
      </c>
      <c r="F197" s="4">
        <v>0</v>
      </c>
      <c r="S197" s="4">
        <f t="shared" si="30"/>
        <v>0</v>
      </c>
      <c r="U197" s="4">
        <f t="shared" si="23"/>
        <v>0</v>
      </c>
      <c r="V197" s="4">
        <f t="shared" si="24"/>
        <v>0</v>
      </c>
      <c r="X197" s="4">
        <v>0</v>
      </c>
      <c r="Y197" s="4">
        <v>0</v>
      </c>
    </row>
    <row r="198" spans="1:26" x14ac:dyDescent="0.3">
      <c r="A198" s="15" t="s">
        <v>376</v>
      </c>
      <c r="B198" s="1" t="s">
        <v>186</v>
      </c>
      <c r="C198" s="2" t="s">
        <v>297</v>
      </c>
      <c r="E198" s="4">
        <v>0</v>
      </c>
      <c r="F198" s="4">
        <v>0</v>
      </c>
      <c r="S198" s="4">
        <f t="shared" si="30"/>
        <v>0</v>
      </c>
      <c r="U198" s="4">
        <f t="shared" si="23"/>
        <v>0</v>
      </c>
      <c r="V198" s="4">
        <f t="shared" si="24"/>
        <v>0</v>
      </c>
      <c r="X198" s="4">
        <v>0</v>
      </c>
      <c r="Y198" s="4">
        <v>0</v>
      </c>
    </row>
    <row r="199" spans="1:26" x14ac:dyDescent="0.3">
      <c r="A199" s="15" t="s">
        <v>376</v>
      </c>
      <c r="B199" s="1" t="s">
        <v>187</v>
      </c>
      <c r="C199" s="2" t="s">
        <v>298</v>
      </c>
      <c r="E199" s="4">
        <v>0</v>
      </c>
      <c r="F199" s="4">
        <v>685.58</v>
      </c>
      <c r="N199" s="4">
        <v>55.64</v>
      </c>
      <c r="S199" s="4">
        <f t="shared" si="30"/>
        <v>55.64</v>
      </c>
      <c r="T199" s="4">
        <f t="shared" ref="T199" si="32">X199</f>
        <v>598.08000000000004</v>
      </c>
      <c r="U199" s="4">
        <f t="shared" si="23"/>
        <v>653.72</v>
      </c>
      <c r="V199" s="4">
        <f t="shared" si="24"/>
        <v>871.62666666666667</v>
      </c>
      <c r="W199" s="4">
        <v>300</v>
      </c>
      <c r="X199" s="4">
        <v>598.08000000000004</v>
      </c>
      <c r="Y199" s="4">
        <v>87.5</v>
      </c>
    </row>
    <row r="200" spans="1:26" x14ac:dyDescent="0.3">
      <c r="A200" s="15" t="s">
        <v>376</v>
      </c>
      <c r="B200" s="1" t="s">
        <v>188</v>
      </c>
      <c r="C200" s="2" t="s">
        <v>334</v>
      </c>
      <c r="E200" s="4">
        <v>0</v>
      </c>
      <c r="F200" s="4">
        <v>0</v>
      </c>
      <c r="S200" s="4">
        <f t="shared" si="30"/>
        <v>0</v>
      </c>
      <c r="U200" s="4">
        <f t="shared" si="23"/>
        <v>0</v>
      </c>
      <c r="V200" s="4">
        <f t="shared" si="24"/>
        <v>0</v>
      </c>
      <c r="X200" s="4">
        <v>0</v>
      </c>
      <c r="Y200" s="4">
        <v>0</v>
      </c>
    </row>
    <row r="201" spans="1:26" x14ac:dyDescent="0.3">
      <c r="A201" s="15" t="s">
        <v>376</v>
      </c>
      <c r="B201" s="1" t="s">
        <v>189</v>
      </c>
      <c r="C201" s="2" t="s">
        <v>322</v>
      </c>
      <c r="E201" s="4">
        <v>0</v>
      </c>
      <c r="F201" s="4">
        <v>4814.42</v>
      </c>
      <c r="S201" s="4">
        <f t="shared" si="30"/>
        <v>0</v>
      </c>
      <c r="T201" s="4">
        <f t="shared" ref="T201" si="33">X201</f>
        <v>4814.42</v>
      </c>
      <c r="U201" s="4">
        <f t="shared" si="23"/>
        <v>4814.42</v>
      </c>
      <c r="V201" s="4">
        <f t="shared" si="24"/>
        <v>6419.2266666666665</v>
      </c>
      <c r="W201" s="4">
        <v>5000</v>
      </c>
      <c r="X201" s="4">
        <v>4814.42</v>
      </c>
      <c r="Y201" s="4">
        <v>0</v>
      </c>
    </row>
    <row r="202" spans="1:26" x14ac:dyDescent="0.3">
      <c r="A202" s="15" t="s">
        <v>376</v>
      </c>
      <c r="B202" s="1" t="s">
        <v>190</v>
      </c>
      <c r="C202" s="2" t="s">
        <v>342</v>
      </c>
      <c r="E202" s="4">
        <v>0</v>
      </c>
      <c r="F202" s="4">
        <v>0</v>
      </c>
      <c r="S202" s="4">
        <f t="shared" si="30"/>
        <v>0</v>
      </c>
      <c r="U202" s="4">
        <f t="shared" si="23"/>
        <v>0</v>
      </c>
      <c r="V202" s="4">
        <f t="shared" si="24"/>
        <v>0</v>
      </c>
      <c r="X202" s="4">
        <v>0</v>
      </c>
      <c r="Y202" s="4">
        <v>0</v>
      </c>
    </row>
    <row r="203" spans="1:26" x14ac:dyDescent="0.3">
      <c r="A203" s="15" t="s">
        <v>376</v>
      </c>
      <c r="B203" s="1" t="s">
        <v>191</v>
      </c>
      <c r="C203" s="2" t="s">
        <v>331</v>
      </c>
      <c r="E203" s="4">
        <v>0</v>
      </c>
      <c r="F203" s="4">
        <v>20000</v>
      </c>
      <c r="S203" s="4">
        <f t="shared" si="30"/>
        <v>0</v>
      </c>
      <c r="U203" s="4">
        <f t="shared" ref="U203:U266" si="34">S203+T203</f>
        <v>0</v>
      </c>
      <c r="V203" s="4">
        <f t="shared" ref="V203:V266" si="35">(U203/9)*12</f>
        <v>0</v>
      </c>
      <c r="W203" s="4">
        <v>20000</v>
      </c>
      <c r="X203" s="4">
        <v>0</v>
      </c>
      <c r="Y203" s="4">
        <v>20000</v>
      </c>
      <c r="Z203" s="37">
        <f>SUM(W189:W203)</f>
        <v>25550</v>
      </c>
    </row>
    <row r="205" spans="1:26" hidden="1" x14ac:dyDescent="0.3">
      <c r="B205" s="1" t="s">
        <v>192</v>
      </c>
      <c r="C205" s="2" t="s">
        <v>327</v>
      </c>
      <c r="E205" s="4">
        <v>0</v>
      </c>
      <c r="F205" s="4">
        <v>0</v>
      </c>
      <c r="S205" s="4">
        <f>SUM(G205:O205)</f>
        <v>0</v>
      </c>
      <c r="U205" s="4">
        <f t="shared" si="34"/>
        <v>0</v>
      </c>
      <c r="V205" s="4">
        <f t="shared" si="35"/>
        <v>0</v>
      </c>
      <c r="W205" s="4">
        <v>0</v>
      </c>
      <c r="X205" s="4">
        <v>0</v>
      </c>
      <c r="Y205" s="4">
        <v>0</v>
      </c>
    </row>
    <row r="206" spans="1:26" hidden="1" x14ac:dyDescent="0.3">
      <c r="B206" s="1" t="s">
        <v>193</v>
      </c>
      <c r="C206" s="2" t="s">
        <v>314</v>
      </c>
      <c r="E206" s="4">
        <v>0</v>
      </c>
      <c r="F206" s="4">
        <v>0</v>
      </c>
      <c r="S206" s="4">
        <f>SUM(G206:O206)</f>
        <v>0</v>
      </c>
      <c r="U206" s="4">
        <f t="shared" si="34"/>
        <v>0</v>
      </c>
      <c r="V206" s="4">
        <f t="shared" si="35"/>
        <v>0</v>
      </c>
      <c r="W206" s="4">
        <v>0</v>
      </c>
      <c r="X206" s="4">
        <v>0</v>
      </c>
      <c r="Y206" s="4">
        <v>0</v>
      </c>
    </row>
    <row r="207" spans="1:26" hidden="1" x14ac:dyDescent="0.3">
      <c r="B207" s="1" t="s">
        <v>194</v>
      </c>
      <c r="C207" s="2" t="s">
        <v>330</v>
      </c>
      <c r="E207" s="4">
        <v>0</v>
      </c>
      <c r="F207" s="4">
        <v>0</v>
      </c>
      <c r="S207" s="4">
        <f>SUM(G207:O207)</f>
        <v>0</v>
      </c>
      <c r="U207" s="4">
        <f t="shared" si="34"/>
        <v>0</v>
      </c>
      <c r="V207" s="4">
        <f t="shared" si="35"/>
        <v>0</v>
      </c>
      <c r="W207" s="4">
        <v>0</v>
      </c>
      <c r="X207" s="4">
        <v>0</v>
      </c>
      <c r="Y207" s="4">
        <v>0</v>
      </c>
    </row>
    <row r="208" spans="1:26" hidden="1" x14ac:dyDescent="0.3"/>
    <row r="209" spans="1:25" x14ac:dyDescent="0.3">
      <c r="A209" s="27" t="s">
        <v>393</v>
      </c>
      <c r="B209" s="1" t="s">
        <v>195</v>
      </c>
      <c r="C209" s="2" t="s">
        <v>294</v>
      </c>
      <c r="E209" s="4">
        <v>0</v>
      </c>
      <c r="F209" s="4">
        <v>400</v>
      </c>
      <c r="S209" s="4">
        <f t="shared" ref="S209:S236" si="36">SUM(G209:O209)</f>
        <v>0</v>
      </c>
      <c r="U209" s="4">
        <f t="shared" si="34"/>
        <v>0</v>
      </c>
      <c r="V209" s="4">
        <f t="shared" si="35"/>
        <v>0</v>
      </c>
      <c r="W209" s="4">
        <v>400</v>
      </c>
      <c r="X209" s="4">
        <v>0</v>
      </c>
      <c r="Y209" s="4">
        <v>400</v>
      </c>
    </row>
    <row r="210" spans="1:25" x14ac:dyDescent="0.3">
      <c r="B210" s="1" t="s">
        <v>196</v>
      </c>
      <c r="C210" s="2" t="s">
        <v>285</v>
      </c>
      <c r="E210" s="4">
        <v>755.37</v>
      </c>
      <c r="F210" s="4">
        <v>20280</v>
      </c>
      <c r="G210" s="4">
        <v>115.1</v>
      </c>
      <c r="I210" s="4">
        <f>115.1+126.85</f>
        <v>241.95</v>
      </c>
      <c r="S210" s="4">
        <f t="shared" si="36"/>
        <v>357.04999999999995</v>
      </c>
      <c r="T210" s="4">
        <f t="shared" ref="T210:T212" si="37">X210</f>
        <v>11931.63</v>
      </c>
      <c r="U210" s="4">
        <f t="shared" si="34"/>
        <v>12288.679999999998</v>
      </c>
      <c r="V210" s="4">
        <f t="shared" si="35"/>
        <v>16384.906666666662</v>
      </c>
      <c r="W210" s="4">
        <f>'Salaries &amp; Fees Split'!F59</f>
        <v>19440</v>
      </c>
      <c r="X210" s="4">
        <v>11931.63</v>
      </c>
      <c r="Y210" s="4">
        <v>7910</v>
      </c>
    </row>
    <row r="211" spans="1:25" x14ac:dyDescent="0.3">
      <c r="B211" s="1" t="s">
        <v>197</v>
      </c>
      <c r="C211" s="2" t="s">
        <v>286</v>
      </c>
      <c r="E211" s="4">
        <v>100</v>
      </c>
      <c r="F211" s="4">
        <v>4867.2</v>
      </c>
      <c r="S211" s="4">
        <f t="shared" si="36"/>
        <v>0</v>
      </c>
      <c r="T211" s="4">
        <f t="shared" si="37"/>
        <v>1072</v>
      </c>
      <c r="U211" s="4">
        <f t="shared" si="34"/>
        <v>1072</v>
      </c>
      <c r="V211" s="4">
        <f t="shared" si="35"/>
        <v>1429.3333333333335</v>
      </c>
      <c r="W211" s="4">
        <f>'Salaries &amp; Fees Split'!E60</f>
        <v>4665.5999999999995</v>
      </c>
      <c r="X211" s="4">
        <v>1072</v>
      </c>
      <c r="Y211" s="4">
        <v>3745.2</v>
      </c>
    </row>
    <row r="212" spans="1:25" x14ac:dyDescent="0.3">
      <c r="B212" s="1" t="s">
        <v>198</v>
      </c>
      <c r="C212" s="2" t="s">
        <v>287</v>
      </c>
      <c r="E212" s="4">
        <v>0</v>
      </c>
      <c r="F212" s="4">
        <v>294.06</v>
      </c>
      <c r="S212" s="4">
        <f t="shared" si="36"/>
        <v>0</v>
      </c>
      <c r="T212" s="4">
        <f t="shared" si="37"/>
        <v>78.3</v>
      </c>
      <c r="U212" s="4">
        <f t="shared" si="34"/>
        <v>78.3</v>
      </c>
      <c r="V212" s="4">
        <f t="shared" si="35"/>
        <v>104.39999999999999</v>
      </c>
      <c r="W212" s="4">
        <f>'Salaries &amp; Fees Split'!E61</f>
        <v>281.88</v>
      </c>
      <c r="X212" s="4">
        <v>78.3</v>
      </c>
      <c r="Y212" s="4">
        <v>215.76</v>
      </c>
    </row>
    <row r="213" spans="1:25" x14ac:dyDescent="0.3">
      <c r="B213" s="1" t="s">
        <v>199</v>
      </c>
      <c r="C213" s="2" t="s">
        <v>288</v>
      </c>
      <c r="E213" s="4">
        <v>0</v>
      </c>
      <c r="F213" s="4">
        <v>450</v>
      </c>
      <c r="G213" s="4">
        <v>50</v>
      </c>
      <c r="I213" s="4">
        <v>142</v>
      </c>
      <c r="L213" s="4">
        <v>42</v>
      </c>
      <c r="S213" s="4">
        <f t="shared" si="36"/>
        <v>234</v>
      </c>
      <c r="U213" s="4">
        <f t="shared" si="34"/>
        <v>234</v>
      </c>
      <c r="V213" s="4">
        <f t="shared" si="35"/>
        <v>312</v>
      </c>
      <c r="W213" s="4">
        <v>450</v>
      </c>
      <c r="X213" s="4">
        <v>0</v>
      </c>
      <c r="Y213" s="4">
        <v>450</v>
      </c>
    </row>
    <row r="214" spans="1:25" x14ac:dyDescent="0.3">
      <c r="B214" s="1" t="s">
        <v>200</v>
      </c>
      <c r="C214" s="2" t="s">
        <v>379</v>
      </c>
      <c r="E214" s="4">
        <v>0</v>
      </c>
      <c r="F214" s="4">
        <v>500</v>
      </c>
      <c r="G214" s="4">
        <v>27.64</v>
      </c>
      <c r="H214" s="4">
        <v>48.63</v>
      </c>
      <c r="I214" s="4">
        <v>46.77</v>
      </c>
      <c r="J214" s="4">
        <v>44.83</v>
      </c>
      <c r="K214" s="4">
        <v>44.02</v>
      </c>
      <c r="L214" s="4">
        <v>43.35</v>
      </c>
      <c r="M214" s="4">
        <v>38.89</v>
      </c>
      <c r="N214" s="4">
        <f>38.28</f>
        <v>38.28</v>
      </c>
      <c r="S214" s="4">
        <f t="shared" si="36"/>
        <v>332.40999999999997</v>
      </c>
      <c r="T214" s="4">
        <f t="shared" ref="T214" si="38">X214</f>
        <v>47.44</v>
      </c>
      <c r="U214" s="4">
        <f t="shared" si="34"/>
        <v>379.84999999999997</v>
      </c>
      <c r="V214" s="4">
        <f t="shared" si="35"/>
        <v>506.46666666666658</v>
      </c>
      <c r="W214" s="4">
        <v>600</v>
      </c>
      <c r="X214" s="4">
        <v>47.44</v>
      </c>
      <c r="Y214" s="4">
        <v>60</v>
      </c>
    </row>
    <row r="215" spans="1:25" x14ac:dyDescent="0.3">
      <c r="B215" s="1" t="s">
        <v>201</v>
      </c>
      <c r="C215" s="2" t="s">
        <v>343</v>
      </c>
      <c r="E215" s="4">
        <v>6861.98</v>
      </c>
      <c r="F215" s="4">
        <v>120000</v>
      </c>
      <c r="G215" s="4">
        <v>9531.94</v>
      </c>
      <c r="H215" s="4">
        <v>10313.379999999999</v>
      </c>
      <c r="I215" s="4">
        <v>9067.9599999999991</v>
      </c>
      <c r="J215" s="4">
        <v>11851.84</v>
      </c>
      <c r="K215" s="4">
        <v>10248.26</v>
      </c>
      <c r="L215" s="4">
        <v>13512.4</v>
      </c>
      <c r="M215" s="4">
        <v>12299.54</v>
      </c>
      <c r="N215" s="4">
        <v>13276.34</v>
      </c>
      <c r="S215" s="4">
        <f t="shared" si="36"/>
        <v>90101.66</v>
      </c>
      <c r="U215" s="4">
        <f t="shared" si="34"/>
        <v>90101.66</v>
      </c>
      <c r="V215" s="4">
        <f t="shared" si="35"/>
        <v>120135.54666666668</v>
      </c>
      <c r="W215" s="4">
        <v>120100</v>
      </c>
      <c r="X215" s="4">
        <v>0</v>
      </c>
      <c r="Y215" s="4">
        <v>120000</v>
      </c>
    </row>
    <row r="216" spans="1:25" x14ac:dyDescent="0.3">
      <c r="B216" s="1" t="s">
        <v>202</v>
      </c>
      <c r="C216" s="2" t="s">
        <v>304</v>
      </c>
      <c r="E216" s="4">
        <v>538.58000000000004</v>
      </c>
      <c r="F216" s="4">
        <v>1000</v>
      </c>
      <c r="S216" s="4">
        <f t="shared" si="36"/>
        <v>0</v>
      </c>
      <c r="T216" s="4">
        <f t="shared" ref="T216:T217" si="39">X216</f>
        <v>538.58000000000004</v>
      </c>
      <c r="U216" s="4">
        <f t="shared" si="34"/>
        <v>538.58000000000004</v>
      </c>
      <c r="V216" s="4">
        <f t="shared" si="35"/>
        <v>718.10666666666668</v>
      </c>
      <c r="W216" s="4">
        <v>1000</v>
      </c>
      <c r="X216" s="4">
        <v>538.58000000000004</v>
      </c>
      <c r="Y216" s="4">
        <v>1000</v>
      </c>
    </row>
    <row r="217" spans="1:25" x14ac:dyDescent="0.3">
      <c r="B217" s="1" t="s">
        <v>203</v>
      </c>
      <c r="C217" s="2" t="s">
        <v>291</v>
      </c>
      <c r="E217" s="4">
        <v>0</v>
      </c>
      <c r="F217" s="4">
        <v>6948</v>
      </c>
      <c r="S217" s="4">
        <f t="shared" si="36"/>
        <v>0</v>
      </c>
      <c r="T217" s="4">
        <f t="shared" si="39"/>
        <v>4350</v>
      </c>
      <c r="U217" s="4">
        <f t="shared" si="34"/>
        <v>4350</v>
      </c>
      <c r="V217" s="4">
        <f t="shared" si="35"/>
        <v>5800</v>
      </c>
      <c r="W217" s="25">
        <v>7200</v>
      </c>
      <c r="X217" s="4">
        <v>4350</v>
      </c>
      <c r="Y217" s="4">
        <v>2148</v>
      </c>
    </row>
    <row r="218" spans="1:25" x14ac:dyDescent="0.3">
      <c r="B218" s="1" t="s">
        <v>204</v>
      </c>
      <c r="C218" s="2" t="s">
        <v>313</v>
      </c>
      <c r="E218" s="4">
        <v>0</v>
      </c>
      <c r="F218" s="4">
        <v>2002</v>
      </c>
      <c r="S218" s="4">
        <f t="shared" si="36"/>
        <v>0</v>
      </c>
      <c r="U218" s="4">
        <f t="shared" si="34"/>
        <v>0</v>
      </c>
      <c r="V218" s="4">
        <f t="shared" si="35"/>
        <v>0</v>
      </c>
      <c r="X218" s="4">
        <v>0</v>
      </c>
      <c r="Y218" s="4">
        <v>2002</v>
      </c>
    </row>
    <row r="219" spans="1:25" x14ac:dyDescent="0.3">
      <c r="B219" s="1" t="s">
        <v>205</v>
      </c>
      <c r="C219" s="2" t="s">
        <v>316</v>
      </c>
      <c r="E219" s="4">
        <v>0</v>
      </c>
      <c r="F219" s="4">
        <v>510</v>
      </c>
      <c r="J219" s="17">
        <v>200</v>
      </c>
      <c r="L219" s="23">
        <v>200</v>
      </c>
      <c r="S219" s="4">
        <f t="shared" si="36"/>
        <v>400</v>
      </c>
      <c r="U219" s="4">
        <f t="shared" si="34"/>
        <v>400</v>
      </c>
      <c r="V219" s="4">
        <f t="shared" si="35"/>
        <v>533.33333333333326</v>
      </c>
      <c r="W219" s="4">
        <v>500</v>
      </c>
      <c r="X219" s="4">
        <v>0</v>
      </c>
      <c r="Y219" s="4">
        <v>510</v>
      </c>
    </row>
    <row r="220" spans="1:25" x14ac:dyDescent="0.3">
      <c r="B220" s="1" t="s">
        <v>206</v>
      </c>
      <c r="C220" s="2" t="s">
        <v>317</v>
      </c>
      <c r="E220" s="4">
        <v>0</v>
      </c>
      <c r="F220" s="4">
        <f>7500-7000</f>
        <v>500</v>
      </c>
      <c r="I220" s="4">
        <f>115.1+126.85</f>
        <v>241.95</v>
      </c>
      <c r="J220" s="4">
        <v>126.85</v>
      </c>
      <c r="K220" s="4">
        <v>126.85</v>
      </c>
      <c r="L220" s="4">
        <f>126.85+126.85</f>
        <v>253.7</v>
      </c>
      <c r="M220" s="4">
        <f>126.85</f>
        <v>126.85</v>
      </c>
      <c r="N220" s="4">
        <f>677.3+961.12</f>
        <v>1638.42</v>
      </c>
      <c r="S220" s="4">
        <f t="shared" si="36"/>
        <v>2514.62</v>
      </c>
      <c r="U220" s="4">
        <f t="shared" si="34"/>
        <v>2514.62</v>
      </c>
      <c r="V220" s="4">
        <f t="shared" si="35"/>
        <v>3352.8266666666668</v>
      </c>
      <c r="X220" s="4">
        <v>0</v>
      </c>
      <c r="Y220" s="4">
        <v>7500</v>
      </c>
    </row>
    <row r="221" spans="1:25" x14ac:dyDescent="0.3">
      <c r="B221" s="1" t="s">
        <v>207</v>
      </c>
      <c r="C221" s="2" t="s">
        <v>293</v>
      </c>
      <c r="E221" s="4">
        <v>0</v>
      </c>
      <c r="F221" s="4">
        <v>200</v>
      </c>
      <c r="S221" s="4">
        <f t="shared" si="36"/>
        <v>0</v>
      </c>
      <c r="U221" s="4">
        <f t="shared" si="34"/>
        <v>0</v>
      </c>
      <c r="V221" s="4">
        <f t="shared" si="35"/>
        <v>0</v>
      </c>
      <c r="W221" s="4">
        <v>200</v>
      </c>
      <c r="X221" s="4">
        <v>0</v>
      </c>
      <c r="Y221" s="4">
        <v>200</v>
      </c>
    </row>
    <row r="222" spans="1:25" x14ac:dyDescent="0.3">
      <c r="B222" s="1" t="s">
        <v>208</v>
      </c>
      <c r="C222" s="2" t="s">
        <v>294</v>
      </c>
      <c r="E222" s="4">
        <v>0</v>
      </c>
      <c r="F222" s="4">
        <v>0</v>
      </c>
      <c r="S222" s="4">
        <f t="shared" si="36"/>
        <v>0</v>
      </c>
      <c r="U222" s="4">
        <f t="shared" si="34"/>
        <v>0</v>
      </c>
      <c r="V222" s="4">
        <f t="shared" si="35"/>
        <v>0</v>
      </c>
      <c r="X222" s="4">
        <v>0</v>
      </c>
      <c r="Y222" s="4">
        <v>0</v>
      </c>
    </row>
    <row r="223" spans="1:25" x14ac:dyDescent="0.3">
      <c r="B223" s="1" t="s">
        <v>209</v>
      </c>
      <c r="C223" s="2" t="s">
        <v>296</v>
      </c>
      <c r="E223" s="4">
        <v>0</v>
      </c>
      <c r="F223" s="4">
        <f>5000-1400</f>
        <v>3600</v>
      </c>
      <c r="M223" s="4">
        <v>2875.5</v>
      </c>
      <c r="S223" s="4">
        <f t="shared" si="36"/>
        <v>2875.5</v>
      </c>
      <c r="U223" s="4">
        <f t="shared" si="34"/>
        <v>2875.5</v>
      </c>
      <c r="V223" s="4">
        <f t="shared" si="35"/>
        <v>3834</v>
      </c>
      <c r="W223" s="4">
        <f>5000-1400</f>
        <v>3600</v>
      </c>
      <c r="X223" s="4">
        <v>0</v>
      </c>
      <c r="Y223" s="4">
        <f>2800-1400</f>
        <v>1400</v>
      </c>
    </row>
    <row r="224" spans="1:25" x14ac:dyDescent="0.3">
      <c r="B224" s="1" t="s">
        <v>210</v>
      </c>
      <c r="C224" s="2" t="s">
        <v>297</v>
      </c>
      <c r="E224" s="4">
        <v>0</v>
      </c>
      <c r="F224" s="4">
        <v>250</v>
      </c>
      <c r="S224" s="4">
        <f t="shared" si="36"/>
        <v>0</v>
      </c>
      <c r="T224" s="4">
        <f t="shared" ref="T224" si="40">X224</f>
        <v>112.99</v>
      </c>
      <c r="U224" s="4">
        <f t="shared" si="34"/>
        <v>112.99</v>
      </c>
      <c r="V224" s="4">
        <f t="shared" si="35"/>
        <v>150.65333333333334</v>
      </c>
      <c r="W224" s="4">
        <v>250</v>
      </c>
      <c r="X224" s="4">
        <v>112.99</v>
      </c>
      <c r="Y224" s="4">
        <v>137.01</v>
      </c>
    </row>
    <row r="225" spans="1:26" x14ac:dyDescent="0.3">
      <c r="B225" s="1" t="s">
        <v>211</v>
      </c>
      <c r="C225" s="2" t="s">
        <v>298</v>
      </c>
      <c r="E225" s="4">
        <v>0</v>
      </c>
      <c r="F225" s="4">
        <f>120+1400</f>
        <v>1520</v>
      </c>
      <c r="I225" s="4">
        <v>1379.27</v>
      </c>
      <c r="S225" s="4">
        <f t="shared" si="36"/>
        <v>1379.27</v>
      </c>
      <c r="U225" s="4">
        <f t="shared" si="34"/>
        <v>1379.27</v>
      </c>
      <c r="V225" s="4">
        <f t="shared" si="35"/>
        <v>1839.0266666666666</v>
      </c>
      <c r="W225" s="4">
        <v>2000</v>
      </c>
      <c r="X225" s="4">
        <v>0</v>
      </c>
      <c r="Y225" s="4">
        <v>41.34</v>
      </c>
    </row>
    <row r="226" spans="1:26" x14ac:dyDescent="0.3">
      <c r="B226" s="1" t="s">
        <v>212</v>
      </c>
      <c r="C226" s="2" t="s">
        <v>334</v>
      </c>
      <c r="E226" s="4">
        <v>0</v>
      </c>
      <c r="F226" s="4">
        <f>1300+7000+4000</f>
        <v>12300</v>
      </c>
      <c r="H226" s="4">
        <v>935</v>
      </c>
      <c r="I226" s="4">
        <f>6107.44+400</f>
        <v>6507.44</v>
      </c>
      <c r="M226" s="4">
        <v>3908</v>
      </c>
      <c r="S226" s="4">
        <f t="shared" si="36"/>
        <v>11350.439999999999</v>
      </c>
      <c r="U226" s="4">
        <f t="shared" si="34"/>
        <v>11350.439999999999</v>
      </c>
      <c r="V226" s="4">
        <f t="shared" si="35"/>
        <v>15133.919999999998</v>
      </c>
      <c r="W226" s="4">
        <v>12300</v>
      </c>
      <c r="X226" s="4">
        <v>0</v>
      </c>
      <c r="Y226" s="4">
        <v>1300</v>
      </c>
    </row>
    <row r="227" spans="1:26" hidden="1" x14ac:dyDescent="0.3">
      <c r="B227" s="1" t="s">
        <v>213</v>
      </c>
      <c r="C227" s="2" t="s">
        <v>300</v>
      </c>
      <c r="E227" s="4">
        <v>0</v>
      </c>
      <c r="F227" s="4">
        <v>0</v>
      </c>
      <c r="S227" s="4">
        <f t="shared" si="36"/>
        <v>0</v>
      </c>
      <c r="U227" s="4">
        <f t="shared" si="34"/>
        <v>0</v>
      </c>
      <c r="V227" s="4">
        <f t="shared" si="35"/>
        <v>0</v>
      </c>
      <c r="X227" s="4">
        <v>0</v>
      </c>
      <c r="Y227" s="4">
        <v>0</v>
      </c>
    </row>
    <row r="228" spans="1:26" hidden="1" x14ac:dyDescent="0.3">
      <c r="B228" s="1" t="s">
        <v>214</v>
      </c>
      <c r="C228" s="2" t="s">
        <v>344</v>
      </c>
      <c r="E228" s="4">
        <v>0</v>
      </c>
      <c r="F228" s="4">
        <v>0</v>
      </c>
      <c r="S228" s="4">
        <f t="shared" si="36"/>
        <v>0</v>
      </c>
      <c r="U228" s="4">
        <f t="shared" si="34"/>
        <v>0</v>
      </c>
      <c r="V228" s="4">
        <f t="shared" si="35"/>
        <v>0</v>
      </c>
      <c r="X228" s="4">
        <v>0</v>
      </c>
      <c r="Y228" s="4">
        <v>0</v>
      </c>
    </row>
    <row r="229" spans="1:26" hidden="1" x14ac:dyDescent="0.3">
      <c r="B229" s="1" t="s">
        <v>215</v>
      </c>
      <c r="C229" s="2" t="s">
        <v>294</v>
      </c>
      <c r="E229" s="4">
        <v>0</v>
      </c>
      <c r="F229" s="4">
        <v>0</v>
      </c>
      <c r="S229" s="4">
        <f t="shared" si="36"/>
        <v>0</v>
      </c>
      <c r="U229" s="4">
        <f t="shared" si="34"/>
        <v>0</v>
      </c>
      <c r="V229" s="4">
        <f t="shared" si="35"/>
        <v>0</v>
      </c>
      <c r="X229" s="4">
        <v>0</v>
      </c>
      <c r="Y229" s="4">
        <v>0</v>
      </c>
    </row>
    <row r="230" spans="1:26" hidden="1" x14ac:dyDescent="0.3">
      <c r="B230" s="1" t="s">
        <v>216</v>
      </c>
      <c r="C230" s="2" t="s">
        <v>324</v>
      </c>
      <c r="E230" s="4">
        <v>0</v>
      </c>
      <c r="F230" s="4">
        <v>0</v>
      </c>
      <c r="S230" s="4">
        <f t="shared" si="36"/>
        <v>0</v>
      </c>
      <c r="U230" s="4">
        <f t="shared" si="34"/>
        <v>0</v>
      </c>
      <c r="V230" s="4">
        <f t="shared" si="35"/>
        <v>0</v>
      </c>
      <c r="X230" s="4">
        <v>0</v>
      </c>
      <c r="Y230" s="4">
        <v>0</v>
      </c>
    </row>
    <row r="231" spans="1:26" hidden="1" x14ac:dyDescent="0.3">
      <c r="B231" s="1" t="s">
        <v>217</v>
      </c>
      <c r="C231" s="2" t="s">
        <v>345</v>
      </c>
      <c r="E231" s="4">
        <v>0</v>
      </c>
      <c r="F231" s="4">
        <v>0</v>
      </c>
      <c r="S231" s="4">
        <f t="shared" si="36"/>
        <v>0</v>
      </c>
      <c r="U231" s="4">
        <f t="shared" si="34"/>
        <v>0</v>
      </c>
      <c r="V231" s="4">
        <f t="shared" si="35"/>
        <v>0</v>
      </c>
      <c r="X231" s="4">
        <v>0</v>
      </c>
      <c r="Y231" s="4">
        <v>0</v>
      </c>
    </row>
    <row r="232" spans="1:26" hidden="1" x14ac:dyDescent="0.3">
      <c r="B232" s="1" t="s">
        <v>218</v>
      </c>
      <c r="C232" s="2" t="s">
        <v>344</v>
      </c>
      <c r="E232" s="4">
        <v>0</v>
      </c>
      <c r="F232" s="4">
        <v>0</v>
      </c>
      <c r="S232" s="4">
        <f t="shared" si="36"/>
        <v>0</v>
      </c>
      <c r="U232" s="4">
        <f t="shared" si="34"/>
        <v>0</v>
      </c>
      <c r="V232" s="4">
        <f t="shared" si="35"/>
        <v>0</v>
      </c>
      <c r="X232" s="4">
        <v>0</v>
      </c>
      <c r="Y232" s="4">
        <v>0</v>
      </c>
    </row>
    <row r="233" spans="1:26" hidden="1" x14ac:dyDescent="0.3">
      <c r="B233" s="1" t="s">
        <v>219</v>
      </c>
      <c r="C233" s="2" t="s">
        <v>328</v>
      </c>
      <c r="E233" s="4">
        <v>0</v>
      </c>
      <c r="F233" s="4">
        <v>0</v>
      </c>
      <c r="S233" s="4">
        <f t="shared" si="36"/>
        <v>0</v>
      </c>
      <c r="U233" s="4">
        <f t="shared" si="34"/>
        <v>0</v>
      </c>
      <c r="V233" s="4">
        <f t="shared" si="35"/>
        <v>0</v>
      </c>
      <c r="X233" s="4">
        <v>0</v>
      </c>
      <c r="Y233" s="4">
        <v>0</v>
      </c>
    </row>
    <row r="234" spans="1:26" hidden="1" x14ac:dyDescent="0.3">
      <c r="B234" s="1" t="s">
        <v>220</v>
      </c>
      <c r="C234" s="2" t="s">
        <v>329</v>
      </c>
      <c r="E234" s="4">
        <v>0</v>
      </c>
      <c r="F234" s="4">
        <v>0</v>
      </c>
      <c r="S234" s="4">
        <f t="shared" si="36"/>
        <v>0</v>
      </c>
      <c r="U234" s="4">
        <f t="shared" si="34"/>
        <v>0</v>
      </c>
      <c r="V234" s="4">
        <f t="shared" si="35"/>
        <v>0</v>
      </c>
      <c r="X234" s="4">
        <v>0</v>
      </c>
      <c r="Y234" s="4">
        <v>0</v>
      </c>
    </row>
    <row r="235" spans="1:26" x14ac:dyDescent="0.3">
      <c r="B235" s="1" t="s">
        <v>221</v>
      </c>
      <c r="C235" s="2" t="s">
        <v>330</v>
      </c>
      <c r="E235" s="4">
        <v>0</v>
      </c>
      <c r="F235" s="4">
        <v>0</v>
      </c>
      <c r="S235" s="4">
        <f t="shared" si="36"/>
        <v>0</v>
      </c>
      <c r="U235" s="4">
        <f t="shared" si="34"/>
        <v>0</v>
      </c>
      <c r="V235" s="4">
        <f t="shared" si="35"/>
        <v>0</v>
      </c>
      <c r="X235" s="4">
        <v>0</v>
      </c>
      <c r="Y235" s="4">
        <v>0</v>
      </c>
    </row>
    <row r="236" spans="1:26" x14ac:dyDescent="0.3">
      <c r="B236" s="1" t="s">
        <v>222</v>
      </c>
      <c r="C236" s="2" t="s">
        <v>331</v>
      </c>
      <c r="E236" s="4">
        <v>0</v>
      </c>
      <c r="F236" s="4">
        <f>4000-4000</f>
        <v>0</v>
      </c>
      <c r="S236" s="4">
        <f t="shared" si="36"/>
        <v>0</v>
      </c>
      <c r="U236" s="4">
        <f t="shared" si="34"/>
        <v>0</v>
      </c>
      <c r="V236" s="4">
        <f t="shared" si="35"/>
        <v>0</v>
      </c>
      <c r="X236" s="4">
        <v>0</v>
      </c>
      <c r="Y236" s="4">
        <v>4000</v>
      </c>
      <c r="Z236" s="37">
        <f>SUM(W209:W236)</f>
        <v>172987.48</v>
      </c>
    </row>
    <row r="238" spans="1:26" x14ac:dyDescent="0.3">
      <c r="A238" s="27" t="s">
        <v>384</v>
      </c>
      <c r="B238" s="1" t="s">
        <v>223</v>
      </c>
      <c r="C238" s="2" t="s">
        <v>302</v>
      </c>
      <c r="E238" s="4">
        <v>962.67</v>
      </c>
      <c r="F238" s="4">
        <v>20820</v>
      </c>
      <c r="S238" s="4">
        <f t="shared" ref="S238:S271" si="41">SUM(G238:O238)</f>
        <v>0</v>
      </c>
      <c r="T238" s="4">
        <f t="shared" ref="T238:T240" si="42">X238</f>
        <v>19382.080000000002</v>
      </c>
      <c r="U238" s="4">
        <f t="shared" si="34"/>
        <v>19382.080000000002</v>
      </c>
      <c r="V238" s="4">
        <f t="shared" si="35"/>
        <v>25842.773333333338</v>
      </c>
      <c r="W238" s="4">
        <f>'Salaries &amp; Fees Split'!F69</f>
        <v>33360</v>
      </c>
      <c r="X238" s="4">
        <v>19382.080000000002</v>
      </c>
      <c r="Y238" s="4">
        <v>960</v>
      </c>
    </row>
    <row r="239" spans="1:26" x14ac:dyDescent="0.3">
      <c r="B239" s="1" t="s">
        <v>224</v>
      </c>
      <c r="C239" s="2" t="s">
        <v>286</v>
      </c>
      <c r="E239" s="4">
        <v>368</v>
      </c>
      <c r="F239" s="4">
        <v>4010</v>
      </c>
      <c r="S239" s="4">
        <f t="shared" si="41"/>
        <v>0</v>
      </c>
      <c r="T239" s="4">
        <f t="shared" si="42"/>
        <v>3772.8</v>
      </c>
      <c r="U239" s="4">
        <f t="shared" si="34"/>
        <v>3772.8</v>
      </c>
      <c r="V239" s="4">
        <f t="shared" si="35"/>
        <v>5030.4000000000005</v>
      </c>
      <c r="W239" s="4">
        <f>'Salaries &amp; Fees Split'!E70</f>
        <v>8006.4</v>
      </c>
      <c r="X239" s="4">
        <v>3772.8</v>
      </c>
      <c r="Y239" s="4">
        <v>28.2</v>
      </c>
    </row>
    <row r="240" spans="1:26" x14ac:dyDescent="0.3">
      <c r="B240" s="1" t="s">
        <v>225</v>
      </c>
      <c r="C240" s="2" t="s">
        <v>287</v>
      </c>
      <c r="E240" s="4">
        <v>0</v>
      </c>
      <c r="F240" s="4">
        <v>259.25</v>
      </c>
      <c r="S240" s="4">
        <f t="shared" si="41"/>
        <v>0</v>
      </c>
      <c r="T240" s="4">
        <f t="shared" si="42"/>
        <v>254.64</v>
      </c>
      <c r="U240" s="4">
        <f t="shared" si="34"/>
        <v>254.64</v>
      </c>
      <c r="V240" s="4">
        <f t="shared" si="35"/>
        <v>339.52</v>
      </c>
      <c r="W240" s="4">
        <f>'Salaries &amp; Fees Split'!E71</f>
        <v>483.71999999999997</v>
      </c>
      <c r="X240" s="4">
        <v>254.64</v>
      </c>
      <c r="Y240" s="4">
        <v>4.6100000000000003</v>
      </c>
    </row>
    <row r="241" spans="2:25" x14ac:dyDescent="0.3">
      <c r="B241" s="1" t="s">
        <v>226</v>
      </c>
      <c r="C241" s="2" t="s">
        <v>288</v>
      </c>
      <c r="E241" s="4">
        <v>0</v>
      </c>
      <c r="F241" s="4">
        <v>180</v>
      </c>
      <c r="G241" s="4">
        <v>177</v>
      </c>
      <c r="S241" s="4">
        <f t="shared" si="41"/>
        <v>177</v>
      </c>
      <c r="U241" s="4">
        <f t="shared" si="34"/>
        <v>177</v>
      </c>
      <c r="V241" s="4">
        <f t="shared" si="35"/>
        <v>236</v>
      </c>
      <c r="W241" s="4">
        <v>200</v>
      </c>
      <c r="X241" s="4">
        <v>0</v>
      </c>
      <c r="Y241" s="4">
        <v>180</v>
      </c>
    </row>
    <row r="242" spans="2:25" x14ac:dyDescent="0.3">
      <c r="B242" s="1" t="s">
        <v>227</v>
      </c>
      <c r="C242" s="2" t="s">
        <v>310</v>
      </c>
      <c r="E242" s="4">
        <v>0</v>
      </c>
      <c r="F242" s="4">
        <v>0</v>
      </c>
      <c r="S242" s="4">
        <f t="shared" si="41"/>
        <v>0</v>
      </c>
      <c r="U242" s="4">
        <f t="shared" si="34"/>
        <v>0</v>
      </c>
      <c r="V242" s="4">
        <f t="shared" si="35"/>
        <v>0</v>
      </c>
      <c r="X242" s="4">
        <v>0</v>
      </c>
      <c r="Y242" s="4">
        <v>0</v>
      </c>
    </row>
    <row r="243" spans="2:25" x14ac:dyDescent="0.3">
      <c r="B243" s="1" t="s">
        <v>228</v>
      </c>
      <c r="C243" s="2" t="s">
        <v>378</v>
      </c>
      <c r="E243" s="4">
        <v>4155.32</v>
      </c>
      <c r="F243" s="4">
        <v>20000</v>
      </c>
      <c r="G243" s="4">
        <v>945.53399999999999</v>
      </c>
      <c r="I243" s="4">
        <v>1224.72</v>
      </c>
      <c r="J243" s="4">
        <f>867.29</f>
        <v>867.29</v>
      </c>
      <c r="K243" s="4">
        <v>859.08</v>
      </c>
      <c r="L243" s="4">
        <v>928.36</v>
      </c>
      <c r="M243" s="4">
        <v>942.08</v>
      </c>
      <c r="N243" s="4">
        <v>1060.07</v>
      </c>
      <c r="S243" s="4">
        <f t="shared" si="41"/>
        <v>6827.1339999999991</v>
      </c>
      <c r="U243" s="4">
        <f t="shared" si="34"/>
        <v>6827.1339999999991</v>
      </c>
      <c r="V243" s="4">
        <f t="shared" si="35"/>
        <v>9102.8453333333309</v>
      </c>
      <c r="W243" s="4">
        <v>7000</v>
      </c>
      <c r="X243" s="4">
        <v>0</v>
      </c>
      <c r="Y243" s="4">
        <v>20000</v>
      </c>
    </row>
    <row r="244" spans="2:25" x14ac:dyDescent="0.3">
      <c r="B244" s="1" t="s">
        <v>229</v>
      </c>
      <c r="C244" s="2" t="s">
        <v>290</v>
      </c>
      <c r="E244" s="4">
        <v>0</v>
      </c>
      <c r="F244" s="4">
        <v>300</v>
      </c>
      <c r="H244" s="4">
        <v>85.87</v>
      </c>
      <c r="I244" s="4">
        <v>85.87</v>
      </c>
      <c r="J244" s="4">
        <v>85.87</v>
      </c>
      <c r="K244" s="4">
        <v>85.61</v>
      </c>
      <c r="L244" s="4">
        <v>85.4</v>
      </c>
      <c r="M244" s="4">
        <v>85.4</v>
      </c>
      <c r="N244" s="4">
        <v>85.54</v>
      </c>
      <c r="S244" s="4">
        <f t="shared" si="41"/>
        <v>599.55999999999995</v>
      </c>
      <c r="T244" s="4">
        <f t="shared" ref="T244:T245" si="43">X244</f>
        <v>85.42</v>
      </c>
      <c r="U244" s="4">
        <f t="shared" si="34"/>
        <v>684.9799999999999</v>
      </c>
      <c r="V244" s="4">
        <f t="shared" si="35"/>
        <v>913.30666666666662</v>
      </c>
      <c r="W244" s="4">
        <v>700</v>
      </c>
      <c r="X244" s="4">
        <v>85.42</v>
      </c>
      <c r="Y244" s="4">
        <v>30</v>
      </c>
    </row>
    <row r="245" spans="2:25" x14ac:dyDescent="0.3">
      <c r="B245" s="1" t="s">
        <v>230</v>
      </c>
      <c r="C245" s="2" t="s">
        <v>304</v>
      </c>
      <c r="E245" s="4">
        <v>538.57000000000005</v>
      </c>
      <c r="F245" s="4">
        <v>1200</v>
      </c>
      <c r="S245" s="4">
        <f t="shared" si="41"/>
        <v>0</v>
      </c>
      <c r="T245" s="4">
        <f t="shared" si="43"/>
        <v>808.03</v>
      </c>
      <c r="U245" s="4">
        <f t="shared" si="34"/>
        <v>808.03</v>
      </c>
      <c r="V245" s="4">
        <f t="shared" si="35"/>
        <v>1077.3733333333332</v>
      </c>
      <c r="W245" s="4">
        <v>1000</v>
      </c>
      <c r="X245" s="4">
        <v>808.03</v>
      </c>
      <c r="Y245" s="4">
        <v>930.54</v>
      </c>
    </row>
    <row r="246" spans="2:25" x14ac:dyDescent="0.3">
      <c r="B246" s="1" t="s">
        <v>231</v>
      </c>
      <c r="C246" s="2" t="s">
        <v>315</v>
      </c>
      <c r="E246" s="4">
        <v>1453.95</v>
      </c>
      <c r="F246" s="4">
        <v>10730</v>
      </c>
      <c r="G246" s="6">
        <v>518.65</v>
      </c>
      <c r="I246" s="4">
        <f>745.55+608.35</f>
        <v>1353.9</v>
      </c>
      <c r="J246" s="4">
        <f>400+5700+907.75</f>
        <v>7007.75</v>
      </c>
      <c r="K246" s="4">
        <v>770.2</v>
      </c>
      <c r="L246" s="4">
        <f>1119.65+1054.75</f>
        <v>2174.4</v>
      </c>
      <c r="M246" s="4">
        <v>455.25</v>
      </c>
      <c r="N246" s="4">
        <f>1322.8+961.13</f>
        <v>2283.9299999999998</v>
      </c>
      <c r="S246" s="4">
        <f t="shared" si="41"/>
        <v>14564.08</v>
      </c>
      <c r="U246" s="4">
        <f t="shared" si="34"/>
        <v>14564.08</v>
      </c>
      <c r="V246" s="4">
        <f t="shared" si="35"/>
        <v>19418.773333333334</v>
      </c>
      <c r="W246" s="4">
        <v>15000</v>
      </c>
      <c r="X246" s="4">
        <v>0</v>
      </c>
      <c r="Y246" s="4">
        <v>10730</v>
      </c>
    </row>
    <row r="247" spans="2:25" x14ac:dyDescent="0.3">
      <c r="B247" s="1" t="s">
        <v>232</v>
      </c>
      <c r="C247" s="2" t="s">
        <v>346</v>
      </c>
      <c r="E247" s="4">
        <v>0</v>
      </c>
      <c r="F247" s="4">
        <v>2800</v>
      </c>
      <c r="J247" s="21">
        <v>654</v>
      </c>
      <c r="S247" s="4">
        <f t="shared" si="41"/>
        <v>654</v>
      </c>
      <c r="U247" s="4">
        <f t="shared" si="34"/>
        <v>654</v>
      </c>
      <c r="V247" s="4">
        <f t="shared" si="35"/>
        <v>872</v>
      </c>
      <c r="W247" s="4">
        <v>700</v>
      </c>
      <c r="X247" s="4">
        <v>0</v>
      </c>
      <c r="Y247" s="4">
        <v>2800</v>
      </c>
    </row>
    <row r="248" spans="2:25" x14ac:dyDescent="0.3">
      <c r="B248" s="1" t="s">
        <v>233</v>
      </c>
      <c r="C248" s="2" t="s">
        <v>326</v>
      </c>
      <c r="E248" s="4">
        <v>0</v>
      </c>
      <c r="F248" s="4">
        <v>14400</v>
      </c>
      <c r="H248" s="4">
        <v>1362.4</v>
      </c>
      <c r="J248" s="4">
        <f>1741.04</f>
        <v>1741.04</v>
      </c>
      <c r="K248" s="4">
        <v>2098.69</v>
      </c>
      <c r="L248" s="4">
        <f>1756.06+1874.46+1969.76</f>
        <v>5600.28</v>
      </c>
      <c r="M248" s="4">
        <v>719.04</v>
      </c>
      <c r="S248" s="4">
        <f t="shared" si="41"/>
        <v>11521.45</v>
      </c>
      <c r="U248" s="4">
        <f t="shared" si="34"/>
        <v>11521.45</v>
      </c>
      <c r="V248" s="4">
        <f t="shared" si="35"/>
        <v>15361.933333333334</v>
      </c>
      <c r="W248" s="4">
        <v>11550</v>
      </c>
      <c r="X248" s="4">
        <v>0</v>
      </c>
      <c r="Y248" s="4">
        <v>14400</v>
      </c>
    </row>
    <row r="249" spans="2:25" x14ac:dyDescent="0.3">
      <c r="B249" s="1" t="s">
        <v>234</v>
      </c>
      <c r="C249" s="2" t="s">
        <v>347</v>
      </c>
      <c r="E249" s="4">
        <v>0</v>
      </c>
      <c r="F249" s="4">
        <v>1500</v>
      </c>
      <c r="K249" s="4">
        <v>319.89</v>
      </c>
      <c r="M249" s="4">
        <v>136.54</v>
      </c>
      <c r="S249" s="4">
        <f t="shared" si="41"/>
        <v>456.42999999999995</v>
      </c>
      <c r="T249" s="4">
        <f t="shared" ref="T249" si="44">X249</f>
        <v>527.80999999999995</v>
      </c>
      <c r="U249" s="4">
        <f t="shared" si="34"/>
        <v>984.2399999999999</v>
      </c>
      <c r="V249" s="4">
        <f t="shared" si="35"/>
        <v>1312.3199999999997</v>
      </c>
      <c r="W249" s="4">
        <v>500</v>
      </c>
      <c r="X249" s="4">
        <v>527.80999999999995</v>
      </c>
      <c r="Y249" s="4">
        <v>893.53</v>
      </c>
    </row>
    <row r="250" spans="2:25" x14ac:dyDescent="0.3">
      <c r="B250" s="1" t="s">
        <v>235</v>
      </c>
      <c r="C250" s="2" t="s">
        <v>314</v>
      </c>
      <c r="E250" s="4">
        <v>0</v>
      </c>
      <c r="F250" s="4">
        <v>0</v>
      </c>
      <c r="S250" s="4">
        <f t="shared" si="41"/>
        <v>0</v>
      </c>
      <c r="U250" s="4">
        <f t="shared" si="34"/>
        <v>0</v>
      </c>
      <c r="V250" s="4">
        <f t="shared" si="35"/>
        <v>0</v>
      </c>
      <c r="X250" s="4">
        <v>0</v>
      </c>
      <c r="Y250" s="4">
        <v>0</v>
      </c>
    </row>
    <row r="251" spans="2:25" x14ac:dyDescent="0.3">
      <c r="B251" s="1" t="s">
        <v>236</v>
      </c>
      <c r="C251" s="2" t="s">
        <v>291</v>
      </c>
      <c r="E251" s="4">
        <v>0</v>
      </c>
      <c r="F251" s="4">
        <v>8950</v>
      </c>
      <c r="S251" s="4">
        <f t="shared" si="41"/>
        <v>0</v>
      </c>
      <c r="T251" s="4">
        <f t="shared" ref="T251" si="45">X251</f>
        <v>1787.5</v>
      </c>
      <c r="U251" s="4">
        <f t="shared" si="34"/>
        <v>1787.5</v>
      </c>
      <c r="V251" s="4">
        <f t="shared" si="35"/>
        <v>2383.3333333333335</v>
      </c>
      <c r="W251" s="25">
        <f>1200*6</f>
        <v>7200</v>
      </c>
      <c r="X251" s="4">
        <v>1787.5</v>
      </c>
      <c r="Y251" s="4">
        <v>6950</v>
      </c>
    </row>
    <row r="252" spans="2:25" x14ac:dyDescent="0.3">
      <c r="B252" s="1" t="s">
        <v>237</v>
      </c>
      <c r="C252" s="2" t="s">
        <v>316</v>
      </c>
      <c r="E252" s="4">
        <v>0</v>
      </c>
      <c r="F252" s="4">
        <v>510</v>
      </c>
      <c r="J252" s="17">
        <v>162</v>
      </c>
      <c r="L252" s="23">
        <v>162</v>
      </c>
      <c r="S252" s="4">
        <f t="shared" si="41"/>
        <v>324</v>
      </c>
      <c r="U252" s="4">
        <f t="shared" si="34"/>
        <v>324</v>
      </c>
      <c r="V252" s="4">
        <f t="shared" si="35"/>
        <v>432</v>
      </c>
      <c r="W252" s="4">
        <v>510</v>
      </c>
      <c r="X252" s="4">
        <v>0</v>
      </c>
      <c r="Y252" s="4">
        <v>510</v>
      </c>
    </row>
    <row r="253" spans="2:25" x14ac:dyDescent="0.3">
      <c r="B253" s="1" t="s">
        <v>238</v>
      </c>
      <c r="C253" s="2" t="s">
        <v>294</v>
      </c>
      <c r="E253" s="4">
        <v>0</v>
      </c>
      <c r="F253" s="4">
        <v>535</v>
      </c>
      <c r="S253" s="4">
        <f t="shared" si="41"/>
        <v>0</v>
      </c>
      <c r="T253" s="4">
        <f t="shared" ref="T253" si="46">X253</f>
        <v>101.9</v>
      </c>
      <c r="U253" s="4">
        <f t="shared" si="34"/>
        <v>101.9</v>
      </c>
      <c r="V253" s="4">
        <f t="shared" si="35"/>
        <v>135.86666666666667</v>
      </c>
      <c r="W253" s="4">
        <v>535</v>
      </c>
      <c r="X253" s="4">
        <v>101.9</v>
      </c>
      <c r="Y253" s="4">
        <v>433.1</v>
      </c>
    </row>
    <row r="254" spans="2:25" x14ac:dyDescent="0.3">
      <c r="B254" s="1" t="s">
        <v>239</v>
      </c>
      <c r="C254" s="2" t="s">
        <v>297</v>
      </c>
      <c r="E254" s="4">
        <v>0</v>
      </c>
      <c r="F254" s="4">
        <v>150</v>
      </c>
      <c r="S254" s="4">
        <f t="shared" si="41"/>
        <v>0</v>
      </c>
      <c r="U254" s="4">
        <f t="shared" si="34"/>
        <v>0</v>
      </c>
      <c r="V254" s="4">
        <f t="shared" si="35"/>
        <v>0</v>
      </c>
      <c r="X254" s="4">
        <v>0</v>
      </c>
      <c r="Y254" s="4">
        <v>150</v>
      </c>
    </row>
    <row r="255" spans="2:25" x14ac:dyDescent="0.3">
      <c r="B255" s="1" t="s">
        <v>240</v>
      </c>
      <c r="C255" s="2" t="s">
        <v>313</v>
      </c>
      <c r="E255" s="4">
        <v>0</v>
      </c>
      <c r="F255" s="4">
        <v>0</v>
      </c>
      <c r="S255" s="4">
        <f t="shared" si="41"/>
        <v>0</v>
      </c>
      <c r="U255" s="4">
        <f t="shared" si="34"/>
        <v>0</v>
      </c>
      <c r="V255" s="4">
        <f t="shared" si="35"/>
        <v>0</v>
      </c>
      <c r="X255" s="4">
        <v>0</v>
      </c>
      <c r="Y255" s="4">
        <v>0</v>
      </c>
    </row>
    <row r="256" spans="2:25" x14ac:dyDescent="0.3">
      <c r="B256" s="1" t="s">
        <v>241</v>
      </c>
      <c r="C256" s="2" t="s">
        <v>326</v>
      </c>
      <c r="E256" s="4">
        <v>0</v>
      </c>
      <c r="F256" s="4">
        <v>0</v>
      </c>
      <c r="S256" s="4">
        <f t="shared" si="41"/>
        <v>0</v>
      </c>
      <c r="U256" s="4">
        <f t="shared" si="34"/>
        <v>0</v>
      </c>
      <c r="V256" s="4">
        <f t="shared" si="35"/>
        <v>0</v>
      </c>
      <c r="X256" s="4">
        <v>0</v>
      </c>
      <c r="Y256" s="4">
        <v>0</v>
      </c>
    </row>
    <row r="257" spans="2:26" x14ac:dyDescent="0.3">
      <c r="B257" s="1" t="s">
        <v>242</v>
      </c>
      <c r="C257" s="2" t="s">
        <v>334</v>
      </c>
      <c r="E257" s="4">
        <v>0</v>
      </c>
      <c r="F257" s="4">
        <v>0</v>
      </c>
      <c r="S257" s="4">
        <f t="shared" si="41"/>
        <v>0</v>
      </c>
      <c r="U257" s="4">
        <f t="shared" si="34"/>
        <v>0</v>
      </c>
      <c r="V257" s="4">
        <f t="shared" si="35"/>
        <v>0</v>
      </c>
      <c r="X257" s="4">
        <v>0</v>
      </c>
      <c r="Y257" s="4">
        <v>0</v>
      </c>
    </row>
    <row r="258" spans="2:26" x14ac:dyDescent="0.3">
      <c r="B258" s="1" t="s">
        <v>243</v>
      </c>
      <c r="C258" s="2" t="s">
        <v>348</v>
      </c>
      <c r="E258" s="4">
        <v>0</v>
      </c>
      <c r="F258" s="4">
        <v>0</v>
      </c>
      <c r="S258" s="4">
        <f t="shared" si="41"/>
        <v>0</v>
      </c>
      <c r="U258" s="4">
        <f t="shared" si="34"/>
        <v>0</v>
      </c>
      <c r="V258" s="4">
        <f t="shared" si="35"/>
        <v>0</v>
      </c>
      <c r="X258" s="4">
        <v>0</v>
      </c>
      <c r="Y258" s="4">
        <v>0</v>
      </c>
    </row>
    <row r="259" spans="2:26" x14ac:dyDescent="0.3">
      <c r="B259" s="1" t="s">
        <v>244</v>
      </c>
      <c r="C259" s="2" t="s">
        <v>298</v>
      </c>
      <c r="E259" s="4">
        <v>0</v>
      </c>
      <c r="F259" s="4">
        <v>0</v>
      </c>
      <c r="S259" s="4">
        <f t="shared" si="41"/>
        <v>0</v>
      </c>
      <c r="U259" s="4">
        <f t="shared" si="34"/>
        <v>0</v>
      </c>
      <c r="V259" s="4">
        <f t="shared" si="35"/>
        <v>0</v>
      </c>
      <c r="X259" s="4">
        <v>0</v>
      </c>
      <c r="Y259" s="4">
        <v>0</v>
      </c>
    </row>
    <row r="260" spans="2:26" x14ac:dyDescent="0.3">
      <c r="B260" s="1" t="s">
        <v>245</v>
      </c>
      <c r="C260" s="2" t="s">
        <v>310</v>
      </c>
      <c r="E260" s="4">
        <v>0</v>
      </c>
      <c r="F260" s="4">
        <v>0</v>
      </c>
      <c r="S260" s="4">
        <f t="shared" si="41"/>
        <v>0</v>
      </c>
      <c r="U260" s="4">
        <f t="shared" si="34"/>
        <v>0</v>
      </c>
      <c r="V260" s="4">
        <f t="shared" si="35"/>
        <v>0</v>
      </c>
      <c r="X260" s="4">
        <v>0</v>
      </c>
      <c r="Y260" s="4">
        <v>0</v>
      </c>
    </row>
    <row r="261" spans="2:26" x14ac:dyDescent="0.3">
      <c r="B261" s="1" t="s">
        <v>246</v>
      </c>
      <c r="C261" s="2" t="s">
        <v>345</v>
      </c>
      <c r="E261" s="4">
        <v>0</v>
      </c>
      <c r="F261" s="4">
        <v>0</v>
      </c>
      <c r="S261" s="4">
        <f t="shared" si="41"/>
        <v>0</v>
      </c>
      <c r="U261" s="4">
        <f t="shared" si="34"/>
        <v>0</v>
      </c>
      <c r="V261" s="4">
        <f t="shared" si="35"/>
        <v>0</v>
      </c>
      <c r="X261" s="4">
        <v>0</v>
      </c>
      <c r="Y261" s="4">
        <v>0</v>
      </c>
    </row>
    <row r="262" spans="2:26" x14ac:dyDescent="0.3">
      <c r="B262" s="1" t="s">
        <v>247</v>
      </c>
      <c r="C262" s="2" t="s">
        <v>291</v>
      </c>
      <c r="E262" s="4">
        <v>0</v>
      </c>
      <c r="F262" s="4">
        <v>0</v>
      </c>
      <c r="S262" s="4">
        <f t="shared" si="41"/>
        <v>0</v>
      </c>
      <c r="U262" s="4">
        <f t="shared" si="34"/>
        <v>0</v>
      </c>
      <c r="V262" s="4">
        <f t="shared" si="35"/>
        <v>0</v>
      </c>
      <c r="X262" s="4">
        <v>0</v>
      </c>
      <c r="Y262" s="4">
        <v>0</v>
      </c>
    </row>
    <row r="263" spans="2:26" x14ac:dyDescent="0.3">
      <c r="B263" s="1" t="s">
        <v>248</v>
      </c>
      <c r="C263" s="2" t="s">
        <v>324</v>
      </c>
      <c r="E263" s="4">
        <v>0</v>
      </c>
      <c r="F263" s="4">
        <v>0</v>
      </c>
      <c r="S263" s="4">
        <f t="shared" si="41"/>
        <v>0</v>
      </c>
      <c r="U263" s="4">
        <f t="shared" si="34"/>
        <v>0</v>
      </c>
      <c r="V263" s="4">
        <f t="shared" si="35"/>
        <v>0</v>
      </c>
      <c r="X263" s="4">
        <v>0</v>
      </c>
      <c r="Y263" s="4">
        <v>0</v>
      </c>
    </row>
    <row r="264" spans="2:26" x14ac:dyDescent="0.3">
      <c r="B264" s="1" t="s">
        <v>249</v>
      </c>
      <c r="C264" s="2" t="s">
        <v>327</v>
      </c>
      <c r="E264" s="4">
        <v>0</v>
      </c>
      <c r="F264" s="4">
        <v>0</v>
      </c>
      <c r="S264" s="4">
        <f t="shared" si="41"/>
        <v>0</v>
      </c>
      <c r="U264" s="4">
        <f t="shared" si="34"/>
        <v>0</v>
      </c>
      <c r="V264" s="4">
        <f t="shared" si="35"/>
        <v>0</v>
      </c>
      <c r="X264" s="4">
        <v>0</v>
      </c>
      <c r="Y264" s="4">
        <v>0</v>
      </c>
    </row>
    <row r="265" spans="2:26" x14ac:dyDescent="0.3">
      <c r="B265" s="1" t="s">
        <v>250</v>
      </c>
      <c r="C265" s="2" t="s">
        <v>328</v>
      </c>
      <c r="E265" s="4">
        <v>0</v>
      </c>
      <c r="F265" s="4">
        <v>0</v>
      </c>
      <c r="S265" s="4">
        <f t="shared" si="41"/>
        <v>0</v>
      </c>
      <c r="U265" s="4">
        <f t="shared" si="34"/>
        <v>0</v>
      </c>
      <c r="V265" s="4">
        <f t="shared" si="35"/>
        <v>0</v>
      </c>
      <c r="X265" s="4">
        <v>0</v>
      </c>
      <c r="Y265" s="4">
        <v>0</v>
      </c>
    </row>
    <row r="266" spans="2:26" x14ac:dyDescent="0.3">
      <c r="B266" s="1" t="s">
        <v>251</v>
      </c>
      <c r="C266" s="2" t="s">
        <v>349</v>
      </c>
      <c r="E266" s="4">
        <v>0</v>
      </c>
      <c r="F266" s="4">
        <v>0</v>
      </c>
      <c r="S266" s="4">
        <f t="shared" si="41"/>
        <v>0</v>
      </c>
      <c r="U266" s="4">
        <f t="shared" si="34"/>
        <v>0</v>
      </c>
      <c r="V266" s="4">
        <f t="shared" si="35"/>
        <v>0</v>
      </c>
      <c r="X266" s="4">
        <v>0</v>
      </c>
      <c r="Y266" s="4">
        <v>0</v>
      </c>
    </row>
    <row r="267" spans="2:26" x14ac:dyDescent="0.3">
      <c r="B267" s="1" t="s">
        <v>252</v>
      </c>
      <c r="C267" s="2" t="s">
        <v>350</v>
      </c>
      <c r="E267" s="4">
        <v>0</v>
      </c>
      <c r="F267" s="4">
        <v>0</v>
      </c>
      <c r="S267" s="4">
        <f t="shared" si="41"/>
        <v>0</v>
      </c>
      <c r="U267" s="4">
        <f t="shared" ref="U267:U306" si="47">S267+T267</f>
        <v>0</v>
      </c>
      <c r="V267" s="4">
        <f t="shared" ref="V267:V306" si="48">(U267/9)*12</f>
        <v>0</v>
      </c>
      <c r="X267" s="4">
        <v>0</v>
      </c>
      <c r="Y267" s="4">
        <v>0</v>
      </c>
    </row>
    <row r="268" spans="2:26" x14ac:dyDescent="0.3">
      <c r="B268" s="1" t="s">
        <v>253</v>
      </c>
      <c r="C268" s="2" t="s">
        <v>351</v>
      </c>
      <c r="E268" s="4">
        <v>0</v>
      </c>
      <c r="F268" s="4">
        <v>0</v>
      </c>
      <c r="S268" s="4">
        <f t="shared" si="41"/>
        <v>0</v>
      </c>
      <c r="U268" s="4">
        <f t="shared" si="47"/>
        <v>0</v>
      </c>
      <c r="V268" s="4">
        <f t="shared" si="48"/>
        <v>0</v>
      </c>
      <c r="X268" s="4">
        <v>0</v>
      </c>
      <c r="Y268" s="4">
        <v>0</v>
      </c>
    </row>
    <row r="269" spans="2:26" x14ac:dyDescent="0.3">
      <c r="B269" s="1" t="s">
        <v>254</v>
      </c>
      <c r="C269" s="2" t="s">
        <v>330</v>
      </c>
      <c r="E269" s="4">
        <v>0</v>
      </c>
      <c r="F269" s="4">
        <v>79687</v>
      </c>
      <c r="S269" s="4">
        <f t="shared" si="41"/>
        <v>0</v>
      </c>
      <c r="T269" s="4">
        <f t="shared" ref="T269" si="49">X269</f>
        <v>49477.57</v>
      </c>
      <c r="U269" s="4">
        <v>79687</v>
      </c>
      <c r="V269" s="4">
        <v>79687</v>
      </c>
      <c r="W269" s="4">
        <f>W278+W286+W287+W289+W290</f>
        <v>79683</v>
      </c>
      <c r="X269" s="4">
        <v>49477.57</v>
      </c>
      <c r="Y269" s="4">
        <v>30209.43</v>
      </c>
    </row>
    <row r="270" spans="2:26" x14ac:dyDescent="0.3">
      <c r="B270" s="1" t="s">
        <v>255</v>
      </c>
      <c r="C270" s="2" t="s">
        <v>331</v>
      </c>
      <c r="E270" s="4">
        <v>0</v>
      </c>
      <c r="F270" s="4">
        <v>0</v>
      </c>
      <c r="S270" s="4">
        <f t="shared" si="41"/>
        <v>0</v>
      </c>
      <c r="U270" s="4">
        <f t="shared" si="47"/>
        <v>0</v>
      </c>
      <c r="V270" s="4">
        <f t="shared" si="48"/>
        <v>0</v>
      </c>
      <c r="X270" s="4">
        <v>0</v>
      </c>
      <c r="Y270" s="4">
        <v>0</v>
      </c>
    </row>
    <row r="271" spans="2:26" x14ac:dyDescent="0.3">
      <c r="B271" s="1" t="s">
        <v>256</v>
      </c>
      <c r="C271" s="2" t="s">
        <v>332</v>
      </c>
      <c r="E271" s="4">
        <v>0</v>
      </c>
      <c r="F271" s="4">
        <v>0</v>
      </c>
      <c r="S271" s="4">
        <f t="shared" si="41"/>
        <v>0</v>
      </c>
      <c r="U271" s="4">
        <f t="shared" si="47"/>
        <v>0</v>
      </c>
      <c r="V271" s="4">
        <f t="shared" si="48"/>
        <v>0</v>
      </c>
      <c r="X271" s="4">
        <v>0</v>
      </c>
      <c r="Y271" s="4">
        <v>0</v>
      </c>
      <c r="Z271" s="37">
        <f>SUM(W238:W271)</f>
        <v>166428.12</v>
      </c>
    </row>
    <row r="273" spans="1:27" hidden="1" x14ac:dyDescent="0.3">
      <c r="B273" s="1" t="s">
        <v>257</v>
      </c>
      <c r="C273" s="2" t="s">
        <v>328</v>
      </c>
      <c r="E273" s="4">
        <v>388</v>
      </c>
      <c r="F273" s="4">
        <v>0</v>
      </c>
      <c r="S273" s="4">
        <f>SUM(G273:O273)</f>
        <v>0</v>
      </c>
      <c r="U273" s="4">
        <f t="shared" si="47"/>
        <v>0</v>
      </c>
      <c r="V273" s="4">
        <f t="shared" si="48"/>
        <v>0</v>
      </c>
      <c r="X273" s="4">
        <v>0</v>
      </c>
      <c r="Y273" s="4">
        <v>0</v>
      </c>
    </row>
    <row r="274" spans="1:27" hidden="1" x14ac:dyDescent="0.3">
      <c r="B274" s="1" t="s">
        <v>258</v>
      </c>
      <c r="C274" s="2" t="s">
        <v>329</v>
      </c>
      <c r="E274" s="4">
        <v>1034</v>
      </c>
      <c r="F274" s="4">
        <v>0</v>
      </c>
      <c r="S274" s="4">
        <f>SUM(G274:O274)</f>
        <v>0</v>
      </c>
      <c r="U274" s="4">
        <f t="shared" si="47"/>
        <v>0</v>
      </c>
      <c r="V274" s="4">
        <f t="shared" si="48"/>
        <v>0</v>
      </c>
      <c r="X274" s="4">
        <v>0</v>
      </c>
      <c r="Y274" s="4">
        <v>0</v>
      </c>
    </row>
    <row r="275" spans="1:27" hidden="1" x14ac:dyDescent="0.3">
      <c r="B275" s="1" t="s">
        <v>259</v>
      </c>
      <c r="C275" s="2" t="s">
        <v>352</v>
      </c>
      <c r="E275" s="4">
        <v>0</v>
      </c>
      <c r="F275" s="4">
        <v>0</v>
      </c>
      <c r="S275" s="4">
        <f>SUM(G275:O275)</f>
        <v>0</v>
      </c>
      <c r="U275" s="4">
        <f t="shared" si="47"/>
        <v>0</v>
      </c>
      <c r="V275" s="4">
        <f t="shared" si="48"/>
        <v>0</v>
      </c>
      <c r="X275" s="4">
        <v>0</v>
      </c>
      <c r="Y275" s="4">
        <v>0</v>
      </c>
    </row>
    <row r="276" spans="1:27" hidden="1" x14ac:dyDescent="0.3">
      <c r="B276" s="1" t="s">
        <v>260</v>
      </c>
      <c r="C276" s="2" t="s">
        <v>330</v>
      </c>
      <c r="E276" s="4">
        <v>0</v>
      </c>
      <c r="F276" s="4">
        <v>0</v>
      </c>
      <c r="S276" s="4">
        <f>SUM(G276:O276)</f>
        <v>0</v>
      </c>
      <c r="U276" s="4">
        <f t="shared" si="47"/>
        <v>0</v>
      </c>
      <c r="V276" s="4">
        <f t="shared" si="48"/>
        <v>0</v>
      </c>
      <c r="X276" s="4">
        <v>0</v>
      </c>
      <c r="Y276" s="4">
        <v>0</v>
      </c>
    </row>
    <row r="278" spans="1:27" x14ac:dyDescent="0.3">
      <c r="A278" t="s">
        <v>405</v>
      </c>
      <c r="B278" s="1" t="s">
        <v>261</v>
      </c>
      <c r="C278" s="2" t="s">
        <v>328</v>
      </c>
      <c r="E278" s="4">
        <v>0</v>
      </c>
      <c r="F278" s="4">
        <v>10000</v>
      </c>
      <c r="H278" s="4">
        <v>5000</v>
      </c>
      <c r="K278" s="4">
        <v>5000</v>
      </c>
      <c r="S278" s="4">
        <f>SUM(G278:O278)</f>
        <v>10000</v>
      </c>
      <c r="U278" s="4">
        <f t="shared" si="47"/>
        <v>10000</v>
      </c>
      <c r="V278" s="4">
        <v>10000</v>
      </c>
      <c r="W278" s="4">
        <v>10000</v>
      </c>
      <c r="X278" s="4">
        <v>0</v>
      </c>
      <c r="Y278" s="4">
        <v>10000</v>
      </c>
    </row>
    <row r="279" spans="1:27" hidden="1" x14ac:dyDescent="0.3">
      <c r="B279" s="1" t="s">
        <v>262</v>
      </c>
      <c r="C279" s="2" t="s">
        <v>329</v>
      </c>
      <c r="E279" s="4">
        <v>0</v>
      </c>
      <c r="F279" s="4">
        <v>0</v>
      </c>
      <c r="S279" s="4">
        <f>SUM(G279:O279)</f>
        <v>0</v>
      </c>
      <c r="U279" s="4">
        <f t="shared" si="47"/>
        <v>0</v>
      </c>
      <c r="V279" s="4">
        <f t="shared" si="48"/>
        <v>0</v>
      </c>
      <c r="X279" s="4">
        <v>0</v>
      </c>
      <c r="Y279" s="4">
        <v>0</v>
      </c>
    </row>
    <row r="280" spans="1:27" hidden="1" x14ac:dyDescent="0.3">
      <c r="B280" s="1" t="s">
        <v>263</v>
      </c>
      <c r="C280" s="2" t="s">
        <v>352</v>
      </c>
      <c r="E280" s="4">
        <v>0</v>
      </c>
      <c r="F280" s="4">
        <v>0</v>
      </c>
      <c r="S280" s="4">
        <f>SUM(G280:O280)</f>
        <v>0</v>
      </c>
      <c r="U280" s="4">
        <f t="shared" si="47"/>
        <v>0</v>
      </c>
      <c r="V280" s="4">
        <f t="shared" si="48"/>
        <v>0</v>
      </c>
      <c r="X280" s="4">
        <v>0</v>
      </c>
      <c r="Y280" s="4">
        <v>0</v>
      </c>
    </row>
    <row r="281" spans="1:27" hidden="1" x14ac:dyDescent="0.3">
      <c r="B281" s="1" t="s">
        <v>264</v>
      </c>
      <c r="C281" s="2" t="s">
        <v>330</v>
      </c>
      <c r="E281" s="4">
        <v>0</v>
      </c>
      <c r="F281" s="4">
        <v>0</v>
      </c>
      <c r="S281" s="4">
        <f>SUM(G281:O281)</f>
        <v>0</v>
      </c>
      <c r="U281" s="4">
        <f t="shared" si="47"/>
        <v>0</v>
      </c>
      <c r="V281" s="4">
        <f t="shared" si="48"/>
        <v>0</v>
      </c>
      <c r="X281" s="4">
        <v>0</v>
      </c>
      <c r="Y281" s="4">
        <v>0</v>
      </c>
    </row>
    <row r="283" spans="1:27" x14ac:dyDescent="0.3">
      <c r="A283" t="s">
        <v>406</v>
      </c>
      <c r="B283" s="1" t="s">
        <v>265</v>
      </c>
      <c r="C283" s="2" t="s">
        <v>328</v>
      </c>
      <c r="E283" s="4">
        <v>0</v>
      </c>
      <c r="F283" s="4">
        <v>23689.84</v>
      </c>
      <c r="H283" s="4">
        <v>2874.76</v>
      </c>
      <c r="K283" s="4">
        <v>2874.76</v>
      </c>
      <c r="M283" s="4">
        <v>11867.09</v>
      </c>
      <c r="S283" s="4">
        <f>SUM(G283:O283)</f>
        <v>17616.61</v>
      </c>
      <c r="T283" s="4">
        <f t="shared" ref="T283:T290" si="50">X283</f>
        <v>11822.75</v>
      </c>
      <c r="U283" s="4">
        <f t="shared" si="47"/>
        <v>29439.360000000001</v>
      </c>
      <c r="V283" s="4">
        <f t="shared" si="48"/>
        <v>39252.479999999996</v>
      </c>
      <c r="W283" s="19">
        <f>11822.75+11867.09</f>
        <v>23689.84</v>
      </c>
      <c r="X283" s="4">
        <v>11822.75</v>
      </c>
      <c r="Y283" s="4">
        <v>11867.09</v>
      </c>
      <c r="AA283" s="20">
        <f>W283/2</f>
        <v>11844.92</v>
      </c>
    </row>
    <row r="284" spans="1:27" x14ac:dyDescent="0.3">
      <c r="A284" t="s">
        <v>406</v>
      </c>
      <c r="B284" s="1" t="s">
        <v>266</v>
      </c>
      <c r="C284" s="2" t="s">
        <v>329</v>
      </c>
      <c r="E284" s="4">
        <v>0</v>
      </c>
      <c r="F284" s="4">
        <v>5578.98</v>
      </c>
      <c r="M284" s="24">
        <v>2767.32</v>
      </c>
      <c r="S284" s="4">
        <f>SUM(G284:O284)</f>
        <v>2767.32</v>
      </c>
      <c r="T284" s="4">
        <f t="shared" si="50"/>
        <v>2811.66</v>
      </c>
      <c r="U284" s="4">
        <f t="shared" si="47"/>
        <v>5578.98</v>
      </c>
      <c r="V284" s="4">
        <f t="shared" si="48"/>
        <v>7438.6399999999994</v>
      </c>
      <c r="W284" s="19">
        <f>2811.66+2767.32</f>
        <v>5578.98</v>
      </c>
      <c r="X284" s="4">
        <v>2811.66</v>
      </c>
      <c r="Y284" s="4">
        <v>2767.32</v>
      </c>
      <c r="AA284" s="20">
        <f>W284/2</f>
        <v>2789.49</v>
      </c>
    </row>
    <row r="286" spans="1:27" x14ac:dyDescent="0.3">
      <c r="A286" t="s">
        <v>407</v>
      </c>
      <c r="B286" s="1" t="s">
        <v>267</v>
      </c>
      <c r="C286" s="2" t="s">
        <v>328</v>
      </c>
      <c r="E286" s="4">
        <v>0</v>
      </c>
      <c r="F286" s="4">
        <v>32908.97</v>
      </c>
      <c r="M286" s="4">
        <v>16545.3</v>
      </c>
      <c r="S286" s="4">
        <f>SUM(G286:O286)</f>
        <v>16545.3</v>
      </c>
      <c r="T286" s="4">
        <f t="shared" si="50"/>
        <v>16363.67</v>
      </c>
      <c r="U286" s="4">
        <f t="shared" si="47"/>
        <v>32908.97</v>
      </c>
      <c r="V286" s="4">
        <f t="shared" si="48"/>
        <v>43878.626666666671</v>
      </c>
      <c r="W286" s="4">
        <f>16363.67+16545.3</f>
        <v>32908.97</v>
      </c>
      <c r="X286" s="4">
        <v>16363.67</v>
      </c>
      <c r="Y286" s="4">
        <v>16545.3</v>
      </c>
    </row>
    <row r="287" spans="1:27" x14ac:dyDescent="0.3">
      <c r="A287" t="s">
        <v>407</v>
      </c>
      <c r="B287" s="1" t="s">
        <v>268</v>
      </c>
      <c r="C287" s="2" t="s">
        <v>329</v>
      </c>
      <c r="E287" s="4">
        <v>0</v>
      </c>
      <c r="F287" s="4">
        <v>23302.13</v>
      </c>
      <c r="M287" s="4">
        <v>11560.25</v>
      </c>
      <c r="S287" s="4">
        <f>SUM(G287:O287)</f>
        <v>11560.25</v>
      </c>
      <c r="T287" s="4">
        <f t="shared" si="50"/>
        <v>11741.88</v>
      </c>
      <c r="U287" s="4">
        <f t="shared" si="47"/>
        <v>23302.129999999997</v>
      </c>
      <c r="V287" s="4">
        <f t="shared" si="48"/>
        <v>31069.506666666664</v>
      </c>
      <c r="W287" s="4">
        <f>11741.88+11560.25-0.1</f>
        <v>23302.03</v>
      </c>
      <c r="X287" s="4">
        <v>11741.88</v>
      </c>
      <c r="Y287" s="4">
        <v>11560.25</v>
      </c>
    </row>
    <row r="289" spans="1:26" x14ac:dyDescent="0.3">
      <c r="A289" t="s">
        <v>408</v>
      </c>
      <c r="B289" s="1" t="s">
        <v>269</v>
      </c>
      <c r="C289" s="2" t="s">
        <v>328</v>
      </c>
      <c r="E289" s="4">
        <v>0</v>
      </c>
      <c r="F289" s="4">
        <v>7889.11</v>
      </c>
      <c r="M289" s="4">
        <v>3966.33</v>
      </c>
      <c r="S289" s="4">
        <f>SUM(G289:O289)</f>
        <v>3966.33</v>
      </c>
      <c r="T289" s="4">
        <f t="shared" si="50"/>
        <v>3922.78</v>
      </c>
      <c r="U289" s="4">
        <f t="shared" si="47"/>
        <v>7889.1100000000006</v>
      </c>
      <c r="V289" s="4">
        <f t="shared" si="48"/>
        <v>10518.813333333334</v>
      </c>
      <c r="W289" s="4">
        <f>3932.78+3966.33-0.11-6.5</f>
        <v>7892.5000000000009</v>
      </c>
      <c r="X289" s="4">
        <v>3922.78</v>
      </c>
      <c r="Y289" s="4">
        <v>3966.33</v>
      </c>
    </row>
    <row r="290" spans="1:26" x14ac:dyDescent="0.3">
      <c r="A290" t="s">
        <v>408</v>
      </c>
      <c r="B290" s="1" t="s">
        <v>270</v>
      </c>
      <c r="C290" s="2" t="s">
        <v>329</v>
      </c>
      <c r="E290" s="4">
        <v>0</v>
      </c>
      <c r="F290" s="4">
        <v>5586.11</v>
      </c>
      <c r="M290" s="4">
        <v>2771.28</v>
      </c>
      <c r="S290" s="4">
        <f>SUM(G290:O290)</f>
        <v>2771.28</v>
      </c>
      <c r="T290" s="4">
        <f t="shared" si="50"/>
        <v>2814.83</v>
      </c>
      <c r="U290" s="4">
        <f t="shared" si="47"/>
        <v>5586.1100000000006</v>
      </c>
      <c r="V290" s="4">
        <f t="shared" si="48"/>
        <v>7448.1466666666674</v>
      </c>
      <c r="W290" s="4">
        <f>5586.11-0.11-6.5</f>
        <v>5579.5</v>
      </c>
      <c r="X290" s="4">
        <v>2814.83</v>
      </c>
      <c r="Y290" s="4">
        <v>2771.28</v>
      </c>
      <c r="Z290" s="37">
        <f>W289+W290</f>
        <v>13472</v>
      </c>
    </row>
    <row r="292" spans="1:26" hidden="1" x14ac:dyDescent="0.3">
      <c r="B292" s="1" t="s">
        <v>271</v>
      </c>
      <c r="C292" s="2" t="s">
        <v>328</v>
      </c>
      <c r="E292" s="4">
        <v>0</v>
      </c>
      <c r="F292" s="4">
        <v>0</v>
      </c>
      <c r="S292" s="4">
        <f>SUM(G292:O292)</f>
        <v>0</v>
      </c>
      <c r="U292" s="4">
        <f t="shared" si="47"/>
        <v>0</v>
      </c>
      <c r="V292" s="4">
        <f t="shared" si="48"/>
        <v>0</v>
      </c>
      <c r="X292" s="4">
        <v>0</v>
      </c>
      <c r="Y292" s="4">
        <v>0</v>
      </c>
    </row>
    <row r="293" spans="1:26" hidden="1" x14ac:dyDescent="0.3">
      <c r="B293" s="1" t="s">
        <v>272</v>
      </c>
      <c r="C293" s="2" t="s">
        <v>329</v>
      </c>
      <c r="E293" s="4">
        <v>0</v>
      </c>
      <c r="F293" s="4">
        <v>0</v>
      </c>
      <c r="S293" s="4">
        <f>SUM(G293:O293)</f>
        <v>0</v>
      </c>
      <c r="U293" s="4">
        <f t="shared" si="47"/>
        <v>0</v>
      </c>
      <c r="V293" s="4">
        <f t="shared" si="48"/>
        <v>0</v>
      </c>
      <c r="X293" s="4">
        <v>0</v>
      </c>
      <c r="Y293" s="4">
        <v>0</v>
      </c>
    </row>
    <row r="294" spans="1:26" hidden="1" x14ac:dyDescent="0.3">
      <c r="B294" s="1" t="s">
        <v>273</v>
      </c>
      <c r="C294" s="2" t="s">
        <v>352</v>
      </c>
      <c r="E294" s="4">
        <v>0</v>
      </c>
      <c r="F294" s="4">
        <v>0</v>
      </c>
      <c r="S294" s="4">
        <f>SUM(G294:O294)</f>
        <v>0</v>
      </c>
      <c r="U294" s="4">
        <f t="shared" si="47"/>
        <v>0</v>
      </c>
      <c r="V294" s="4">
        <f t="shared" si="48"/>
        <v>0</v>
      </c>
      <c r="X294" s="4">
        <v>0</v>
      </c>
      <c r="Y294" s="4">
        <v>0</v>
      </c>
    </row>
    <row r="295" spans="1:26" hidden="1" x14ac:dyDescent="0.3">
      <c r="B295" s="1" t="s">
        <v>274</v>
      </c>
      <c r="C295" s="2" t="s">
        <v>330</v>
      </c>
      <c r="E295" s="4">
        <v>0</v>
      </c>
      <c r="F295" s="4">
        <v>0</v>
      </c>
      <c r="S295" s="4">
        <f>SUM(G295:O295)</f>
        <v>0</v>
      </c>
      <c r="U295" s="4">
        <f t="shared" si="47"/>
        <v>0</v>
      </c>
      <c r="V295" s="4">
        <f t="shared" si="48"/>
        <v>0</v>
      </c>
      <c r="X295" s="4">
        <v>0</v>
      </c>
      <c r="Y295" s="4">
        <v>0</v>
      </c>
    </row>
    <row r="296" spans="1:26" hidden="1" x14ac:dyDescent="0.3">
      <c r="U296" s="4">
        <f t="shared" si="47"/>
        <v>0</v>
      </c>
      <c r="V296" s="4">
        <f t="shared" si="48"/>
        <v>0</v>
      </c>
    </row>
    <row r="297" spans="1:26" hidden="1" x14ac:dyDescent="0.3">
      <c r="B297" s="1" t="s">
        <v>275</v>
      </c>
      <c r="C297" s="2" t="s">
        <v>328</v>
      </c>
      <c r="E297" s="4">
        <v>0</v>
      </c>
      <c r="F297" s="4">
        <v>0</v>
      </c>
      <c r="S297" s="4">
        <f>SUM(G297:O297)</f>
        <v>0</v>
      </c>
      <c r="U297" s="4">
        <f t="shared" si="47"/>
        <v>0</v>
      </c>
      <c r="V297" s="4">
        <f t="shared" si="48"/>
        <v>0</v>
      </c>
      <c r="X297" s="4">
        <v>0</v>
      </c>
      <c r="Y297" s="4">
        <v>0</v>
      </c>
    </row>
    <row r="298" spans="1:26" hidden="1" x14ac:dyDescent="0.3">
      <c r="B298" s="1" t="s">
        <v>276</v>
      </c>
      <c r="C298" s="2" t="s">
        <v>329</v>
      </c>
      <c r="E298" s="4">
        <v>0</v>
      </c>
      <c r="F298" s="4">
        <v>0</v>
      </c>
      <c r="S298" s="4">
        <f>SUM(G298:O298)</f>
        <v>0</v>
      </c>
      <c r="U298" s="4">
        <f t="shared" si="47"/>
        <v>0</v>
      </c>
      <c r="V298" s="4">
        <f t="shared" si="48"/>
        <v>0</v>
      </c>
      <c r="X298" s="4">
        <v>0</v>
      </c>
      <c r="Y298" s="4">
        <v>0</v>
      </c>
    </row>
    <row r="299" spans="1:26" hidden="1" x14ac:dyDescent="0.3">
      <c r="B299" s="1" t="s">
        <v>277</v>
      </c>
      <c r="C299" s="2" t="s">
        <v>352</v>
      </c>
      <c r="E299" s="4">
        <v>0</v>
      </c>
      <c r="F299" s="4">
        <v>0</v>
      </c>
      <c r="S299" s="4">
        <f>SUM(G299:O299)</f>
        <v>0</v>
      </c>
      <c r="U299" s="4">
        <f t="shared" si="47"/>
        <v>0</v>
      </c>
      <c r="V299" s="4">
        <f t="shared" si="48"/>
        <v>0</v>
      </c>
      <c r="X299" s="4">
        <v>0</v>
      </c>
      <c r="Y299" s="4">
        <v>0</v>
      </c>
    </row>
    <row r="300" spans="1:26" hidden="1" x14ac:dyDescent="0.3">
      <c r="U300" s="4">
        <f t="shared" si="47"/>
        <v>0</v>
      </c>
      <c r="V300" s="4">
        <f t="shared" si="48"/>
        <v>0</v>
      </c>
    </row>
    <row r="301" spans="1:26" hidden="1" x14ac:dyDescent="0.3">
      <c r="B301" s="1" t="s">
        <v>278</v>
      </c>
      <c r="C301" s="2" t="s">
        <v>341</v>
      </c>
      <c r="E301" s="4">
        <v>0</v>
      </c>
      <c r="F301" s="4">
        <v>0</v>
      </c>
      <c r="S301" s="4">
        <f t="shared" ref="S301:S306" si="51">SUM(G301:O301)</f>
        <v>0</v>
      </c>
      <c r="U301" s="4">
        <f t="shared" si="47"/>
        <v>0</v>
      </c>
      <c r="V301" s="4">
        <f t="shared" si="48"/>
        <v>0</v>
      </c>
      <c r="X301" s="4">
        <v>0</v>
      </c>
      <c r="Y301" s="4">
        <v>0</v>
      </c>
    </row>
    <row r="302" spans="1:26" hidden="1" x14ac:dyDescent="0.3">
      <c r="B302" s="1" t="s">
        <v>279</v>
      </c>
      <c r="C302" s="2" t="s">
        <v>294</v>
      </c>
      <c r="E302" s="4">
        <v>0</v>
      </c>
      <c r="F302" s="4">
        <v>0</v>
      </c>
      <c r="S302" s="4">
        <f t="shared" si="51"/>
        <v>0</v>
      </c>
      <c r="U302" s="4">
        <f t="shared" si="47"/>
        <v>0</v>
      </c>
      <c r="V302" s="4">
        <f t="shared" si="48"/>
        <v>0</v>
      </c>
      <c r="X302" s="4">
        <v>0</v>
      </c>
      <c r="Y302" s="4">
        <v>0</v>
      </c>
    </row>
    <row r="303" spans="1:26" hidden="1" x14ac:dyDescent="0.3">
      <c r="B303" s="1" t="s">
        <v>280</v>
      </c>
      <c r="C303" s="2" t="s">
        <v>298</v>
      </c>
      <c r="E303" s="4">
        <v>0</v>
      </c>
      <c r="F303" s="4">
        <v>0</v>
      </c>
      <c r="S303" s="4">
        <f t="shared" si="51"/>
        <v>0</v>
      </c>
      <c r="U303" s="4">
        <f t="shared" si="47"/>
        <v>0</v>
      </c>
      <c r="V303" s="4">
        <f t="shared" si="48"/>
        <v>0</v>
      </c>
      <c r="X303" s="4">
        <v>0</v>
      </c>
      <c r="Y303" s="4">
        <v>0</v>
      </c>
    </row>
    <row r="304" spans="1:26" hidden="1" x14ac:dyDescent="0.3">
      <c r="B304" s="1" t="s">
        <v>281</v>
      </c>
      <c r="C304" s="2" t="s">
        <v>334</v>
      </c>
      <c r="E304" s="4">
        <v>0</v>
      </c>
      <c r="F304" s="4">
        <v>0</v>
      </c>
      <c r="S304" s="4">
        <f t="shared" si="51"/>
        <v>0</v>
      </c>
      <c r="U304" s="4">
        <f t="shared" si="47"/>
        <v>0</v>
      </c>
      <c r="V304" s="4">
        <f t="shared" si="48"/>
        <v>0</v>
      </c>
      <c r="X304" s="4">
        <v>0</v>
      </c>
      <c r="Y304" s="4">
        <v>0</v>
      </c>
    </row>
    <row r="305" spans="2:25" hidden="1" x14ac:dyDescent="0.3">
      <c r="B305" s="1" t="s">
        <v>282</v>
      </c>
      <c r="C305" s="2" t="s">
        <v>314</v>
      </c>
      <c r="E305" s="4">
        <v>0</v>
      </c>
      <c r="F305" s="4">
        <v>0</v>
      </c>
      <c r="S305" s="4">
        <f t="shared" si="51"/>
        <v>0</v>
      </c>
      <c r="U305" s="4">
        <f t="shared" si="47"/>
        <v>0</v>
      </c>
      <c r="V305" s="4">
        <f t="shared" si="48"/>
        <v>0</v>
      </c>
      <c r="X305" s="4">
        <v>0</v>
      </c>
      <c r="Y305" s="4">
        <v>0</v>
      </c>
    </row>
    <row r="306" spans="2:25" hidden="1" x14ac:dyDescent="0.3">
      <c r="B306" s="1" t="s">
        <v>283</v>
      </c>
      <c r="C306" s="2" t="s">
        <v>330</v>
      </c>
      <c r="E306" s="4">
        <v>0</v>
      </c>
      <c r="F306" s="4">
        <v>0</v>
      </c>
      <c r="S306" s="4">
        <f t="shared" si="51"/>
        <v>0</v>
      </c>
      <c r="U306" s="4">
        <f t="shared" si="47"/>
        <v>0</v>
      </c>
      <c r="V306" s="4">
        <f t="shared" si="48"/>
        <v>0</v>
      </c>
      <c r="X306" s="4">
        <v>0</v>
      </c>
      <c r="Y306" s="4">
        <v>0</v>
      </c>
    </row>
    <row r="308" spans="2:25" ht="15" thickBot="1" x14ac:dyDescent="0.35">
      <c r="C308" s="2" t="s">
        <v>358</v>
      </c>
      <c r="E308" s="5">
        <f t="shared" ref="E308:Y308" si="52">SUM(E7:E306)</f>
        <v>73881.95</v>
      </c>
      <c r="F308" s="5">
        <f t="shared" si="52"/>
        <v>917007.26</v>
      </c>
      <c r="G308" s="5">
        <f t="shared" si="52"/>
        <v>12490.173999999999</v>
      </c>
      <c r="H308" s="5">
        <f t="shared" si="52"/>
        <v>24601.660000000003</v>
      </c>
      <c r="I308" s="5">
        <f t="shared" si="52"/>
        <v>21845.58</v>
      </c>
      <c r="J308" s="5">
        <f t="shared" si="52"/>
        <v>85192.454999999987</v>
      </c>
      <c r="K308" s="5">
        <f t="shared" si="52"/>
        <v>24531.960000000006</v>
      </c>
      <c r="L308" s="5">
        <f t="shared" si="52"/>
        <v>25950.13</v>
      </c>
      <c r="M308" s="5">
        <f t="shared" si="52"/>
        <v>75070.070000000007</v>
      </c>
      <c r="N308" s="5">
        <f t="shared" si="52"/>
        <v>22476.03</v>
      </c>
      <c r="O308" s="5">
        <f t="shared" si="52"/>
        <v>0</v>
      </c>
      <c r="P308" s="5">
        <f t="shared" si="52"/>
        <v>63580.32</v>
      </c>
      <c r="Q308" s="5"/>
      <c r="R308" s="5"/>
      <c r="S308" s="5">
        <f t="shared" si="52"/>
        <v>292158.05900000001</v>
      </c>
      <c r="T308" s="5">
        <f t="shared" si="52"/>
        <v>324713.9599999999</v>
      </c>
      <c r="U308" s="5">
        <f t="shared" si="52"/>
        <v>647181.44900000002</v>
      </c>
      <c r="V308" s="5">
        <f t="shared" si="52"/>
        <v>1008205.6986666669</v>
      </c>
      <c r="W308" s="36">
        <f t="shared" si="52"/>
        <v>759591.04999999993</v>
      </c>
      <c r="X308" s="5">
        <f t="shared" si="52"/>
        <v>324363.9599999999</v>
      </c>
      <c r="Y308" s="5">
        <f t="shared" si="52"/>
        <v>540932.62</v>
      </c>
    </row>
    <row r="309" spans="2:25" ht="15" thickTop="1" x14ac:dyDescent="0.3"/>
  </sheetData>
  <mergeCells count="5">
    <mergeCell ref="B1:Y1"/>
    <mergeCell ref="B2:Y2"/>
    <mergeCell ref="B3:Y3"/>
    <mergeCell ref="B4:W4"/>
    <mergeCell ref="B5:W5"/>
  </mergeCells>
  <pageMargins left="0.7" right="0.7" top="0.75" bottom="0.75" header="0.3" footer="0.3"/>
  <pageSetup paperSize="5" scale="9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39AB-A0CC-4451-A1CE-933757EE157F}">
  <sheetPr>
    <pageSetUpPr fitToPage="1"/>
  </sheetPr>
  <dimension ref="A1:I90"/>
  <sheetViews>
    <sheetView workbookViewId="0">
      <selection activeCell="E90" sqref="E90"/>
    </sheetView>
  </sheetViews>
  <sheetFormatPr defaultRowHeight="14.4" x14ac:dyDescent="0.3"/>
  <cols>
    <col min="1" max="1" width="28.33203125" customWidth="1"/>
    <col min="2" max="2" width="17.21875" bestFit="1" customWidth="1"/>
    <col min="3" max="3" width="37.44140625" customWidth="1"/>
    <col min="4" max="4" width="12.109375" bestFit="1" customWidth="1"/>
    <col min="5" max="7" width="10.109375" bestFit="1" customWidth="1"/>
    <col min="8" max="8" width="10.109375" customWidth="1"/>
    <col min="9" max="9" width="11.6640625" bestFit="1" customWidth="1"/>
  </cols>
  <sheetData>
    <row r="1" spans="1:9" x14ac:dyDescent="0.3">
      <c r="A1" t="s">
        <v>394</v>
      </c>
    </row>
    <row r="2" spans="1:9" x14ac:dyDescent="0.3">
      <c r="A2" t="s">
        <v>395</v>
      </c>
    </row>
    <row r="4" spans="1:9" ht="10.199999999999999" customHeight="1" x14ac:dyDescent="0.3">
      <c r="A4" s="27" t="s">
        <v>390</v>
      </c>
    </row>
    <row r="5" spans="1:9" ht="14.4" customHeight="1" x14ac:dyDescent="0.3">
      <c r="A5" s="27"/>
    </row>
    <row r="6" spans="1:9" ht="14.4" customHeight="1" x14ac:dyDescent="0.3">
      <c r="A6" s="7" t="s">
        <v>368</v>
      </c>
      <c r="B6" s="1" t="s">
        <v>12</v>
      </c>
      <c r="C6" s="2" t="s">
        <v>285</v>
      </c>
    </row>
    <row r="7" spans="1:9" ht="14.4" customHeight="1" x14ac:dyDescent="0.3">
      <c r="A7" s="27"/>
      <c r="C7" t="s">
        <v>396</v>
      </c>
      <c r="D7" s="56">
        <f>(2100*2)+(35*80)*10</f>
        <v>32200</v>
      </c>
      <c r="I7" s="19"/>
    </row>
    <row r="8" spans="1:9" ht="14.4" customHeight="1" x14ac:dyDescent="0.3">
      <c r="A8" s="27"/>
      <c r="C8" t="s">
        <v>397</v>
      </c>
      <c r="D8" s="57">
        <f>(16*20)*12</f>
        <v>3840</v>
      </c>
      <c r="I8" s="19"/>
    </row>
    <row r="9" spans="1:9" ht="14.4" customHeight="1" x14ac:dyDescent="0.3">
      <c r="A9" s="27"/>
      <c r="C9" t="s">
        <v>410</v>
      </c>
      <c r="D9" s="57">
        <f>(16*20)*12</f>
        <v>3840</v>
      </c>
      <c r="I9" s="19"/>
    </row>
    <row r="10" spans="1:9" ht="14.4" customHeight="1" x14ac:dyDescent="0.3">
      <c r="A10" s="27"/>
      <c r="C10" t="s">
        <v>417</v>
      </c>
      <c r="D10" s="57">
        <f>(8*20)*12</f>
        <v>1920</v>
      </c>
      <c r="F10" s="20"/>
    </row>
    <row r="11" spans="1:9" ht="14.4" customHeight="1" x14ac:dyDescent="0.3">
      <c r="A11" s="27"/>
      <c r="F11" s="20">
        <f>SUM(D7:D10)</f>
        <v>41800</v>
      </c>
    </row>
    <row r="12" spans="1:9" ht="14.4" customHeight="1" x14ac:dyDescent="0.3">
      <c r="A12" s="27"/>
      <c r="C12" s="2" t="s">
        <v>286</v>
      </c>
      <c r="D12" s="57">
        <f>F11*24%</f>
        <v>10032</v>
      </c>
    </row>
    <row r="13" spans="1:9" ht="14.4" customHeight="1" x14ac:dyDescent="0.3">
      <c r="A13" s="27"/>
      <c r="C13" s="2" t="s">
        <v>287</v>
      </c>
      <c r="D13" s="57">
        <f>F11*1.45%</f>
        <v>606.09999999999991</v>
      </c>
    </row>
    <row r="14" spans="1:9" ht="14.4" customHeight="1" x14ac:dyDescent="0.3">
      <c r="A14" s="27"/>
      <c r="C14" s="2" t="s">
        <v>416</v>
      </c>
      <c r="D14" s="57">
        <v>10000</v>
      </c>
      <c r="F14" s="20"/>
      <c r="G14" s="38">
        <f>F11+D12+D13+D14</f>
        <v>62438.1</v>
      </c>
      <c r="H14" s="38"/>
    </row>
    <row r="15" spans="1:9" ht="14.4" customHeight="1" x14ac:dyDescent="0.3">
      <c r="A15" s="27"/>
      <c r="F15" s="20"/>
    </row>
    <row r="16" spans="1:9" x14ac:dyDescent="0.3">
      <c r="A16" s="10" t="s">
        <v>371</v>
      </c>
      <c r="B16" s="1" t="s">
        <v>33</v>
      </c>
      <c r="C16" s="2" t="s">
        <v>302</v>
      </c>
      <c r="E16" s="19">
        <f>300*12</f>
        <v>3600</v>
      </c>
    </row>
    <row r="17" spans="1:6" x14ac:dyDescent="0.3">
      <c r="A17" s="10" t="s">
        <v>371</v>
      </c>
      <c r="B17" s="50" t="s">
        <v>33</v>
      </c>
      <c r="C17" s="51" t="s">
        <v>435</v>
      </c>
      <c r="D17" s="52"/>
      <c r="E17" s="47">
        <f>200*10</f>
        <v>2000</v>
      </c>
      <c r="F17" s="20"/>
    </row>
    <row r="18" spans="1:6" x14ac:dyDescent="0.3">
      <c r="A18" s="10" t="s">
        <v>371</v>
      </c>
      <c r="B18" s="1" t="s">
        <v>34</v>
      </c>
      <c r="C18" s="2" t="s">
        <v>286</v>
      </c>
      <c r="E18" s="20">
        <f>(E16+E17)*24%</f>
        <v>1344</v>
      </c>
    </row>
    <row r="19" spans="1:6" x14ac:dyDescent="0.3">
      <c r="A19" s="10" t="s">
        <v>371</v>
      </c>
      <c r="B19" s="1" t="s">
        <v>35</v>
      </c>
      <c r="C19" s="2" t="s">
        <v>287</v>
      </c>
      <c r="E19" s="20">
        <f>(E16+E17)*1.45%</f>
        <v>81.199999999999989</v>
      </c>
    </row>
    <row r="21" spans="1:6" x14ac:dyDescent="0.3">
      <c r="A21" s="11" t="s">
        <v>372</v>
      </c>
      <c r="B21" s="1" t="s">
        <v>47</v>
      </c>
      <c r="C21" s="2" t="s">
        <v>307</v>
      </c>
      <c r="E21" s="35">
        <f>200*12</f>
        <v>2400</v>
      </c>
    </row>
    <row r="22" spans="1:6" x14ac:dyDescent="0.3">
      <c r="A22" s="11" t="s">
        <v>372</v>
      </c>
      <c r="B22" s="50" t="s">
        <v>47</v>
      </c>
      <c r="C22" s="51" t="s">
        <v>436</v>
      </c>
      <c r="D22" s="52"/>
      <c r="E22" s="47">
        <f>(500*10)*20%</f>
        <v>1000</v>
      </c>
      <c r="F22" s="49">
        <v>0.2</v>
      </c>
    </row>
    <row r="23" spans="1:6" x14ac:dyDescent="0.3">
      <c r="A23" s="11" t="s">
        <v>372</v>
      </c>
      <c r="B23" s="1" t="s">
        <v>49</v>
      </c>
      <c r="C23" s="2" t="s">
        <v>309</v>
      </c>
      <c r="E23" s="19">
        <f>1000*12</f>
        <v>12000</v>
      </c>
    </row>
    <row r="24" spans="1:6" x14ac:dyDescent="0.3">
      <c r="A24" s="11" t="s">
        <v>372</v>
      </c>
      <c r="B24" s="1" t="s">
        <v>50</v>
      </c>
      <c r="C24" s="2" t="s">
        <v>286</v>
      </c>
      <c r="D24" t="s">
        <v>391</v>
      </c>
      <c r="E24" s="20">
        <f>(E21+E22)*24%</f>
        <v>816</v>
      </c>
    </row>
    <row r="25" spans="1:6" x14ac:dyDescent="0.3">
      <c r="A25" s="11" t="s">
        <v>372</v>
      </c>
      <c r="B25" s="1" t="s">
        <v>50</v>
      </c>
      <c r="C25" s="2" t="s">
        <v>286</v>
      </c>
      <c r="D25" t="s">
        <v>383</v>
      </c>
      <c r="E25" s="20">
        <f>E23*14%</f>
        <v>1680.0000000000002</v>
      </c>
    </row>
    <row r="26" spans="1:6" x14ac:dyDescent="0.3">
      <c r="A26" s="11" t="s">
        <v>372</v>
      </c>
      <c r="B26" s="1" t="s">
        <v>51</v>
      </c>
      <c r="C26" s="2" t="s">
        <v>287</v>
      </c>
      <c r="E26" s="19">
        <f>(E21+E22+E23)*1.45%</f>
        <v>223.29999999999998</v>
      </c>
    </row>
    <row r="28" spans="1:6" x14ac:dyDescent="0.3">
      <c r="A28" s="12" t="s">
        <v>373</v>
      </c>
      <c r="B28" s="1" t="s">
        <v>64</v>
      </c>
      <c r="C28" s="2" t="s">
        <v>311</v>
      </c>
      <c r="E28" s="19">
        <f>(6*100)*12</f>
        <v>7200</v>
      </c>
    </row>
    <row r="29" spans="1:6" x14ac:dyDescent="0.3">
      <c r="A29" s="12" t="s">
        <v>373</v>
      </c>
      <c r="B29" s="1" t="s">
        <v>65</v>
      </c>
      <c r="C29" s="2" t="s">
        <v>286</v>
      </c>
      <c r="E29" s="20">
        <f>E28*14%</f>
        <v>1008.0000000000001</v>
      </c>
    </row>
    <row r="30" spans="1:6" x14ac:dyDescent="0.3">
      <c r="A30" s="12" t="s">
        <v>373</v>
      </c>
      <c r="B30" s="1" t="s">
        <v>67</v>
      </c>
      <c r="C30" s="2" t="s">
        <v>287</v>
      </c>
      <c r="E30" s="20">
        <f>E28*1.45%</f>
        <v>104.39999999999999</v>
      </c>
    </row>
    <row r="32" spans="1:6" x14ac:dyDescent="0.3">
      <c r="A32" s="13" t="s">
        <v>374</v>
      </c>
      <c r="B32" s="1" t="s">
        <v>76</v>
      </c>
      <c r="C32" s="2" t="s">
        <v>308</v>
      </c>
      <c r="E32" s="19">
        <v>3000</v>
      </c>
    </row>
    <row r="33" spans="1:8" x14ac:dyDescent="0.3">
      <c r="A33" s="13" t="s">
        <v>374</v>
      </c>
      <c r="B33" s="1" t="s">
        <v>77</v>
      </c>
      <c r="C33" s="2" t="s">
        <v>286</v>
      </c>
      <c r="E33" s="19">
        <f>E32*24%</f>
        <v>720</v>
      </c>
    </row>
    <row r="34" spans="1:8" x14ac:dyDescent="0.3">
      <c r="A34" s="13" t="s">
        <v>374</v>
      </c>
      <c r="B34" s="1" t="s">
        <v>78</v>
      </c>
      <c r="C34" s="2" t="s">
        <v>287</v>
      </c>
      <c r="E34" s="19">
        <f>E32*1.45%</f>
        <v>43.5</v>
      </c>
    </row>
    <row r="36" spans="1:8" x14ac:dyDescent="0.3">
      <c r="A36" s="13" t="s">
        <v>374</v>
      </c>
      <c r="B36" s="50" t="s">
        <v>81</v>
      </c>
      <c r="C36" s="53" t="s">
        <v>315</v>
      </c>
      <c r="D36" s="52" t="s">
        <v>437</v>
      </c>
      <c r="E36" s="47">
        <f>200*24</f>
        <v>4800</v>
      </c>
      <c r="F36">
        <f>150*12</f>
        <v>1800</v>
      </c>
    </row>
    <row r="38" spans="1:8" x14ac:dyDescent="0.3">
      <c r="A38" s="14" t="s">
        <v>375</v>
      </c>
      <c r="B38" s="1" t="s">
        <v>93</v>
      </c>
      <c r="C38" s="2" t="s">
        <v>319</v>
      </c>
      <c r="E38" s="19">
        <f>2000*12</f>
        <v>24000</v>
      </c>
      <c r="G38" s="20"/>
      <c r="H38" s="20"/>
    </row>
    <row r="39" spans="1:8" x14ac:dyDescent="0.3">
      <c r="A39" s="14" t="s">
        <v>375</v>
      </c>
      <c r="B39" s="1" t="s">
        <v>93</v>
      </c>
      <c r="C39" s="2" t="s">
        <v>438</v>
      </c>
      <c r="E39" s="19">
        <f>200*10</f>
        <v>2000</v>
      </c>
      <c r="G39" s="20"/>
      <c r="H39" s="20"/>
    </row>
    <row r="40" spans="1:8" x14ac:dyDescent="0.3">
      <c r="A40" s="14" t="s">
        <v>375</v>
      </c>
      <c r="B40" s="1" t="s">
        <v>399</v>
      </c>
      <c r="C40" s="2" t="s">
        <v>400</v>
      </c>
      <c r="E40" s="19">
        <f>100*12</f>
        <v>1200</v>
      </c>
      <c r="F40" s="20"/>
      <c r="G40" s="20"/>
      <c r="H40" s="20"/>
    </row>
    <row r="41" spans="1:8" x14ac:dyDescent="0.3">
      <c r="A41" s="14" t="s">
        <v>375</v>
      </c>
      <c r="B41" s="1" t="s">
        <v>94</v>
      </c>
      <c r="C41" s="2" t="s">
        <v>286</v>
      </c>
      <c r="E41" s="20">
        <f>(E38*24%)+(E40*24%)+(E39*24%)</f>
        <v>6528</v>
      </c>
    </row>
    <row r="42" spans="1:8" x14ac:dyDescent="0.3">
      <c r="A42" s="14" t="s">
        <v>375</v>
      </c>
      <c r="B42" s="1" t="s">
        <v>95</v>
      </c>
      <c r="C42" s="2" t="s">
        <v>287</v>
      </c>
      <c r="E42" s="20">
        <f>(E38*1.45%)+(E40*1.45%)+(E39*1.45%)</f>
        <v>394.4</v>
      </c>
    </row>
    <row r="43" spans="1:8" s="32" customFormat="1" x14ac:dyDescent="0.3">
      <c r="A43" s="29"/>
      <c r="B43" s="1"/>
      <c r="C43" s="2"/>
      <c r="E43" s="33"/>
    </row>
    <row r="44" spans="1:8" s="32" customFormat="1" x14ac:dyDescent="0.3">
      <c r="A44" s="34" t="s">
        <v>412</v>
      </c>
      <c r="B44" s="1"/>
      <c r="C44" s="48"/>
      <c r="E44" s="33"/>
    </row>
    <row r="45" spans="1:8" s="32" customFormat="1" x14ac:dyDescent="0.3">
      <c r="A45" s="34" t="s">
        <v>411</v>
      </c>
      <c r="B45" s="1" t="s">
        <v>126</v>
      </c>
      <c r="C45" s="2" t="s">
        <v>285</v>
      </c>
      <c r="E45" s="33">
        <f>200*12</f>
        <v>2400</v>
      </c>
    </row>
    <row r="46" spans="1:8" s="32" customFormat="1" x14ac:dyDescent="0.3">
      <c r="A46" s="34"/>
      <c r="B46" s="50" t="s">
        <v>126</v>
      </c>
      <c r="C46" s="51" t="s">
        <v>441</v>
      </c>
      <c r="D46" s="52"/>
      <c r="E46" s="47">
        <f>(500*10)*20%</f>
        <v>1000</v>
      </c>
      <c r="F46" s="54">
        <v>0.2</v>
      </c>
    </row>
    <row r="47" spans="1:8" s="32" customFormat="1" x14ac:dyDescent="0.3">
      <c r="A47" s="34" t="s">
        <v>401</v>
      </c>
      <c r="B47" s="1" t="s">
        <v>126</v>
      </c>
      <c r="C47" s="2" t="s">
        <v>285</v>
      </c>
      <c r="E47" s="35">
        <f>(24*20)*12</f>
        <v>5760</v>
      </c>
      <c r="F47" s="33">
        <f>SUM(E45:E47)</f>
        <v>9160</v>
      </c>
    </row>
    <row r="48" spans="1:8" s="32" customFormat="1" x14ac:dyDescent="0.3">
      <c r="A48" s="29"/>
      <c r="B48" s="1" t="s">
        <v>127</v>
      </c>
      <c r="C48" s="2" t="s">
        <v>286</v>
      </c>
      <c r="E48" s="33">
        <f>(E45+E46+E47)*24%</f>
        <v>2198.4</v>
      </c>
    </row>
    <row r="49" spans="1:6" s="32" customFormat="1" x14ac:dyDescent="0.3">
      <c r="A49" s="29"/>
      <c r="B49" s="1" t="s">
        <v>128</v>
      </c>
      <c r="C49" s="2" t="s">
        <v>287</v>
      </c>
      <c r="E49" s="33">
        <f>F47*1.45%</f>
        <v>132.82</v>
      </c>
    </row>
    <row r="50" spans="1:6" s="32" customFormat="1" x14ac:dyDescent="0.3">
      <c r="A50" s="29"/>
      <c r="B50" s="1"/>
      <c r="C50" s="2"/>
      <c r="E50" s="33"/>
    </row>
    <row r="51" spans="1:6" s="32" customFormat="1" x14ac:dyDescent="0.3">
      <c r="A51" s="34" t="s">
        <v>370</v>
      </c>
      <c r="B51" s="1"/>
      <c r="C51" s="2"/>
      <c r="E51" s="33"/>
    </row>
    <row r="52" spans="1:6" s="32" customFormat="1" x14ac:dyDescent="0.3">
      <c r="A52" s="34" t="s">
        <v>401</v>
      </c>
      <c r="B52" s="1" t="s">
        <v>152</v>
      </c>
      <c r="C52" s="2" t="s">
        <v>285</v>
      </c>
      <c r="E52" s="35">
        <f>(24*20)*12</f>
        <v>5760</v>
      </c>
      <c r="F52" s="32" t="s">
        <v>413</v>
      </c>
    </row>
    <row r="53" spans="1:6" s="32" customFormat="1" x14ac:dyDescent="0.3">
      <c r="A53" s="29"/>
      <c r="B53" s="1" t="s">
        <v>153</v>
      </c>
      <c r="C53" s="2" t="s">
        <v>286</v>
      </c>
      <c r="E53" s="20">
        <f>E52*24%</f>
        <v>1382.3999999999999</v>
      </c>
    </row>
    <row r="54" spans="1:6" s="32" customFormat="1" x14ac:dyDescent="0.3">
      <c r="A54" s="29"/>
      <c r="B54" s="1" t="s">
        <v>154</v>
      </c>
      <c r="C54" s="2" t="s">
        <v>287</v>
      </c>
      <c r="E54" s="20">
        <f>E52*1.45%</f>
        <v>83.52</v>
      </c>
    </row>
    <row r="55" spans="1:6" s="32" customFormat="1" x14ac:dyDescent="0.3">
      <c r="A55" s="29"/>
      <c r="B55" s="1"/>
      <c r="C55" s="2"/>
      <c r="E55" s="33"/>
    </row>
    <row r="56" spans="1:6" s="32" customFormat="1" x14ac:dyDescent="0.3">
      <c r="A56" s="34" t="s">
        <v>393</v>
      </c>
      <c r="B56" s="1"/>
      <c r="C56" s="2"/>
      <c r="E56" s="33"/>
    </row>
    <row r="57" spans="1:6" x14ac:dyDescent="0.3">
      <c r="A57" s="34" t="s">
        <v>402</v>
      </c>
      <c r="B57" s="1" t="s">
        <v>196</v>
      </c>
      <c r="C57" s="2" t="s">
        <v>285</v>
      </c>
      <c r="E57" s="35">
        <f>(24*20)*12</f>
        <v>5760</v>
      </c>
    </row>
    <row r="58" spans="1:6" x14ac:dyDescent="0.3">
      <c r="A58" s="34" t="s">
        <v>403</v>
      </c>
      <c r="B58" s="1" t="s">
        <v>196</v>
      </c>
      <c r="C58" s="2" t="s">
        <v>285</v>
      </c>
      <c r="E58" s="20">
        <f>840*12</f>
        <v>10080</v>
      </c>
    </row>
    <row r="59" spans="1:6" x14ac:dyDescent="0.3">
      <c r="A59" s="34" t="s">
        <v>442</v>
      </c>
      <c r="B59" s="1" t="s">
        <v>196</v>
      </c>
      <c r="C59" s="2" t="s">
        <v>285</v>
      </c>
      <c r="E59" s="20">
        <f>300*12</f>
        <v>3600</v>
      </c>
      <c r="F59" s="20">
        <f>SUM(E57:E59)</f>
        <v>19440</v>
      </c>
    </row>
    <row r="60" spans="1:6" x14ac:dyDescent="0.3">
      <c r="A60" s="29"/>
      <c r="B60" s="1" t="s">
        <v>197</v>
      </c>
      <c r="C60" s="2" t="s">
        <v>286</v>
      </c>
      <c r="E60" s="20">
        <f>F59*24%</f>
        <v>4665.5999999999995</v>
      </c>
    </row>
    <row r="61" spans="1:6" x14ac:dyDescent="0.3">
      <c r="A61" s="29"/>
      <c r="B61" s="1" t="s">
        <v>198</v>
      </c>
      <c r="C61" s="2" t="s">
        <v>287</v>
      </c>
      <c r="E61" s="20">
        <f>F59*1.45%</f>
        <v>281.88</v>
      </c>
    </row>
    <row r="62" spans="1:6" x14ac:dyDescent="0.3">
      <c r="A62" s="29"/>
      <c r="B62" s="1"/>
      <c r="C62" s="2"/>
      <c r="E62" s="20"/>
    </row>
    <row r="63" spans="1:6" x14ac:dyDescent="0.3">
      <c r="A63" s="34" t="s">
        <v>384</v>
      </c>
      <c r="B63" s="1"/>
      <c r="C63" s="2"/>
      <c r="E63" s="20"/>
    </row>
    <row r="64" spans="1:6" x14ac:dyDescent="0.3">
      <c r="A64" s="34" t="s">
        <v>411</v>
      </c>
      <c r="B64" s="1" t="s">
        <v>223</v>
      </c>
      <c r="C64" s="2" t="s">
        <v>302</v>
      </c>
      <c r="E64" s="20">
        <f>600*12</f>
        <v>7200</v>
      </c>
    </row>
    <row r="65" spans="1:6" x14ac:dyDescent="0.3">
      <c r="A65" s="34" t="s">
        <v>411</v>
      </c>
      <c r="B65" s="1" t="s">
        <v>223</v>
      </c>
      <c r="C65" s="51" t="s">
        <v>441</v>
      </c>
      <c r="D65" s="52"/>
      <c r="E65" s="55">
        <f>(500*10)*60%</f>
        <v>3000</v>
      </c>
      <c r="F65" s="49">
        <v>0.6</v>
      </c>
    </row>
    <row r="66" spans="1:6" x14ac:dyDescent="0.3">
      <c r="A66" s="34" t="s">
        <v>404</v>
      </c>
      <c r="B66" s="1" t="s">
        <v>223</v>
      </c>
      <c r="C66" s="2" t="s">
        <v>302</v>
      </c>
      <c r="E66" s="20">
        <f>300*6</f>
        <v>1800</v>
      </c>
    </row>
    <row r="67" spans="1:6" x14ac:dyDescent="0.3">
      <c r="A67" s="34" t="s">
        <v>401</v>
      </c>
      <c r="B67" s="1" t="s">
        <v>223</v>
      </c>
      <c r="C67" s="2" t="s">
        <v>302</v>
      </c>
      <c r="E67" s="35">
        <f>(24*20)*12</f>
        <v>5760</v>
      </c>
    </row>
    <row r="68" spans="1:6" x14ac:dyDescent="0.3">
      <c r="A68" s="34" t="s">
        <v>403</v>
      </c>
      <c r="B68" s="1" t="s">
        <v>223</v>
      </c>
      <c r="C68" s="2" t="s">
        <v>302</v>
      </c>
      <c r="E68" s="20">
        <f>1000*12</f>
        <v>12000</v>
      </c>
    </row>
    <row r="69" spans="1:6" x14ac:dyDescent="0.3">
      <c r="A69" s="34" t="s">
        <v>442</v>
      </c>
      <c r="B69" s="1" t="s">
        <v>223</v>
      </c>
      <c r="C69" s="2" t="s">
        <v>302</v>
      </c>
      <c r="E69" s="20">
        <f>300*12</f>
        <v>3600</v>
      </c>
      <c r="F69" s="20">
        <f>SUM(E64:E69)</f>
        <v>33360</v>
      </c>
    </row>
    <row r="70" spans="1:6" x14ac:dyDescent="0.3">
      <c r="A70" s="29"/>
      <c r="B70" s="1" t="s">
        <v>224</v>
      </c>
      <c r="C70" s="2" t="s">
        <v>286</v>
      </c>
      <c r="E70" s="20">
        <f>F69*24%</f>
        <v>8006.4</v>
      </c>
    </row>
    <row r="71" spans="1:6" x14ac:dyDescent="0.3">
      <c r="A71" s="29"/>
      <c r="B71" s="1" t="s">
        <v>225</v>
      </c>
      <c r="C71" s="2" t="s">
        <v>287</v>
      </c>
      <c r="E71" s="20">
        <f>F69*1.45%</f>
        <v>483.71999999999997</v>
      </c>
    </row>
    <row r="73" spans="1:6" x14ac:dyDescent="0.3">
      <c r="A73" s="28" t="s">
        <v>392</v>
      </c>
    </row>
    <row r="74" spans="1:6" x14ac:dyDescent="0.3">
      <c r="A74" s="11" t="s">
        <v>372</v>
      </c>
      <c r="B74" s="1" t="s">
        <v>57</v>
      </c>
      <c r="C74" s="2" t="s">
        <v>291</v>
      </c>
      <c r="E74" s="19">
        <f>1200*12</f>
        <v>14400</v>
      </c>
    </row>
    <row r="75" spans="1:6" x14ac:dyDescent="0.3">
      <c r="A75" s="13" t="s">
        <v>374</v>
      </c>
      <c r="B75" s="1" t="s">
        <v>82</v>
      </c>
      <c r="C75" s="2" t="s">
        <v>291</v>
      </c>
      <c r="E75" s="19">
        <f>300*12</f>
        <v>3600</v>
      </c>
    </row>
    <row r="76" spans="1:6" x14ac:dyDescent="0.3">
      <c r="A76" t="s">
        <v>393</v>
      </c>
      <c r="B76" s="1" t="s">
        <v>203</v>
      </c>
      <c r="C76" s="2" t="s">
        <v>291</v>
      </c>
      <c r="E76" s="19">
        <f>1200*6</f>
        <v>7200</v>
      </c>
    </row>
    <row r="77" spans="1:6" x14ac:dyDescent="0.3">
      <c r="A77" t="s">
        <v>384</v>
      </c>
      <c r="B77" s="1" t="s">
        <v>236</v>
      </c>
      <c r="C77" s="2" t="s">
        <v>291</v>
      </c>
      <c r="E77" s="26">
        <f>1200*6</f>
        <v>7200</v>
      </c>
    </row>
    <row r="78" spans="1:6" x14ac:dyDescent="0.3">
      <c r="E78" s="20">
        <f>SUM(E74:E77)</f>
        <v>32400</v>
      </c>
    </row>
    <row r="81" spans="1:6" x14ac:dyDescent="0.3">
      <c r="A81" s="27" t="s">
        <v>381</v>
      </c>
    </row>
    <row r="82" spans="1:6" x14ac:dyDescent="0.3">
      <c r="A82" t="s">
        <v>382</v>
      </c>
      <c r="B82" s="2" t="s">
        <v>20</v>
      </c>
      <c r="C82" s="2" t="s">
        <v>293</v>
      </c>
      <c r="E82" s="19">
        <v>1500</v>
      </c>
    </row>
    <row r="83" spans="1:6" x14ac:dyDescent="0.3">
      <c r="A83" t="s">
        <v>383</v>
      </c>
      <c r="B83" s="1" t="s">
        <v>59</v>
      </c>
      <c r="C83" s="2" t="s">
        <v>293</v>
      </c>
      <c r="E83" s="19">
        <v>7000</v>
      </c>
    </row>
    <row r="84" spans="1:6" x14ac:dyDescent="0.3">
      <c r="A84" t="s">
        <v>376</v>
      </c>
      <c r="B84" s="1" t="s">
        <v>180</v>
      </c>
      <c r="C84" s="2" t="s">
        <v>293</v>
      </c>
      <c r="E84" s="19">
        <v>150</v>
      </c>
    </row>
    <row r="85" spans="1:6" x14ac:dyDescent="0.3">
      <c r="A85" t="s">
        <v>384</v>
      </c>
      <c r="B85" s="1" t="s">
        <v>232</v>
      </c>
      <c r="C85" s="2" t="s">
        <v>346</v>
      </c>
      <c r="E85" s="26">
        <v>1000</v>
      </c>
    </row>
    <row r="86" spans="1:6" x14ac:dyDescent="0.3">
      <c r="E86" s="20">
        <f>SUM(E82:E85)</f>
        <v>9650</v>
      </c>
    </row>
    <row r="87" spans="1:6" x14ac:dyDescent="0.3">
      <c r="A87" s="27" t="s">
        <v>426</v>
      </c>
    </row>
    <row r="88" spans="1:6" x14ac:dyDescent="0.3">
      <c r="B88" s="1" t="s">
        <v>23</v>
      </c>
      <c r="C88" s="2" t="s">
        <v>296</v>
      </c>
      <c r="D88" s="43">
        <f>525+295</f>
        <v>820</v>
      </c>
      <c r="E88" s="44">
        <f>D88/2</f>
        <v>410</v>
      </c>
      <c r="F88" t="s">
        <v>430</v>
      </c>
    </row>
    <row r="89" spans="1:6" x14ac:dyDescent="0.3">
      <c r="B89" s="1" t="s">
        <v>61</v>
      </c>
      <c r="C89" s="2" t="s">
        <v>296</v>
      </c>
      <c r="E89" s="45">
        <f>D88/2</f>
        <v>410</v>
      </c>
    </row>
    <row r="90" spans="1:6" x14ac:dyDescent="0.3">
      <c r="E90" s="20">
        <f>SUM(E88:E89)</f>
        <v>820</v>
      </c>
    </row>
  </sheetData>
  <pageMargins left="0.7" right="0.7" top="0.75" bottom="0.75" header="0.3" footer="0.3"/>
  <pageSetup paperSize="5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BD4A3-E16D-4D57-9E79-13FA6A0F7814}">
  <dimension ref="A1:B8"/>
  <sheetViews>
    <sheetView workbookViewId="0"/>
  </sheetViews>
  <sheetFormatPr defaultRowHeight="14.4" x14ac:dyDescent="0.3"/>
  <sheetData>
    <row r="1" spans="1:2" x14ac:dyDescent="0.3">
      <c r="A1" t="s">
        <v>0</v>
      </c>
    </row>
    <row r="2" spans="1:2" x14ac:dyDescent="0.3">
      <c r="A2" t="s">
        <v>1</v>
      </c>
      <c r="B2" t="s">
        <v>8</v>
      </c>
    </row>
    <row r="3" spans="1:2" x14ac:dyDescent="0.3">
      <c r="A3" t="s">
        <v>2</v>
      </c>
      <c r="B3">
        <v>2024</v>
      </c>
    </row>
    <row r="4" spans="1:2" x14ac:dyDescent="0.3">
      <c r="A4" t="s">
        <v>3</v>
      </c>
      <c r="B4" t="s">
        <v>9</v>
      </c>
    </row>
    <row r="5" spans="1:2" x14ac:dyDescent="0.3">
      <c r="A5" t="s">
        <v>4</v>
      </c>
      <c r="B5" t="s">
        <v>10</v>
      </c>
    </row>
    <row r="6" spans="1:2" x14ac:dyDescent="0.3">
      <c r="A6" t="s">
        <v>5</v>
      </c>
      <c r="B6">
        <v>1</v>
      </c>
    </row>
    <row r="7" spans="1:2" x14ac:dyDescent="0.3">
      <c r="A7" t="s">
        <v>6</v>
      </c>
      <c r="B7">
        <v>1</v>
      </c>
    </row>
    <row r="8" spans="1:2" x14ac:dyDescent="0.3">
      <c r="A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Appropriations</vt:lpstr>
      <vt:lpstr>Salaries &amp; Fees Split</vt:lpstr>
      <vt:lpstr>Appropriations!Print_Area</vt:lpstr>
      <vt:lpstr>Appropriations!Print_Titles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UANUser</cp:lastModifiedBy>
  <cp:lastPrinted>2025-02-18T17:46:44Z</cp:lastPrinted>
  <dcterms:created xsi:type="dcterms:W3CDTF">2024-09-19T19:05:25Z</dcterms:created>
  <dcterms:modified xsi:type="dcterms:W3CDTF">2025-02-21T14:57:13Z</dcterms:modified>
</cp:coreProperties>
</file>