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Annual Budget" sheetId="2" state="visible" r:id="rId4"/>
    <sheet name="Variance Analysis" sheetId="3" state="visible" r:id="rId5"/>
    <sheet name="Dept Allocations" sheetId="4" state="visible" r:id="rId6"/>
    <sheet name="Scenario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<sst xmlns="http://schemas.openxmlformats.org/spreadsheetml/2006/main" count="84" uniqueCount="72">
  <si>
    <t xml:space="preserve">ASSUMPTIONS &amp; DRIVERS</t>
  </si>
  <si>
    <t xml:space="preserve">INFLATION &amp; GROWTH RATES</t>
  </si>
  <si>
    <t xml:space="preserve">Salary Inflation (%)</t>
  </si>
  <si>
    <t xml:space="preserve">Operating Expense Inflation (%)</t>
  </si>
  <si>
    <t xml:space="preserve">Revenue Growth Rate (%)</t>
  </si>
  <si>
    <t xml:space="preserve">DEPARTMENTAL ASSUMPTIONS</t>
  </si>
  <si>
    <t xml:space="preserve">Sales Headcount</t>
  </si>
  <si>
    <t xml:space="preserve">Marketing Headcount</t>
  </si>
  <si>
    <t xml:space="preserve">Operations Headcount</t>
  </si>
  <si>
    <t xml:space="preserve">COST ASSUMPTIONS</t>
  </si>
  <si>
    <t xml:space="preserve">Average Salary (Sales)</t>
  </si>
  <si>
    <t xml:space="preserve">Average Salary (Marketing)</t>
  </si>
  <si>
    <t xml:space="preserve">Average Salary (Operations)</t>
  </si>
  <si>
    <t xml:space="preserve">Payroll Tax Rate (%)</t>
  </si>
  <si>
    <t xml:space="preserve">Benefits Rate (%)</t>
  </si>
  <si>
    <t xml:space="preserve">Technology &amp; Tools (Annual)</t>
  </si>
  <si>
    <t xml:space="preserve">Office &amp; Facilities (Annual)</t>
  </si>
  <si>
    <t xml:space="preserve">ANNUAL BUDGET - 2024</t>
  </si>
  <si>
    <t xml:space="preserve">Line Item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</si>
  <si>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</si>
  <si>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</si>
  <si>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</si>
  <si>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</si>
  <si>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</si>
  <si>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</si>
  <si>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</si>
  <si>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</si>
  <si>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</si>
  <si>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</si>
  <si>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</si>
  <si>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</si>
  <si>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</si>
  <si>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REVENUE</t>
  </si>
  <si>
    <t xml:space="preserve">Product Revenue</t>
  </si>
  <si>
    <t xml:space="preserve">TOTAL REVENUE</t>
  </si>
  <si>
    <t xml:space="preserve">PERSONNEL COSTS</t>
  </si>
  <si>
    <t xml:space="preserve">Sales Salaries</t>
  </si>
  <si>
    <t xml:space="preserve">Marketing Salaries</t>
  </si>
  <si>
    <t xml:space="preserve">Operations Salaries</t>
  </si>
  <si>
    <t xml:space="preserve">Payroll Taxes</t>
  </si>
  <si>
    <t xml:space="preserve">Employee Benefits</t>
  </si>
  <si>
    <t xml:space="preserve">TOTAL PERSONNEL COSTS</t>
  </si>
  <si>
    <t xml:space="preserve">OPERATING EXPENSES</t>
  </si>
  <si>
    <t xml:space="preserve">Technology &amp; Tools</t>
  </si>
  <si>
    <t xml:space="preserve">Office &amp; Facilities</t>
  </si>
  <si>
    <t xml:space="preserve">Marketing &amp; Advertising</t>
  </si>
  <si>
    <t xml:space="preserve">TOTAL OPERATING EXPENSES</t>
  </si>
  <si>
    <t xml:space="preserve">OPERATING PROFIT</t>
  </si>
  <si>
    <t xml:space="preserve">VARIANCE ANALYSIS</t>
  </si>
  <si>
    <t xml:space="preserve">Budget</t>
  </si>
  <si>
    <t xml:space="preserve">Actual</t>
  </si>
  <si>
    <t xml:space="preserve">Variance ($)</t>
  </si>
  <si>
    <t xml:space="preserve">Variance (%)</t>
  </si>
  <si>
    <t xml:space="preserve">Total Personnel Costs</t>
  </si>
  <si>
    <t xml:space="preserve">Total Operating Expenses</t>
  </si>
  <si>
    <t xml:space="preserve">Operating Profit</t>
  </si>
  <si>
    <t xml:space="preserve">DEPARTMENTAL COST ALLOCATIONS</t>
  </si>
  <si>
    <t xml:space="preserve">Cost Category</t>
  </si>
  <si>
    <t xml:space="preserve">Sales</t>
  </si>
  <si>
    <t xml:space="preserve">Marketing</t>
  </si>
  <si>
    <t xml:space="preserve">Operations</t>
  </si>
  <si>
    <t xml:space="preserve">Admin</t>
  </si>
  <si>
    <t xml:space="preserve">Total</t>
  </si>
  <si>
    <t xml:space="preserve">TOTAL BY DEPARTMENT</t>
  </si>
  <si>
    <t xml:space="preserve">SCENARIO ANALYSIS</t>
  </si>
  <si>
    <t xml:space="preserve">Key Metric</t>
  </si>
  <si>
    <t xml:space="preserve">Base Case</t>
  </si>
  <si>
    <t xml:space="preserve">Optimistic (+15%)</t>
  </si>
  <si>
    <t xml:space="preserve">Pessimistic (-15%)</t>
  </si>
  <si>
    <t xml:space="preserve">Annual Revenue</t>
  </si>
  <si>
    <t xml:space="preserve">Total Operating Costs</t>
  </si>
  <si>
    <t xml:space="preserve">Profit Margin 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</si>
</sst>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\$#,##0;&quot;($&quot;#,##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E2EFDA"/>
      </patternFill>
    </fill>
    <fill>
      <patternFill patternType="solid">
        <fgColor rgb="FFFFFFCC"/>
        <bgColor rgb="FFFFF2CC"/>
      </patternFill>
    </fill>
    <fill>
      <patternFill patternType="solid">
        <fgColor rgb="FFE2EFDA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2CC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5"/>
  </cols>
  <sheetData>
    <row r="1" customFormat="false" ht="15" hidden="false" customHeight="false" outlineLevel="0" collapsed="false">
      <c r="A1" s="1" t="s">
        <v>0</v>
      </c>
      <c r="B1" s="1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0" t="s">
        <v>2</v>
      </c>
      <c r="B4" s="3" t="n">
        <v>0.03</v>
      </c>
    </row>
    <row r="5" customFormat="false" ht="15" hidden="false" customHeight="false" outlineLevel="0" collapsed="false">
      <c r="A5" s="0" t="s">
        <v>3</v>
      </c>
      <c r="B5" s="3" t="n">
        <v>0.025</v>
      </c>
    </row>
    <row r="6" customFormat="false" ht="15" hidden="false" customHeight="false" outlineLevel="0" collapsed="false">
      <c r="A6" s="0" t="s">
        <v>4</v>
      </c>
      <c r="B6" s="3" t="n">
        <v>0.1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0" t="s">
        <v>6</v>
      </c>
      <c r="B9" s="4" t="n">
        <v>8</v>
      </c>
    </row>
    <row r="10" customFormat="false" ht="15" hidden="false" customHeight="false" outlineLevel="0" collapsed="false">
      <c r="A10" s="0" t="s">
        <v>7</v>
      </c>
      <c r="B10" s="4" t="n">
        <v>4</v>
      </c>
    </row>
    <row r="11" customFormat="false" ht="15" hidden="false" customHeight="false" outlineLevel="0" collapsed="false">
      <c r="A11" s="0" t="s">
        <v>8</v>
      </c>
      <c r="B11" s="4" t="n">
        <v>6</v>
      </c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0" t="s">
        <v>10</v>
      </c>
      <c r="B14" s="5" t="n">
        <v>75000</v>
      </c>
    </row>
    <row r="15" customFormat="false" ht="15" hidden="false" customHeight="false" outlineLevel="0" collapsed="false">
      <c r="A15" s="0" t="s">
        <v>11</v>
      </c>
      <c r="B15" s="5" t="n">
        <v>65000</v>
      </c>
    </row>
    <row r="16" customFormat="false" ht="15" hidden="false" customHeight="false" outlineLevel="0" collapsed="false">
      <c r="A16" s="0" t="s">
        <v>12</v>
      </c>
      <c r="B16" s="5" t="n">
        <v>60000</v>
      </c>
    </row>
    <row r="17" customFormat="false" ht="15" hidden="false" customHeight="false" outlineLevel="0" collapsed="false">
      <c r="A17" s="0" t="s">
        <v>13</v>
      </c>
      <c r="B17" s="3" t="n">
        <v>0.15</v>
      </c>
    </row>
    <row r="18" customFormat="false" ht="15" hidden="false" customHeight="false" outlineLevel="0" collapsed="false">
      <c r="A18" s="0" t="s">
        <v>14</v>
      </c>
      <c r="B18" s="3" t="n">
        <v>0.25</v>
      </c>
    </row>
    <row r="19" customFormat="false" ht="15" hidden="false" customHeight="false" outlineLevel="0" collapsed="false">
      <c r="A19" s="0" t="s">
        <v>15</v>
      </c>
      <c r="B19" s="5" t="n">
        <v>15000</v>
      </c>
    </row>
    <row r="20" customFormat="false" ht="15" hidden="false" customHeight="false" outlineLevel="0" collapsed="false">
      <c r="A20" s="0" t="s">
        <v>16</v>
      </c>
      <c r="B20" s="5" t="n">
        <v>30000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13" min="2" style="0" width="13"/>
  </cols>
  <sheetData>
    <row r="1" customFormat="false" ht="15" hidden="false" customHeight="false" outlineLevel="0" collapsed="false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false" ht="15" hidden="false" customHeight="false" outlineLevel="0" collapsed="false">
      <c r="A2" s="7" t="s">
        <v>18</v>
      </c>
      <c r="B2" s="7" t="s">
        <v>19</v>
      </c>
      <c r="C2" s="7" t="s">
        <v>20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</row>
    <row r="3" customFormat="false" ht="15" hidden="false" customHeight="false" outlineLevel="0" collapsed="false">
      <c r="A3" s="8" t="s">
        <v>32</v>
      </c>
    </row>
    <row r="4" customFormat="false" ht="15" hidden="false" customHeight="false" outlineLevel="0" collapsed="false">
      <c r="A4" s="0" t="s">
        <v>33</v>
      </c>
      <c r="B4" s="9" t="n">
        <f aca="false">50000*(1+Assumptions!$B$6)^((2-2)/12)</f>
        <v>50000</v>
      </c>
      <c r="C4" s="9" t="n">
        <f aca="false">50000*(1+Assumptions!$B$6)^((3-2)/12)</f>
        <v>50398.7070214452</v>
      </c>
      <c r="D4" s="9" t="n">
        <f aca="false">50000*(1+Assumptions!$B$6)^((4-2)/12)</f>
        <v>50800.5933886694</v>
      </c>
      <c r="E4" s="9" t="n">
        <f aca="false">50000*(1+Assumptions!$B$6)^((5-2)/12)</f>
        <v>51205.6844542223</v>
      </c>
      <c r="F4" s="9" t="n">
        <f aca="false">50000*(1+Assumptions!$B$6)^((6-2)/12)</f>
        <v>51614.0057728184</v>
      </c>
      <c r="G4" s="9" t="n">
        <f aca="false">50000*(1+Assumptions!$B$6)^((7-2)/12)</f>
        <v>52025.5831029491</v>
      </c>
      <c r="H4" s="9" t="n">
        <f aca="false">50000*(1+Assumptions!$B$6)^((8-2)/12)</f>
        <v>52440.4424085076</v>
      </c>
      <c r="I4" s="9" t="n">
        <f aca="false">50000*(1+Assumptions!$B$6)^((9-2)/12)</f>
        <v>52858.6098604269</v>
      </c>
      <c r="J4" s="9" t="n">
        <f aca="false">50000*(1+Assumptions!$B$6)^((10-2)/12)</f>
        <v>53280.1118383305</v>
      </c>
      <c r="K4" s="9" t="n">
        <f aca="false">50000*(1+Assumptions!$B$6)^((11-2)/12)</f>
        <v>53704.9749321971</v>
      </c>
      <c r="L4" s="9" t="n">
        <f aca="false">50000*(1+Assumptions!$B$6)^((12-2)/12)</f>
        <v>54133.2259440372</v>
      </c>
      <c r="M4" s="9" t="n">
        <f aca="false">50000*(1+Assumptions!$B$6)^((13-2)/12)</f>
        <v>54564.8918895845</v>
      </c>
      <c r="N4" s="10" t="n">
        <f aca="false">SUM(B4:M4)</f>
        <v>627026.830613188</v>
      </c>
    </row>
    <row r="5" customFormat="false" ht="15" hidden="false" customHeight="false" outlineLevel="0" collapsed="false">
      <c r="A5" s="11" t="s">
        <v>34</v>
      </c>
      <c r="B5" s="12" t="n">
        <f aca="false">B4</f>
        <v>50000</v>
      </c>
      <c r="C5" s="12" t="n">
        <f aca="false">B4</f>
        <v>50000</v>
      </c>
      <c r="D5" s="12" t="n">
        <f aca="false">B4</f>
        <v>50000</v>
      </c>
      <c r="E5" s="12" t="n">
        <f aca="false">B4</f>
        <v>50000</v>
      </c>
      <c r="F5" s="12" t="n">
        <f aca="false">B4</f>
        <v>50000</v>
      </c>
      <c r="G5" s="12" t="n">
        <f aca="false">B4</f>
        <v>50000</v>
      </c>
      <c r="H5" s="12" t="n">
        <f aca="false">B4</f>
        <v>50000</v>
      </c>
      <c r="I5" s="12" t="n">
        <f aca="false">B4</f>
        <v>50000</v>
      </c>
      <c r="J5" s="12" t="n">
        <f aca="false">B4</f>
        <v>50000</v>
      </c>
      <c r="K5" s="12" t="n">
        <f aca="false">B4</f>
        <v>50000</v>
      </c>
      <c r="L5" s="12" t="n">
        <f aca="false">B4</f>
        <v>50000</v>
      </c>
      <c r="M5" s="12" t="n">
        <f aca="false">B4</f>
        <v>50000</v>
      </c>
      <c r="N5" s="13" t="n">
        <f aca="false">SUM(B5:M5)</f>
        <v>600000</v>
      </c>
    </row>
    <row r="7" customFormat="false" ht="15" hidden="false" customHeight="false" outlineLevel="0" collapsed="false">
      <c r="A7" s="8" t="s">
        <v>35</v>
      </c>
    </row>
    <row r="8" customFormat="false" ht="15" hidden="false" customHeight="false" outlineLevel="0" collapsed="false">
      <c r="A8" s="0" t="s">
        <v>36</v>
      </c>
      <c r="B8" s="10" t="n">
        <f aca="false">Assumptions!$B$9*Assumptions!$B$14*(1+Assumptions!$B$4)^((2-2)/12)</f>
        <v>600000</v>
      </c>
      <c r="C8" s="10" t="n">
        <f aca="false">Assumptions!$B$9*Assumptions!$B$14*(1+Assumptions!$B$4)^((3-2)/12)</f>
        <v>601479.761863382</v>
      </c>
      <c r="D8" s="10" t="n">
        <f aca="false">Assumptions!$B$9*Assumptions!$B$14*(1+Assumptions!$B$4)^((4-2)/12)</f>
        <v>602963.173218718</v>
      </c>
      <c r="E8" s="10" t="n">
        <f aca="false">Assumptions!$B$9*Assumptions!$B$14*(1+Assumptions!$B$4)^((5-2)/12)</f>
        <v>604450.24306664</v>
      </c>
      <c r="F8" s="10" t="n">
        <f aca="false">Assumptions!$B$9*Assumptions!$B$14*(1+Assumptions!$B$4)^((6-2)/12)</f>
        <v>605940.980429977</v>
      </c>
      <c r="G8" s="10" t="n">
        <f aca="false">Assumptions!$B$9*Assumptions!$B$14*(1+Assumptions!$B$4)^((7-2)/12)</f>
        <v>607435.394353811</v>
      </c>
      <c r="H8" s="10" t="n">
        <f aca="false">Assumptions!$B$9*Assumptions!$B$14*(1+Assumptions!$B$4)^((8-2)/12)</f>
        <v>608933.493905533</v>
      </c>
      <c r="I8" s="10" t="n">
        <f aca="false">Assumptions!$B$9*Assumptions!$B$14*(1+Assumptions!$B$4)^((9-2)/12)</f>
        <v>610435.288174896</v>
      </c>
      <c r="J8" s="10" t="n">
        <f aca="false">Assumptions!$B$9*Assumptions!$B$14*(1+Assumptions!$B$4)^((10-2)/12)</f>
        <v>611940.786274069</v>
      </c>
      <c r="K8" s="10" t="n">
        <f aca="false">Assumptions!$B$9*Assumptions!$B$14*(1+Assumptions!$B$4)^((11-2)/12)</f>
        <v>613449.997337696</v>
      </c>
      <c r="L8" s="10" t="n">
        <f aca="false">Assumptions!$B$9*Assumptions!$B$14*(1+Assumptions!$B$4)^((12-2)/12)</f>
        <v>614962.93052295</v>
      </c>
      <c r="M8" s="10" t="n">
        <f aca="false">Assumptions!$B$9*Assumptions!$B$14*(1+Assumptions!$B$4)^((13-2)/12)</f>
        <v>616479.595009586</v>
      </c>
      <c r="N8" s="10" t="n">
        <f aca="false">SUM(B8:M8)</f>
        <v>7298471.64415726</v>
      </c>
    </row>
    <row r="9" customFormat="false" ht="15" hidden="false" customHeight="false" outlineLevel="0" collapsed="false">
      <c r="A9" s="0" t="s">
        <v>37</v>
      </c>
      <c r="B9" s="10" t="n">
        <f aca="false">Assumptions!$B$10*Assumptions!$B$15*(1+Assumptions!$B$4)^((2-2)/12)</f>
        <v>260000</v>
      </c>
      <c r="C9" s="10" t="n">
        <f aca="false">Assumptions!$B$10*Assumptions!$B$15*(1+Assumptions!$B$4)^((3-2)/12)</f>
        <v>260641.230140799</v>
      </c>
      <c r="D9" s="10" t="n">
        <f aca="false">Assumptions!$B$10*Assumptions!$B$15*(1+Assumptions!$B$4)^((4-2)/12)</f>
        <v>261284.041728111</v>
      </c>
      <c r="E9" s="10" t="n">
        <f aca="false">Assumptions!$B$10*Assumptions!$B$15*(1+Assumptions!$B$4)^((5-2)/12)</f>
        <v>261928.438662211</v>
      </c>
      <c r="F9" s="10" t="n">
        <f aca="false">Assumptions!$B$10*Assumptions!$B$15*(1+Assumptions!$B$4)^((6-2)/12)</f>
        <v>262574.42485299</v>
      </c>
      <c r="G9" s="10" t="n">
        <f aca="false">Assumptions!$B$10*Assumptions!$B$15*(1+Assumptions!$B$4)^((7-2)/12)</f>
        <v>263222.004219985</v>
      </c>
      <c r="H9" s="10" t="n">
        <f aca="false">Assumptions!$B$10*Assumptions!$B$15*(1+Assumptions!$B$4)^((8-2)/12)</f>
        <v>263871.180692398</v>
      </c>
      <c r="I9" s="10" t="n">
        <f aca="false">Assumptions!$B$10*Assumptions!$B$15*(1+Assumptions!$B$4)^((9-2)/12)</f>
        <v>264521.958209121</v>
      </c>
      <c r="J9" s="10" t="n">
        <f aca="false">Assumptions!$B$10*Assumptions!$B$15*(1+Assumptions!$B$4)^((10-2)/12)</f>
        <v>265174.340718763</v>
      </c>
      <c r="K9" s="10" t="n">
        <f aca="false">Assumptions!$B$10*Assumptions!$B$15*(1+Assumptions!$B$4)^((11-2)/12)</f>
        <v>265828.332179668</v>
      </c>
      <c r="L9" s="10" t="n">
        <f aca="false">Assumptions!$B$10*Assumptions!$B$15*(1+Assumptions!$B$4)^((12-2)/12)</f>
        <v>266483.936559945</v>
      </c>
      <c r="M9" s="10" t="n">
        <f aca="false">Assumptions!$B$10*Assumptions!$B$15*(1+Assumptions!$B$4)^((13-2)/12)</f>
        <v>267141.157837487</v>
      </c>
      <c r="N9" s="10" t="n">
        <f aca="false">SUM(B9:M9)</f>
        <v>3162671.04580148</v>
      </c>
    </row>
    <row r="10" customFormat="false" ht="15" hidden="false" customHeight="false" outlineLevel="0" collapsed="false">
      <c r="A10" s="0" t="s">
        <v>38</v>
      </c>
      <c r="B10" s="10" t="n">
        <f aca="false">Assumptions!$B$11*Assumptions!$B$16*(1+Assumptions!$B$4)^((2-2)/12)</f>
        <v>360000</v>
      </c>
      <c r="C10" s="10" t="n">
        <f aca="false">Assumptions!$B$11*Assumptions!$B$16*(1+Assumptions!$B$4)^((3-2)/12)</f>
        <v>360887.857118029</v>
      </c>
      <c r="D10" s="10" t="n">
        <f aca="false">Assumptions!$B$11*Assumptions!$B$16*(1+Assumptions!$B$4)^((4-2)/12)</f>
        <v>361777.903931231</v>
      </c>
      <c r="E10" s="10" t="n">
        <f aca="false">Assumptions!$B$11*Assumptions!$B$16*(1+Assumptions!$B$4)^((5-2)/12)</f>
        <v>362670.145839984</v>
      </c>
      <c r="F10" s="10" t="n">
        <f aca="false">Assumptions!$B$11*Assumptions!$B$16*(1+Assumptions!$B$4)^((6-2)/12)</f>
        <v>363564.588257986</v>
      </c>
      <c r="G10" s="10" t="n">
        <f aca="false">Assumptions!$B$11*Assumptions!$B$16*(1+Assumptions!$B$4)^((7-2)/12)</f>
        <v>364461.236612287</v>
      </c>
      <c r="H10" s="10" t="n">
        <f aca="false">Assumptions!$B$11*Assumptions!$B$16*(1+Assumptions!$B$4)^((8-2)/12)</f>
        <v>365360.09634332</v>
      </c>
      <c r="I10" s="10" t="n">
        <f aca="false">Assumptions!$B$11*Assumptions!$B$16*(1+Assumptions!$B$4)^((9-2)/12)</f>
        <v>366261.172904937</v>
      </c>
      <c r="J10" s="10" t="n">
        <f aca="false">Assumptions!$B$11*Assumptions!$B$16*(1+Assumptions!$B$4)^((10-2)/12)</f>
        <v>367164.471764441</v>
      </c>
      <c r="K10" s="10" t="n">
        <f aca="false">Assumptions!$B$11*Assumptions!$B$16*(1+Assumptions!$B$4)^((11-2)/12)</f>
        <v>368069.998402618</v>
      </c>
      <c r="L10" s="10" t="n">
        <f aca="false">Assumptions!$B$11*Assumptions!$B$16*(1+Assumptions!$B$4)^((12-2)/12)</f>
        <v>368977.75831377</v>
      </c>
      <c r="M10" s="10" t="n">
        <f aca="false">Assumptions!$B$11*Assumptions!$B$16*(1+Assumptions!$B$4)^((13-2)/12)</f>
        <v>369887.757005752</v>
      </c>
      <c r="N10" s="10" t="n">
        <f aca="false">SUM(B10:M10)</f>
        <v>4379082.98649435</v>
      </c>
    </row>
    <row r="11" customFormat="false" ht="15" hidden="false" customHeight="false" outlineLevel="0" collapsed="false">
      <c r="A11" s="0" t="s">
        <v>39</v>
      </c>
      <c r="B11" s="10" t="n">
        <f aca="false">(B8+B9+B10)*Assumptions!$B$17</f>
        <v>183000</v>
      </c>
      <c r="C11" s="10" t="n">
        <f aca="false">(B8+B9+B10)*Assumptions!$B$17</f>
        <v>183000</v>
      </c>
      <c r="D11" s="10" t="n">
        <f aca="false">(B8+B9+B10)*Assumptions!$B$17</f>
        <v>183000</v>
      </c>
      <c r="E11" s="10" t="n">
        <f aca="false">(B8+B9+B10)*Assumptions!$B$17</f>
        <v>183000</v>
      </c>
      <c r="F11" s="10" t="n">
        <f aca="false">(B8+B9+B10)*Assumptions!$B$17</f>
        <v>183000</v>
      </c>
      <c r="G11" s="10" t="n">
        <f aca="false">(B8+B9+B10)*Assumptions!$B$17</f>
        <v>183000</v>
      </c>
      <c r="H11" s="10" t="n">
        <f aca="false">(B8+B9+B10)*Assumptions!$B$17</f>
        <v>183000</v>
      </c>
      <c r="I11" s="10" t="n">
        <f aca="false">(B8+B9+B10)*Assumptions!$B$17</f>
        <v>183000</v>
      </c>
      <c r="J11" s="10" t="n">
        <f aca="false">(B8+B9+B10)*Assumptions!$B$17</f>
        <v>183000</v>
      </c>
      <c r="K11" s="10" t="n">
        <f aca="false">(B8+B9+B10)*Assumptions!$B$17</f>
        <v>183000</v>
      </c>
      <c r="L11" s="10" t="n">
        <f aca="false">(B8+B9+B10)*Assumptions!$B$17</f>
        <v>183000</v>
      </c>
      <c r="M11" s="10" t="n">
        <f aca="false">(B8+B9+B10)*Assumptions!$B$17</f>
        <v>183000</v>
      </c>
      <c r="N11" s="10" t="n">
        <f aca="false">SUM(B11:M11)</f>
        <v>2196000</v>
      </c>
    </row>
    <row r="12" customFormat="false" ht="15" hidden="false" customHeight="false" outlineLevel="0" collapsed="false">
      <c r="A12" s="0" t="s">
        <v>40</v>
      </c>
      <c r="B12" s="10" t="n">
        <f aca="false">(B8+B9+B10)*Assumptions!$B$18</f>
        <v>305000</v>
      </c>
      <c r="C12" s="10" t="n">
        <f aca="false">(B8+B9+B10)*Assumptions!$B$18</f>
        <v>305000</v>
      </c>
      <c r="D12" s="10" t="n">
        <f aca="false">(B8+B9+B10)*Assumptions!$B$18</f>
        <v>305000</v>
      </c>
      <c r="E12" s="10" t="n">
        <f aca="false">(B8+B9+B10)*Assumptions!$B$18</f>
        <v>305000</v>
      </c>
      <c r="F12" s="10" t="n">
        <f aca="false">(B8+B9+B10)*Assumptions!$B$18</f>
        <v>305000</v>
      </c>
      <c r="G12" s="10" t="n">
        <f aca="false">(B8+B9+B10)*Assumptions!$B$18</f>
        <v>305000</v>
      </c>
      <c r="H12" s="10" t="n">
        <f aca="false">(B8+B9+B10)*Assumptions!$B$18</f>
        <v>305000</v>
      </c>
      <c r="I12" s="10" t="n">
        <f aca="false">(B8+B9+B10)*Assumptions!$B$18</f>
        <v>305000</v>
      </c>
      <c r="J12" s="10" t="n">
        <f aca="false">(B8+B9+B10)*Assumptions!$B$18</f>
        <v>305000</v>
      </c>
      <c r="K12" s="10" t="n">
        <f aca="false">(B8+B9+B10)*Assumptions!$B$18</f>
        <v>305000</v>
      </c>
      <c r="L12" s="10" t="n">
        <f aca="false">(B8+B9+B10)*Assumptions!$B$18</f>
        <v>305000</v>
      </c>
      <c r="M12" s="10" t="n">
        <f aca="false">(B8+B9+B10)*Assumptions!$B$18</f>
        <v>305000</v>
      </c>
      <c r="N12" s="10" t="n">
        <f aca="false">SUM(B12:M12)</f>
        <v>3660000</v>
      </c>
    </row>
    <row r="13" customFormat="false" ht="15" hidden="false" customHeight="false" outlineLevel="0" collapsed="false">
      <c r="A13" s="11" t="s">
        <v>41</v>
      </c>
      <c r="B13" s="12" t="n">
        <f aca="false">SUM(B8:B12)</f>
        <v>1708000</v>
      </c>
      <c r="C13" s="12" t="n">
        <f aca="false">SUM(B8:B12)</f>
        <v>1708000</v>
      </c>
      <c r="D13" s="12" t="n">
        <f aca="false">SUM(B8:B12)</f>
        <v>1708000</v>
      </c>
      <c r="E13" s="12" t="n">
        <f aca="false">SUM(B8:B12)</f>
        <v>1708000</v>
      </c>
      <c r="F13" s="12" t="n">
        <f aca="false">SUM(B8:B12)</f>
        <v>1708000</v>
      </c>
      <c r="G13" s="12" t="n">
        <f aca="false">SUM(B8:B12)</f>
        <v>1708000</v>
      </c>
      <c r="H13" s="12" t="n">
        <f aca="false">SUM(B8:B12)</f>
        <v>1708000</v>
      </c>
      <c r="I13" s="12" t="n">
        <f aca="false">SUM(B8:B12)</f>
        <v>1708000</v>
      </c>
      <c r="J13" s="12" t="n">
        <f aca="false">SUM(B8:B12)</f>
        <v>1708000</v>
      </c>
      <c r="K13" s="12" t="n">
        <f aca="false">SUM(B8:B12)</f>
        <v>1708000</v>
      </c>
      <c r="L13" s="12" t="n">
        <f aca="false">SUM(B8:B12)</f>
        <v>1708000</v>
      </c>
      <c r="M13" s="12" t="n">
        <f aca="false">SUM(B8:B12)</f>
        <v>1708000</v>
      </c>
      <c r="N13" s="13" t="n">
        <f aca="false">SUM(B13:M13)</f>
        <v>20496000</v>
      </c>
    </row>
    <row r="15" customFormat="false" ht="15" hidden="false" customHeight="false" outlineLevel="0" collapsed="false">
      <c r="A15" s="8" t="s">
        <v>42</v>
      </c>
    </row>
    <row r="16" customFormat="false" ht="15" hidden="false" customHeight="false" outlineLevel="0" collapsed="false">
      <c r="A16" s="0" t="s">
        <v>43</v>
      </c>
      <c r="B16" s="10" t="n">
        <f aca="false">Assumptions!$B$19/12*(1+Assumptions!$B$5)^((2-2)/12)</f>
        <v>1250</v>
      </c>
      <c r="C16" s="10" t="n">
        <f aca="false">Assumptions!$B$19/12*(1+Assumptions!$B$5)^((3-2)/12)</f>
        <v>1252.5747953373</v>
      </c>
      <c r="D16" s="10" t="n">
        <f aca="false">Assumptions!$B$19/12*(1+Assumptions!$B$5)^((4-2)/12)</f>
        <v>1255.15489433143</v>
      </c>
      <c r="E16" s="10" t="n">
        <f aca="false">Assumptions!$B$19/12*(1+Assumptions!$B$5)^((5-2)/12)</f>
        <v>1257.74030790705</v>
      </c>
      <c r="F16" s="10" t="n">
        <f aca="false">Assumptions!$B$19/12*(1+Assumptions!$B$5)^((6-2)/12)</f>
        <v>1260.33104701132</v>
      </c>
      <c r="G16" s="10" t="n">
        <f aca="false">Assumptions!$B$19/12*(1+Assumptions!$B$5)^((7-2)/12)</f>
        <v>1262.92712261396</v>
      </c>
      <c r="H16" s="10" t="n">
        <f aca="false">Assumptions!$B$19/12*(1+Assumptions!$B$5)^((8-2)/12)</f>
        <v>1265.52854570729</v>
      </c>
      <c r="I16" s="10" t="n">
        <f aca="false">Assumptions!$B$19/12*(1+Assumptions!$B$5)^((9-2)/12)</f>
        <v>1268.13532730626</v>
      </c>
      <c r="J16" s="10" t="n">
        <f aca="false">Assumptions!$B$19/12*(1+Assumptions!$B$5)^((10-2)/12)</f>
        <v>1270.74747844851</v>
      </c>
      <c r="K16" s="10" t="n">
        <f aca="false">Assumptions!$B$19/12*(1+Assumptions!$B$5)^((11-2)/12)</f>
        <v>1273.36501019443</v>
      </c>
      <c r="L16" s="10" t="n">
        <f aca="false">Assumptions!$B$19/12*(1+Assumptions!$B$5)^((12-2)/12)</f>
        <v>1275.98793362718</v>
      </c>
      <c r="M16" s="10" t="n">
        <f aca="false">Assumptions!$B$19/12*(1+Assumptions!$B$5)^((13-2)/12)</f>
        <v>1278.61625985274</v>
      </c>
      <c r="N16" s="10" t="n">
        <f aca="false">SUM(B16:M16)</f>
        <v>15171.1087223375</v>
      </c>
    </row>
    <row r="17" customFormat="false" ht="15" hidden="false" customHeight="false" outlineLevel="0" collapsed="false">
      <c r="A17" s="0" t="s">
        <v>44</v>
      </c>
      <c r="B17" s="10" t="n">
        <f aca="false">Assumptions!$B$20/12*(1+Assumptions!$B$5)^((2-2)/12)</f>
        <v>2500</v>
      </c>
      <c r="C17" s="10" t="n">
        <f aca="false">Assumptions!$B$20/12*(1+Assumptions!$B$5)^((3-2)/12)</f>
        <v>2505.14959067461</v>
      </c>
      <c r="D17" s="10" t="n">
        <f aca="false">Assumptions!$B$20/12*(1+Assumptions!$B$5)^((4-2)/12)</f>
        <v>2510.30978866286</v>
      </c>
      <c r="E17" s="10" t="n">
        <f aca="false">Assumptions!$B$20/12*(1+Assumptions!$B$5)^((5-2)/12)</f>
        <v>2515.48061581409</v>
      </c>
      <c r="F17" s="10" t="n">
        <f aca="false">Assumptions!$B$20/12*(1+Assumptions!$B$5)^((6-2)/12)</f>
        <v>2520.66209402263</v>
      </c>
      <c r="G17" s="10" t="n">
        <f aca="false">Assumptions!$B$20/12*(1+Assumptions!$B$5)^((7-2)/12)</f>
        <v>2525.85424522792</v>
      </c>
      <c r="H17" s="10" t="n">
        <f aca="false">Assumptions!$B$20/12*(1+Assumptions!$B$5)^((8-2)/12)</f>
        <v>2531.05709141457</v>
      </c>
      <c r="I17" s="10" t="n">
        <f aca="false">Assumptions!$B$20/12*(1+Assumptions!$B$5)^((9-2)/12)</f>
        <v>2536.27065461251</v>
      </c>
      <c r="J17" s="10" t="n">
        <f aca="false">Assumptions!$B$20/12*(1+Assumptions!$B$5)^((10-2)/12)</f>
        <v>2541.49495689702</v>
      </c>
      <c r="K17" s="10" t="n">
        <f aca="false">Assumptions!$B$20/12*(1+Assumptions!$B$5)^((11-2)/12)</f>
        <v>2546.73002038886</v>
      </c>
      <c r="L17" s="10" t="n">
        <f aca="false">Assumptions!$B$20/12*(1+Assumptions!$B$5)^((12-2)/12)</f>
        <v>2551.97586725436</v>
      </c>
      <c r="M17" s="10" t="n">
        <f aca="false">Assumptions!$B$20/12*(1+Assumptions!$B$5)^((13-2)/12)</f>
        <v>2557.23251970549</v>
      </c>
      <c r="N17" s="10" t="n">
        <f aca="false">SUM(B17:M17)</f>
        <v>30342.2174446749</v>
      </c>
    </row>
    <row r="18" customFormat="false" ht="15" hidden="false" customHeight="false" outlineLevel="0" collapsed="false">
      <c r="A18" s="0" t="s">
        <v>45</v>
      </c>
      <c r="B18" s="10" t="n">
        <f aca="false">B5*0.15</f>
        <v>7500</v>
      </c>
      <c r="C18" s="10" t="n">
        <f aca="false">B5*0.15</f>
        <v>7500</v>
      </c>
      <c r="D18" s="10" t="n">
        <f aca="false">B5*0.15</f>
        <v>7500</v>
      </c>
      <c r="E18" s="10" t="n">
        <f aca="false">B5*0.15</f>
        <v>7500</v>
      </c>
      <c r="F18" s="10" t="n">
        <f aca="false">B5*0.15</f>
        <v>7500</v>
      </c>
      <c r="G18" s="10" t="n">
        <f aca="false">B5*0.15</f>
        <v>7500</v>
      </c>
      <c r="H18" s="10" t="n">
        <f aca="false">B5*0.15</f>
        <v>7500</v>
      </c>
      <c r="I18" s="10" t="n">
        <f aca="false">B5*0.15</f>
        <v>7500</v>
      </c>
      <c r="J18" s="10" t="n">
        <f aca="false">B5*0.15</f>
        <v>7500</v>
      </c>
      <c r="K18" s="10" t="n">
        <f aca="false">B5*0.15</f>
        <v>7500</v>
      </c>
      <c r="L18" s="10" t="n">
        <f aca="false">B5*0.15</f>
        <v>7500</v>
      </c>
      <c r="M18" s="10" t="n">
        <f aca="false">B5*0.15</f>
        <v>7500</v>
      </c>
      <c r="N18" s="10" t="n">
        <f aca="false">SUM(B18:M18)</f>
        <v>90000</v>
      </c>
    </row>
    <row r="19" customFormat="false" ht="15" hidden="false" customHeight="false" outlineLevel="0" collapsed="false">
      <c r="A19" s="11" t="s">
        <v>46</v>
      </c>
      <c r="B19" s="12" t="n">
        <f aca="false">SUM(B16:B18)</f>
        <v>11250</v>
      </c>
      <c r="C19" s="12" t="n">
        <f aca="false">SUM(B16:B18)</f>
        <v>11250</v>
      </c>
      <c r="D19" s="12" t="n">
        <f aca="false">SUM(B16:B18)</f>
        <v>11250</v>
      </c>
      <c r="E19" s="12" t="n">
        <f aca="false">SUM(B16:B18)</f>
        <v>11250</v>
      </c>
      <c r="F19" s="12" t="n">
        <f aca="false">SUM(B16:B18)</f>
        <v>11250</v>
      </c>
      <c r="G19" s="12" t="n">
        <f aca="false">SUM(B16:B18)</f>
        <v>11250</v>
      </c>
      <c r="H19" s="12" t="n">
        <f aca="false">SUM(B16:B18)</f>
        <v>11250</v>
      </c>
      <c r="I19" s="12" t="n">
        <f aca="false">SUM(B16:B18)</f>
        <v>11250</v>
      </c>
      <c r="J19" s="12" t="n">
        <f aca="false">SUM(B16:B18)</f>
        <v>11250</v>
      </c>
      <c r="K19" s="12" t="n">
        <f aca="false">SUM(B16:B18)</f>
        <v>11250</v>
      </c>
      <c r="L19" s="12" t="n">
        <f aca="false">SUM(B16:B18)</f>
        <v>11250</v>
      </c>
      <c r="M19" s="12" t="n">
        <f aca="false">SUM(B16:B18)</f>
        <v>11250</v>
      </c>
      <c r="N19" s="13" t="n">
        <f aca="false">SUM(B19:M19)</f>
        <v>135000</v>
      </c>
    </row>
    <row r="21" customFormat="false" ht="15" hidden="false" customHeight="false" outlineLevel="0" collapsed="false">
      <c r="A21" s="14" t="s">
        <v>47</v>
      </c>
      <c r="B21" s="15" t="n">
        <f aca="false">B5-B13-B19</f>
        <v>-1669250</v>
      </c>
      <c r="C21" s="15" t="n">
        <f aca="false">B5-B13-B19</f>
        <v>-1669250</v>
      </c>
      <c r="D21" s="15" t="n">
        <f aca="false">B5-B13-B19</f>
        <v>-1669250</v>
      </c>
      <c r="E21" s="15" t="n">
        <f aca="false">B5-B13-B19</f>
        <v>-1669250</v>
      </c>
      <c r="F21" s="15" t="n">
        <f aca="false">B5-B13-B19</f>
        <v>-1669250</v>
      </c>
      <c r="G21" s="15" t="n">
        <f aca="false">B5-B13-B19</f>
        <v>-1669250</v>
      </c>
      <c r="H21" s="15" t="n">
        <f aca="false">B5-B13-B19</f>
        <v>-1669250</v>
      </c>
      <c r="I21" s="15" t="n">
        <f aca="false">B5-B13-B19</f>
        <v>-1669250</v>
      </c>
      <c r="J21" s="15" t="n">
        <f aca="false">B5-B13-B19</f>
        <v>-1669250</v>
      </c>
      <c r="K21" s="15" t="n">
        <f aca="false">B5-B13-B19</f>
        <v>-1669250</v>
      </c>
      <c r="L21" s="15" t="n">
        <f aca="false">B5-B13-B19</f>
        <v>-1669250</v>
      </c>
      <c r="M21" s="15" t="n">
        <f aca="false">B5-B13-B19</f>
        <v>-1669250</v>
      </c>
      <c r="N21" s="15" t="n">
        <f aca="false">SUM(B21:M21)</f>
        <v>-20031000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5" min="2" style="0" width="15"/>
  </cols>
  <sheetData>
    <row r="1" customFormat="false" ht="15" hidden="false" customHeight="false" outlineLevel="0" collapsed="false">
      <c r="A1" s="1" t="s">
        <v>48</v>
      </c>
      <c r="B1" s="1"/>
      <c r="C1" s="1"/>
      <c r="D1" s="1"/>
      <c r="E1" s="1"/>
    </row>
    <row r="2" customFormat="false" ht="15" hidden="false" customHeight="false" outlineLevel="0" collapsed="false">
      <c r="A2" s="7" t="s">
        <v>18</v>
      </c>
      <c r="B2" s="7" t="s">
        <v>49</v>
      </c>
      <c r="C2" s="7" t="s">
        <v>50</v>
      </c>
      <c r="D2" s="7" t="s">
        <v>51</v>
      </c>
      <c r="E2" s="7" t="s">
        <v>52</v>
      </c>
    </row>
    <row r="3" customFormat="false" ht="15" hidden="false" customHeight="false" outlineLevel="0" collapsed="false">
      <c r="A3" s="0" t="s">
        <v>33</v>
      </c>
      <c r="B3" s="10" t="n">
        <f aca="false">'Annual Budget'!N4</f>
        <v>627026.830613188</v>
      </c>
      <c r="C3" s="16"/>
      <c r="D3" s="10" t="n">
        <f aca="false">C3-B3</f>
        <v>-627026.830613188</v>
      </c>
      <c r="E3" s="17" t="n">
        <f aca="false">IFERROR(D3/B3, 0)</f>
        <v>-1</v>
      </c>
    </row>
    <row r="4" customFormat="false" ht="15" hidden="false" customHeight="false" outlineLevel="0" collapsed="false">
      <c r="A4" s="0" t="s">
        <v>53</v>
      </c>
      <c r="B4" s="10" t="n">
        <f aca="false">'Annual Budget'!N13</f>
        <v>20496000</v>
      </c>
      <c r="C4" s="16"/>
      <c r="D4" s="10" t="n">
        <f aca="false">C4-B4</f>
        <v>-20496000</v>
      </c>
      <c r="E4" s="17" t="n">
        <f aca="false">IFERROR(D4/B4, 0)</f>
        <v>-1</v>
      </c>
    </row>
    <row r="5" customFormat="false" ht="15" hidden="false" customHeight="false" outlineLevel="0" collapsed="false">
      <c r="A5" s="0" t="s">
        <v>54</v>
      </c>
      <c r="B5" s="10" t="n">
        <f aca="false">'Annual Budget'!N19</f>
        <v>135000</v>
      </c>
      <c r="C5" s="16"/>
      <c r="D5" s="10" t="n">
        <f aca="false">C5-B5</f>
        <v>-135000</v>
      </c>
      <c r="E5" s="17" t="n">
        <f aca="false">IFERROR(D5/B5, 0)</f>
        <v>-1</v>
      </c>
    </row>
    <row r="6" customFormat="false" ht="15" hidden="false" customHeight="false" outlineLevel="0" collapsed="false">
      <c r="A6" s="0" t="s">
        <v>55</v>
      </c>
      <c r="B6" s="10" t="n">
        <f aca="false">'Annual Budget'!N21</f>
        <v>-20031000</v>
      </c>
      <c r="C6" s="16"/>
      <c r="D6" s="10" t="n">
        <f aca="false">C6-B6</f>
        <v>20031000</v>
      </c>
      <c r="E6" s="17" t="n">
        <f aca="false">IFERROR(D6/B6, 0)</f>
        <v>-1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6" min="2" style="0" width="15"/>
  </cols>
  <sheetData>
    <row r="1" customFormat="false" ht="15" hidden="false" customHeight="false" outlineLevel="0" collapsed="false">
      <c r="A1" s="1" t="s">
        <v>56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0" t="s">
        <v>57</v>
      </c>
      <c r="B2" s="7" t="s">
        <v>58</v>
      </c>
      <c r="C2" s="7" t="s">
        <v>59</v>
      </c>
      <c r="D2" s="7" t="s">
        <v>60</v>
      </c>
      <c r="E2" s="7" t="s">
        <v>61</v>
      </c>
      <c r="F2" s="7" t="s">
        <v>62</v>
      </c>
    </row>
    <row r="3" customFormat="false" ht="15" hidden="false" customHeight="false" outlineLevel="0" collapsed="false">
      <c r="A3" s="0" t="s">
        <v>36</v>
      </c>
      <c r="B3" s="10" t="n">
        <f aca="false">'Annual Budget'!N8*1</f>
        <v>7298471.64415726</v>
      </c>
      <c r="C3" s="10" t="n">
        <f aca="false">'Annual Budget'!N8*0</f>
        <v>0</v>
      </c>
      <c r="D3" s="10" t="n">
        <f aca="false">'Annual Budget'!N8*0</f>
        <v>0</v>
      </c>
      <c r="E3" s="10" t="n">
        <f aca="false">'Annual Budget'!N8*0</f>
        <v>0</v>
      </c>
      <c r="F3" s="10" t="n">
        <f aca="false">SUM(B3:E3)</f>
        <v>7298471.64415726</v>
      </c>
    </row>
    <row r="4" customFormat="false" ht="15" hidden="false" customHeight="false" outlineLevel="0" collapsed="false">
      <c r="A4" s="0" t="s">
        <v>37</v>
      </c>
      <c r="B4" s="10" t="n">
        <f aca="false">'Annual Budget'!N9*0</f>
        <v>0</v>
      </c>
      <c r="C4" s="10" t="n">
        <f aca="false">'Annual Budget'!N9*1</f>
        <v>3162671.04580148</v>
      </c>
      <c r="D4" s="10" t="n">
        <f aca="false">'Annual Budget'!N9*0</f>
        <v>0</v>
      </c>
      <c r="E4" s="10" t="n">
        <f aca="false">'Annual Budget'!N9*0</f>
        <v>0</v>
      </c>
      <c r="F4" s="10" t="n">
        <f aca="false">SUM(B4:E4)</f>
        <v>3162671.04580148</v>
      </c>
    </row>
    <row r="5" customFormat="false" ht="15" hidden="false" customHeight="false" outlineLevel="0" collapsed="false">
      <c r="A5" s="0" t="s">
        <v>38</v>
      </c>
      <c r="B5" s="10" t="n">
        <f aca="false">'Annual Budget'!N10*0</f>
        <v>0</v>
      </c>
      <c r="C5" s="10" t="n">
        <f aca="false">'Annual Budget'!N10*0</f>
        <v>0</v>
      </c>
      <c r="D5" s="10" t="n">
        <f aca="false">'Annual Budget'!N10*1</f>
        <v>4379082.98649435</v>
      </c>
      <c r="E5" s="10" t="n">
        <f aca="false">'Annual Budget'!N10*0</f>
        <v>0</v>
      </c>
      <c r="F5" s="10" t="n">
        <f aca="false">SUM(B5:E5)</f>
        <v>4379082.98649435</v>
      </c>
    </row>
    <row r="6" customFormat="false" ht="15" hidden="false" customHeight="false" outlineLevel="0" collapsed="false">
      <c r="A6" s="0" t="s">
        <v>39</v>
      </c>
      <c r="B6" s="10" t="n">
        <f aca="false">'Annual Budget'!N11*0.35</f>
        <v>768600</v>
      </c>
      <c r="C6" s="10" t="n">
        <f aca="false">'Annual Budget'!N11*0.17</f>
        <v>373320</v>
      </c>
      <c r="D6" s="10" t="n">
        <f aca="false">'Annual Budget'!N11*0.35</f>
        <v>768600</v>
      </c>
      <c r="E6" s="10" t="n">
        <f aca="false">'Annual Budget'!N11*0.13</f>
        <v>285480</v>
      </c>
      <c r="F6" s="10" t="n">
        <f aca="false">SUM(B6:E6)</f>
        <v>2196000</v>
      </c>
    </row>
    <row r="7" customFormat="false" ht="15" hidden="false" customHeight="false" outlineLevel="0" collapsed="false">
      <c r="A7" s="0" t="s">
        <v>40</v>
      </c>
      <c r="B7" s="10" t="n">
        <f aca="false">'Annual Budget'!N12*0.35</f>
        <v>1281000</v>
      </c>
      <c r="C7" s="10" t="n">
        <f aca="false">'Annual Budget'!N12*0.17</f>
        <v>622200</v>
      </c>
      <c r="D7" s="10" t="n">
        <f aca="false">'Annual Budget'!N12*0.35</f>
        <v>1281000</v>
      </c>
      <c r="E7" s="10" t="n">
        <f aca="false">'Annual Budget'!N12*0.13</f>
        <v>475800</v>
      </c>
      <c r="F7" s="10" t="n">
        <f aca="false">SUM(B7:E7)</f>
        <v>3660000</v>
      </c>
    </row>
    <row r="8" customFormat="false" ht="15" hidden="false" customHeight="false" outlineLevel="0" collapsed="false">
      <c r="A8" s="0" t="s">
        <v>43</v>
      </c>
      <c r="B8" s="10" t="n">
        <f aca="false">'Annual Budget'!N16*0.2</f>
        <v>3034.22174446749</v>
      </c>
      <c r="C8" s="10" t="n">
        <f aca="false">'Annual Budget'!N16*0.3</f>
        <v>4551.33261670124</v>
      </c>
      <c r="D8" s="10" t="n">
        <f aca="false">'Annual Budget'!N16*0.3</f>
        <v>4551.33261670124</v>
      </c>
      <c r="E8" s="10" t="n">
        <f aca="false">'Annual Budget'!N16*0.2</f>
        <v>3034.22174446749</v>
      </c>
      <c r="F8" s="10" t="n">
        <f aca="false">SUM(B8:E8)</f>
        <v>15171.1087223375</v>
      </c>
    </row>
    <row r="9" customFormat="false" ht="15" hidden="false" customHeight="false" outlineLevel="0" collapsed="false">
      <c r="A9" s="0" t="s">
        <v>44</v>
      </c>
      <c r="B9" s="10" t="n">
        <f aca="false">'Annual Budget'!N17*0.15</f>
        <v>4551.33261670124</v>
      </c>
      <c r="C9" s="10" t="n">
        <f aca="false">'Annual Budget'!N17*0.15</f>
        <v>4551.33261670124</v>
      </c>
      <c r="D9" s="10" t="n">
        <f aca="false">'Annual Budget'!N17*0.35</f>
        <v>10619.7761056362</v>
      </c>
      <c r="E9" s="10" t="n">
        <f aca="false">'Annual Budget'!N17*0.35</f>
        <v>10619.7761056362</v>
      </c>
      <c r="F9" s="10" t="n">
        <f aca="false">SUM(B9:E9)</f>
        <v>30342.2174446749</v>
      </c>
    </row>
    <row r="10" customFormat="false" ht="15" hidden="false" customHeight="false" outlineLevel="0" collapsed="false">
      <c r="A10" s="0" t="s">
        <v>45</v>
      </c>
      <c r="B10" s="10" t="n">
        <f aca="false">'Annual Budget'!N18*0.1</f>
        <v>9000</v>
      </c>
      <c r="C10" s="10" t="n">
        <f aca="false">'Annual Budget'!N18*0.8</f>
        <v>72000</v>
      </c>
      <c r="D10" s="10" t="n">
        <f aca="false">'Annual Budget'!N18*0.05</f>
        <v>4500</v>
      </c>
      <c r="E10" s="10" t="n">
        <f aca="false">'Annual Budget'!N18*0.05</f>
        <v>4500</v>
      </c>
      <c r="F10" s="10" t="n">
        <f aca="false">SUM(B10:E10)</f>
        <v>90000</v>
      </c>
    </row>
    <row r="12" customFormat="false" ht="15" hidden="false" customHeight="false" outlineLevel="0" collapsed="false">
      <c r="A12" s="11" t="s">
        <v>63</v>
      </c>
      <c r="B12" s="18" t="n">
        <f aca="false">SUM(B3:B10)</f>
        <v>9364657.19851843</v>
      </c>
      <c r="C12" s="18" t="n">
        <f aca="false">SUM(C3:C10)</f>
        <v>4239293.71103488</v>
      </c>
      <c r="D12" s="18" t="n">
        <f aca="false">SUM(D3:D10)</f>
        <v>6448354.09521669</v>
      </c>
      <c r="E12" s="18" t="n">
        <f aca="false">SUM(E3:E10)</f>
        <v>779433.997850104</v>
      </c>
      <c r="F12" s="18" t="n">
        <f aca="false">SUM(F3:F10)</f>
        <v>20831739.0026201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6"/>
  </cols>
  <sheetData>
    <row r="1" customFormat="false" ht="15" hidden="false" customHeight="false" outlineLevel="0" collapsed="false">
      <c r="A1" s="1" t="s">
        <v>64</v>
      </c>
      <c r="B1" s="1"/>
      <c r="C1" s="1"/>
      <c r="D1" s="1"/>
    </row>
    <row r="2" customFormat="false" ht="15" hidden="false" customHeight="false" outlineLevel="0" collapsed="false">
      <c r="A2" s="7" t="s">
        <v>65</v>
      </c>
      <c r="B2" s="7" t="s">
        <v>66</v>
      </c>
      <c r="C2" s="7" t="s">
        <v>67</v>
      </c>
      <c r="D2" s="7" t="s">
        <v>68</v>
      </c>
    </row>
    <row r="3" customFormat="false" ht="15" hidden="false" customHeight="false" outlineLevel="0" collapsed="false">
      <c r="A3" s="0" t="s">
        <v>69</v>
      </c>
      <c r="B3" s="10" t="n">
        <f aca="false">'Annual Budget'!N5</f>
        <v>600000</v>
      </c>
      <c r="C3" s="10" t="n">
        <f aca="false">'Annual Budget'!N5*1.15</f>
        <v>690000</v>
      </c>
      <c r="D3" s="10" t="n">
        <f aca="false">'Annual Budget'!N5*0.85</f>
        <v>510000</v>
      </c>
    </row>
    <row r="4" customFormat="false" ht="15" hidden="false" customHeight="false" outlineLevel="0" collapsed="false">
      <c r="A4" s="0" t="s">
        <v>53</v>
      </c>
      <c r="B4" s="10" t="n">
        <f aca="false">'Annual Budget'!N13</f>
        <v>20496000</v>
      </c>
      <c r="C4" s="10" t="n">
        <f aca="false">'Annual Budget'!N13*1.05</f>
        <v>21520800</v>
      </c>
      <c r="D4" s="10" t="n">
        <f aca="false">'Annual Budget'!N13*1.05</f>
        <v>21520800</v>
      </c>
    </row>
    <row r="5" customFormat="false" ht="15" hidden="false" customHeight="false" outlineLevel="0" collapsed="false">
      <c r="A5" s="0" t="s">
        <v>70</v>
      </c>
      <c r="B5" s="10" t="n">
        <f aca="false">'Annual Budget'!N19</f>
        <v>135000</v>
      </c>
      <c r="C5" s="10" t="n">
        <f aca="false">'Annual Budget'!N19*1.1</f>
        <v>148500</v>
      </c>
      <c r="D5" s="10" t="n">
        <f aca="false">'Annual Budget'!N19*0.9</f>
        <v>121500</v>
      </c>
    </row>
    <row r="6" customFormat="false" ht="15" hidden="false" customHeight="false" outlineLevel="0" collapsed="false">
      <c r="A6" s="19" t="s">
        <v>55</v>
      </c>
      <c r="B6" s="20" t="n">
        <f aca="false">'Annual Budget'!N21</f>
        <v>-20031000</v>
      </c>
      <c r="C6" s="20" t="n">
        <f aca="false">B3-B4-B5</f>
        <v>-20031000</v>
      </c>
      <c r="D6" s="20" t="n">
        <f aca="false">D3-D4-D5</f>
        <v>-21132300</v>
      </c>
    </row>
    <row r="7" customFormat="false" ht="15" hidden="false" customHeight="false" outlineLevel="0" collapsed="false">
      <c r="A7" s="19" t="s">
        <v>71</v>
      </c>
      <c r="B7" s="21" t="n">
        <f aca="false">B3/B4</f>
        <v>0.0292740046838408</v>
      </c>
      <c r="C7" s="21" t="n">
        <f aca="false">C3/C4</f>
        <v>0.0320620051299208</v>
      </c>
      <c r="D7" s="21" t="n">
        <f aca="false">D3/D4</f>
        <v>0.0236980037916806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2026-07-15T13:10:59Z</dcterms:created>
  <dc:creator>openpyxl</dc:creator>
  <dc:description/>
  <dc:language>en-US</dc:language>
  <cp:lastModifiedBy/>
  <dcterms:modified xsi:type="dcterms:W3CDTF">2026-07-15T13:10:59Z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