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b0e8416ad22163c3/Valcore Analytics/Finance/LBO/"/>
    </mc:Choice>
  </mc:AlternateContent>
  <xr:revisionPtr revIDLastSave="37" documentId="13_ncr:1_{615008A1-1618-4AB2-A7F4-82AC6392FD00}" xr6:coauthVersionLast="47" xr6:coauthVersionMax="47" xr10:uidLastSave="{394DF21C-31FB-4F76-8959-6425C42C5DFD}"/>
  <bookViews>
    <workbookView xWindow="-98" yWindow="-98" windowWidth="19396" windowHeight="10276" tabRatio="428" activeTab="1" xr2:uid="{00000000-000D-0000-FFFF-FFFF00000000}"/>
  </bookViews>
  <sheets>
    <sheet name="Summary Tab" sheetId="13" r:id="rId1"/>
    <sheet name="Projections" sheetId="3" r:id="rId2"/>
    <sheet name="Scenario assumptions" sheetId="8" r:id="rId3"/>
    <sheet name="Trading Comparable Analysis" sheetId="12" r:id="rId4"/>
  </sheets>
  <definedNames>
    <definedName name="_xlnm._FilterDatabase" localSheetId="3" hidden="1">'Trading Comparable Analysis'!$A$5:$U$5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14" i="3" l="1"/>
  <c r="L19" i="3" s="1"/>
  <c r="C17" i="3"/>
  <c r="C22" i="3"/>
  <c r="B21" i="13"/>
  <c r="D18" i="13"/>
  <c r="E18" i="13"/>
  <c r="F18" i="13"/>
  <c r="C19" i="13"/>
  <c r="D19" i="13"/>
  <c r="E19" i="13"/>
  <c r="F19" i="13"/>
  <c r="C20" i="13"/>
  <c r="D20" i="13"/>
  <c r="E20" i="13"/>
  <c r="F20" i="13"/>
  <c r="C21" i="13"/>
  <c r="D21" i="13"/>
  <c r="E21" i="13"/>
  <c r="F21" i="13"/>
  <c r="C22" i="13"/>
  <c r="D22" i="13"/>
  <c r="E22" i="13"/>
  <c r="F22" i="13"/>
  <c r="C23" i="13"/>
  <c r="D23" i="13"/>
  <c r="E23" i="13"/>
  <c r="F23" i="13"/>
  <c r="C17" i="13"/>
  <c r="B12" i="13"/>
  <c r="D9" i="13"/>
  <c r="E9" i="13"/>
  <c r="F9" i="13"/>
  <c r="D10" i="13"/>
  <c r="E10" i="13"/>
  <c r="F10" i="13"/>
  <c r="D11" i="13"/>
  <c r="E11" i="13"/>
  <c r="F11" i="13"/>
  <c r="D12" i="13"/>
  <c r="E12" i="13"/>
  <c r="F12" i="13"/>
  <c r="D13" i="13"/>
  <c r="E13" i="13"/>
  <c r="F13" i="13"/>
  <c r="D14" i="13"/>
  <c r="E14" i="13"/>
  <c r="F14" i="13"/>
  <c r="C10" i="13"/>
  <c r="C11" i="13"/>
  <c r="C12" i="13"/>
  <c r="C13" i="13"/>
  <c r="C14" i="13"/>
  <c r="C8" i="13"/>
  <c r="D52" i="13"/>
  <c r="E52" i="13" s="1"/>
  <c r="F52" i="13" s="1"/>
  <c r="B51" i="13"/>
  <c r="B50" i="13"/>
  <c r="M99" i="3"/>
  <c r="B102" i="3"/>
  <c r="B101" i="3"/>
  <c r="E81" i="3"/>
  <c r="F4" i="8"/>
  <c r="F5" i="8" s="1"/>
  <c r="G4" i="8"/>
  <c r="H4" i="8"/>
  <c r="E4" i="8"/>
  <c r="U6" i="12"/>
  <c r="G5" i="8" l="1"/>
  <c r="H5" i="8" s="1"/>
  <c r="P6" i="12"/>
  <c r="H6" i="12"/>
  <c r="O6" i="12" s="1"/>
  <c r="U12" i="12"/>
  <c r="U10" i="12"/>
  <c r="U15" i="12"/>
  <c r="U13" i="12"/>
  <c r="H15" i="12" l="1"/>
  <c r="O15" i="12" s="1"/>
  <c r="P15" i="12"/>
  <c r="H10" i="12"/>
  <c r="O10" i="12" s="1"/>
  <c r="P10" i="12"/>
  <c r="P13" i="12"/>
  <c r="H13" i="12"/>
  <c r="O13" i="12" s="1"/>
  <c r="N6" i="12"/>
  <c r="P12" i="12"/>
  <c r="H12" i="12"/>
  <c r="O12" i="12" s="1"/>
  <c r="N12" i="12" l="1"/>
  <c r="N13" i="12"/>
  <c r="N10" i="12"/>
  <c r="N15" i="12"/>
  <c r="D6" i="8" l="1"/>
  <c r="C46" i="3" s="1"/>
  <c r="C15" i="3" s="1"/>
  <c r="H6" i="8"/>
  <c r="G46" i="3" s="1"/>
  <c r="G6" i="8"/>
  <c r="F46" i="3" s="1"/>
  <c r="F6" i="8"/>
  <c r="E46" i="3" s="1"/>
  <c r="E6" i="8"/>
  <c r="E2" i="8"/>
  <c r="F2" i="8" s="1"/>
  <c r="G2" i="8" s="1"/>
  <c r="H2" i="8" s="1"/>
  <c r="C28" i="13"/>
  <c r="B5" i="3"/>
  <c r="M111" i="3"/>
  <c r="E60" i="13" s="1"/>
  <c r="D83" i="3"/>
  <c r="M14" i="8"/>
  <c r="L14" i="8"/>
  <c r="K14" i="8"/>
  <c r="J14" i="8"/>
  <c r="I14" i="8"/>
  <c r="H14" i="8"/>
  <c r="G14" i="8"/>
  <c r="F14" i="8"/>
  <c r="E14" i="8"/>
  <c r="M12" i="8"/>
  <c r="L12" i="8"/>
  <c r="K12" i="8"/>
  <c r="J12" i="8"/>
  <c r="I12" i="8"/>
  <c r="H12" i="8"/>
  <c r="G12" i="8"/>
  <c r="F12" i="8"/>
  <c r="E12" i="8"/>
  <c r="D14" i="8"/>
  <c r="D12" i="8"/>
  <c r="D38" i="3" s="1"/>
  <c r="F60" i="13" l="1"/>
  <c r="D60" i="13"/>
  <c r="D48" i="3"/>
  <c r="E50" i="3"/>
  <c r="D46" i="3"/>
  <c r="C31" i="3"/>
  <c r="E49" i="3"/>
  <c r="M103" i="3"/>
  <c r="G15" i="3"/>
  <c r="D80" i="3"/>
  <c r="C30" i="12"/>
  <c r="C31" i="12"/>
  <c r="C29" i="12"/>
  <c r="U22" i="12"/>
  <c r="P22" i="12"/>
  <c r="H22" i="12"/>
  <c r="O22" i="12" s="1"/>
  <c r="P20" i="12"/>
  <c r="U20" i="12"/>
  <c r="P18" i="12"/>
  <c r="H18" i="12"/>
  <c r="U18" i="12"/>
  <c r="P9" i="12"/>
  <c r="H17" i="12"/>
  <c r="O17" i="12" s="1"/>
  <c r="U17" i="12"/>
  <c r="P14" i="12"/>
  <c r="H14" i="12"/>
  <c r="O14" i="12" s="1"/>
  <c r="U14" i="12"/>
  <c r="U16" i="12"/>
  <c r="P16" i="12"/>
  <c r="H16" i="12"/>
  <c r="O16" i="12" s="1"/>
  <c r="P8" i="12"/>
  <c r="U8" i="12"/>
  <c r="U21" i="12"/>
  <c r="C18" i="3" l="1"/>
  <c r="L18" i="3" s="1"/>
  <c r="M110" i="3" s="1"/>
  <c r="E59" i="13" s="1"/>
  <c r="N18" i="12"/>
  <c r="O18" i="12"/>
  <c r="H46" i="3"/>
  <c r="F31" i="12"/>
  <c r="U19" i="12"/>
  <c r="F30" i="12" s="1"/>
  <c r="P11" i="12"/>
  <c r="N16" i="12"/>
  <c r="N14" i="12"/>
  <c r="N22" i="12"/>
  <c r="N17" i="12"/>
  <c r="H11" i="12"/>
  <c r="O11" i="12" s="1"/>
  <c r="P17" i="12"/>
  <c r="H21" i="12"/>
  <c r="O21" i="12" s="1"/>
  <c r="U7" i="12"/>
  <c r="H8" i="12"/>
  <c r="O8" i="12" s="1"/>
  <c r="H20" i="12"/>
  <c r="O20" i="12" s="1"/>
  <c r="U11" i="12"/>
  <c r="P21" i="12"/>
  <c r="U9" i="12"/>
  <c r="F59" i="13" l="1"/>
  <c r="D59" i="13"/>
  <c r="I46" i="3"/>
  <c r="U25" i="12"/>
  <c r="D92" i="3"/>
  <c r="D93" i="3" s="1"/>
  <c r="D79" i="3"/>
  <c r="F29" i="12"/>
  <c r="U24" i="12"/>
  <c r="P19" i="12"/>
  <c r="H19" i="12"/>
  <c r="O19" i="12" s="1"/>
  <c r="N8" i="12"/>
  <c r="N11" i="12"/>
  <c r="N20" i="12"/>
  <c r="N21" i="12"/>
  <c r="H7" i="12"/>
  <c r="O7" i="12" s="1"/>
  <c r="P7" i="12"/>
  <c r="H9" i="12"/>
  <c r="O9" i="12" s="1"/>
  <c r="D94" i="3" l="1"/>
  <c r="D96" i="3" s="1"/>
  <c r="J46" i="3"/>
  <c r="P24" i="12"/>
  <c r="E31" i="12"/>
  <c r="P25" i="12"/>
  <c r="D31" i="12"/>
  <c r="E30" i="12"/>
  <c r="N19" i="12"/>
  <c r="D30" i="12" s="1"/>
  <c r="N7" i="12"/>
  <c r="N9" i="12"/>
  <c r="K46" i="3" l="1"/>
  <c r="N25" i="12"/>
  <c r="N24" i="12"/>
  <c r="O25" i="12"/>
  <c r="E29" i="12"/>
  <c r="O24" i="12"/>
  <c r="D29" i="12"/>
  <c r="H38" i="3"/>
  <c r="M38" i="3"/>
  <c r="L38" i="3"/>
  <c r="K38" i="3"/>
  <c r="J38" i="3"/>
  <c r="F38" i="3"/>
  <c r="E38" i="3"/>
  <c r="F50" i="3" s="1"/>
  <c r="C51" i="3"/>
  <c r="G17" i="3"/>
  <c r="L24" i="3" l="1"/>
  <c r="L23" i="3"/>
  <c r="G50" i="3"/>
  <c r="L46" i="3"/>
  <c r="E48" i="3"/>
  <c r="F48" i="3" s="1"/>
  <c r="F49" i="3"/>
  <c r="G49" i="3" s="1"/>
  <c r="D81" i="3"/>
  <c r="D47" i="3"/>
  <c r="I38" i="3"/>
  <c r="G38" i="3"/>
  <c r="C57" i="3"/>
  <c r="C124" i="3"/>
  <c r="L20" i="3"/>
  <c r="C19" i="3"/>
  <c r="H50" i="3" l="1"/>
  <c r="I50" i="3" s="1"/>
  <c r="J50" i="3" s="1"/>
  <c r="K50" i="3" s="1"/>
  <c r="L50" i="3" s="1"/>
  <c r="M50" i="3" s="1"/>
  <c r="E47" i="3"/>
  <c r="D51" i="3"/>
  <c r="D72" i="3" s="1"/>
  <c r="M46" i="3"/>
  <c r="H49" i="3"/>
  <c r="I49" i="3" s="1"/>
  <c r="J49" i="3" s="1"/>
  <c r="K49" i="3" s="1"/>
  <c r="L49" i="3" s="1"/>
  <c r="M49" i="3" s="1"/>
  <c r="G48" i="3"/>
  <c r="H48" i="3" s="1"/>
  <c r="I48" i="3" s="1"/>
  <c r="J48" i="3" s="1"/>
  <c r="K48" i="3" s="1"/>
  <c r="L48" i="3" s="1"/>
  <c r="M48" i="3" s="1"/>
  <c r="D85" i="3"/>
  <c r="L25" i="3"/>
  <c r="L26" i="3" s="1"/>
  <c r="F47" i="3" l="1"/>
  <c r="E51" i="3"/>
  <c r="E72" i="3" s="1"/>
  <c r="D61" i="3"/>
  <c r="D60" i="3"/>
  <c r="D70" i="3" s="1"/>
  <c r="D71" i="3"/>
  <c r="D56" i="3"/>
  <c r="D58" i="3" s="1"/>
  <c r="D126" i="3" s="1"/>
  <c r="F51" i="3" l="1"/>
  <c r="F72" i="3" s="1"/>
  <c r="G47" i="3"/>
  <c r="D57" i="3"/>
  <c r="E60" i="3"/>
  <c r="E70" i="3" s="1"/>
  <c r="E124" i="3"/>
  <c r="E86" i="3" s="1"/>
  <c r="D124" i="3"/>
  <c r="E71" i="3"/>
  <c r="E56" i="3"/>
  <c r="D86" i="3" l="1"/>
  <c r="D73" i="3"/>
  <c r="F60" i="3"/>
  <c r="F70" i="3" s="1"/>
  <c r="H47" i="3"/>
  <c r="G51" i="3"/>
  <c r="G72" i="3" s="1"/>
  <c r="D62" i="3"/>
  <c r="D64" i="3" s="1"/>
  <c r="D65" i="3" s="1"/>
  <c r="D69" i="3" s="1"/>
  <c r="D59" i="3"/>
  <c r="E58" i="3"/>
  <c r="D123" i="3"/>
  <c r="F124" i="3"/>
  <c r="E73" i="3"/>
  <c r="F71" i="3"/>
  <c r="F56" i="3"/>
  <c r="I47" i="3" l="1"/>
  <c r="H51" i="3"/>
  <c r="D50" i="13" s="1"/>
  <c r="D53" i="13" s="1"/>
  <c r="E59" i="3"/>
  <c r="E126" i="3"/>
  <c r="D74" i="3"/>
  <c r="D82" i="3" s="1"/>
  <c r="D84" i="3" s="1"/>
  <c r="D127" i="3" s="1"/>
  <c r="D128" i="3" s="1"/>
  <c r="F58" i="3"/>
  <c r="F73" i="3"/>
  <c r="F86" i="3"/>
  <c r="G60" i="3"/>
  <c r="G70" i="3" s="1"/>
  <c r="E92" i="3"/>
  <c r="G124" i="3"/>
  <c r="G71" i="3"/>
  <c r="G56" i="3"/>
  <c r="E57" i="3"/>
  <c r="D62" i="13" l="1"/>
  <c r="D63" i="13" s="1"/>
  <c r="C41" i="13" s="1"/>
  <c r="H60" i="3"/>
  <c r="H70" i="3" s="1"/>
  <c r="H72" i="3"/>
  <c r="J47" i="3"/>
  <c r="I51" i="3"/>
  <c r="F59" i="3"/>
  <c r="F126" i="3"/>
  <c r="D87" i="3"/>
  <c r="D125" i="3"/>
  <c r="D129" i="3" s="1"/>
  <c r="D88" i="3"/>
  <c r="E83" i="3"/>
  <c r="G58" i="3"/>
  <c r="G73" i="3"/>
  <c r="G86" i="3"/>
  <c r="E94" i="3"/>
  <c r="E93" i="3"/>
  <c r="G57" i="3"/>
  <c r="F57" i="3"/>
  <c r="I60" i="3" l="1"/>
  <c r="I70" i="3" s="1"/>
  <c r="I72" i="3"/>
  <c r="K47" i="3"/>
  <c r="J51" i="3"/>
  <c r="E50" i="13" s="1"/>
  <c r="E53" i="13" s="1"/>
  <c r="G59" i="3"/>
  <c r="G126" i="3"/>
  <c r="E85" i="3"/>
  <c r="E123" i="3" s="1"/>
  <c r="E61" i="3"/>
  <c r="H124" i="3"/>
  <c r="I124" i="3"/>
  <c r="I86" i="3" s="1"/>
  <c r="H71" i="3"/>
  <c r="I71" i="3"/>
  <c r="H56" i="3"/>
  <c r="D51" i="13" s="1"/>
  <c r="D54" i="13" s="1"/>
  <c r="I56" i="3"/>
  <c r="I58" i="3" s="1"/>
  <c r="E62" i="13" l="1"/>
  <c r="E63" i="13" s="1"/>
  <c r="M101" i="3"/>
  <c r="M104" i="3" s="1"/>
  <c r="J72" i="3"/>
  <c r="J60" i="3"/>
  <c r="J70" i="3" s="1"/>
  <c r="L47" i="3"/>
  <c r="K51" i="3"/>
  <c r="I59" i="3"/>
  <c r="I126" i="3"/>
  <c r="E62" i="3"/>
  <c r="E64" i="3" s="1"/>
  <c r="E65" i="3" s="1"/>
  <c r="E69" i="3" s="1"/>
  <c r="H58" i="3"/>
  <c r="H73" i="3"/>
  <c r="H86" i="3"/>
  <c r="I73" i="3"/>
  <c r="H57" i="3"/>
  <c r="I57" i="3"/>
  <c r="K72" i="3" l="1"/>
  <c r="K60" i="3"/>
  <c r="K70" i="3" s="1"/>
  <c r="M47" i="3"/>
  <c r="M51" i="3" s="1"/>
  <c r="F50" i="13" s="1"/>
  <c r="F53" i="13" s="1"/>
  <c r="L51" i="3"/>
  <c r="H59" i="3"/>
  <c r="H126" i="3"/>
  <c r="E74" i="3"/>
  <c r="E82" i="3" s="1"/>
  <c r="K124" i="3"/>
  <c r="K86" i="3" s="1"/>
  <c r="J124" i="3"/>
  <c r="J71" i="3"/>
  <c r="K71" i="3"/>
  <c r="J56" i="3"/>
  <c r="E51" i="13" s="1"/>
  <c r="E54" i="13" s="1"/>
  <c r="K56" i="3"/>
  <c r="K58" i="3" s="1"/>
  <c r="F62" i="13" l="1"/>
  <c r="F63" i="13" s="1"/>
  <c r="M102" i="3"/>
  <c r="M105" i="3" s="1"/>
  <c r="M72" i="3"/>
  <c r="M60" i="3"/>
  <c r="M70" i="3" s="1"/>
  <c r="M124" i="3"/>
  <c r="M86" i="3" s="1"/>
  <c r="J58" i="3"/>
  <c r="J59" i="3" s="1"/>
  <c r="M113" i="3"/>
  <c r="M114" i="3" s="1"/>
  <c r="L60" i="3"/>
  <c r="L70" i="3" s="1"/>
  <c r="L72" i="3"/>
  <c r="K59" i="3"/>
  <c r="K126" i="3"/>
  <c r="E84" i="3"/>
  <c r="J73" i="3"/>
  <c r="J86" i="3"/>
  <c r="L124" i="3"/>
  <c r="L86" i="3" s="1"/>
  <c r="K73" i="3"/>
  <c r="J57" i="3"/>
  <c r="M71" i="3"/>
  <c r="L71" i="3"/>
  <c r="K57" i="3"/>
  <c r="L56" i="3"/>
  <c r="L58" i="3" s="1"/>
  <c r="M56" i="3"/>
  <c r="F51" i="13" s="1"/>
  <c r="F54" i="13" s="1"/>
  <c r="J126" i="3" l="1"/>
  <c r="M58" i="3"/>
  <c r="M59" i="3" s="1"/>
  <c r="C6" i="3"/>
  <c r="E88" i="3"/>
  <c r="E127" i="3"/>
  <c r="E128" i="3" s="1"/>
  <c r="L59" i="3"/>
  <c r="L126" i="3"/>
  <c r="E87" i="3"/>
  <c r="E95" i="3" s="1"/>
  <c r="F83" i="3" s="1"/>
  <c r="G27" i="3"/>
  <c r="L73" i="3"/>
  <c r="M73" i="3"/>
  <c r="L57" i="3"/>
  <c r="M57" i="3"/>
  <c r="M126" i="3" l="1"/>
  <c r="C7" i="3"/>
  <c r="P17" i="3" s="1"/>
  <c r="C18" i="13" s="1"/>
  <c r="E96" i="3"/>
  <c r="E125" i="3" s="1"/>
  <c r="E129" i="3" s="1"/>
  <c r="F92" i="3" l="1"/>
  <c r="F94" i="3" l="1"/>
  <c r="F93" i="3"/>
  <c r="F85" i="3" l="1"/>
  <c r="F123" i="3" s="1"/>
  <c r="F61" i="3"/>
  <c r="F62" i="3" l="1"/>
  <c r="F64" i="3" s="1"/>
  <c r="F65" i="3" s="1"/>
  <c r="F69" i="3" s="1"/>
  <c r="F74" i="3" s="1"/>
  <c r="F82" i="3" s="1"/>
  <c r="F84" i="3" l="1"/>
  <c r="F127" i="3" s="1"/>
  <c r="F128" i="3" s="1"/>
  <c r="F87" i="3" l="1"/>
  <c r="F95" i="3" s="1"/>
  <c r="F96" i="3" s="1"/>
  <c r="F88" i="3"/>
  <c r="F125" i="3" l="1"/>
  <c r="F129" i="3" s="1"/>
  <c r="G83" i="3"/>
  <c r="G92" i="3"/>
  <c r="G94" i="3" l="1"/>
  <c r="G93" i="3"/>
  <c r="G61" i="3" l="1"/>
  <c r="G62" i="3" s="1"/>
  <c r="G64" i="3" s="1"/>
  <c r="G65" i="3" s="1"/>
  <c r="G69" i="3" s="1"/>
  <c r="G85" i="3"/>
  <c r="G123" i="3" s="1"/>
  <c r="G74" i="3" l="1"/>
  <c r="G82" i="3" s="1"/>
  <c r="G84" i="3" s="1"/>
  <c r="G88" i="3" l="1"/>
  <c r="G127" i="3"/>
  <c r="G128" i="3" s="1"/>
  <c r="G87" i="3"/>
  <c r="G95" i="3" s="1"/>
  <c r="G96" i="3" s="1"/>
  <c r="G125" i="3" s="1"/>
  <c r="G129" i="3" s="1"/>
  <c r="H83" i="3" l="1"/>
  <c r="H92" i="3"/>
  <c r="H94" i="3" l="1"/>
  <c r="H93" i="3"/>
  <c r="H85" i="3" l="1"/>
  <c r="H123" i="3" s="1"/>
  <c r="H61" i="3"/>
  <c r="H62" i="3" s="1"/>
  <c r="H64" i="3" s="1"/>
  <c r="H65" i="3" s="1"/>
  <c r="H69" i="3" s="1"/>
  <c r="H74" i="3" s="1"/>
  <c r="H82" i="3" s="1"/>
  <c r="H84" i="3" s="1"/>
  <c r="H127" i="3" s="1"/>
  <c r="H128" i="3" s="1"/>
  <c r="D56" i="13" s="1"/>
  <c r="H88" i="3" l="1"/>
  <c r="H87" i="3"/>
  <c r="H95" i="3" s="1"/>
  <c r="H96" i="3" l="1"/>
  <c r="D55" i="13" s="1"/>
  <c r="D57" i="13" s="1"/>
  <c r="I83" i="3"/>
  <c r="D68" i="13" l="1"/>
  <c r="D65" i="13"/>
  <c r="D66" i="13" s="1"/>
  <c r="C33" i="13" s="1"/>
  <c r="H125" i="3"/>
  <c r="H129" i="3" s="1"/>
  <c r="I92" i="3"/>
  <c r="I94" i="3" l="1"/>
  <c r="I93" i="3"/>
  <c r="I61" i="3" l="1"/>
  <c r="I62" i="3" s="1"/>
  <c r="I64" i="3" s="1"/>
  <c r="I65" i="3" s="1"/>
  <c r="I69" i="3" s="1"/>
  <c r="I74" i="3" s="1"/>
  <c r="I82" i="3" s="1"/>
  <c r="I84" i="3" s="1"/>
  <c r="I127" i="3" s="1"/>
  <c r="I128" i="3" s="1"/>
  <c r="I85" i="3"/>
  <c r="I123" i="3" s="1"/>
  <c r="I88" i="3" l="1"/>
  <c r="I87" i="3"/>
  <c r="I95" i="3" s="1"/>
  <c r="I96" i="3" s="1"/>
  <c r="I125" i="3" s="1"/>
  <c r="I129" i="3" s="1"/>
  <c r="J92" i="3" l="1"/>
  <c r="J83" i="3"/>
  <c r="J94" i="3" l="1"/>
  <c r="J93" i="3"/>
  <c r="J61" i="3" l="1"/>
  <c r="J62" i="3" s="1"/>
  <c r="J64" i="3" s="1"/>
  <c r="J65" i="3" s="1"/>
  <c r="J69" i="3" s="1"/>
  <c r="J74" i="3" s="1"/>
  <c r="J82" i="3" s="1"/>
  <c r="J84" i="3" s="1"/>
  <c r="J127" i="3" s="1"/>
  <c r="J128" i="3" s="1"/>
  <c r="E56" i="13" s="1"/>
  <c r="J85" i="3"/>
  <c r="J123" i="3" s="1"/>
  <c r="M107" i="3" l="1"/>
  <c r="J88" i="3"/>
  <c r="J87" i="3"/>
  <c r="J95" i="3" s="1"/>
  <c r="J96" i="3" s="1"/>
  <c r="M106" i="3" l="1"/>
  <c r="M108" i="3" s="1"/>
  <c r="E55" i="13"/>
  <c r="E57" i="13" s="1"/>
  <c r="J125" i="3"/>
  <c r="J129" i="3" s="1"/>
  <c r="K92" i="3"/>
  <c r="K94" i="3" s="1"/>
  <c r="K83" i="3"/>
  <c r="E68" i="13" l="1"/>
  <c r="E65" i="13"/>
  <c r="E66" i="13" s="1"/>
  <c r="K93" i="3"/>
  <c r="K85" i="3" s="1"/>
  <c r="K123" i="3" s="1"/>
  <c r="K61" i="3" l="1"/>
  <c r="K62" i="3" s="1"/>
  <c r="K64" i="3" s="1"/>
  <c r="K65" i="3" s="1"/>
  <c r="K69" i="3" s="1"/>
  <c r="K74" i="3" s="1"/>
  <c r="K82" i="3" s="1"/>
  <c r="K84" i="3" s="1"/>
  <c r="K88" i="3" l="1"/>
  <c r="K127" i="3"/>
  <c r="K128" i="3" s="1"/>
  <c r="K87" i="3"/>
  <c r="K95" i="3" s="1"/>
  <c r="K96" i="3" s="1"/>
  <c r="K125" i="3" s="1"/>
  <c r="K129" i="3" s="1"/>
  <c r="L92" i="3" l="1"/>
  <c r="L83" i="3"/>
  <c r="L94" i="3" l="1"/>
  <c r="L93" i="3"/>
  <c r="L85" i="3" l="1"/>
  <c r="L123" i="3" s="1"/>
  <c r="L61" i="3"/>
  <c r="L62" i="3" l="1"/>
  <c r="L64" i="3" s="1"/>
  <c r="L65" i="3" s="1"/>
  <c r="L69" i="3" s="1"/>
  <c r="L74" i="3" s="1"/>
  <c r="L82" i="3" s="1"/>
  <c r="L84" i="3" s="1"/>
  <c r="L88" i="3" l="1"/>
  <c r="L127" i="3"/>
  <c r="L128" i="3" s="1"/>
  <c r="L87" i="3"/>
  <c r="L95" i="3" s="1"/>
  <c r="L96" i="3" s="1"/>
  <c r="L125" i="3" s="1"/>
  <c r="L129" i="3" s="1"/>
  <c r="M83" i="3" l="1"/>
  <c r="M92" i="3"/>
  <c r="M93" i="3" l="1"/>
  <c r="M94" i="3"/>
  <c r="M85" i="3" l="1"/>
  <c r="M123" i="3" s="1"/>
  <c r="M61" i="3"/>
  <c r="M62" i="3" l="1"/>
  <c r="M64" i="3" s="1"/>
  <c r="M65" i="3" s="1"/>
  <c r="M69" i="3" s="1"/>
  <c r="M74" i="3" s="1"/>
  <c r="M82" i="3" s="1"/>
  <c r="M84" i="3" s="1"/>
  <c r="M88" i="3" l="1"/>
  <c r="M127" i="3"/>
  <c r="M128" i="3" s="1"/>
  <c r="F56" i="13" s="1"/>
  <c r="M87" i="3"/>
  <c r="M95" i="3" s="1"/>
  <c r="M96" i="3" s="1"/>
  <c r="F55" i="13" s="1"/>
  <c r="F57" i="13" l="1"/>
  <c r="M125" i="3"/>
  <c r="M129" i="3" s="1"/>
  <c r="C1" i="3" s="1"/>
  <c r="F68" i="13" l="1"/>
  <c r="F65" i="13"/>
  <c r="F66" i="13" s="1"/>
  <c r="M119" i="3"/>
  <c r="M116" i="3" l="1"/>
  <c r="M117" i="3" s="1"/>
  <c r="P8" i="3" s="1"/>
  <c r="C9" i="13" s="1"/>
  <c r="D6" i="3" l="1"/>
  <c r="D7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Jindal</author>
  </authors>
  <commentList>
    <comment ref="G17" authorId="0" shapeId="0" xr:uid="{C43888D0-D835-4CAB-B3F5-39B1D9549283}">
      <text>
        <r>
          <rPr>
            <b/>
            <sz val="9"/>
            <color indexed="81"/>
            <rFont val="Tahoma"/>
            <family val="2"/>
          </rPr>
          <t>Harsh Jindal:</t>
        </r>
        <r>
          <rPr>
            <sz val="9"/>
            <color indexed="81"/>
            <rFont val="Tahoma"/>
            <family val="2"/>
          </rPr>
          <t xml:space="preserve">
2 Companies acquired in Year 1
1 Company acquired in Year 2
</t>
        </r>
      </text>
    </comment>
    <comment ref="B83" authorId="0" shapeId="0" xr:uid="{08E18C2E-7D9A-4A50-AB71-25967FBF6BBC}">
      <text>
        <r>
          <rPr>
            <b/>
            <sz val="9"/>
            <color indexed="81"/>
            <rFont val="Tahoma"/>
            <family val="2"/>
          </rPr>
          <t>Harsh Jindal:</t>
        </r>
        <r>
          <rPr>
            <sz val="9"/>
            <color indexed="81"/>
            <rFont val="Tahoma"/>
            <family val="2"/>
          </rPr>
          <t xml:space="preserve">
Previous year cash adjusted for time value minus Principal repayment in previous year</t>
        </r>
      </text>
    </comment>
    <comment ref="B95" authorId="0" shapeId="0" xr:uid="{913EFC44-8299-4A90-B723-92AF609A321B}">
      <text>
        <r>
          <rPr>
            <b/>
            <sz val="9"/>
            <color indexed="81"/>
            <rFont val="Tahoma"/>
            <family val="2"/>
          </rPr>
          <t>Harsh Jindal:</t>
        </r>
        <r>
          <rPr>
            <sz val="9"/>
            <color indexed="81"/>
            <rFont val="Tahoma"/>
            <family val="2"/>
          </rPr>
          <t xml:space="preserve">
Min. of (Beginning Debt balance - Fixed Scheduled Amortisation) and 40% of Ending Cash Balance for cash sweep</t>
        </r>
      </text>
    </comment>
  </commentList>
</comments>
</file>

<file path=xl/sharedStrings.xml><?xml version="1.0" encoding="utf-8"?>
<sst xmlns="http://schemas.openxmlformats.org/spreadsheetml/2006/main" count="427" uniqueCount="227">
  <si>
    <t>ENIGMA DIGITAL ASSETS</t>
  </si>
  <si>
    <t>Equity &amp; Debt IRR/MOIC Financial Model</t>
  </si>
  <si>
    <t>Base Case</t>
  </si>
  <si>
    <t>Organic Revenue Growth YoY</t>
  </si>
  <si>
    <t>Working Capital as % of Revenue</t>
  </si>
  <si>
    <t>Tax Rate %</t>
  </si>
  <si>
    <t>Exit Year</t>
  </si>
  <si>
    <t>Exit EV/Revenue Multiple</t>
  </si>
  <si>
    <t>Exit EV/EBITDA Multiple</t>
  </si>
  <si>
    <t>EBITDA Margin %</t>
  </si>
  <si>
    <t>Year 1</t>
  </si>
  <si>
    <t>Year 2</t>
  </si>
  <si>
    <t>Year 3</t>
  </si>
  <si>
    <t>Year 4</t>
  </si>
  <si>
    <t>Year 5</t>
  </si>
  <si>
    <t>Year 6</t>
  </si>
  <si>
    <t>Year 7</t>
  </si>
  <si>
    <t>Gross IRR</t>
  </si>
  <si>
    <t>Gross MOIC</t>
  </si>
  <si>
    <t>Net MOIC</t>
  </si>
  <si>
    <t>EBITDA</t>
  </si>
  <si>
    <t>EV/Revenue</t>
  </si>
  <si>
    <t>EV/EBITDA</t>
  </si>
  <si>
    <t>China</t>
  </si>
  <si>
    <t>2025A</t>
  </si>
  <si>
    <t>Organic Revenues</t>
  </si>
  <si>
    <t>Year 8</t>
  </si>
  <si>
    <t>Year 9</t>
  </si>
  <si>
    <t>Year 10</t>
  </si>
  <si>
    <t>Total Revenue ($M)</t>
  </si>
  <si>
    <t>EBT</t>
  </si>
  <si>
    <t>IRR</t>
  </si>
  <si>
    <t>Amount</t>
  </si>
  <si>
    <t>LTM</t>
  </si>
  <si>
    <t>Revenue</t>
  </si>
  <si>
    <t>Operating Assumptions</t>
  </si>
  <si>
    <t>Exit</t>
  </si>
  <si>
    <t>LTM Revenue</t>
  </si>
  <si>
    <t>Loan to Value</t>
  </si>
  <si>
    <t>Debt Structure</t>
  </si>
  <si>
    <t>Assumptions (All figures in $M unless specified)</t>
  </si>
  <si>
    <t>Depreciation and Amortization as % of Revenue</t>
  </si>
  <si>
    <t>EBITDA Margin in Year 1</t>
  </si>
  <si>
    <t>EBITDA Margin growth YOY</t>
  </si>
  <si>
    <t>Financials of Enigma Technologies</t>
  </si>
  <si>
    <t>Acquisition</t>
  </si>
  <si>
    <t>EV/Revenue Multiple (Based on trading comparables)</t>
  </si>
  <si>
    <t>Working Capital</t>
  </si>
  <si>
    <t>Sources of funds</t>
  </si>
  <si>
    <t>Implied Enterprise Value of Enigma Technologies</t>
  </si>
  <si>
    <t>100% Equity Valuation</t>
  </si>
  <si>
    <t>Financial Projections (All figures in $M unless specified)</t>
  </si>
  <si>
    <t>Revenue Projections</t>
  </si>
  <si>
    <t>Implied EV/EBITDA Multiple</t>
  </si>
  <si>
    <t>Gross</t>
  </si>
  <si>
    <t>Net</t>
  </si>
  <si>
    <t>Growth Phase</t>
  </si>
  <si>
    <t>Stabilisation Phase</t>
  </si>
  <si>
    <t>Mature growth</t>
  </si>
  <si>
    <t>Revenue Growth YoY</t>
  </si>
  <si>
    <t>Revenue from Acquisition 1</t>
  </si>
  <si>
    <t>Revenue from Acquisition 2</t>
  </si>
  <si>
    <t>Revenue from Acquisition 3</t>
  </si>
  <si>
    <t>Debt Schedule</t>
  </si>
  <si>
    <t>Downside case</t>
  </si>
  <si>
    <t>Upside case</t>
  </si>
  <si>
    <t>EBITDA Margins</t>
  </si>
  <si>
    <t>Company Name</t>
  </si>
  <si>
    <t>Equinix, Inc.</t>
  </si>
  <si>
    <t>EV</t>
  </si>
  <si>
    <t>Australia</t>
  </si>
  <si>
    <t>India</t>
  </si>
  <si>
    <t>Market Data as on 23rd Jan 2026</t>
  </si>
  <si>
    <t>TTM Financial Data</t>
  </si>
  <si>
    <t>Valuation Multiples</t>
  </si>
  <si>
    <t>Other Parameters</t>
  </si>
  <si>
    <t>Exchange Rate</t>
  </si>
  <si>
    <t>Price</t>
  </si>
  <si>
    <t>Market Cap</t>
  </si>
  <si>
    <t>Net Income</t>
  </si>
  <si>
    <t>P/E</t>
  </si>
  <si>
    <t>Total Debt</t>
  </si>
  <si>
    <t>Total Cash</t>
  </si>
  <si>
    <t>Minority Interest</t>
  </si>
  <si>
    <t>Currency</t>
  </si>
  <si>
    <t>To USD</t>
  </si>
  <si>
    <t>($/share)</t>
  </si>
  <si>
    <t>($M)</t>
  </si>
  <si>
    <t>x</t>
  </si>
  <si>
    <t>(%)</t>
  </si>
  <si>
    <t>CNY</t>
  </si>
  <si>
    <t>-</t>
  </si>
  <si>
    <t>INR</t>
  </si>
  <si>
    <t>Average Multiple</t>
  </si>
  <si>
    <t>Median Multiple</t>
  </si>
  <si>
    <t>United States</t>
  </si>
  <si>
    <t>USD</t>
  </si>
  <si>
    <t>Digital Realty Trust, Inc.</t>
  </si>
  <si>
    <t>GDS Holdings Limited</t>
  </si>
  <si>
    <t>Applied Digital Corporation</t>
  </si>
  <si>
    <t>NEXTDC Limited</t>
  </si>
  <si>
    <t>AUD</t>
  </si>
  <si>
    <t>VNET Group, Inc.</t>
  </si>
  <si>
    <t>Macquarie Technology Group Limited</t>
  </si>
  <si>
    <t>Sify Technologies Limited</t>
  </si>
  <si>
    <t>Beijing Sinnet Technology Co.,Ltd</t>
  </si>
  <si>
    <t>Shanghai @hub Co.,Ltd.</t>
  </si>
  <si>
    <t>Iron Mountain Incorporated</t>
  </si>
  <si>
    <t>CoreWeave, Inc.</t>
  </si>
  <si>
    <t>Revenue Range</t>
  </si>
  <si>
    <t># of comps</t>
  </si>
  <si>
    <t>Average EV/EBITDA</t>
  </si>
  <si>
    <t>Average EV/Revenue</t>
  </si>
  <si>
    <t>Average EBITDA Margin</t>
  </si>
  <si>
    <t>&gt;=0</t>
  </si>
  <si>
    <t>&lt;=1000</t>
  </si>
  <si>
    <t>&gt;1000</t>
  </si>
  <si>
    <t>&lt;=5000</t>
  </si>
  <si>
    <t>&gt;5000</t>
  </si>
  <si>
    <t>Less than $1B</t>
  </si>
  <si>
    <t>$1B-$5B</t>
  </si>
  <si>
    <t>More than $5B</t>
  </si>
  <si>
    <t>Industry</t>
  </si>
  <si>
    <t>Data Center Operators</t>
  </si>
  <si>
    <t>HQ Country</t>
  </si>
  <si>
    <t>Source: All Financials and Market Data taken from Yahoo Finance and Seeking Alpha</t>
  </si>
  <si>
    <t>Scenario</t>
  </si>
  <si>
    <t>&lt;&lt;Use Filter to change</t>
  </si>
  <si>
    <t>Interest cost</t>
  </si>
  <si>
    <t>Entry EV/Revenue Multiple</t>
  </si>
  <si>
    <t>Scenarios</t>
  </si>
  <si>
    <t>EV/Revenue Multiple of Enigma Technologies (for Debt Lenders)</t>
  </si>
  <si>
    <t>Entry EV/Revenue Multiple for Acquiitions</t>
  </si>
  <si>
    <t>Use of funds (Year 1)</t>
  </si>
  <si>
    <t>Total Use of Funds</t>
  </si>
  <si>
    <t>Total Sources of Funds</t>
  </si>
  <si>
    <t>Current Equity Structure</t>
  </si>
  <si>
    <t>Equity ownership acquired by Sponsors</t>
  </si>
  <si>
    <t>Returns Profile</t>
  </si>
  <si>
    <t>Net IRR</t>
  </si>
  <si>
    <t>Other Line items</t>
  </si>
  <si>
    <t>Ending Cash Balance</t>
  </si>
  <si>
    <t>Cash Sweep for paydown Debt Principal</t>
  </si>
  <si>
    <t>Less: Interest Expense</t>
  </si>
  <si>
    <t>Less: Capex for maintenance</t>
  </si>
  <si>
    <t>Time value growth per year</t>
  </si>
  <si>
    <t>Beginning Debt Balance</t>
  </si>
  <si>
    <t>Ending Debt Balance</t>
  </si>
  <si>
    <t>IRR and MOIC</t>
  </si>
  <si>
    <t>Equity Value at Exit</t>
  </si>
  <si>
    <t>Equity at Entry</t>
  </si>
  <si>
    <t>Less: Depreciation &amp; Amortization</t>
  </si>
  <si>
    <t>Add: Depreciation &amp; Amortization</t>
  </si>
  <si>
    <t>Less: Cash Taxes</t>
  </si>
  <si>
    <t>Less: Change in Net Working Capital</t>
  </si>
  <si>
    <t>Cash Flow &amp; Cash Balance</t>
  </si>
  <si>
    <t>Add: Debt Drawdown</t>
  </si>
  <si>
    <t>Debt Drawdown</t>
  </si>
  <si>
    <t>Add: Equity Contribution</t>
  </si>
  <si>
    <t>Equity Contribution by sponsor</t>
  </si>
  <si>
    <t>Less: Cash Paid for Acquisitions</t>
  </si>
  <si>
    <t>Cash Interest Paid</t>
  </si>
  <si>
    <t>Beginning Cash Balance</t>
  </si>
  <si>
    <t>Enterprise Value at Exit</t>
  </si>
  <si>
    <t>Enterprise Value at Entry</t>
  </si>
  <si>
    <t>MOIC (Multiple of Invested Capital)</t>
  </si>
  <si>
    <t>Leverage (Net Debt / EBITDA)</t>
  </si>
  <si>
    <t>Fixed Scheduled Amortisation</t>
  </si>
  <si>
    <t>Enterprise Value of acquired 1 Data center</t>
  </si>
  <si>
    <t>Beginning Cash Balance in 2025</t>
  </si>
  <si>
    <t>Required DSRA</t>
  </si>
  <si>
    <t>Cash Balance for paying cash sweep</t>
  </si>
  <si>
    <t>Dividends Paid</t>
  </si>
  <si>
    <t>Working Capital Buffer</t>
  </si>
  <si>
    <t>Less: Potential Dividends</t>
  </si>
  <si>
    <t>&lt;&lt;Change scenario from Projections tab</t>
  </si>
  <si>
    <t>Model Check</t>
  </si>
  <si>
    <t>Model check</t>
  </si>
  <si>
    <t>Required DSRA (Debt Service Reserve Account)</t>
  </si>
  <si>
    <t>EBITDA post Dividends</t>
  </si>
  <si>
    <t>Model Conditions</t>
  </si>
  <si>
    <t>Maximum Leverage (Net Debt/EBITDA)</t>
  </si>
  <si>
    <t>Reported</t>
  </si>
  <si>
    <t>Capex for maintenance as % of Revenue</t>
  </si>
  <si>
    <t>EBITDA and Net Income Projections</t>
  </si>
  <si>
    <t>Free Cash Flow</t>
  </si>
  <si>
    <t>Add: Free Cash Flow</t>
  </si>
  <si>
    <t>Mandatory cash reserves</t>
  </si>
  <si>
    <t>Equity proceeds for 70% owner</t>
  </si>
  <si>
    <t>Organic Revenue</t>
  </si>
  <si>
    <t>RMB Millions</t>
  </si>
  <si>
    <t>USD Millions</t>
  </si>
  <si>
    <t>RMB to USD</t>
  </si>
  <si>
    <t>Revenue Growth YoY (For Acquired assets)</t>
  </si>
  <si>
    <t>Acquired Revenue and Capex Assumptions</t>
  </si>
  <si>
    <t>Acquired Revenue Assumptions</t>
  </si>
  <si>
    <t>Cash Dividends Paid</t>
  </si>
  <si>
    <t>Ending Cash Balance for Equity Shareholders</t>
  </si>
  <si>
    <t>SUNeVision Holdings Ltd.</t>
  </si>
  <si>
    <t>Hong Kong</t>
  </si>
  <si>
    <t>HKD</t>
  </si>
  <si>
    <t>Keppel DC REIT</t>
  </si>
  <si>
    <t>Singapore</t>
  </si>
  <si>
    <t>SGD</t>
  </si>
  <si>
    <t>Mapletree Industrial Trust</t>
  </si>
  <si>
    <t>PT DCI Indonesia Tbk</t>
  </si>
  <si>
    <t>Indonesia</t>
  </si>
  <si>
    <t>IDR</t>
  </si>
  <si>
    <t>Guangdong Aofei Data Technology Co., Ltd.</t>
  </si>
  <si>
    <t>Opex for acquired revenue growth (as % of acquired Revenue)</t>
  </si>
  <si>
    <t>Less: Opex for acquired revenue growth</t>
  </si>
  <si>
    <t>Organic Revenue (projected in 2025)</t>
  </si>
  <si>
    <t>Organic Revenue (Actual in 2026 and 2026)</t>
  </si>
  <si>
    <t>Revenue from Acquisition 4</t>
  </si>
  <si>
    <t>%</t>
  </si>
  <si>
    <t>Organic Revenue (projected in 2026 - In USD)</t>
  </si>
  <si>
    <t>Acquisitions (Year 1)</t>
  </si>
  <si>
    <t>Acquisitions (Year 2)</t>
  </si>
  <si>
    <t>Other Opex for acquired revenue growth</t>
  </si>
  <si>
    <t xml:space="preserve">Exit at 7th Year </t>
  </si>
  <si>
    <t xml:space="preserve">Exit at 10th Year </t>
  </si>
  <si>
    <t xml:space="preserve">Exit at 5th Year </t>
  </si>
  <si>
    <t>Scenario for case type</t>
  </si>
  <si>
    <t>Model Date: January 28, 2026</t>
  </si>
  <si>
    <t>Net IRR: Exit year vs Exit EV/Revenue Multiple</t>
  </si>
  <si>
    <t>Sensitivity Analysis (by Downside/Base/Upside case)</t>
  </si>
  <si>
    <t>Sensitivity Analysis (by Exit year)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</si>
</sst>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5" formatCode="&quot;$&quot;#,##0_);\(&quot;$&quot;#,##0\)"/>
    <numFmt numFmtId="164" formatCode="\$#,##0"/>
    <numFmt numFmtId="165" formatCode="0.0%"/>
    <numFmt numFmtId="166" formatCode="0.0\x"/>
    <numFmt numFmtId="167" formatCode="&quot;$&quot;#,##0"/>
    <numFmt numFmtId="168" formatCode="0.0"/>
    <numFmt numFmtId="169" formatCode="0\x"/>
  </numFmts>
  <fonts count="31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FF"/>
      <name val="Cambria"/>
      <family val="1"/>
    </font>
    <font>
      <sz val="11"/>
      <color theme="1"/>
      <name val="Calibri"/>
      <family val="2"/>
      <charset val="1"/>
    </font>
    <font>
      <sz val="8"/>
      <name val="Calibri"/>
      <family val="2"/>
      <charset val="1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11"/>
      <color theme="1"/>
      <name val="Calibri"/>
      <family val="2"/>
    </font>
    <font>
      <sz val="11"/>
      <color theme="0" tint="-0.249977111117893"/>
      <name val="Calibri"/>
      <family val="2"/>
      <charset val="1"/>
    </font>
    <font>
      <i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0"/>
      <name val="Calibri"/>
      <family val="2"/>
      <scheme val="minor"/>
    </font>
    <font>
      <i/>
      <sz val="11"/>
      <color theme="0" tint="-0.14999847407452621"/>
      <name val="Calibri"/>
      <family val="2"/>
      <scheme val="minor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name val="Calibri"/>
      <family val="2"/>
    </font>
    <font>
      <sz val="11"/>
      <color theme="0" tint="-0.14999847407452621"/>
      <name val="Calibri"/>
      <family val="2"/>
    </font>
    <font>
      <sz val="11"/>
      <color theme="0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80">
    <xf numFmtId="0" fontId="0" fillId="0" borderId="0" xfId="0"/>
    <xf numFmtId="0" fontId="11" fillId="2" borderId="0" xfId="0" applyFont="1" applyFill="1"/>
    <xf numFmtId="0" fontId="0" fillId="3" borderId="0" xfId="0" applyFill="1"/>
    <xf numFmtId="0" fontId="12" fillId="3" borderId="0" xfId="0" applyFont="1" applyFill="1"/>
    <xf numFmtId="0" fontId="11" fillId="4" borderId="0" xfId="0" applyFont="1" applyFill="1"/>
    <xf numFmtId="0" fontId="0" fillId="4" borderId="0" xfId="0" applyFill="1"/>
    <xf numFmtId="0" fontId="12" fillId="4" borderId="0" xfId="0" applyFont="1" applyFill="1"/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9" fontId="10" fillId="4" borderId="0" xfId="1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5" fontId="0" fillId="0" borderId="0" xfId="0" applyNumberFormat="1" applyAlignment="1">
      <alignment horizontal="center"/>
    </xf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5" fillId="0" borderId="0" xfId="0" applyFont="1"/>
    <xf numFmtId="165" fontId="17" fillId="5" borderId="1" xfId="0" applyNumberFormat="1" applyFont="1" applyFill="1" applyBorder="1"/>
    <xf numFmtId="166" fontId="16" fillId="0" borderId="0" xfId="0" applyNumberFormat="1" applyFont="1"/>
    <xf numFmtId="165" fontId="16" fillId="0" borderId="0" xfId="1" applyNumberFormat="1" applyFont="1"/>
    <xf numFmtId="167" fontId="17" fillId="5" borderId="1" xfId="0" applyNumberFormat="1" applyFont="1" applyFill="1" applyBorder="1"/>
    <xf numFmtId="0" fontId="9" fillId="0" borderId="2" xfId="0" applyFont="1" applyBorder="1"/>
    <xf numFmtId="0" fontId="0" fillId="0" borderId="2" xfId="0" applyBorder="1"/>
    <xf numFmtId="166" fontId="17" fillId="5" borderId="3" xfId="0" applyNumberFormat="1" applyFont="1" applyFill="1" applyBorder="1"/>
    <xf numFmtId="167" fontId="9" fillId="0" borderId="2" xfId="0" applyNumberFormat="1" applyFont="1" applyBorder="1"/>
    <xf numFmtId="167" fontId="17" fillId="5" borderId="3" xfId="0" applyNumberFormat="1" applyFont="1" applyFill="1" applyBorder="1"/>
    <xf numFmtId="0" fontId="0" fillId="0" borderId="4" xfId="0" applyBorder="1" applyAlignment="1">
      <alignment horizontal="center"/>
    </xf>
    <xf numFmtId="164" fontId="0" fillId="3" borderId="4" xfId="0" applyNumberForma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165" fontId="14" fillId="0" borderId="4" xfId="0" applyNumberFormat="1" applyFont="1" applyBorder="1" applyAlignment="1">
      <alignment horizontal="center"/>
    </xf>
    <xf numFmtId="5" fontId="0" fillId="0" borderId="4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6" fontId="18" fillId="4" borderId="0" xfId="0" applyNumberFormat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7" fontId="18" fillId="4" borderId="0" xfId="0" applyNumberFormat="1" applyFont="1" applyFill="1"/>
    <xf numFmtId="0" fontId="0" fillId="6" borderId="5" xfId="0" applyFill="1" applyBorder="1"/>
    <xf numFmtId="0" fontId="0" fillId="6" borderId="6" xfId="0" applyFill="1" applyBorder="1"/>
    <xf numFmtId="0" fontId="0" fillId="6" borderId="7" xfId="0" applyFill="1" applyBorder="1"/>
    <xf numFmtId="0" fontId="0" fillId="7" borderId="5" xfId="0" applyFill="1" applyBorder="1"/>
    <xf numFmtId="0" fontId="0" fillId="7" borderId="6" xfId="0" applyFill="1" applyBorder="1"/>
    <xf numFmtId="0" fontId="0" fillId="7" borderId="7" xfId="0" applyFill="1" applyBorder="1"/>
    <xf numFmtId="0" fontId="0" fillId="8" borderId="5" xfId="0" applyFill="1" applyBorder="1"/>
    <xf numFmtId="0" fontId="0" fillId="8" borderId="6" xfId="0" applyFill="1" applyBorder="1" applyAlignment="1">
      <alignment horizontal="left" indent="1"/>
    </xf>
    <xf numFmtId="0" fontId="0" fillId="8" borderId="6" xfId="0" applyFill="1" applyBorder="1"/>
    <xf numFmtId="0" fontId="0" fillId="8" borderId="7" xfId="0" applyFill="1" applyBorder="1"/>
    <xf numFmtId="0" fontId="0" fillId="7" borderId="6" xfId="0" applyFill="1" applyBorder="1" applyAlignment="1">
      <alignment horizontal="center"/>
    </xf>
    <xf numFmtId="0" fontId="10" fillId="2" borderId="0" xfId="2" applyFont="1" applyFill="1" applyAlignment="1">
      <alignment vertical="center"/>
    </xf>
    <xf numFmtId="0" fontId="10" fillId="2" borderId="0" xfId="2" applyFont="1" applyFill="1" applyAlignment="1">
      <alignment horizontal="center" vertical="center"/>
    </xf>
    <xf numFmtId="0" fontId="4" fillId="0" borderId="0" xfId="2"/>
    <xf numFmtId="0" fontId="8" fillId="2" borderId="0" xfId="2" applyFont="1" applyFill="1" applyAlignment="1">
      <alignment vertical="center"/>
    </xf>
    <xf numFmtId="0" fontId="8" fillId="2" borderId="0" xfId="2" applyFont="1" applyFill="1" applyAlignment="1">
      <alignment horizontal="center" vertical="center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0" fillId="2" borderId="0" xfId="2" applyFont="1" applyFill="1" applyAlignment="1">
      <alignment horizontal="right" vertical="center"/>
    </xf>
    <xf numFmtId="0" fontId="19" fillId="2" borderId="0" xfId="2" applyFont="1" applyFill="1" applyAlignment="1">
      <alignment horizontal="center" vertical="center"/>
    </xf>
    <xf numFmtId="0" fontId="4" fillId="0" borderId="0" xfId="2" applyAlignment="1">
      <alignment vertical="center"/>
    </xf>
    <xf numFmtId="2" fontId="4" fillId="0" borderId="0" xfId="2" applyNumberFormat="1" applyAlignment="1">
      <alignment horizontal="center" vertical="center"/>
    </xf>
    <xf numFmtId="168" fontId="17" fillId="0" borderId="0" xfId="2" applyNumberFormat="1" applyFont="1" applyAlignment="1">
      <alignment horizontal="center" vertical="center"/>
    </xf>
    <xf numFmtId="3" fontId="17" fillId="0" borderId="0" xfId="2" applyNumberFormat="1" applyFont="1" applyAlignment="1">
      <alignment horizontal="center" vertical="center"/>
    </xf>
    <xf numFmtId="3" fontId="18" fillId="0" borderId="0" xfId="2" applyNumberFormat="1" applyFont="1" applyAlignment="1">
      <alignment horizontal="center" vertical="center"/>
    </xf>
    <xf numFmtId="166" fontId="4" fillId="0" borderId="0" xfId="2" applyNumberFormat="1" applyAlignment="1">
      <alignment horizontal="center" vertical="center"/>
    </xf>
    <xf numFmtId="9" fontId="18" fillId="0" borderId="0" xfId="3" applyFont="1" applyAlignment="1">
      <alignment horizontal="center" vertical="center"/>
    </xf>
    <xf numFmtId="0" fontId="4" fillId="0" borderId="0" xfId="2" applyAlignment="1">
      <alignment horizontal="center" vertical="center"/>
    </xf>
    <xf numFmtId="0" fontId="4" fillId="0" borderId="0" xfId="2" applyAlignment="1">
      <alignment horizont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horizontal="center" vertical="center"/>
    </xf>
    <xf numFmtId="168" fontId="17" fillId="0" borderId="0" xfId="0" applyNumberFormat="1" applyFont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9" fontId="18" fillId="0" borderId="0" xfId="1" applyFont="1" applyAlignment="1">
      <alignment horizontal="center" vertical="center"/>
    </xf>
    <xf numFmtId="0" fontId="20" fillId="0" borderId="0" xfId="2" applyFont="1"/>
    <xf numFmtId="0" fontId="8" fillId="2" borderId="10" xfId="2" applyFont="1" applyFill="1" applyBorder="1" applyAlignment="1">
      <alignment vertical="center" wrapText="1"/>
    </xf>
    <xf numFmtId="0" fontId="3" fillId="0" borderId="13" xfId="2" applyFont="1" applyBorder="1"/>
    <xf numFmtId="166" fontId="9" fillId="4" borderId="0" xfId="2" applyNumberFormat="1" applyFont="1" applyFill="1" applyAlignment="1">
      <alignment horizontal="center" vertical="center"/>
    </xf>
    <xf numFmtId="9" fontId="9" fillId="4" borderId="14" xfId="1" applyFont="1" applyFill="1" applyBorder="1" applyAlignment="1">
      <alignment horizontal="center" vertical="center"/>
    </xf>
    <xf numFmtId="0" fontId="3" fillId="0" borderId="15" xfId="2" applyFont="1" applyBorder="1"/>
    <xf numFmtId="166" fontId="9" fillId="4" borderId="16" xfId="2" applyNumberFormat="1" applyFont="1" applyFill="1" applyBorder="1" applyAlignment="1">
      <alignment horizontal="center" vertical="center"/>
    </xf>
    <xf numFmtId="0" fontId="4" fillId="0" borderId="16" xfId="2" applyBorder="1" applyAlignment="1">
      <alignment horizontal="center"/>
    </xf>
    <xf numFmtId="9" fontId="9" fillId="4" borderId="17" xfId="1" applyFont="1" applyFill="1" applyBorder="1" applyAlignment="1">
      <alignment horizontal="center" vertical="center"/>
    </xf>
    <xf numFmtId="0" fontId="8" fillId="2" borderId="11" xfId="2" applyFont="1" applyFill="1" applyBorder="1" applyAlignment="1">
      <alignment horizontal="center" vertical="center" wrapText="1"/>
    </xf>
    <xf numFmtId="0" fontId="8" fillId="2" borderId="12" xfId="2" applyFont="1" applyFill="1" applyBorder="1" applyAlignment="1">
      <alignment horizontal="center" vertical="center" wrapText="1"/>
    </xf>
    <xf numFmtId="0" fontId="21" fillId="3" borderId="0" xfId="0" applyFont="1" applyFill="1"/>
    <xf numFmtId="0" fontId="9" fillId="3" borderId="0" xfId="2" applyFont="1" applyFill="1" applyAlignment="1">
      <alignment vertical="center"/>
    </xf>
    <xf numFmtId="0" fontId="9" fillId="3" borderId="0" xfId="2" applyFont="1" applyFill="1" applyAlignment="1">
      <alignment horizontal="center" vertical="center"/>
    </xf>
    <xf numFmtId="166" fontId="9" fillId="3" borderId="0" xfId="2" applyNumberFormat="1" applyFont="1" applyFill="1" applyAlignment="1">
      <alignment horizontal="center" vertical="center"/>
    </xf>
    <xf numFmtId="9" fontId="9" fillId="3" borderId="0" xfId="3" applyFont="1" applyFill="1" applyAlignment="1">
      <alignment horizontal="center" vertical="center"/>
    </xf>
    <xf numFmtId="0" fontId="22" fillId="0" borderId="0" xfId="2" applyFont="1"/>
    <xf numFmtId="0" fontId="17" fillId="5" borderId="3" xfId="0" applyFont="1" applyFill="1" applyBorder="1" applyAlignment="1">
      <alignment horizontal="center"/>
    </xf>
    <xf numFmtId="0" fontId="0" fillId="0" borderId="0" xfId="0" applyAlignment="1">
      <alignment horizontal="left"/>
    </xf>
    <xf numFmtId="167" fontId="0" fillId="0" borderId="0" xfId="0" applyNumberFormat="1" applyAlignment="1">
      <alignment horizontal="right"/>
    </xf>
    <xf numFmtId="167" fontId="2" fillId="0" borderId="0" xfId="0" applyNumberFormat="1" applyFont="1"/>
    <xf numFmtId="9" fontId="0" fillId="0" borderId="0" xfId="1" applyFont="1"/>
    <xf numFmtId="0" fontId="23" fillId="9" borderId="21" xfId="0" applyFont="1" applyFill="1" applyBorder="1" applyAlignment="1">
      <alignment horizontal="center"/>
    </xf>
    <xf numFmtId="0" fontId="23" fillId="9" borderId="21" xfId="0" applyFont="1" applyFill="1" applyBorder="1"/>
    <xf numFmtId="0" fontId="23" fillId="4" borderId="0" xfId="0" applyFont="1" applyFill="1" applyAlignment="1">
      <alignment horizontal="center"/>
    </xf>
    <xf numFmtId="0" fontId="23" fillId="4" borderId="0" xfId="0" applyFont="1" applyFill="1"/>
    <xf numFmtId="0" fontId="0" fillId="2" borderId="0" xfId="0" applyFill="1"/>
    <xf numFmtId="9" fontId="18" fillId="4" borderId="0" xfId="1" applyFont="1" applyFill="1" applyBorder="1"/>
    <xf numFmtId="5" fontId="0" fillId="3" borderId="0" xfId="0" applyNumberFormat="1" applyFill="1" applyAlignment="1">
      <alignment horizontal="center"/>
    </xf>
    <xf numFmtId="0" fontId="0" fillId="0" borderId="21" xfId="0" applyBorder="1"/>
    <xf numFmtId="166" fontId="18" fillId="0" borderId="21" xfId="0" applyNumberFormat="1" applyFont="1" applyBorder="1"/>
    <xf numFmtId="0" fontId="13" fillId="0" borderId="4" xfId="0" applyFont="1" applyBorder="1" applyAlignment="1">
      <alignment horizontal="center"/>
    </xf>
    <xf numFmtId="164" fontId="0" fillId="0" borderId="0" xfId="0" applyNumberFormat="1" applyAlignment="1">
      <alignment horizontal="right"/>
    </xf>
    <xf numFmtId="0" fontId="9" fillId="3" borderId="18" xfId="0" applyFont="1" applyFill="1" applyBorder="1"/>
    <xf numFmtId="0" fontId="9" fillId="3" borderId="19" xfId="0" applyFont="1" applyFill="1" applyBorder="1"/>
    <xf numFmtId="167" fontId="9" fillId="3" borderId="20" xfId="0" applyNumberFormat="1" applyFont="1" applyFill="1" applyBorder="1"/>
    <xf numFmtId="0" fontId="9" fillId="3" borderId="22" xfId="0" applyFont="1" applyFill="1" applyBorder="1"/>
    <xf numFmtId="0" fontId="9" fillId="3" borderId="2" xfId="0" applyFont="1" applyFill="1" applyBorder="1"/>
    <xf numFmtId="166" fontId="24" fillId="3" borderId="23" xfId="0" applyNumberFormat="1" applyFont="1" applyFill="1" applyBorder="1"/>
    <xf numFmtId="0" fontId="9" fillId="3" borderId="24" xfId="0" applyFont="1" applyFill="1" applyBorder="1"/>
    <xf numFmtId="0" fontId="9" fillId="3" borderId="21" xfId="0" applyFont="1" applyFill="1" applyBorder="1"/>
    <xf numFmtId="166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165" fontId="9" fillId="3" borderId="25" xfId="1" applyNumberFormat="1" applyFont="1" applyFill="1" applyBorder="1"/>
    <xf numFmtId="5" fontId="0" fillId="0" borderId="0" xfId="0" applyNumberFormat="1" applyAlignment="1">
      <alignment horizontal="right"/>
    </xf>
    <xf numFmtId="167" fontId="9" fillId="3" borderId="25" xfId="1" applyNumberFormat="1" applyFont="1" applyFill="1" applyBorder="1"/>
    <xf numFmtId="167" fontId="24" fillId="3" borderId="23" xfId="0" applyNumberFormat="1" applyFont="1" applyFill="1" applyBorder="1"/>
    <xf numFmtId="167" fontId="9" fillId="3" borderId="20" xfId="1" applyNumberFormat="1" applyFont="1" applyFill="1" applyBorder="1"/>
    <xf numFmtId="166" fontId="18" fillId="0" borderId="0" xfId="0" applyNumberFormat="1" applyFont="1" applyAlignment="1">
      <alignment horizontal="center"/>
    </xf>
    <xf numFmtId="9" fontId="18" fillId="4" borderId="18" xfId="1" applyFont="1" applyFill="1" applyBorder="1" applyAlignment="1">
      <alignment horizontal="center"/>
    </xf>
    <xf numFmtId="9" fontId="18" fillId="4" borderId="19" xfId="1" applyFont="1" applyFill="1" applyBorder="1" applyAlignment="1">
      <alignment horizontal="center"/>
    </xf>
    <xf numFmtId="9" fontId="18" fillId="4" borderId="20" xfId="1" applyFont="1" applyFill="1" applyBorder="1" applyAlignment="1">
      <alignment horizontal="center"/>
    </xf>
    <xf numFmtId="165" fontId="17" fillId="5" borderId="1" xfId="0" applyNumberFormat="1" applyFont="1" applyFill="1" applyBorder="1" applyAlignment="1">
      <alignment horizontal="center"/>
    </xf>
    <xf numFmtId="9" fontId="17" fillId="5" borderId="3" xfId="1" applyFont="1" applyFill="1" applyBorder="1"/>
    <xf numFmtId="9" fontId="18" fillId="4" borderId="0" xfId="1" applyFont="1" applyFill="1"/>
    <xf numFmtId="0" fontId="28" fillId="0" borderId="0" xfId="0" applyFont="1"/>
    <xf numFmtId="0" fontId="25" fillId="0" borderId="0" xfId="0" applyFont="1"/>
    <xf numFmtId="0" fontId="21" fillId="0" borderId="0" xfId="0" applyFont="1"/>
    <xf numFmtId="166" fontId="17" fillId="5" borderId="1" xfId="0" applyNumberFormat="1" applyFont="1" applyFill="1" applyBorder="1"/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center"/>
    </xf>
    <xf numFmtId="0" fontId="1" fillId="0" borderId="0" xfId="2" applyFont="1"/>
    <xf numFmtId="167" fontId="0" fillId="0" borderId="0" xfId="0" applyNumberFormat="1"/>
    <xf numFmtId="9" fontId="0" fillId="0" borderId="0" xfId="1" applyFont="1" applyBorder="1"/>
    <xf numFmtId="164" fontId="0" fillId="4" borderId="4" xfId="0" applyNumberFormat="1" applyFill="1" applyBorder="1" applyAlignment="1">
      <alignment horizontal="center"/>
    </xf>
    <xf numFmtId="5" fontId="0" fillId="4" borderId="0" xfId="0" applyNumberFormat="1" applyFill="1" applyAlignment="1">
      <alignment horizontal="center"/>
    </xf>
    <xf numFmtId="0" fontId="0" fillId="4" borderId="0" xfId="0" applyFill="1" applyAlignment="1">
      <alignment vertical="center"/>
    </xf>
    <xf numFmtId="2" fontId="0" fillId="4" borderId="0" xfId="0" applyNumberFormat="1" applyFill="1" applyAlignment="1">
      <alignment horizontal="center" vertical="center"/>
    </xf>
    <xf numFmtId="168" fontId="17" fillId="4" borderId="0" xfId="0" applyNumberFormat="1" applyFont="1" applyFill="1" applyAlignment="1">
      <alignment horizontal="center" vertical="center"/>
    </xf>
    <xf numFmtId="3" fontId="17" fillId="4" borderId="0" xfId="0" applyNumberFormat="1" applyFont="1" applyFill="1" applyAlignment="1">
      <alignment horizontal="center" vertical="center"/>
    </xf>
    <xf numFmtId="3" fontId="18" fillId="4" borderId="0" xfId="0" applyNumberFormat="1" applyFont="1" applyFill="1" applyAlignment="1">
      <alignment horizontal="center" vertical="center"/>
    </xf>
    <xf numFmtId="166" fontId="0" fillId="4" borderId="0" xfId="0" applyNumberFormat="1" applyFill="1" applyAlignment="1">
      <alignment horizontal="center" vertical="center"/>
    </xf>
    <xf numFmtId="9" fontId="18" fillId="4" borderId="0" xfId="1" applyFont="1" applyFill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/>
    </xf>
    <xf numFmtId="167" fontId="0" fillId="0" borderId="27" xfId="0" applyNumberFormat="1" applyBorder="1"/>
    <xf numFmtId="0" fontId="0" fillId="4" borderId="19" xfId="0" applyFill="1" applyBorder="1"/>
    <xf numFmtId="0" fontId="9" fillId="4" borderId="19" xfId="0" applyFont="1" applyFill="1" applyBorder="1"/>
    <xf numFmtId="166" fontId="18" fillId="0" borderId="19" xfId="0" applyNumberFormat="1" applyFont="1" applyBorder="1"/>
    <xf numFmtId="165" fontId="17" fillId="5" borderId="28" xfId="0" applyNumberFormat="1" applyFont="1" applyFill="1" applyBorder="1"/>
    <xf numFmtId="167" fontId="9" fillId="3" borderId="19" xfId="0" applyNumberFormat="1" applyFont="1" applyFill="1" applyBorder="1"/>
    <xf numFmtId="167" fontId="24" fillId="3" borderId="2" xfId="0" applyNumberFormat="1" applyFont="1" applyFill="1" applyBorder="1"/>
    <xf numFmtId="167" fontId="9" fillId="3" borderId="21" xfId="1" applyNumberFormat="1" applyFont="1" applyFill="1" applyBorder="1"/>
    <xf numFmtId="166" fontId="24" fillId="3" borderId="2" xfId="0" applyNumberFormat="1" applyFont="1" applyFill="1" applyBorder="1"/>
    <xf numFmtId="165" fontId="9" fillId="3" borderId="21" xfId="1" applyNumberFormat="1" applyFont="1" applyFill="1" applyBorder="1"/>
    <xf numFmtId="167" fontId="9" fillId="3" borderId="19" xfId="1" applyNumberFormat="1" applyFont="1" applyFill="1" applyBorder="1"/>
    <xf numFmtId="0" fontId="29" fillId="4" borderId="0" xfId="0" applyFont="1" applyFill="1"/>
    <xf numFmtId="0" fontId="0" fillId="0" borderId="21" xfId="0" applyBorder="1" applyAlignment="1">
      <alignment horizontal="center"/>
    </xf>
    <xf numFmtId="0" fontId="10" fillId="2" borderId="23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166" fontId="24" fillId="3" borderId="30" xfId="0" applyNumberFormat="1" applyFont="1" applyFill="1" applyBorder="1" applyAlignment="1">
      <alignment horizontal="center"/>
    </xf>
    <xf numFmtId="166" fontId="24" fillId="3" borderId="31" xfId="0" applyNumberFormat="1" applyFont="1" applyFill="1" applyBorder="1" applyAlignment="1">
      <alignment horizontal="center"/>
    </xf>
    <xf numFmtId="0" fontId="17" fillId="5" borderId="1" xfId="0" applyFont="1" applyFill="1" applyBorder="1"/>
    <xf numFmtId="9" fontId="0" fillId="0" borderId="21" xfId="1" applyFont="1" applyBorder="1" applyAlignment="1">
      <alignment horizontal="center"/>
    </xf>
    <xf numFmtId="9" fontId="0" fillId="0" borderId="25" xfId="1" applyFont="1" applyBorder="1" applyAlignment="1">
      <alignment horizontal="center"/>
    </xf>
    <xf numFmtId="9" fontId="0" fillId="0" borderId="29" xfId="1" applyFont="1" applyBorder="1" applyAlignment="1">
      <alignment horizontal="center"/>
    </xf>
    <xf numFmtId="9" fontId="30" fillId="0" borderId="30" xfId="0" applyNumberFormat="1" applyFont="1" applyBorder="1"/>
    <xf numFmtId="0" fontId="25" fillId="0" borderId="26" xfId="0" applyFont="1" applyBorder="1"/>
    <xf numFmtId="0" fontId="8" fillId="4" borderId="0" xfId="2" applyFont="1" applyFill="1" applyAlignment="1">
      <alignment vertical="center"/>
    </xf>
    <xf numFmtId="0" fontId="25" fillId="0" borderId="27" xfId="0" applyFont="1" applyBorder="1"/>
    <xf numFmtId="169" fontId="17" fillId="5" borderId="1" xfId="0" applyNumberFormat="1" applyFont="1" applyFill="1" applyBorder="1"/>
    <xf numFmtId="0" fontId="0" fillId="8" borderId="32" xfId="0" applyFill="1" applyBorder="1"/>
    <xf numFmtId="0" fontId="11" fillId="2" borderId="29" xfId="0" applyFont="1" applyFill="1" applyBorder="1" applyAlignment="1">
      <alignment horizontal="center"/>
    </xf>
    <xf numFmtId="165" fontId="17" fillId="5" borderId="33" xfId="0" applyNumberFormat="1" applyFont="1" applyFill="1" applyBorder="1" applyAlignment="1">
      <alignment horizontal="center"/>
    </xf>
    <xf numFmtId="169" fontId="17" fillId="5" borderId="1" xfId="0" applyNumberFormat="1" applyFont="1" applyFill="1" applyBorder="1" applyAlignment="1">
      <alignment horizontal="right"/>
    </xf>
    <xf numFmtId="0" fontId="8" fillId="2" borderId="8" xfId="2" applyFont="1" applyFill="1" applyBorder="1" applyAlignment="1">
      <alignment horizontal="center" vertical="center"/>
    </xf>
  </cellXfs>
  <cellStyles count="4">
    <cellStyle name="Normal" xfId="0" builtinId="0"/>
    <cellStyle name="Normal 2" xfId="2" xr:uid="{D11BDF87-1C7E-452F-A754-65B84207881F}"/>
    <cellStyle name="Percent" xfId="1" builtinId="5"/>
    <cellStyle name="Percent 2" xfId="3" xr:uid="{D168C570-6CE6-46FB-A43F-A2C426594DE9}"/>
  </cellStyles>
  <dxfs count="1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75E52F-8A71-4FCE-946A-CFB7C626C937}"/>
  </table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CE6F1"/>
      <rgbColor rgb="FF660066"/>
      <rgbColor rgb="FFFF8080"/>
      <rgbColor rgb="FF0066CC"/>
      <rgbColor rgb="FFD3D3D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33966-1A21-4F0A-B7BD-0426B8376072}">
  <sheetPr>
    <pageSetUpPr fitToPage="1"/>
  </sheetPr>
  <dimension ref="A2:F68"/>
  <sheetViews>
    <sheetView showGridLines="0" zoomScale="70" zoomScaleNormal="70" workbookViewId="0">
      <selection activeCell="C43" sqref="C43"/>
    </sheetView>
  </sheetViews>
  <sheetFormatPr defaultRowHeight="14.25" x14ac:dyDescent="0.45"/>
  <cols>
    <col min="1" max="1" width="2.86328125" customWidth="1"/>
    <col min="2" max="2" width="34.19921875" bestFit="1" customWidth="1"/>
    <col min="3" max="5" width="17.265625" customWidth="1"/>
    <col min="6" max="6" width="16" customWidth="1"/>
  </cols>
  <sheetData>
    <row r="2" spans="1:6" s="98" customFormat="1" x14ac:dyDescent="0.45">
      <c r="A2" s="50"/>
      <c r="B2" s="50" t="s">
        <v>0</v>
      </c>
      <c r="C2" s="50"/>
      <c r="D2" s="50"/>
    </row>
    <row r="3" spans="1:6" s="83" customFormat="1" x14ac:dyDescent="0.45">
      <c r="B3" s="83" t="s">
        <v>1</v>
      </c>
    </row>
    <row r="4" spans="1:6" s="83" customFormat="1" x14ac:dyDescent="0.45">
      <c r="B4" s="83" t="s">
        <v>223</v>
      </c>
    </row>
    <row r="6" spans="1:6" s="98" customFormat="1" x14ac:dyDescent="0.45">
      <c r="A6" s="50"/>
      <c r="B6" s="50" t="s">
        <v>225</v>
      </c>
      <c r="C6" s="50"/>
      <c r="D6" s="50"/>
    </row>
    <row r="8" spans="1:6" ht="15.4" customHeight="1" x14ac:dyDescent="0.45">
      <c r="C8" s="171" t="str">
        <f>Projections!P7</f>
        <v>Net IRR</v>
      </c>
    </row>
    <row r="9" spans="1:6" ht="15.4" customHeight="1" x14ac:dyDescent="0.45">
      <c r="C9" s="170">
        <f>Projections!P8</f>
        <v>1.1761629918709122</v>
      </c>
      <c r="D9" s="160" t="str">
        <f>Projections!Q8</f>
        <v>Downside case</v>
      </c>
      <c r="E9" s="162" t="str">
        <f>Projections!R8</f>
        <v>Base Case</v>
      </c>
      <c r="F9" s="160" t="str">
        <f>Projections!S8</f>
        <v>Upside case</v>
      </c>
    </row>
    <row r="10" spans="1:6" ht="15.4" customHeight="1" x14ac:dyDescent="0.45">
      <c r="C10" s="164">
        <f>Projections!P9</f>
        <v>6</v>
      </c>
      <c r="D10" s="114">
        <f>Projections!Q9</f>
        <v>0.89287196689029313</v>
      </c>
      <c r="E10" s="114">
        <f>Projections!R9</f>
        <v>0.97836607692881739</v>
      </c>
      <c r="F10" s="169">
        <f>Projections!S9</f>
        <v>1.0658977188492935</v>
      </c>
    </row>
    <row r="11" spans="1:6" ht="15.4" customHeight="1" x14ac:dyDescent="0.45">
      <c r="C11" s="164">
        <f>Projections!P10</f>
        <v>7</v>
      </c>
      <c r="D11" s="114">
        <f>Projections!Q10</f>
        <v>0.94788195192507074</v>
      </c>
      <c r="E11" s="114">
        <f>Projections!R10</f>
        <v>1.0347853676509282</v>
      </c>
      <c r="F11" s="169">
        <f>Projections!S10</f>
        <v>1.1238897648996007</v>
      </c>
    </row>
    <row r="12" spans="1:6" ht="15.4" customHeight="1" x14ac:dyDescent="0.45">
      <c r="B12" s="161" t="str">
        <f>Projections!O11</f>
        <v>Exit EV/Revenue Multiple</v>
      </c>
      <c r="C12" s="164">
        <f>Projections!P11</f>
        <v>8</v>
      </c>
      <c r="D12" s="114">
        <f>Projections!Q11</f>
        <v>0.99729952354827089</v>
      </c>
      <c r="E12" s="114">
        <f>Projections!R11</f>
        <v>1.0855631526790956</v>
      </c>
      <c r="F12" s="169">
        <f>Projections!S11</f>
        <v>1.1761629918709122</v>
      </c>
    </row>
    <row r="13" spans="1:6" ht="15.4" customHeight="1" x14ac:dyDescent="0.45">
      <c r="C13" s="164">
        <f>Projections!P12</f>
        <v>9</v>
      </c>
      <c r="D13" s="114">
        <f>Projections!Q12</f>
        <v>1.042261096286794</v>
      </c>
      <c r="E13" s="114">
        <f>Projections!R12</f>
        <v>1.1318290485927944</v>
      </c>
      <c r="F13" s="169">
        <f>Projections!S12</f>
        <v>1.2238484077186849</v>
      </c>
    </row>
    <row r="14" spans="1:6" ht="15.4" customHeight="1" x14ac:dyDescent="0.45">
      <c r="C14" s="165">
        <f>Projections!P13</f>
        <v>10</v>
      </c>
      <c r="D14" s="167">
        <f>Projections!Q13</f>
        <v>1.0835799743727499</v>
      </c>
      <c r="E14" s="167">
        <f>Projections!R13</f>
        <v>1.1743957319034841</v>
      </c>
      <c r="F14" s="168">
        <f>Projections!S13</f>
        <v>1.2677632147185154</v>
      </c>
    </row>
    <row r="15" spans="1:6" ht="15.4" customHeight="1" x14ac:dyDescent="0.45"/>
    <row r="16" spans="1:6" ht="15.4" customHeight="1" x14ac:dyDescent="0.45"/>
    <row r="17" spans="1:6" ht="15.4" customHeight="1" x14ac:dyDescent="0.45">
      <c r="C17" s="171" t="str">
        <f>Projections!P16</f>
        <v>Gross IRR</v>
      </c>
    </row>
    <row r="18" spans="1:6" ht="15.4" customHeight="1" x14ac:dyDescent="0.45">
      <c r="C18" s="170">
        <f>Projections!P17</f>
        <v>0.79300529604867509</v>
      </c>
      <c r="D18" s="160" t="str">
        <f>Projections!Q17</f>
        <v>Downside case</v>
      </c>
      <c r="E18" s="162" t="str">
        <f>Projections!R17</f>
        <v>Base Case</v>
      </c>
      <c r="F18" s="160" t="str">
        <f>Projections!S17</f>
        <v>Upside case</v>
      </c>
    </row>
    <row r="19" spans="1:6" ht="15.4" customHeight="1" x14ac:dyDescent="0.45">
      <c r="C19" s="164">
        <f>Projections!P18</f>
        <v>6</v>
      </c>
      <c r="D19" s="114">
        <f>Projections!Q18</f>
        <v>0.61262560408016298</v>
      </c>
      <c r="E19" s="114">
        <f>Projections!R18</f>
        <v>0.64619345102990322</v>
      </c>
      <c r="F19" s="169">
        <f>Projections!S18</f>
        <v>0.69275390768517253</v>
      </c>
    </row>
    <row r="20" spans="1:6" ht="15.4" customHeight="1" x14ac:dyDescent="0.45">
      <c r="C20" s="164">
        <f>Projections!P19</f>
        <v>7</v>
      </c>
      <c r="D20" s="114">
        <f>Projections!Q19</f>
        <v>0.66311740597744917</v>
      </c>
      <c r="E20" s="114">
        <f>Projections!R19</f>
        <v>0.69773627250297676</v>
      </c>
      <c r="F20" s="169">
        <f>Projections!S19</f>
        <v>0.74575455132585722</v>
      </c>
    </row>
    <row r="21" spans="1:6" ht="15.4" customHeight="1" x14ac:dyDescent="0.45">
      <c r="B21" s="161" t="str">
        <f>Projections!O20</f>
        <v>Exit EV/Revenue Multiple</v>
      </c>
      <c r="C21" s="164">
        <f>Projections!P20</f>
        <v>8</v>
      </c>
      <c r="D21" s="114">
        <f>Projections!Q20</f>
        <v>0.7081314865274515</v>
      </c>
      <c r="E21" s="114">
        <f>Projections!R20</f>
        <v>0.74368735030929378</v>
      </c>
      <c r="F21" s="169">
        <f>Projections!S20</f>
        <v>0.79300529604867509</v>
      </c>
    </row>
    <row r="22" spans="1:6" ht="15.4" customHeight="1" x14ac:dyDescent="0.45">
      <c r="C22" s="164">
        <f>Projections!P21</f>
        <v>9</v>
      </c>
      <c r="D22" s="114">
        <f>Projections!Q21</f>
        <v>0.74884694513557304</v>
      </c>
      <c r="E22" s="114">
        <f>Projections!R21</f>
        <v>0.78525032757245095</v>
      </c>
      <c r="F22" s="169">
        <f>Projections!S21</f>
        <v>0.83574382846916473</v>
      </c>
    </row>
    <row r="23" spans="1:6" ht="15.4" customHeight="1" x14ac:dyDescent="0.45">
      <c r="C23" s="165">
        <f>Projections!P22</f>
        <v>10</v>
      </c>
      <c r="D23" s="167">
        <f>Projections!Q22</f>
        <v>0.78608984333963083</v>
      </c>
      <c r="E23" s="167">
        <f>Projections!R22</f>
        <v>0.82326846083647287</v>
      </c>
      <c r="F23" s="168">
        <f>Projections!S22</f>
        <v>0.87483725555411995</v>
      </c>
    </row>
    <row r="24" spans="1:6" ht="15.4" customHeight="1" x14ac:dyDescent="0.45"/>
    <row r="25" spans="1:6" ht="15.4" customHeight="1" x14ac:dyDescent="0.45"/>
    <row r="26" spans="1:6" s="98" customFormat="1" x14ac:dyDescent="0.45">
      <c r="A26" s="50"/>
      <c r="B26" s="50" t="s">
        <v>226</v>
      </c>
      <c r="C26" s="50"/>
      <c r="D26" s="50"/>
    </row>
    <row r="27" spans="1:6" s="5" customFormat="1" x14ac:dyDescent="0.45">
      <c r="A27" s="172"/>
      <c r="B27" s="172"/>
      <c r="C27" s="172"/>
      <c r="D27" s="172"/>
    </row>
    <row r="28" spans="1:6" x14ac:dyDescent="0.45">
      <c r="B28" s="50" t="s">
        <v>222</v>
      </c>
      <c r="C28" s="2" t="str">
        <f>Projections!C11</f>
        <v>Upside case</v>
      </c>
      <c r="D28" s="128" t="s">
        <v>175</v>
      </c>
    </row>
    <row r="29" spans="1:6" x14ac:dyDescent="0.45">
      <c r="D29" s="128"/>
    </row>
    <row r="30" spans="1:6" x14ac:dyDescent="0.45">
      <c r="B30" s="128" t="s">
        <v>224</v>
      </c>
    </row>
    <row r="32" spans="1:6" x14ac:dyDescent="0.45">
      <c r="C32" s="171" t="s">
        <v>139</v>
      </c>
      <c r="D32" s="160" t="s">
        <v>221</v>
      </c>
      <c r="E32" s="162" t="s">
        <v>219</v>
      </c>
      <c r="F32" s="160" t="s">
        <v>220</v>
      </c>
    </row>
    <row r="33" spans="2:6" x14ac:dyDescent="0.45">
      <c r="C33" s="170">
        <f>D66</f>
        <v>1.1761629918709122</v>
      </c>
      <c r="D33" s="159">
        <v>5</v>
      </c>
      <c r="E33" s="159">
        <v>7</v>
      </c>
      <c r="F33" s="163">
        <v>10</v>
      </c>
    </row>
    <row r="34" spans="2:6" x14ac:dyDescent="0.45">
      <c r="C34" s="164">
        <v>6</v>
      </c>
      <c r="D34" s="114">
        <f t="dataTable" ref="D34:F38" dt2D="1" dtr="1" r1="D48" r2="D52"/>
        <v>1.0658977188492935</v>
      </c>
      <c r="E34" s="114">
        <v>1.4325269785352424</v>
      </c>
      <c r="F34" s="169">
        <v>1.8802394661377981</v>
      </c>
    </row>
    <row r="35" spans="2:6" x14ac:dyDescent="0.45">
      <c r="C35" s="164">
        <v>7</v>
      </c>
      <c r="D35" s="114">
        <v>1.1238897648996007</v>
      </c>
      <c r="E35" s="114">
        <v>1.4981719043245167</v>
      </c>
      <c r="F35" s="169">
        <v>1.9514892805836648</v>
      </c>
    </row>
    <row r="36" spans="2:6" x14ac:dyDescent="0.45">
      <c r="B36" s="161" t="s">
        <v>7</v>
      </c>
      <c r="C36" s="164">
        <v>8</v>
      </c>
      <c r="D36" s="114">
        <v>1.1761629918709122</v>
      </c>
      <c r="E36" s="114">
        <v>1.5575643912278521</v>
      </c>
      <c r="F36" s="169">
        <v>2.0164573538693693</v>
      </c>
    </row>
    <row r="37" spans="2:6" x14ac:dyDescent="0.45">
      <c r="C37" s="164">
        <v>9</v>
      </c>
      <c r="D37" s="114">
        <v>1.2238484077186849</v>
      </c>
      <c r="E37" s="114">
        <v>1.6119031609849861</v>
      </c>
      <c r="F37" s="169">
        <v>2.0762672102773085</v>
      </c>
    </row>
    <row r="38" spans="2:6" x14ac:dyDescent="0.45">
      <c r="C38" s="165">
        <v>10</v>
      </c>
      <c r="D38" s="167">
        <v>1.2677632147185154</v>
      </c>
      <c r="E38" s="167">
        <v>1.6620635523435761</v>
      </c>
      <c r="F38" s="168">
        <v>2.1317578087590396</v>
      </c>
    </row>
    <row r="40" spans="2:6" x14ac:dyDescent="0.45">
      <c r="C40" s="171" t="s">
        <v>17</v>
      </c>
      <c r="D40" s="160" t="s">
        <v>221</v>
      </c>
      <c r="E40" s="162" t="s">
        <v>219</v>
      </c>
      <c r="F40" s="160" t="s">
        <v>220</v>
      </c>
    </row>
    <row r="41" spans="2:6" x14ac:dyDescent="0.45">
      <c r="C41" s="170">
        <f>D63</f>
        <v>0.79300529604867509</v>
      </c>
      <c r="D41" s="159">
        <v>5</v>
      </c>
      <c r="E41" s="159">
        <v>7</v>
      </c>
      <c r="F41" s="163">
        <v>10</v>
      </c>
    </row>
    <row r="42" spans="2:6" x14ac:dyDescent="0.45">
      <c r="C42" s="164">
        <v>6</v>
      </c>
      <c r="D42" s="114">
        <f t="dataTable" ref="D42:F46" dt2D="1" dtr="1" r1="D48" r2="D52" ca="1"/>
        <v>0.69275390768517253</v>
      </c>
      <c r="E42" s="114">
        <v>0.9766558905702083</v>
      </c>
      <c r="F42" s="169">
        <v>1.2980199491980247</v>
      </c>
    </row>
    <row r="43" spans="2:6" x14ac:dyDescent="0.45">
      <c r="C43" s="164">
        <v>7</v>
      </c>
      <c r="D43" s="114">
        <v>0.74575455132585722</v>
      </c>
      <c r="E43" s="114">
        <v>1.0385455923046063</v>
      </c>
      <c r="F43" s="169">
        <v>1.3699716580989274</v>
      </c>
    </row>
    <row r="44" spans="2:6" x14ac:dyDescent="0.45">
      <c r="B44" s="161" t="s">
        <v>7</v>
      </c>
      <c r="C44" s="164">
        <v>8</v>
      </c>
      <c r="D44" s="114">
        <v>0.79300529604867509</v>
      </c>
      <c r="E44" s="114">
        <v>1.0937210448415366</v>
      </c>
      <c r="F44" s="169">
        <v>1.4341175173963281</v>
      </c>
    </row>
    <row r="45" spans="2:6" x14ac:dyDescent="0.45">
      <c r="C45" s="164">
        <v>9</v>
      </c>
      <c r="D45" s="114">
        <v>0.83574382846916473</v>
      </c>
      <c r="E45" s="114">
        <v>1.1436275146950381</v>
      </c>
      <c r="F45" s="169">
        <v>1.4921377645544274</v>
      </c>
    </row>
    <row r="46" spans="2:6" x14ac:dyDescent="0.45">
      <c r="C46" s="165">
        <v>10</v>
      </c>
      <c r="D46" s="167">
        <v>0.87483725555411995</v>
      </c>
      <c r="E46" s="167">
        <v>1.1892775365790373</v>
      </c>
      <c r="F46" s="168">
        <v>1.5452095518448772</v>
      </c>
    </row>
    <row r="48" spans="2:6" x14ac:dyDescent="0.45">
      <c r="D48" s="158">
        <v>5</v>
      </c>
      <c r="E48" s="158">
        <v>7</v>
      </c>
      <c r="F48" s="158">
        <v>10</v>
      </c>
    </row>
    <row r="49" spans="2:6" x14ac:dyDescent="0.45">
      <c r="B49" s="1" t="s">
        <v>148</v>
      </c>
      <c r="C49" s="1"/>
      <c r="D49" s="1" t="s">
        <v>221</v>
      </c>
      <c r="E49" s="1" t="s">
        <v>219</v>
      </c>
      <c r="F49" s="1" t="s">
        <v>220</v>
      </c>
    </row>
    <row r="50" spans="2:6" x14ac:dyDescent="0.45">
      <c r="B50" t="str">
        <f>"LTM Revenue at Exit"</f>
        <v>LTM Revenue at Exit</v>
      </c>
      <c r="D50" s="104">
        <f>HLOOKUP('Summary Tab'!D$48,Projections!$D$44:$M$51,8,FALSE)</f>
        <v>8328.7824091010134</v>
      </c>
      <c r="E50" s="104">
        <f>HLOOKUP('Summary Tab'!E$48,Projections!$D$44:$M$51,8,FALSE)</f>
        <v>18082.886073376521</v>
      </c>
      <c r="F50" s="104">
        <f>HLOOKUP('Summary Tab'!F$48,Projections!$D$44:$M$51,8,FALSE)</f>
        <v>38404.433524951652</v>
      </c>
    </row>
    <row r="51" spans="2:6" x14ac:dyDescent="0.45">
      <c r="B51" t="str">
        <f>"LTM EBITDA at Exit"</f>
        <v>LTM EBITDA at Exit</v>
      </c>
      <c r="D51" s="104">
        <f>HLOOKUP('Summary Tab'!D$48,Projections!$D$54:$M$59,3,FALSE)</f>
        <v>4555.6591829185527</v>
      </c>
      <c r="E51" s="104">
        <f>HLOOKUP('Summary Tab'!E$48,Projections!$D$54:$M$59,3,FALSE)</f>
        <v>10904.758558582682</v>
      </c>
      <c r="F51" s="104">
        <f>HLOOKUP('Summary Tab'!F$48,Projections!$D$54:$M$59,3,FALSE)</f>
        <v>26810.046605667936</v>
      </c>
    </row>
    <row r="52" spans="2:6" x14ac:dyDescent="0.45">
      <c r="B52" s="101" t="s">
        <v>7</v>
      </c>
      <c r="C52" s="101"/>
      <c r="D52" s="102">
        <f>Projections!G25</f>
        <v>8</v>
      </c>
      <c r="E52" s="102">
        <f>D52</f>
        <v>8</v>
      </c>
      <c r="F52" s="102">
        <f>E52</f>
        <v>8</v>
      </c>
    </row>
    <row r="53" spans="2:6" x14ac:dyDescent="0.45">
      <c r="B53" s="105" t="s">
        <v>163</v>
      </c>
      <c r="C53" s="105"/>
      <c r="D53" s="152">
        <f>D50*D52</f>
        <v>66630.259272808107</v>
      </c>
      <c r="E53" s="152">
        <f>E50*E52</f>
        <v>144663.08858701217</v>
      </c>
      <c r="F53" s="152">
        <f>F50*F52</f>
        <v>307235.46819961321</v>
      </c>
    </row>
    <row r="54" spans="2:6" x14ac:dyDescent="0.45">
      <c r="B54" s="148" t="s">
        <v>8</v>
      </c>
      <c r="C54" s="148"/>
      <c r="D54" s="150">
        <f>D53/D51</f>
        <v>14.625821774077901</v>
      </c>
      <c r="E54" s="150">
        <f>E53/E51</f>
        <v>13.266051495762268</v>
      </c>
      <c r="F54" s="150">
        <f>F53/F51</f>
        <v>11.459714066094174</v>
      </c>
    </row>
    <row r="55" spans="2:6" x14ac:dyDescent="0.45">
      <c r="B55" t="s">
        <v>147</v>
      </c>
      <c r="D55" s="116">
        <f>HLOOKUP('Summary Tab'!D48,Projections!$B$90:$M$96,MATCH($B55,Projections!$B$90:$B$96,0),FALSE)</f>
        <v>786.00103403043045</v>
      </c>
      <c r="E55" s="116">
        <f>HLOOKUP('Summary Tab'!E48,Projections!$B$90:$M$96,MATCH($B55,Projections!$B$90:$B$96,0),FALSE)</f>
        <v>0</v>
      </c>
      <c r="F55" s="116">
        <f>HLOOKUP('Summary Tab'!F48,Projections!$B$90:$M$96,MATCH($B55,Projections!$B$90:$B$96,0),FALSE)</f>
        <v>0</v>
      </c>
    </row>
    <row r="56" spans="2:6" x14ac:dyDescent="0.45">
      <c r="B56" t="s">
        <v>197</v>
      </c>
      <c r="D56" s="116">
        <f>HLOOKUP('Summary Tab'!D$48,Projections!$B$121:$M$128,MATCH('Summary Tab'!$B$56,Projections!$B$121:$B$128,0),FALSE)</f>
        <v>6914.5887013585507</v>
      </c>
      <c r="E56" s="116">
        <f>HLOOKUP('Summary Tab'!E$48,Projections!$B$121:$M$128,MATCH('Summary Tab'!$B$56,Projections!$B$121:$B$128,0),FALSE)</f>
        <v>18477.336424625319</v>
      </c>
      <c r="F56" s="116">
        <f>HLOOKUP('Summary Tab'!F$48,Projections!$B$121:$M$128,MATCH('Summary Tab'!$B$56,Projections!$B$121:$B$128,0),FALSE)</f>
        <v>65083.064757383778</v>
      </c>
    </row>
    <row r="57" spans="2:6" x14ac:dyDescent="0.45">
      <c r="B57" s="105" t="s">
        <v>149</v>
      </c>
      <c r="C57" s="105"/>
      <c r="D57" s="152">
        <f>D53-D55+D56</f>
        <v>72758.846940136224</v>
      </c>
      <c r="E57" s="152">
        <f>E53-E55+E56</f>
        <v>163140.4250116375</v>
      </c>
      <c r="F57" s="152">
        <f>F53-F55+F56</f>
        <v>372318.53295699699</v>
      </c>
    </row>
    <row r="59" spans="2:6" x14ac:dyDescent="0.45">
      <c r="B59" s="108" t="s">
        <v>164</v>
      </c>
      <c r="C59" s="108"/>
      <c r="D59" s="153">
        <f>E59</f>
        <v>3595.5360000000001</v>
      </c>
      <c r="E59" s="153">
        <f>Projections!M110</f>
        <v>3595.5360000000001</v>
      </c>
      <c r="F59" s="153">
        <f>E59</f>
        <v>3595.5360000000001</v>
      </c>
    </row>
    <row r="60" spans="2:6" x14ac:dyDescent="0.45">
      <c r="B60" s="111" t="s">
        <v>150</v>
      </c>
      <c r="C60" s="111"/>
      <c r="D60" s="154">
        <f>E60</f>
        <v>1490.8319999999999</v>
      </c>
      <c r="E60" s="154">
        <f>Projections!M111</f>
        <v>1490.8319999999999</v>
      </c>
      <c r="F60" s="154">
        <f>E60</f>
        <v>1490.8319999999999</v>
      </c>
    </row>
    <row r="62" spans="2:6" x14ac:dyDescent="0.45">
      <c r="B62" s="108" t="s">
        <v>18</v>
      </c>
      <c r="C62" s="108"/>
      <c r="D62" s="155">
        <f>D53/D59</f>
        <v>18.531384270052673</v>
      </c>
      <c r="E62" s="155">
        <f>E53/E59</f>
        <v>40.234081535273788</v>
      </c>
      <c r="F62" s="155">
        <f>F53/F59</f>
        <v>85.449142547762889</v>
      </c>
    </row>
    <row r="63" spans="2:6" x14ac:dyDescent="0.45">
      <c r="B63" s="111" t="s">
        <v>17</v>
      </c>
      <c r="C63" s="111"/>
      <c r="D63" s="156">
        <f>D62^(1/Projections!$G$26)-1</f>
        <v>0.79300529604867509</v>
      </c>
      <c r="E63" s="156">
        <f>E62^(1/Projections!$G$26)-1</f>
        <v>1.0937210448415366</v>
      </c>
      <c r="F63" s="156">
        <f>F62^(1/Projections!$G$26)-1</f>
        <v>1.4341175173963281</v>
      </c>
    </row>
    <row r="65" spans="2:6" x14ac:dyDescent="0.45">
      <c r="B65" s="108" t="s">
        <v>19</v>
      </c>
      <c r="C65" s="108"/>
      <c r="D65" s="155">
        <f>D57/D60</f>
        <v>48.804189164262795</v>
      </c>
      <c r="E65" s="155">
        <f>E57/E60</f>
        <v>109.42911408638768</v>
      </c>
      <c r="F65" s="155">
        <f>F57/F60</f>
        <v>249.73875859721085</v>
      </c>
    </row>
    <row r="66" spans="2:6" x14ac:dyDescent="0.45">
      <c r="B66" s="111" t="s">
        <v>139</v>
      </c>
      <c r="C66" s="111"/>
      <c r="D66" s="156">
        <f>D65^(1/Projections!$G$26)-1</f>
        <v>1.1761629918709122</v>
      </c>
      <c r="E66" s="156">
        <f>E65^(1/Projections!$G$26)-1</f>
        <v>1.5575643912278521</v>
      </c>
      <c r="F66" s="156">
        <f>F65^(1/Projections!$G$26)-1</f>
        <v>2.0164573538693693</v>
      </c>
    </row>
    <row r="67" spans="2:6" x14ac:dyDescent="0.45">
      <c r="D67" s="5"/>
      <c r="E67" s="5"/>
      <c r="F67" s="5"/>
    </row>
    <row r="68" spans="2:6" x14ac:dyDescent="0.45">
      <c r="B68" s="105" t="s">
        <v>188</v>
      </c>
      <c r="C68" s="105"/>
      <c r="D68" s="157">
        <f>D57*Projections!$L$15</f>
        <v>50931.192858095354</v>
      </c>
      <c r="E68" s="157">
        <f>E57*Projections!$L$15</f>
        <v>114198.29750814625</v>
      </c>
      <c r="F68" s="157">
        <f>F57*Projections!$L$15</f>
        <v>260622.97306989788</v>
      </c>
    </row>
  </sheetData>
  <conditionalFormatting sqref="D10:F14">
    <cfRule type="colorScale" priority="2">
      <colorScale>
        <cfvo type="min"/>
        <cfvo type="max"/>
        <color rgb="FFFCFCFF"/>
        <color rgb="FF63BE7B"/>
      </colorScale>
    </cfRule>
  </conditionalFormatting>
  <conditionalFormatting sqref="D19:F23">
    <cfRule type="colorScale" priority="1">
      <colorScale>
        <cfvo type="min"/>
        <cfvo type="max"/>
        <color rgb="FFFCFCFF"/>
        <color rgb="FF63BE7B"/>
      </colorScale>
    </cfRule>
  </conditionalFormatting>
  <conditionalFormatting sqref="D34:F38">
    <cfRule type="colorScale" priority="6">
      <colorScale>
        <cfvo type="min"/>
        <cfvo type="max"/>
        <color rgb="FFFCFCFF"/>
        <color rgb="FF63BE7B"/>
      </colorScale>
    </cfRule>
  </conditionalFormatting>
  <conditionalFormatting sqref="D42:F46">
    <cfRule type="colorScale" priority="5">
      <colorScale>
        <cfvo type="min"/>
        <cfvo type="max"/>
        <color rgb="FFFCFCFF"/>
        <color rgb="FF63BE7B"/>
      </colorScale>
    </cfRule>
  </conditionalFormatting>
  <pageMargins left="0.25" right="0.25" top="0.75" bottom="0.75" header="0.3" footer="0.3"/>
  <pageSetup scale="9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129"/>
  <sheetViews>
    <sheetView showGridLines="0" tabSelected="1" topLeftCell="A93" zoomScale="70" zoomScaleNormal="70" zoomScalePageLayoutView="40" workbookViewId="0">
      <selection activeCell="M119" sqref="M119"/>
    </sheetView>
  </sheetViews>
  <sheetFormatPr defaultColWidth="8.59765625" defaultRowHeight="14.25" x14ac:dyDescent="0.45"/>
  <cols>
    <col min="1" max="1" width="3.46484375" customWidth="1"/>
    <col min="2" max="2" width="36.6640625" customWidth="1"/>
    <col min="3" max="3" width="18" style="7" customWidth="1"/>
    <col min="4" max="4" width="14.1328125" style="7" customWidth="1"/>
    <col min="5" max="5" width="17.3984375" style="7" customWidth="1"/>
    <col min="6" max="6" width="21.06640625" style="7" customWidth="1"/>
    <col min="7" max="10" width="12.06640625" style="7" customWidth="1"/>
    <col min="11" max="11" width="11.9296875" style="7" customWidth="1"/>
    <col min="12" max="13" width="12.06640625" style="7" customWidth="1"/>
    <col min="14" max="14" width="15.59765625" style="5" customWidth="1"/>
    <col min="15" max="15" width="33.1328125" style="5" hidden="1" customWidth="1"/>
    <col min="16" max="16" width="13.3984375" style="5" hidden="1" customWidth="1"/>
    <col min="17" max="17" width="14.1328125" style="5" hidden="1" customWidth="1"/>
    <col min="18" max="18" width="18.86328125" style="5" hidden="1" customWidth="1"/>
    <col min="19" max="19" width="19.33203125" style="5" hidden="1" customWidth="1"/>
    <col min="20" max="16384" width="8.59765625" style="5"/>
  </cols>
  <sheetData>
    <row r="1" spans="1:19" x14ac:dyDescent="0.45">
      <c r="B1" s="50" t="s">
        <v>177</v>
      </c>
      <c r="C1" s="7" t="b">
        <f>AND(D88:M88,D129:M129)</f>
        <v>1</v>
      </c>
    </row>
    <row r="3" spans="1:19" s="97" customFormat="1" x14ac:dyDescent="0.45">
      <c r="A3" s="94"/>
      <c r="B3" s="95" t="s">
        <v>138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</row>
    <row r="4" spans="1:19" s="97" customFormat="1" x14ac:dyDescent="0.45">
      <c r="A4" s="96"/>
    </row>
    <row r="5" spans="1:19" x14ac:dyDescent="0.45">
      <c r="B5" s="1" t="str">
        <f>"Returns (Exit Year = "&amp;G26&amp;")"</f>
        <v>Returns (Exit Year = 5)</v>
      </c>
      <c r="C5" s="8" t="s">
        <v>54</v>
      </c>
      <c r="D5" s="8" t="s">
        <v>55</v>
      </c>
      <c r="E5"/>
      <c r="F5" s="18"/>
    </row>
    <row r="6" spans="1:19" x14ac:dyDescent="0.45">
      <c r="B6" t="s">
        <v>165</v>
      </c>
      <c r="C6" s="113">
        <f>M113</f>
        <v>18.531384270052673</v>
      </c>
      <c r="D6" s="113">
        <f>M116</f>
        <v>48.804189164262795</v>
      </c>
      <c r="E6"/>
      <c r="F6" s="18"/>
    </row>
    <row r="7" spans="1:19" x14ac:dyDescent="0.45">
      <c r="B7" t="s">
        <v>31</v>
      </c>
      <c r="C7" s="114">
        <f>M114</f>
        <v>0.79300529604867509</v>
      </c>
      <c r="D7" s="114">
        <f>M117</f>
        <v>1.1761629918709122</v>
      </c>
      <c r="E7"/>
      <c r="F7" s="19"/>
      <c r="O7"/>
      <c r="P7" s="173" t="s">
        <v>139</v>
      </c>
    </row>
    <row r="8" spans="1:19" x14ac:dyDescent="0.45">
      <c r="C8"/>
      <c r="D8"/>
      <c r="E8"/>
      <c r="F8" s="19"/>
      <c r="O8"/>
      <c r="P8" s="170">
        <f>M117</f>
        <v>1.1761629918709122</v>
      </c>
      <c r="Q8" s="160" t="s">
        <v>64</v>
      </c>
      <c r="R8" s="162" t="s">
        <v>2</v>
      </c>
      <c r="S8" s="160" t="s">
        <v>65</v>
      </c>
    </row>
    <row r="9" spans="1:19" s="97" customFormat="1" x14ac:dyDescent="0.45">
      <c r="A9" s="94"/>
      <c r="B9" s="95" t="s">
        <v>40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O9"/>
      <c r="P9" s="164">
        <v>6</v>
      </c>
      <c r="Q9" s="114">
        <f t="dataTable" ref="Q9:S13" dt2D="1" dtr="1" r1="C11" r2="G25"/>
        <v>0.89287196689029313</v>
      </c>
      <c r="R9" s="114">
        <v>0.97836607692881739</v>
      </c>
      <c r="S9" s="169">
        <v>1.0658977188492935</v>
      </c>
    </row>
    <row r="10" spans="1:19" x14ac:dyDescent="0.45">
      <c r="A10" s="7"/>
      <c r="C10"/>
      <c r="D10"/>
      <c r="E10"/>
      <c r="F10"/>
      <c r="G10"/>
      <c r="H10"/>
      <c r="I10"/>
      <c r="J10"/>
      <c r="K10"/>
      <c r="L10"/>
      <c r="M10"/>
      <c r="O10"/>
      <c r="P10" s="164">
        <v>7</v>
      </c>
      <c r="Q10" s="114">
        <v>0.94788195192507074</v>
      </c>
      <c r="R10" s="114">
        <v>1.0347853676509282</v>
      </c>
      <c r="S10" s="169">
        <v>1.1238897648996007</v>
      </c>
    </row>
    <row r="11" spans="1:19" x14ac:dyDescent="0.45">
      <c r="A11" s="7"/>
      <c r="B11" s="50" t="s">
        <v>126</v>
      </c>
      <c r="C11" s="133" t="s">
        <v>65</v>
      </c>
      <c r="D11" s="127" t="s">
        <v>127</v>
      </c>
      <c r="E11"/>
      <c r="F11"/>
      <c r="G11"/>
      <c r="H11"/>
      <c r="I11"/>
      <c r="J11"/>
      <c r="K11"/>
      <c r="O11" s="161" t="s">
        <v>7</v>
      </c>
      <c r="P11" s="164">
        <v>8</v>
      </c>
      <c r="Q11" s="114">
        <v>0.99729952354827089</v>
      </c>
      <c r="R11" s="114">
        <v>1.0855631526790956</v>
      </c>
      <c r="S11" s="169">
        <v>1.1761629918709122</v>
      </c>
    </row>
    <row r="12" spans="1:19" x14ac:dyDescent="0.45">
      <c r="A12" s="7"/>
      <c r="C12"/>
      <c r="D12"/>
      <c r="E12"/>
      <c r="F12"/>
      <c r="G12"/>
      <c r="H12"/>
      <c r="I12"/>
      <c r="J12"/>
      <c r="K12"/>
      <c r="O12"/>
      <c r="P12" s="164">
        <v>9</v>
      </c>
      <c r="Q12" s="114">
        <v>1.042261096286794</v>
      </c>
      <c r="R12" s="114">
        <v>1.1318290485927944</v>
      </c>
      <c r="S12" s="169">
        <v>1.2238484077186849</v>
      </c>
    </row>
    <row r="13" spans="1:19" x14ac:dyDescent="0.45">
      <c r="A13" s="7"/>
      <c r="B13" s="1" t="s">
        <v>44</v>
      </c>
      <c r="C13" s="1"/>
      <c r="D13"/>
      <c r="E13" s="1" t="s">
        <v>45</v>
      </c>
      <c r="F13" s="1"/>
      <c r="G13" s="1"/>
      <c r="I13" s="1" t="s">
        <v>136</v>
      </c>
      <c r="J13" s="1"/>
      <c r="K13" s="1"/>
      <c r="L13" s="1" t="s">
        <v>32</v>
      </c>
      <c r="M13" s="1"/>
      <c r="O13"/>
      <c r="P13" s="165">
        <v>10</v>
      </c>
      <c r="Q13" s="167">
        <v>1.0835799743727499</v>
      </c>
      <c r="R13" s="167">
        <v>1.1743957319034841</v>
      </c>
      <c r="S13" s="168">
        <v>1.2677632147185154</v>
      </c>
    </row>
    <row r="14" spans="1:19" x14ac:dyDescent="0.45">
      <c r="A14" s="7"/>
      <c r="B14" s="16" t="s">
        <v>33</v>
      </c>
      <c r="C14"/>
      <c r="D14"/>
      <c r="E14" t="s">
        <v>37</v>
      </c>
      <c r="F14"/>
      <c r="G14" s="20">
        <v>75</v>
      </c>
      <c r="I14" t="s">
        <v>50</v>
      </c>
      <c r="J14"/>
      <c r="K14"/>
      <c r="L14" s="25">
        <f>C46*M14</f>
        <v>1490.8319999999999</v>
      </c>
      <c r="M14" s="178">
        <v>8.5</v>
      </c>
    </row>
    <row r="15" spans="1:19" x14ac:dyDescent="0.45">
      <c r="A15" s="7"/>
      <c r="B15" t="s">
        <v>34</v>
      </c>
      <c r="C15" s="92">
        <f>C46</f>
        <v>175.392</v>
      </c>
      <c r="D15"/>
      <c r="E15" t="s">
        <v>129</v>
      </c>
      <c r="F15"/>
      <c r="G15" s="32">
        <f>IFERROR(VLOOKUP($C$11,'Scenario assumptions'!$B$17:$E$20,3,FALSE),"-")</f>
        <v>5</v>
      </c>
      <c r="I15" s="33" t="s">
        <v>137</v>
      </c>
      <c r="J15" s="34"/>
      <c r="L15" s="17">
        <v>0.7</v>
      </c>
    </row>
    <row r="16" spans="1:19" x14ac:dyDescent="0.45">
      <c r="A16" s="7"/>
      <c r="B16" t="s">
        <v>20</v>
      </c>
      <c r="C16" s="20">
        <v>32.4</v>
      </c>
      <c r="D16"/>
      <c r="E16" s="5" t="s">
        <v>3</v>
      </c>
      <c r="G16" s="17">
        <v>1</v>
      </c>
      <c r="O16"/>
      <c r="P16" s="173" t="s">
        <v>17</v>
      </c>
    </row>
    <row r="17" spans="1:19" x14ac:dyDescent="0.45">
      <c r="A17" s="7"/>
      <c r="B17" t="s">
        <v>46</v>
      </c>
      <c r="C17" s="32">
        <f>IFERROR(VLOOKUP($C$11,'Scenario assumptions'!$B$17:$E$20,2,FALSE),"-")</f>
        <v>20</v>
      </c>
      <c r="D17"/>
      <c r="E17" s="21" t="s">
        <v>168</v>
      </c>
      <c r="F17" s="21"/>
      <c r="G17" s="24">
        <f>G14*G15</f>
        <v>375</v>
      </c>
      <c r="I17" s="1" t="s">
        <v>48</v>
      </c>
      <c r="J17" s="1"/>
      <c r="K17" s="1"/>
      <c r="L17" s="1" t="s">
        <v>32</v>
      </c>
      <c r="M17" s="1" t="s">
        <v>128</v>
      </c>
      <c r="O17"/>
      <c r="P17" s="170">
        <f>C7</f>
        <v>0.79300529604867509</v>
      </c>
      <c r="Q17" s="160" t="s">
        <v>64</v>
      </c>
      <c r="R17" s="162" t="s">
        <v>2</v>
      </c>
      <c r="S17" s="160" t="s">
        <v>65</v>
      </c>
    </row>
    <row r="18" spans="1:19" x14ac:dyDescent="0.45">
      <c r="A18" s="7"/>
      <c r="B18" s="21" t="s">
        <v>49</v>
      </c>
      <c r="C18" s="24">
        <f>C17*C15</f>
        <v>3507.84</v>
      </c>
      <c r="D18"/>
      <c r="E18"/>
      <c r="F18"/>
      <c r="G18"/>
      <c r="I18" t="s">
        <v>157</v>
      </c>
      <c r="J18"/>
      <c r="K18"/>
      <c r="L18" s="92">
        <f>G20*C18</f>
        <v>2104.7040000000002</v>
      </c>
      <c r="M18" s="151">
        <v>0.06</v>
      </c>
      <c r="O18"/>
      <c r="P18" s="164">
        <v>6</v>
      </c>
      <c r="Q18" s="114">
        <f t="dataTable" ref="Q18:S22" dt2D="1" dtr="1" r1="C11" r2="G25" ca="1"/>
        <v>0.61262560408016298</v>
      </c>
      <c r="R18" s="114">
        <v>0.64619345102990322</v>
      </c>
      <c r="S18" s="169">
        <v>0.69275390768517253</v>
      </c>
    </row>
    <row r="19" spans="1:19" x14ac:dyDescent="0.45">
      <c r="A19" s="7"/>
      <c r="B19" t="s">
        <v>53</v>
      </c>
      <c r="C19" s="32">
        <f>C18/C56</f>
        <v>108.26666666666668</v>
      </c>
      <c r="D19"/>
      <c r="E19" s="1" t="s">
        <v>39</v>
      </c>
      <c r="F19" s="1"/>
      <c r="G19" s="1"/>
      <c r="I19" s="33" t="s">
        <v>159</v>
      </c>
      <c r="J19" s="34"/>
      <c r="L19" s="35">
        <f>L15*L14</f>
        <v>1043.5823999999998</v>
      </c>
      <c r="O19"/>
      <c r="P19" s="164">
        <v>7</v>
      </c>
      <c r="Q19" s="114">
        <v>0.66311740597744917</v>
      </c>
      <c r="R19" s="114">
        <v>0.69773627250297676</v>
      </c>
      <c r="S19" s="169">
        <v>0.74575455132585722</v>
      </c>
    </row>
    <row r="20" spans="1:19" x14ac:dyDescent="0.45">
      <c r="A20" s="7"/>
      <c r="D20"/>
      <c r="E20" t="s">
        <v>38</v>
      </c>
      <c r="F20"/>
      <c r="G20" s="17">
        <v>0.6</v>
      </c>
      <c r="I20" s="21" t="s">
        <v>135</v>
      </c>
      <c r="J20" s="21"/>
      <c r="K20" s="21"/>
      <c r="L20" s="24">
        <f>SUM(L18,L19)</f>
        <v>3148.2864</v>
      </c>
      <c r="M20" s="22"/>
      <c r="O20" s="161" t="s">
        <v>7</v>
      </c>
      <c r="P20" s="164">
        <v>8</v>
      </c>
      <c r="Q20" s="114">
        <v>0.7081314865274515</v>
      </c>
      <c r="R20" s="114">
        <v>0.74368735030929378</v>
      </c>
      <c r="S20" s="169">
        <v>0.79300529604867509</v>
      </c>
    </row>
    <row r="21" spans="1:19" x14ac:dyDescent="0.45">
      <c r="A21" s="7"/>
      <c r="B21" s="1" t="s">
        <v>35</v>
      </c>
      <c r="C21" s="1"/>
      <c r="D21"/>
      <c r="E21" t="s">
        <v>167</v>
      </c>
      <c r="G21" s="20">
        <v>50</v>
      </c>
      <c r="O21"/>
      <c r="P21" s="164">
        <v>9</v>
      </c>
      <c r="Q21" s="114">
        <v>0.74884694513557304</v>
      </c>
      <c r="R21" s="114">
        <v>0.78525032757245095</v>
      </c>
      <c r="S21" s="169">
        <v>0.83574382846916473</v>
      </c>
    </row>
    <row r="22" spans="1:19" x14ac:dyDescent="0.45">
      <c r="A22" s="7"/>
      <c r="B22" t="s">
        <v>42</v>
      </c>
      <c r="C22" s="126">
        <f>IFERROR(VLOOKUP($C$11,'Scenario assumptions'!$B$17:$G$20,4,FALSE),"-")</f>
        <v>0.45</v>
      </c>
      <c r="D22"/>
      <c r="E22" t="s">
        <v>142</v>
      </c>
      <c r="G22" s="17">
        <v>0.1</v>
      </c>
      <c r="I22" s="1" t="s">
        <v>133</v>
      </c>
      <c r="J22" s="1"/>
      <c r="K22" s="1"/>
      <c r="L22" s="1" t="s">
        <v>32</v>
      </c>
      <c r="M22" s="1"/>
      <c r="O22"/>
      <c r="P22" s="165">
        <v>10</v>
      </c>
      <c r="Q22" s="167">
        <v>0.78608984333963083</v>
      </c>
      <c r="R22" s="167">
        <v>0.82326846083647287</v>
      </c>
      <c r="S22" s="168">
        <v>0.87483725555411995</v>
      </c>
    </row>
    <row r="23" spans="1:19" x14ac:dyDescent="0.45">
      <c r="A23" s="7"/>
      <c r="B23" t="s">
        <v>43</v>
      </c>
      <c r="C23" s="17">
        <v>0.05</v>
      </c>
      <c r="D23"/>
      <c r="I23" t="s">
        <v>216</v>
      </c>
      <c r="J23"/>
      <c r="K23"/>
      <c r="L23" s="91">
        <f>G17*2</f>
        <v>750</v>
      </c>
      <c r="M23"/>
    </row>
    <row r="24" spans="1:19" x14ac:dyDescent="0.45">
      <c r="A24" s="7"/>
      <c r="B24" t="s">
        <v>183</v>
      </c>
      <c r="C24" s="17">
        <v>0.05</v>
      </c>
      <c r="D24"/>
      <c r="E24" s="1" t="s">
        <v>36</v>
      </c>
      <c r="F24" s="1"/>
      <c r="G24" s="1"/>
      <c r="I24" t="s">
        <v>217</v>
      </c>
      <c r="J24"/>
      <c r="K24"/>
      <c r="L24" s="91">
        <f>G17*2</f>
        <v>750</v>
      </c>
      <c r="M24"/>
    </row>
    <row r="25" spans="1:19" x14ac:dyDescent="0.45">
      <c r="A25" s="7"/>
      <c r="B25" t="s">
        <v>4</v>
      </c>
      <c r="C25" s="17">
        <v>0.05</v>
      </c>
      <c r="D25"/>
      <c r="E25" t="s">
        <v>7</v>
      </c>
      <c r="F25"/>
      <c r="G25" s="174">
        <v>8</v>
      </c>
      <c r="I25" s="90" t="s">
        <v>218</v>
      </c>
      <c r="L25" s="91">
        <f>L20-SUM(L23:L24)</f>
        <v>1648.2864</v>
      </c>
    </row>
    <row r="26" spans="1:19" x14ac:dyDescent="0.45">
      <c r="A26" s="7"/>
      <c r="B26" t="s">
        <v>41</v>
      </c>
      <c r="C26" s="17">
        <v>0.05</v>
      </c>
      <c r="D26"/>
      <c r="E26" t="s">
        <v>6</v>
      </c>
      <c r="F26"/>
      <c r="G26" s="166">
        <v>5</v>
      </c>
      <c r="I26" s="21" t="s">
        <v>134</v>
      </c>
      <c r="J26" s="21"/>
      <c r="K26" s="21"/>
      <c r="L26" s="24">
        <f>SUM(L23:L25)</f>
        <v>3148.2864</v>
      </c>
      <c r="M26" s="22"/>
    </row>
    <row r="27" spans="1:19" x14ac:dyDescent="0.45">
      <c r="A27" s="7"/>
      <c r="B27" t="s">
        <v>5</v>
      </c>
      <c r="C27" s="17">
        <v>0.2</v>
      </c>
      <c r="D27"/>
      <c r="E27" s="5" t="s">
        <v>8</v>
      </c>
      <c r="F27" s="5"/>
      <c r="G27" s="32">
        <f>M104/M102</f>
        <v>14.625821774077901</v>
      </c>
      <c r="K27"/>
    </row>
    <row r="28" spans="1:19" x14ac:dyDescent="0.45">
      <c r="A28" s="7"/>
      <c r="B28" t="s">
        <v>169</v>
      </c>
      <c r="C28" s="20">
        <v>100</v>
      </c>
      <c r="D28"/>
      <c r="E28"/>
      <c r="F28"/>
      <c r="G28"/>
      <c r="K28"/>
    </row>
    <row r="29" spans="1:19" x14ac:dyDescent="0.45">
      <c r="A29" s="7"/>
      <c r="B29" t="s">
        <v>145</v>
      </c>
      <c r="C29" s="17">
        <v>0.05</v>
      </c>
      <c r="D29"/>
      <c r="E29" s="1" t="s">
        <v>180</v>
      </c>
      <c r="F29" s="1"/>
      <c r="G29" s="1"/>
      <c r="K29"/>
      <c r="L29"/>
      <c r="M29"/>
    </row>
    <row r="30" spans="1:19" x14ac:dyDescent="0.45">
      <c r="A30" s="7"/>
      <c r="B30" t="s">
        <v>172</v>
      </c>
      <c r="C30" s="17">
        <v>0.25</v>
      </c>
      <c r="D30"/>
      <c r="E30" t="s">
        <v>170</v>
      </c>
      <c r="G30" s="17">
        <v>0.5</v>
      </c>
      <c r="K30"/>
      <c r="L30"/>
      <c r="M30"/>
    </row>
    <row r="31" spans="1:19" x14ac:dyDescent="0.45">
      <c r="A31" s="7"/>
      <c r="B31" t="s">
        <v>3</v>
      </c>
      <c r="C31" s="126">
        <f>AVERAGE('Scenario assumptions'!E4:H4)</f>
        <v>0.27032117664001287</v>
      </c>
      <c r="D31"/>
      <c r="E31" t="s">
        <v>173</v>
      </c>
      <c r="G31" s="17">
        <v>0.5</v>
      </c>
      <c r="K31" s="32"/>
      <c r="L31" s="32"/>
      <c r="M31"/>
    </row>
    <row r="32" spans="1:19" x14ac:dyDescent="0.45">
      <c r="A32" s="7"/>
      <c r="E32" t="s">
        <v>181</v>
      </c>
      <c r="F32"/>
      <c r="G32" s="130">
        <v>6</v>
      </c>
      <c r="K32" s="32"/>
      <c r="L32" s="32"/>
      <c r="M32"/>
    </row>
    <row r="33" spans="1:13" x14ac:dyDescent="0.45">
      <c r="A33" s="7"/>
      <c r="F33" s="32"/>
      <c r="G33"/>
      <c r="H33"/>
      <c r="I33"/>
      <c r="J33" s="32"/>
      <c r="K33" s="32"/>
      <c r="L33" s="32"/>
      <c r="M33"/>
    </row>
    <row r="34" spans="1:13" x14ac:dyDescent="0.45">
      <c r="A34" s="7"/>
      <c r="F34"/>
      <c r="G34"/>
      <c r="H34"/>
      <c r="I34"/>
      <c r="J34" s="32"/>
      <c r="K34" s="32"/>
      <c r="L34" s="32"/>
      <c r="M34"/>
    </row>
    <row r="35" spans="1:13" ht="14.65" thickBot="1" x14ac:dyDescent="0.5">
      <c r="A35" s="7"/>
      <c r="D35" s="11">
        <v>2</v>
      </c>
      <c r="E35" s="11">
        <v>3</v>
      </c>
      <c r="F35" s="11">
        <v>4</v>
      </c>
      <c r="G35" s="11">
        <v>5</v>
      </c>
      <c r="H35" s="11">
        <v>6</v>
      </c>
      <c r="I35" s="11">
        <v>7</v>
      </c>
      <c r="J35" s="11">
        <v>8</v>
      </c>
      <c r="K35" s="11">
        <v>9</v>
      </c>
      <c r="L35" s="11">
        <v>10</v>
      </c>
      <c r="M35" s="11">
        <v>11</v>
      </c>
    </row>
    <row r="36" spans="1:13" ht="14.65" thickBot="1" x14ac:dyDescent="0.5">
      <c r="A36" s="7"/>
      <c r="C36"/>
      <c r="D36" s="36"/>
      <c r="E36" s="37" t="s">
        <v>56</v>
      </c>
      <c r="F36" s="38"/>
      <c r="G36" s="39"/>
      <c r="H36" s="40" t="s">
        <v>57</v>
      </c>
      <c r="I36" s="41"/>
      <c r="J36" s="42"/>
      <c r="K36" s="43" t="s">
        <v>58</v>
      </c>
      <c r="L36" s="44"/>
      <c r="M36" s="175"/>
    </row>
    <row r="37" spans="1:13" x14ac:dyDescent="0.45">
      <c r="A37" s="7"/>
      <c r="B37" s="1" t="s">
        <v>194</v>
      </c>
      <c r="C37" s="1"/>
      <c r="D37" s="8" t="s">
        <v>10</v>
      </c>
      <c r="E37" s="8" t="s">
        <v>11</v>
      </c>
      <c r="F37" s="8" t="s">
        <v>12</v>
      </c>
      <c r="G37" s="8" t="s">
        <v>13</v>
      </c>
      <c r="H37" s="8" t="s">
        <v>14</v>
      </c>
      <c r="I37" s="8" t="s">
        <v>15</v>
      </c>
      <c r="J37" s="8" t="s">
        <v>16</v>
      </c>
      <c r="K37" s="8" t="s">
        <v>26</v>
      </c>
      <c r="L37" s="8" t="s">
        <v>27</v>
      </c>
      <c r="M37" s="176" t="s">
        <v>28</v>
      </c>
    </row>
    <row r="38" spans="1:13" x14ac:dyDescent="0.45">
      <c r="A38" s="7"/>
      <c r="B38" t="s">
        <v>193</v>
      </c>
      <c r="C38" s="93"/>
      <c r="D38" s="121">
        <f>IFERROR(VLOOKUP($C$11,'Scenario assumptions'!$C$11:$M$14,D$35,FALSE),"-")</f>
        <v>1.2000000000000002</v>
      </c>
      <c r="E38" s="122">
        <f>IFERROR(VLOOKUP($C$11,'Scenario assumptions'!$C$11:$M$14,E$35,FALSE),"-")</f>
        <v>1.1000000000000001</v>
      </c>
      <c r="F38" s="123">
        <f>IFERROR(VLOOKUP($C$11,'Scenario assumptions'!$C$11:$M$14,F$35,FALSE),"-")</f>
        <v>1</v>
      </c>
      <c r="G38" s="121">
        <f>IFERROR(VLOOKUP($C$11,'Scenario assumptions'!$C$11:$M$14,G$35,FALSE),"-")</f>
        <v>0.9</v>
      </c>
      <c r="H38" s="122">
        <f>IFERROR(VLOOKUP($C$11,'Scenario assumptions'!$C$11:$M$14,H$35,FALSE),"-")</f>
        <v>0.7</v>
      </c>
      <c r="I38" s="123">
        <f>IFERROR(VLOOKUP($C$11,'Scenario assumptions'!$C$11:$M$14,I$35,FALSE),"-")</f>
        <v>0.5</v>
      </c>
      <c r="J38" s="121">
        <f>IFERROR(VLOOKUP($C$11,'Scenario assumptions'!$C$11:$M$14,J$35,FALSE),"-")</f>
        <v>0.4</v>
      </c>
      <c r="K38" s="122">
        <f>IFERROR(VLOOKUP($C$11,'Scenario assumptions'!$C$11:$M$14,K$35,FALSE),"-")</f>
        <v>0.30000000000000004</v>
      </c>
      <c r="L38" s="122">
        <f>IFERROR(VLOOKUP($C$11,'Scenario assumptions'!$C$11:$M$14,L$35,FALSE),"-")</f>
        <v>0.25</v>
      </c>
      <c r="M38" s="123">
        <f>IFERROR(VLOOKUP($C$11,'Scenario assumptions'!$C$11:$M$14,M$35,FALSE),"-")</f>
        <v>0.25</v>
      </c>
    </row>
    <row r="39" spans="1:13" x14ac:dyDescent="0.45">
      <c r="A39" s="7"/>
      <c r="B39" t="s">
        <v>209</v>
      </c>
      <c r="C39" s="93"/>
      <c r="D39" s="124">
        <v>0.05</v>
      </c>
      <c r="E39" s="124">
        <v>0.05</v>
      </c>
      <c r="F39" s="124">
        <v>0.05</v>
      </c>
      <c r="G39" s="124">
        <v>0.05</v>
      </c>
      <c r="H39" s="124">
        <v>0.05</v>
      </c>
      <c r="I39" s="124">
        <v>0.05</v>
      </c>
      <c r="J39" s="124">
        <v>0.05</v>
      </c>
      <c r="K39" s="124">
        <v>0.05</v>
      </c>
      <c r="L39" s="124">
        <v>0.05</v>
      </c>
      <c r="M39" s="177">
        <v>0.05</v>
      </c>
    </row>
    <row r="40" spans="1:13" x14ac:dyDescent="0.45">
      <c r="A40" s="7"/>
      <c r="C40" s="93"/>
      <c r="D40" s="93"/>
      <c r="E40" s="93"/>
      <c r="F40" s="93"/>
      <c r="G40" s="99"/>
      <c r="H40" s="99"/>
      <c r="I40" s="99"/>
      <c r="J40" s="99"/>
      <c r="K40" s="99"/>
      <c r="L40" s="99"/>
      <c r="M40" s="99"/>
    </row>
    <row r="41" spans="1:13" x14ac:dyDescent="0.45">
      <c r="A41" s="7"/>
      <c r="C41"/>
      <c r="D41"/>
      <c r="E41"/>
      <c r="F41"/>
      <c r="G41"/>
      <c r="H41"/>
      <c r="I41"/>
      <c r="J41"/>
      <c r="K41"/>
      <c r="L41"/>
      <c r="M41"/>
    </row>
    <row r="42" spans="1:13" s="97" customFormat="1" x14ac:dyDescent="0.45">
      <c r="A42" s="94"/>
      <c r="B42" s="95" t="s">
        <v>51</v>
      </c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</row>
    <row r="43" spans="1:13" s="4" customFormat="1" x14ac:dyDescent="0.45">
      <c r="A43"/>
      <c r="C43" s="9"/>
      <c r="D43" s="10"/>
      <c r="E43" s="10"/>
      <c r="F43" s="10"/>
      <c r="G43" s="10"/>
      <c r="H43" s="10"/>
      <c r="I43" s="10"/>
      <c r="J43" s="10"/>
      <c r="K43" s="10"/>
      <c r="L43" s="10"/>
      <c r="M43" s="10"/>
    </row>
    <row r="44" spans="1:13" x14ac:dyDescent="0.45">
      <c r="C44" s="11">
        <v>0</v>
      </c>
      <c r="D44" s="11">
        <v>1</v>
      </c>
      <c r="E44" s="11">
        <v>2</v>
      </c>
      <c r="F44" s="11">
        <v>3</v>
      </c>
      <c r="G44" s="11">
        <v>4</v>
      </c>
      <c r="H44" s="11">
        <v>5</v>
      </c>
      <c r="I44" s="11">
        <v>6</v>
      </c>
      <c r="J44" s="11">
        <v>7</v>
      </c>
      <c r="K44" s="11">
        <v>8</v>
      </c>
      <c r="L44" s="11">
        <v>9</v>
      </c>
      <c r="M44" s="11">
        <v>10</v>
      </c>
    </row>
    <row r="45" spans="1:13" s="4" customFormat="1" x14ac:dyDescent="0.45">
      <c r="A45"/>
      <c r="B45" s="1" t="s">
        <v>52</v>
      </c>
      <c r="C45" s="28" t="s">
        <v>24</v>
      </c>
      <c r="D45" s="8" t="s">
        <v>10</v>
      </c>
      <c r="E45" s="8" t="s">
        <v>11</v>
      </c>
      <c r="F45" s="8" t="s">
        <v>12</v>
      </c>
      <c r="G45" s="8" t="s">
        <v>13</v>
      </c>
      <c r="H45" s="8" t="s">
        <v>14</v>
      </c>
      <c r="I45" s="8" t="s">
        <v>15</v>
      </c>
      <c r="J45" s="8" t="s">
        <v>16</v>
      </c>
      <c r="K45" s="8" t="s">
        <v>26</v>
      </c>
      <c r="L45" s="8" t="s">
        <v>27</v>
      </c>
      <c r="M45" s="8" t="s">
        <v>28</v>
      </c>
    </row>
    <row r="46" spans="1:13" ht="15" customHeight="1" x14ac:dyDescent="0.45">
      <c r="B46" t="s">
        <v>25</v>
      </c>
      <c r="C46" s="146">
        <f>'Scenario assumptions'!D6</f>
        <v>175.392</v>
      </c>
      <c r="D46" s="13">
        <f>'Scenario assumptions'!E6</f>
        <v>431.99999999999994</v>
      </c>
      <c r="E46" s="13">
        <f>'Scenario assumptions'!F6</f>
        <v>548.51657142857141</v>
      </c>
      <c r="F46" s="13">
        <f>'Scenario assumptions'!G6</f>
        <v>724.27885714285719</v>
      </c>
      <c r="G46" s="13">
        <f>'Scenario assumptions'!H6</f>
        <v>959.28685714285723</v>
      </c>
      <c r="H46" s="13">
        <f t="shared" ref="H46:M46" si="0">G46*(1+$C$31)</f>
        <v>1218.6024091010142</v>
      </c>
      <c r="I46" s="13">
        <f t="shared" si="0"/>
        <v>1548.0164461855547</v>
      </c>
      <c r="J46" s="13">
        <f t="shared" si="0"/>
        <v>1966.4780733765251</v>
      </c>
      <c r="K46" s="13">
        <f t="shared" si="0"/>
        <v>2498.0587400084528</v>
      </c>
      <c r="L46" s="13">
        <f t="shared" si="0"/>
        <v>3173.336917923406</v>
      </c>
      <c r="M46" s="13">
        <f t="shared" si="0"/>
        <v>4031.1570874516528</v>
      </c>
    </row>
    <row r="47" spans="1:13" ht="15" customHeight="1" x14ac:dyDescent="0.45">
      <c r="B47" t="s">
        <v>60</v>
      </c>
      <c r="C47" s="26"/>
      <c r="D47" s="13">
        <f>$G$14*(1+D$38)</f>
        <v>165</v>
      </c>
      <c r="E47" s="13">
        <f t="shared" ref="E47:M47" si="1">D47*(1+E$38)</f>
        <v>346.5</v>
      </c>
      <c r="F47" s="13">
        <f t="shared" si="1"/>
        <v>693</v>
      </c>
      <c r="G47" s="13">
        <f t="shared" si="1"/>
        <v>1316.7</v>
      </c>
      <c r="H47" s="13">
        <f t="shared" si="1"/>
        <v>2238.39</v>
      </c>
      <c r="I47" s="13">
        <f t="shared" si="1"/>
        <v>3357.585</v>
      </c>
      <c r="J47" s="13">
        <f t="shared" si="1"/>
        <v>4700.6189999999997</v>
      </c>
      <c r="K47" s="13">
        <f t="shared" si="1"/>
        <v>6110.8046999999997</v>
      </c>
      <c r="L47" s="13">
        <f t="shared" si="1"/>
        <v>7638.5058749999998</v>
      </c>
      <c r="M47" s="13">
        <f t="shared" si="1"/>
        <v>9548.1323437499996</v>
      </c>
    </row>
    <row r="48" spans="1:13" ht="15" customHeight="1" x14ac:dyDescent="0.45">
      <c r="B48" t="s">
        <v>61</v>
      </c>
      <c r="C48" s="26"/>
      <c r="D48" s="13">
        <f>$G$14*(1+D$38)</f>
        <v>165</v>
      </c>
      <c r="E48" s="13">
        <f t="shared" ref="E48:M48" si="2">D48*(1+E$38)</f>
        <v>346.5</v>
      </c>
      <c r="F48" s="13">
        <f t="shared" si="2"/>
        <v>693</v>
      </c>
      <c r="G48" s="13">
        <f t="shared" si="2"/>
        <v>1316.7</v>
      </c>
      <c r="H48" s="13">
        <f t="shared" si="2"/>
        <v>2238.39</v>
      </c>
      <c r="I48" s="13">
        <f t="shared" si="2"/>
        <v>3357.585</v>
      </c>
      <c r="J48" s="13">
        <f t="shared" si="2"/>
        <v>4700.6189999999997</v>
      </c>
      <c r="K48" s="13">
        <f t="shared" si="2"/>
        <v>6110.8046999999997</v>
      </c>
      <c r="L48" s="13">
        <f t="shared" si="2"/>
        <v>7638.5058749999998</v>
      </c>
      <c r="M48" s="13">
        <f t="shared" si="2"/>
        <v>9548.1323437499996</v>
      </c>
    </row>
    <row r="49" spans="1:13" ht="15" customHeight="1" x14ac:dyDescent="0.45">
      <c r="B49" t="s">
        <v>62</v>
      </c>
      <c r="C49" s="26"/>
      <c r="D49" s="13"/>
      <c r="E49" s="13">
        <f>$G$14*(1+D$38)</f>
        <v>165</v>
      </c>
      <c r="F49" s="13">
        <f t="shared" ref="F49:M50" si="3">E49*(1+E$38)</f>
        <v>346.5</v>
      </c>
      <c r="G49" s="13">
        <f t="shared" si="3"/>
        <v>693</v>
      </c>
      <c r="H49" s="13">
        <f t="shared" si="3"/>
        <v>1316.7</v>
      </c>
      <c r="I49" s="13">
        <f t="shared" si="3"/>
        <v>2238.39</v>
      </c>
      <c r="J49" s="13">
        <f t="shared" si="3"/>
        <v>3357.585</v>
      </c>
      <c r="K49" s="13">
        <f t="shared" si="3"/>
        <v>4700.6189999999997</v>
      </c>
      <c r="L49" s="13">
        <f t="shared" si="3"/>
        <v>6110.8046999999997</v>
      </c>
      <c r="M49" s="13">
        <f t="shared" si="3"/>
        <v>7638.5058749999998</v>
      </c>
    </row>
    <row r="50" spans="1:13" ht="15" customHeight="1" x14ac:dyDescent="0.45">
      <c r="B50" t="s">
        <v>213</v>
      </c>
      <c r="C50" s="26"/>
      <c r="D50" s="13"/>
      <c r="E50" s="13">
        <f>$G$14*(1+D$38)</f>
        <v>165</v>
      </c>
      <c r="F50" s="13">
        <f t="shared" si="3"/>
        <v>346.5</v>
      </c>
      <c r="G50" s="13">
        <f t="shared" si="3"/>
        <v>693</v>
      </c>
      <c r="H50" s="13">
        <f t="shared" si="3"/>
        <v>1316.7</v>
      </c>
      <c r="I50" s="13">
        <f t="shared" si="3"/>
        <v>2238.39</v>
      </c>
      <c r="J50" s="13">
        <f t="shared" si="3"/>
        <v>3357.585</v>
      </c>
      <c r="K50" s="13">
        <f t="shared" si="3"/>
        <v>4700.6189999999997</v>
      </c>
      <c r="L50" s="13">
        <f t="shared" si="3"/>
        <v>6110.8046999999997</v>
      </c>
      <c r="M50" s="13">
        <f t="shared" si="3"/>
        <v>7638.5058749999998</v>
      </c>
    </row>
    <row r="51" spans="1:13" s="6" customFormat="1" x14ac:dyDescent="0.45">
      <c r="A51"/>
      <c r="B51" s="3" t="s">
        <v>29</v>
      </c>
      <c r="C51" s="27">
        <f>SUM(C46:C49)</f>
        <v>175.392</v>
      </c>
      <c r="D51" s="100">
        <f>SUM(D46:D50)</f>
        <v>762</v>
      </c>
      <c r="E51" s="100">
        <f t="shared" ref="E51:M51" si="4">SUM(E46:E50)</f>
        <v>1571.5165714285713</v>
      </c>
      <c r="F51" s="100">
        <f t="shared" si="4"/>
        <v>2803.2788571428573</v>
      </c>
      <c r="G51" s="100">
        <f t="shared" si="4"/>
        <v>4978.6868571428577</v>
      </c>
      <c r="H51" s="100">
        <f t="shared" si="4"/>
        <v>8328.7824091010134</v>
      </c>
      <c r="I51" s="100">
        <f t="shared" si="4"/>
        <v>12739.966446185554</v>
      </c>
      <c r="J51" s="100">
        <f t="shared" si="4"/>
        <v>18082.886073376521</v>
      </c>
      <c r="K51" s="100">
        <f t="shared" si="4"/>
        <v>24120.90614000845</v>
      </c>
      <c r="L51" s="100">
        <f t="shared" si="4"/>
        <v>30671.958067923406</v>
      </c>
      <c r="M51" s="100">
        <f t="shared" si="4"/>
        <v>38404.433524951652</v>
      </c>
    </row>
    <row r="52" spans="1:13" s="6" customFormat="1" x14ac:dyDescent="0.45">
      <c r="A52"/>
      <c r="B52" s="33"/>
      <c r="C52" s="31"/>
      <c r="D52" s="13"/>
      <c r="E52" s="13"/>
      <c r="F52" s="13"/>
      <c r="G52" s="13"/>
      <c r="H52" s="13"/>
      <c r="I52" s="13"/>
      <c r="J52" s="13"/>
      <c r="K52" s="13"/>
      <c r="L52" s="13"/>
      <c r="M52" s="13"/>
    </row>
    <row r="53" spans="1:13" x14ac:dyDescent="0.45">
      <c r="C53" s="26"/>
    </row>
    <row r="54" spans="1:13" x14ac:dyDescent="0.45">
      <c r="C54" s="103"/>
      <c r="D54" s="11">
        <v>1</v>
      </c>
      <c r="E54" s="11">
        <v>2</v>
      </c>
      <c r="F54" s="11">
        <v>3</v>
      </c>
      <c r="G54" s="11">
        <v>4</v>
      </c>
      <c r="H54" s="11">
        <v>5</v>
      </c>
      <c r="I54" s="11">
        <v>6</v>
      </c>
      <c r="J54" s="11">
        <v>7</v>
      </c>
      <c r="K54" s="11">
        <v>8</v>
      </c>
      <c r="L54" s="11">
        <v>9</v>
      </c>
      <c r="M54" s="11">
        <v>10</v>
      </c>
    </row>
    <row r="55" spans="1:13" s="4" customFormat="1" x14ac:dyDescent="0.45">
      <c r="A55"/>
      <c r="B55" s="1" t="s">
        <v>184</v>
      </c>
      <c r="C55" s="28" t="s">
        <v>24</v>
      </c>
      <c r="D55" s="8" t="s">
        <v>10</v>
      </c>
      <c r="E55" s="8" t="s">
        <v>11</v>
      </c>
      <c r="F55" s="8" t="s">
        <v>12</v>
      </c>
      <c r="G55" s="8" t="s">
        <v>13</v>
      </c>
      <c r="H55" s="8" t="s">
        <v>14</v>
      </c>
      <c r="I55" s="8" t="s">
        <v>15</v>
      </c>
      <c r="J55" s="8" t="s">
        <v>16</v>
      </c>
      <c r="K55" s="8" t="s">
        <v>26</v>
      </c>
      <c r="L55" s="8" t="s">
        <v>27</v>
      </c>
      <c r="M55" s="8" t="s">
        <v>28</v>
      </c>
    </row>
    <row r="56" spans="1:13" ht="15" customHeight="1" x14ac:dyDescent="0.45">
      <c r="B56" s="3" t="s">
        <v>20</v>
      </c>
      <c r="C56" s="27">
        <v>32.4</v>
      </c>
      <c r="D56" s="100">
        <f>D51*(Projections!$C$22*(1+Projections!$C$23)^C44)</f>
        <v>342.90000000000003</v>
      </c>
      <c r="E56" s="100">
        <f>E51*(Projections!$C$22*(1+Projections!$C$23)^D44)</f>
        <v>742.54157999999995</v>
      </c>
      <c r="F56" s="100">
        <f>F51*(Projections!$C$22*(1+Projections!$C$23)^E44)</f>
        <v>1390.7767230000002</v>
      </c>
      <c r="G56" s="100">
        <f>G51*(Projections!$C$22*(1+Projections!$C$23)^F44)</f>
        <v>2593.5535678500005</v>
      </c>
      <c r="H56" s="100">
        <f>H51*(Projections!$C$22*(1+Projections!$C$23)^G44)</f>
        <v>4555.6591829185527</v>
      </c>
      <c r="I56" s="100">
        <f>I51*(Projections!$C$22*(1+Projections!$C$23)^H44)</f>
        <v>7316.9029269608736</v>
      </c>
      <c r="J56" s="100">
        <f>J51*(Projections!$C$22*(1+Projections!$C$23)^I44)</f>
        <v>10904.758558582682</v>
      </c>
      <c r="K56" s="100">
        <f>K51*(Projections!$C$22*(1+Projections!$C$23)^J44)</f>
        <v>15273.241751005937</v>
      </c>
      <c r="L56" s="100">
        <f>L51*(Projections!$C$22*(1+Projections!$C$23)^K44)</f>
        <v>20392.403138605485</v>
      </c>
      <c r="M56" s="100">
        <f>M51*(Projections!$C$22*(1+Projections!$C$23)^L44)</f>
        <v>26810.046605667936</v>
      </c>
    </row>
    <row r="57" spans="1:13" ht="15" customHeight="1" x14ac:dyDescent="0.45">
      <c r="B57" s="14" t="s">
        <v>9</v>
      </c>
      <c r="C57" s="29">
        <f t="shared" ref="C57:J57" si="5">IF(C51&gt;0,C56/C51,0)</f>
        <v>0.18472906403940886</v>
      </c>
      <c r="D57" s="15">
        <f t="shared" si="5"/>
        <v>0.45000000000000007</v>
      </c>
      <c r="E57" s="15">
        <f t="shared" si="5"/>
        <v>0.47250000000000003</v>
      </c>
      <c r="F57" s="15">
        <f t="shared" si="5"/>
        <v>0.49612500000000004</v>
      </c>
      <c r="G57" s="15">
        <f t="shared" si="5"/>
        <v>0.52093125000000007</v>
      </c>
      <c r="H57" s="15">
        <f t="shared" si="5"/>
        <v>0.54697781249999999</v>
      </c>
      <c r="I57" s="15">
        <f t="shared" si="5"/>
        <v>0.57432670312500012</v>
      </c>
      <c r="J57" s="15">
        <f t="shared" si="5"/>
        <v>0.60304303828125005</v>
      </c>
      <c r="K57" s="15">
        <f t="shared" ref="K57:M57" si="6">IF(K51&gt;0,K56/K51,0)</f>
        <v>0.63319519019531267</v>
      </c>
      <c r="L57" s="15">
        <f t="shared" si="6"/>
        <v>0.66485494970507819</v>
      </c>
      <c r="M57" s="15">
        <f t="shared" si="6"/>
        <v>0.6980976971903321</v>
      </c>
    </row>
    <row r="58" spans="1:13" ht="15" customHeight="1" x14ac:dyDescent="0.45">
      <c r="B58" s="129" t="s">
        <v>174</v>
      </c>
      <c r="C58" s="29"/>
      <c r="D58" s="13">
        <f t="shared" ref="D58:M58" si="7">-D56*$C$30</f>
        <v>-85.725000000000009</v>
      </c>
      <c r="E58" s="13">
        <f t="shared" si="7"/>
        <v>-185.63539499999999</v>
      </c>
      <c r="F58" s="13">
        <f t="shared" si="7"/>
        <v>-347.69418075000004</v>
      </c>
      <c r="G58" s="13">
        <f t="shared" si="7"/>
        <v>-648.38839196250012</v>
      </c>
      <c r="H58" s="13">
        <f t="shared" si="7"/>
        <v>-1138.9147957296382</v>
      </c>
      <c r="I58" s="13">
        <f t="shared" si="7"/>
        <v>-1829.2257317402184</v>
      </c>
      <c r="J58" s="13">
        <f t="shared" si="7"/>
        <v>-2726.1896396456705</v>
      </c>
      <c r="K58" s="13">
        <f t="shared" si="7"/>
        <v>-3818.3104377514842</v>
      </c>
      <c r="L58" s="13">
        <f t="shared" si="7"/>
        <v>-5098.1007846513712</v>
      </c>
      <c r="M58" s="13">
        <f t="shared" si="7"/>
        <v>-6702.511651416984</v>
      </c>
    </row>
    <row r="59" spans="1:13" ht="15" customHeight="1" x14ac:dyDescent="0.45">
      <c r="B59" s="3" t="s">
        <v>179</v>
      </c>
      <c r="C59" s="27">
        <v>32.4</v>
      </c>
      <c r="D59" s="100">
        <f>D56+D58</f>
        <v>257.17500000000001</v>
      </c>
      <c r="E59" s="100">
        <f t="shared" ref="E59:M59" si="8">E56+E58</f>
        <v>556.90618499999994</v>
      </c>
      <c r="F59" s="100">
        <f t="shared" si="8"/>
        <v>1043.0825422500002</v>
      </c>
      <c r="G59" s="100">
        <f t="shared" si="8"/>
        <v>1945.1651758875005</v>
      </c>
      <c r="H59" s="100">
        <f t="shared" si="8"/>
        <v>3416.7443871889145</v>
      </c>
      <c r="I59" s="100">
        <f t="shared" si="8"/>
        <v>5487.6771952206554</v>
      </c>
      <c r="J59" s="100">
        <f t="shared" si="8"/>
        <v>8178.5689189370114</v>
      </c>
      <c r="K59" s="100">
        <f t="shared" si="8"/>
        <v>11454.931313254452</v>
      </c>
      <c r="L59" s="100">
        <f t="shared" si="8"/>
        <v>15294.302353954114</v>
      </c>
      <c r="M59" s="100">
        <f t="shared" si="8"/>
        <v>20107.53495425095</v>
      </c>
    </row>
    <row r="60" spans="1:13" ht="13.9" customHeight="1" x14ac:dyDescent="0.45">
      <c r="B60" s="33" t="s">
        <v>151</v>
      </c>
      <c r="C60" s="30"/>
      <c r="D60" s="13">
        <f t="shared" ref="D60:M60" si="9">-D51*$C$26</f>
        <v>-38.1</v>
      </c>
      <c r="E60" s="13">
        <f t="shared" si="9"/>
        <v>-78.575828571428573</v>
      </c>
      <c r="F60" s="13">
        <f t="shared" si="9"/>
        <v>-140.16394285714287</v>
      </c>
      <c r="G60" s="13">
        <f t="shared" si="9"/>
        <v>-248.93434285714289</v>
      </c>
      <c r="H60" s="13">
        <f t="shared" si="9"/>
        <v>-416.43912045505067</v>
      </c>
      <c r="I60" s="13">
        <f t="shared" si="9"/>
        <v>-636.99832230927768</v>
      </c>
      <c r="J60" s="13">
        <f t="shared" si="9"/>
        <v>-904.14430366882607</v>
      </c>
      <c r="K60" s="13">
        <f t="shared" si="9"/>
        <v>-1206.0453070004226</v>
      </c>
      <c r="L60" s="13">
        <f t="shared" si="9"/>
        <v>-1533.5979033961703</v>
      </c>
      <c r="M60" s="13">
        <f t="shared" si="9"/>
        <v>-1920.2216762475828</v>
      </c>
    </row>
    <row r="61" spans="1:13" x14ac:dyDescent="0.45">
      <c r="B61" t="s">
        <v>143</v>
      </c>
      <c r="C61" s="30"/>
      <c r="D61" s="13">
        <f t="shared" ref="D61:M61" si="10">D93</f>
        <v>-126.28224</v>
      </c>
      <c r="E61" s="13">
        <f t="shared" si="10"/>
        <v>-123.28224</v>
      </c>
      <c r="F61" s="13">
        <f t="shared" si="10"/>
        <v>-109.9658248793143</v>
      </c>
      <c r="G61" s="13">
        <f t="shared" si="10"/>
        <v>-94.976605927064369</v>
      </c>
      <c r="H61" s="13">
        <f t="shared" si="10"/>
        <v>-75.583380167456781</v>
      </c>
      <c r="I61" s="13">
        <f t="shared" si="10"/>
        <v>-47.160062041825825</v>
      </c>
      <c r="J61" s="13">
        <f t="shared" si="10"/>
        <v>-2.8914689513760048</v>
      </c>
      <c r="K61" s="13">
        <f t="shared" si="10"/>
        <v>0</v>
      </c>
      <c r="L61" s="13">
        <f t="shared" si="10"/>
        <v>0</v>
      </c>
      <c r="M61" s="13">
        <f t="shared" si="10"/>
        <v>0</v>
      </c>
    </row>
    <row r="62" spans="1:13" x14ac:dyDescent="0.45">
      <c r="B62" s="3" t="s">
        <v>30</v>
      </c>
      <c r="C62" s="27"/>
      <c r="D62" s="100">
        <f t="shared" ref="D62:M62" si="11">D56+D60+D61+D58</f>
        <v>92.792760000000001</v>
      </c>
      <c r="E62" s="100">
        <f t="shared" si="11"/>
        <v>355.04811642857135</v>
      </c>
      <c r="F62" s="100">
        <f t="shared" si="11"/>
        <v>792.95277451354286</v>
      </c>
      <c r="G62" s="100">
        <f t="shared" si="11"/>
        <v>1601.2542271032935</v>
      </c>
      <c r="H62" s="100">
        <f t="shared" si="11"/>
        <v>2924.7218865664076</v>
      </c>
      <c r="I62" s="100">
        <f t="shared" si="11"/>
        <v>4803.518810869552</v>
      </c>
      <c r="J62" s="100">
        <f t="shared" si="11"/>
        <v>7271.5331463168095</v>
      </c>
      <c r="K62" s="100">
        <f t="shared" si="11"/>
        <v>10248.88600625403</v>
      </c>
      <c r="L62" s="100">
        <f t="shared" si="11"/>
        <v>13760.704450557943</v>
      </c>
      <c r="M62" s="100">
        <f t="shared" si="11"/>
        <v>18187.31327800337</v>
      </c>
    </row>
    <row r="63" spans="1:13" x14ac:dyDescent="0.45">
      <c r="C63" s="31"/>
      <c r="D63" s="12"/>
      <c r="E63" s="12"/>
      <c r="F63" s="12"/>
      <c r="G63" s="12"/>
      <c r="H63" s="12"/>
      <c r="I63" s="12"/>
      <c r="J63" s="12"/>
      <c r="K63" s="12"/>
      <c r="L63" s="12"/>
      <c r="M63" s="12"/>
    </row>
    <row r="64" spans="1:13" x14ac:dyDescent="0.45">
      <c r="B64" t="s">
        <v>153</v>
      </c>
      <c r="C64" s="31"/>
      <c r="D64" s="13">
        <f>IF(D62&lt;0,0,D62*Projections!$C$27)</f>
        <v>18.558552000000002</v>
      </c>
      <c r="E64" s="13">
        <f>IF(E62&lt;0,0,E62*Projections!$C$27)</f>
        <v>71.00962328571427</v>
      </c>
      <c r="F64" s="13">
        <f>IF(F62&lt;0,0,F62*Projections!$C$27)</f>
        <v>158.59055490270859</v>
      </c>
      <c r="G64" s="13">
        <f>IF(G62&lt;0,0,G62*Projections!$C$27)</f>
        <v>320.25084542065872</v>
      </c>
      <c r="H64" s="13">
        <f>IF(H62&lt;0,0,H62*Projections!$C$27)</f>
        <v>584.94437731328151</v>
      </c>
      <c r="I64" s="13">
        <f>IF(I62&lt;0,0,I62*Projections!$C$27)</f>
        <v>960.70376217391049</v>
      </c>
      <c r="J64" s="13">
        <f>IF(J62&lt;0,0,J62*Projections!$C$27)</f>
        <v>1454.3066292633621</v>
      </c>
      <c r="K64" s="13">
        <f>IF(K62&lt;0,0,K62*Projections!$C$27)</f>
        <v>2049.7772012508062</v>
      </c>
      <c r="L64" s="13">
        <f>IF(L62&lt;0,0,L62*Projections!$C$27)</f>
        <v>2752.1408901115888</v>
      </c>
      <c r="M64" s="13">
        <f>IF(M62&lt;0,0,M62*Projections!$C$27)</f>
        <v>3637.4626556006742</v>
      </c>
    </row>
    <row r="65" spans="1:13" x14ac:dyDescent="0.45">
      <c r="B65" s="3" t="s">
        <v>79</v>
      </c>
      <c r="C65" s="27"/>
      <c r="D65" s="100">
        <f>D62-D64</f>
        <v>74.234207999999995</v>
      </c>
      <c r="E65" s="100">
        <f t="shared" ref="E65:M65" si="12">E62-E64</f>
        <v>284.03849314285708</v>
      </c>
      <c r="F65" s="100">
        <f t="shared" si="12"/>
        <v>634.36221961083425</v>
      </c>
      <c r="G65" s="100">
        <f t="shared" si="12"/>
        <v>1281.0033816826349</v>
      </c>
      <c r="H65" s="100">
        <f t="shared" si="12"/>
        <v>2339.777509253126</v>
      </c>
      <c r="I65" s="100">
        <f t="shared" si="12"/>
        <v>3842.8150486956415</v>
      </c>
      <c r="J65" s="100">
        <f t="shared" si="12"/>
        <v>5817.2265170534474</v>
      </c>
      <c r="K65" s="100">
        <f t="shared" si="12"/>
        <v>8199.1088050032231</v>
      </c>
      <c r="L65" s="100">
        <f t="shared" si="12"/>
        <v>11008.563560446355</v>
      </c>
      <c r="M65" s="100">
        <f t="shared" si="12"/>
        <v>14549.850622402697</v>
      </c>
    </row>
    <row r="66" spans="1:13" x14ac:dyDescent="0.45">
      <c r="A66" s="5"/>
      <c r="B66" s="6"/>
      <c r="C66" s="137"/>
      <c r="D66" s="138"/>
      <c r="E66" s="138"/>
      <c r="F66" s="138"/>
      <c r="G66" s="138"/>
      <c r="H66" s="138"/>
      <c r="I66" s="138"/>
      <c r="J66" s="138"/>
      <c r="K66" s="138"/>
      <c r="L66" s="138"/>
      <c r="M66" s="138"/>
    </row>
    <row r="67" spans="1:13" x14ac:dyDescent="0.45">
      <c r="C67" s="26"/>
      <c r="D67" s="12"/>
      <c r="E67" s="12"/>
      <c r="F67" s="12"/>
      <c r="G67" s="12"/>
      <c r="H67" s="12"/>
      <c r="I67" s="12"/>
      <c r="J67" s="12"/>
      <c r="K67" s="12"/>
      <c r="L67" s="12"/>
      <c r="M67" s="12"/>
    </row>
    <row r="68" spans="1:13" s="4" customFormat="1" x14ac:dyDescent="0.45">
      <c r="A68"/>
      <c r="B68" s="1" t="s">
        <v>185</v>
      </c>
      <c r="C68" s="28" t="s">
        <v>24</v>
      </c>
      <c r="D68" s="8" t="s">
        <v>10</v>
      </c>
      <c r="E68" s="8" t="s">
        <v>11</v>
      </c>
      <c r="F68" s="8" t="s">
        <v>12</v>
      </c>
      <c r="G68" s="8" t="s">
        <v>13</v>
      </c>
      <c r="H68" s="8" t="s">
        <v>14</v>
      </c>
      <c r="I68" s="8" t="s">
        <v>15</v>
      </c>
      <c r="J68" s="8" t="s">
        <v>16</v>
      </c>
      <c r="K68" s="8" t="s">
        <v>26</v>
      </c>
      <c r="L68" s="8" t="s">
        <v>27</v>
      </c>
      <c r="M68" s="8" t="s">
        <v>28</v>
      </c>
    </row>
    <row r="69" spans="1:13" s="4" customFormat="1" x14ac:dyDescent="0.45">
      <c r="A69"/>
      <c r="B69" s="6" t="s">
        <v>79</v>
      </c>
      <c r="C69" s="31"/>
      <c r="D69" s="13">
        <f t="shared" ref="D69:M69" si="13">D65</f>
        <v>74.234207999999995</v>
      </c>
      <c r="E69" s="13">
        <f t="shared" si="13"/>
        <v>284.03849314285708</v>
      </c>
      <c r="F69" s="13">
        <f t="shared" si="13"/>
        <v>634.36221961083425</v>
      </c>
      <c r="G69" s="13">
        <f t="shared" si="13"/>
        <v>1281.0033816826349</v>
      </c>
      <c r="H69" s="13">
        <f t="shared" si="13"/>
        <v>2339.777509253126</v>
      </c>
      <c r="I69" s="13">
        <f t="shared" si="13"/>
        <v>3842.8150486956415</v>
      </c>
      <c r="J69" s="13">
        <f t="shared" si="13"/>
        <v>5817.2265170534474</v>
      </c>
      <c r="K69" s="13">
        <f t="shared" si="13"/>
        <v>8199.1088050032231</v>
      </c>
      <c r="L69" s="13">
        <f t="shared" si="13"/>
        <v>11008.563560446355</v>
      </c>
      <c r="M69" s="13">
        <f t="shared" si="13"/>
        <v>14549.850622402697</v>
      </c>
    </row>
    <row r="70" spans="1:13" s="4" customFormat="1" x14ac:dyDescent="0.45">
      <c r="A70"/>
      <c r="B70" s="33" t="s">
        <v>152</v>
      </c>
      <c r="C70" s="31"/>
      <c r="D70" s="13">
        <f>-D60</f>
        <v>38.1</v>
      </c>
      <c r="E70" s="13">
        <f>-E60</f>
        <v>78.575828571428573</v>
      </c>
      <c r="F70" s="13">
        <f t="shared" ref="F70:M70" si="14">-F60</f>
        <v>140.16394285714287</v>
      </c>
      <c r="G70" s="13">
        <f t="shared" si="14"/>
        <v>248.93434285714289</v>
      </c>
      <c r="H70" s="13">
        <f t="shared" si="14"/>
        <v>416.43912045505067</v>
      </c>
      <c r="I70" s="13">
        <f t="shared" si="14"/>
        <v>636.99832230927768</v>
      </c>
      <c r="J70" s="13">
        <f t="shared" si="14"/>
        <v>904.14430366882607</v>
      </c>
      <c r="K70" s="13">
        <f t="shared" si="14"/>
        <v>1206.0453070004226</v>
      </c>
      <c r="L70" s="13">
        <f t="shared" si="14"/>
        <v>1533.5979033961703</v>
      </c>
      <c r="M70" s="13">
        <f t="shared" si="14"/>
        <v>1920.2216762475828</v>
      </c>
    </row>
    <row r="71" spans="1:13" ht="15" customHeight="1" x14ac:dyDescent="0.45">
      <c r="B71" t="s">
        <v>144</v>
      </c>
      <c r="C71" s="30"/>
      <c r="D71" s="13">
        <f>-D51*Projections!$C$24</f>
        <v>-38.1</v>
      </c>
      <c r="E71" s="13">
        <f>-E51*Projections!$C$24</f>
        <v>-78.575828571428573</v>
      </c>
      <c r="F71" s="13">
        <f>-F51*Projections!$C$24</f>
        <v>-140.16394285714287</v>
      </c>
      <c r="G71" s="13">
        <f>-G51*Projections!$C$24</f>
        <v>-248.93434285714289</v>
      </c>
      <c r="H71" s="13">
        <f>-H51*Projections!$C$24</f>
        <v>-416.43912045505067</v>
      </c>
      <c r="I71" s="13">
        <f>-I51*Projections!$C$24</f>
        <v>-636.99832230927768</v>
      </c>
      <c r="J71" s="13">
        <f>-J51*Projections!$C$24</f>
        <v>-904.14430366882607</v>
      </c>
      <c r="K71" s="13">
        <f>-K51*Projections!$C$24</f>
        <v>-1206.0453070004226</v>
      </c>
      <c r="L71" s="13">
        <f>-L51*Projections!$C$24</f>
        <v>-1533.5979033961703</v>
      </c>
      <c r="M71" s="13">
        <f>-M51*Projections!$C$24</f>
        <v>-1920.2216762475828</v>
      </c>
    </row>
    <row r="72" spans="1:13" ht="15" customHeight="1" x14ac:dyDescent="0.45">
      <c r="B72" t="s">
        <v>210</v>
      </c>
      <c r="C72" s="30"/>
      <c r="D72" s="13">
        <f t="shared" ref="D72:M72" si="15">-D39*D51</f>
        <v>-38.1</v>
      </c>
      <c r="E72" s="13">
        <f t="shared" si="15"/>
        <v>-78.575828571428573</v>
      </c>
      <c r="F72" s="13">
        <f t="shared" si="15"/>
        <v>-140.16394285714287</v>
      </c>
      <c r="G72" s="13">
        <f t="shared" si="15"/>
        <v>-248.93434285714289</v>
      </c>
      <c r="H72" s="13">
        <f t="shared" si="15"/>
        <v>-416.43912045505067</v>
      </c>
      <c r="I72" s="13">
        <f t="shared" si="15"/>
        <v>-636.99832230927768</v>
      </c>
      <c r="J72" s="13">
        <f t="shared" si="15"/>
        <v>-904.14430366882607</v>
      </c>
      <c r="K72" s="13">
        <f t="shared" si="15"/>
        <v>-1206.0453070004226</v>
      </c>
      <c r="L72" s="13">
        <f t="shared" si="15"/>
        <v>-1533.5979033961703</v>
      </c>
      <c r="M72" s="13">
        <f t="shared" si="15"/>
        <v>-1920.2216762475828</v>
      </c>
    </row>
    <row r="73" spans="1:13" ht="15" customHeight="1" x14ac:dyDescent="0.45">
      <c r="B73" t="s">
        <v>154</v>
      </c>
      <c r="C73" s="30"/>
      <c r="D73" s="13">
        <f>-(D124-C124)</f>
        <v>-29.330400000000001</v>
      </c>
      <c r="E73" s="13">
        <f t="shared" ref="D73:M73" si="16">-(E124-D124)</f>
        <v>-40.475828571428572</v>
      </c>
      <c r="F73" s="13">
        <f t="shared" si="16"/>
        <v>-61.588114285714298</v>
      </c>
      <c r="G73" s="13">
        <f t="shared" si="16"/>
        <v>-108.77040000000002</v>
      </c>
      <c r="H73" s="13">
        <f t="shared" si="16"/>
        <v>-167.50477759790778</v>
      </c>
      <c r="I73" s="13">
        <f t="shared" si="16"/>
        <v>-220.55920185422701</v>
      </c>
      <c r="J73" s="13">
        <f t="shared" si="16"/>
        <v>-267.14598135954839</v>
      </c>
      <c r="K73" s="13">
        <f t="shared" si="16"/>
        <v>-301.90100333159648</v>
      </c>
      <c r="L73" s="13">
        <f t="shared" si="16"/>
        <v>-327.55259639574774</v>
      </c>
      <c r="M73" s="13">
        <f t="shared" si="16"/>
        <v>-386.62377285141247</v>
      </c>
    </row>
    <row r="74" spans="1:13" ht="15" customHeight="1" x14ac:dyDescent="0.45">
      <c r="B74" s="3" t="s">
        <v>185</v>
      </c>
      <c r="C74" s="27"/>
      <c r="D74" s="100">
        <f>D69+D70+D71+D73+D72</f>
        <v>6.8038079999999965</v>
      </c>
      <c r="E74" s="100">
        <f>E69+E70+E71+E73+E72</f>
        <v>164.98683599999993</v>
      </c>
      <c r="F74" s="100">
        <f>F69+F70+F71+F73+F72</f>
        <v>432.61016246797715</v>
      </c>
      <c r="G74" s="100">
        <f>G69+G70+G71+G73+G72</f>
        <v>923.29863882549193</v>
      </c>
      <c r="H74" s="100">
        <f t="shared" ref="H74:M74" si="17">H69+H70+H71+H73+H72</f>
        <v>1755.8336112001675</v>
      </c>
      <c r="I74" s="100">
        <f t="shared" si="17"/>
        <v>2985.2575245321364</v>
      </c>
      <c r="J74" s="100">
        <f t="shared" si="17"/>
        <v>4645.936232025073</v>
      </c>
      <c r="K74" s="100">
        <f t="shared" si="17"/>
        <v>6691.1624946712045</v>
      </c>
      <c r="L74" s="100">
        <f t="shared" si="17"/>
        <v>9147.4130606544368</v>
      </c>
      <c r="M74" s="100">
        <f t="shared" si="17"/>
        <v>12243.0051733037</v>
      </c>
    </row>
    <row r="75" spans="1:13" s="6" customFormat="1" x14ac:dyDescent="0.45">
      <c r="A75"/>
      <c r="C75" s="30"/>
    </row>
    <row r="76" spans="1:13" s="6" customFormat="1" x14ac:dyDescent="0.45">
      <c r="A76"/>
      <c r="C76" s="30"/>
    </row>
    <row r="77" spans="1:13" s="6" customFormat="1" x14ac:dyDescent="0.45">
      <c r="A77"/>
      <c r="C77" s="30"/>
      <c r="D77" s="11">
        <v>1</v>
      </c>
      <c r="E77" s="11">
        <v>2</v>
      </c>
      <c r="F77" s="11">
        <v>3</v>
      </c>
      <c r="G77" s="11">
        <v>4</v>
      </c>
      <c r="H77" s="11">
        <v>5</v>
      </c>
      <c r="I77" s="11">
        <v>6</v>
      </c>
      <c r="J77" s="11">
        <v>7</v>
      </c>
      <c r="K77" s="11">
        <v>8</v>
      </c>
      <c r="L77" s="11">
        <v>9</v>
      </c>
      <c r="M77" s="11">
        <v>10</v>
      </c>
    </row>
    <row r="78" spans="1:13" s="4" customFormat="1" x14ac:dyDescent="0.45">
      <c r="A78"/>
      <c r="B78" s="1" t="s">
        <v>155</v>
      </c>
      <c r="C78" s="28" t="s">
        <v>24</v>
      </c>
      <c r="D78" s="8" t="s">
        <v>10</v>
      </c>
      <c r="E78" s="8" t="s">
        <v>11</v>
      </c>
      <c r="F78" s="8" t="s">
        <v>12</v>
      </c>
      <c r="G78" s="8" t="s">
        <v>13</v>
      </c>
      <c r="H78" s="8" t="s">
        <v>14</v>
      </c>
      <c r="I78" s="8" t="s">
        <v>15</v>
      </c>
      <c r="J78" s="8" t="s">
        <v>16</v>
      </c>
      <c r="K78" s="8" t="s">
        <v>26</v>
      </c>
      <c r="L78" s="8" t="s">
        <v>27</v>
      </c>
      <c r="M78" s="8" t="s">
        <v>28</v>
      </c>
    </row>
    <row r="79" spans="1:13" x14ac:dyDescent="0.45">
      <c r="B79" t="s">
        <v>156</v>
      </c>
      <c r="C79" s="26"/>
      <c r="D79" s="13">
        <f>L18</f>
        <v>2104.7040000000002</v>
      </c>
      <c r="E79" s="13" t="s">
        <v>91</v>
      </c>
      <c r="F79" s="13" t="s">
        <v>91</v>
      </c>
      <c r="G79" s="13" t="s">
        <v>91</v>
      </c>
      <c r="H79" s="13" t="s">
        <v>91</v>
      </c>
      <c r="I79" s="13" t="s">
        <v>91</v>
      </c>
      <c r="J79" s="13" t="s">
        <v>91</v>
      </c>
      <c r="K79" s="13" t="s">
        <v>91</v>
      </c>
      <c r="L79" s="13" t="s">
        <v>91</v>
      </c>
      <c r="M79" s="13" t="s">
        <v>91</v>
      </c>
    </row>
    <row r="80" spans="1:13" x14ac:dyDescent="0.45">
      <c r="B80" t="s">
        <v>158</v>
      </c>
      <c r="C80" s="26"/>
      <c r="D80" s="13">
        <f>L19</f>
        <v>1043.5823999999998</v>
      </c>
      <c r="E80" s="13" t="s">
        <v>91</v>
      </c>
      <c r="F80" s="13" t="s">
        <v>91</v>
      </c>
      <c r="G80" s="13" t="s">
        <v>91</v>
      </c>
      <c r="H80" s="13" t="s">
        <v>91</v>
      </c>
      <c r="I80" s="13" t="s">
        <v>91</v>
      </c>
      <c r="J80" s="13" t="s">
        <v>91</v>
      </c>
      <c r="K80" s="13" t="s">
        <v>91</v>
      </c>
      <c r="L80" s="13" t="s">
        <v>91</v>
      </c>
      <c r="M80" s="13" t="s">
        <v>91</v>
      </c>
    </row>
    <row r="81" spans="1:13" x14ac:dyDescent="0.45">
      <c r="B81" t="s">
        <v>160</v>
      </c>
      <c r="C81" s="26"/>
      <c r="D81" s="13">
        <f>-$G$17*2</f>
        <v>-750</v>
      </c>
      <c r="E81" s="13">
        <f>-450*2</f>
        <v>-900</v>
      </c>
      <c r="F81" s="13" t="s">
        <v>91</v>
      </c>
      <c r="G81" s="13" t="s">
        <v>91</v>
      </c>
      <c r="H81" s="13" t="s">
        <v>91</v>
      </c>
      <c r="I81" s="13" t="s">
        <v>91</v>
      </c>
      <c r="J81" s="13" t="s">
        <v>91</v>
      </c>
      <c r="K81" s="13" t="s">
        <v>91</v>
      </c>
      <c r="L81" s="13" t="s">
        <v>91</v>
      </c>
      <c r="M81" s="13" t="s">
        <v>91</v>
      </c>
    </row>
    <row r="82" spans="1:13" x14ac:dyDescent="0.45">
      <c r="B82" t="s">
        <v>186</v>
      </c>
      <c r="C82" s="26"/>
      <c r="D82" s="13">
        <f>D74</f>
        <v>6.8038079999999965</v>
      </c>
      <c r="E82" s="13">
        <f>E74</f>
        <v>164.98683599999993</v>
      </c>
      <c r="F82" s="13">
        <f t="shared" ref="F82:M82" si="18">F74</f>
        <v>432.61016246797715</v>
      </c>
      <c r="G82" s="13">
        <f t="shared" si="18"/>
        <v>923.29863882549193</v>
      </c>
      <c r="H82" s="13">
        <f t="shared" si="18"/>
        <v>1755.8336112001675</v>
      </c>
      <c r="I82" s="13">
        <f t="shared" si="18"/>
        <v>2985.2575245321364</v>
      </c>
      <c r="J82" s="13">
        <f t="shared" si="18"/>
        <v>4645.936232025073</v>
      </c>
      <c r="K82" s="13">
        <f t="shared" si="18"/>
        <v>6691.1624946712045</v>
      </c>
      <c r="L82" s="13">
        <f t="shared" si="18"/>
        <v>9147.4130606544368</v>
      </c>
      <c r="M82" s="13">
        <f t="shared" si="18"/>
        <v>12243.0051733037</v>
      </c>
    </row>
    <row r="83" spans="1:13" x14ac:dyDescent="0.45">
      <c r="B83" t="s">
        <v>162</v>
      </c>
      <c r="C83" s="26"/>
      <c r="D83" s="13">
        <f>C28</f>
        <v>100</v>
      </c>
      <c r="E83" s="13">
        <f t="shared" ref="E83:M83" si="19">(D84*(1+$C$29)+D95+D94)</f>
        <v>2580.3447184000001</v>
      </c>
      <c r="F83" s="13">
        <f t="shared" si="19"/>
        <v>1715.6578801085716</v>
      </c>
      <c r="G83" s="13">
        <f t="shared" si="19"/>
        <v>2005.8611288345442</v>
      </c>
      <c r="H83" s="13">
        <f t="shared" si="19"/>
        <v>2752.3973267162446</v>
      </c>
      <c r="I83" s="13">
        <f t="shared" si="19"/>
        <v>4259.9205160517176</v>
      </c>
      <c r="J83" s="13">
        <f t="shared" si="19"/>
        <v>6869.6270577722171</v>
      </c>
      <c r="K83" s="13">
        <f t="shared" si="19"/>
        <v>12043.150305097553</v>
      </c>
      <c r="L83" s="13">
        <f t="shared" si="19"/>
        <v>19671.028439757196</v>
      </c>
      <c r="M83" s="13">
        <f t="shared" si="19"/>
        <v>30259.363575432213</v>
      </c>
    </row>
    <row r="84" spans="1:13" x14ac:dyDescent="0.45">
      <c r="B84" s="3" t="s">
        <v>141</v>
      </c>
      <c r="C84" s="27"/>
      <c r="D84" s="100">
        <f t="shared" ref="D84:M84" si="20">SUM(D79:D83)</f>
        <v>2505.0902080000001</v>
      </c>
      <c r="E84" s="100">
        <f>SUM(E79:E83)</f>
        <v>1845.3315544000002</v>
      </c>
      <c r="F84" s="100">
        <f>SUM(F79:F83)</f>
        <v>2148.2680425765489</v>
      </c>
      <c r="G84" s="100">
        <f t="shared" si="20"/>
        <v>2929.1597676600359</v>
      </c>
      <c r="H84" s="100">
        <f t="shared" si="20"/>
        <v>4508.2309379164126</v>
      </c>
      <c r="I84" s="100">
        <f t="shared" si="20"/>
        <v>7245.1780405838545</v>
      </c>
      <c r="J84" s="100">
        <f t="shared" si="20"/>
        <v>11515.56328979729</v>
      </c>
      <c r="K84" s="100">
        <f t="shared" si="20"/>
        <v>18734.312799768759</v>
      </c>
      <c r="L84" s="100">
        <f t="shared" si="20"/>
        <v>28818.441500411631</v>
      </c>
      <c r="M84" s="100">
        <f t="shared" si="20"/>
        <v>42502.368748735913</v>
      </c>
    </row>
    <row r="85" spans="1:13" s="6" customFormat="1" x14ac:dyDescent="0.45">
      <c r="A85"/>
      <c r="B85" t="s">
        <v>178</v>
      </c>
      <c r="C85" s="30"/>
      <c r="D85" s="13">
        <f t="shared" ref="D85:M85" si="21">-(D93+D94)*$G$30</f>
        <v>88.141120000000001</v>
      </c>
      <c r="E85" s="13">
        <f t="shared" si="21"/>
        <v>86.641120000000001</v>
      </c>
      <c r="F85" s="13">
        <f t="shared" si="21"/>
        <v>79.982912439657156</v>
      </c>
      <c r="G85" s="13">
        <f t="shared" si="21"/>
        <v>72.488302963532192</v>
      </c>
      <c r="H85" s="13">
        <f t="shared" si="21"/>
        <v>62.79169008372839</v>
      </c>
      <c r="I85" s="13">
        <f t="shared" si="21"/>
        <v>48.580031020912912</v>
      </c>
      <c r="J85" s="13">
        <f t="shared" si="21"/>
        <v>25.541309070488044</v>
      </c>
      <c r="K85" s="13">
        <f t="shared" si="21"/>
        <v>0</v>
      </c>
      <c r="L85" s="13">
        <f t="shared" si="21"/>
        <v>0</v>
      </c>
      <c r="M85" s="13">
        <f t="shared" si="21"/>
        <v>0</v>
      </c>
    </row>
    <row r="86" spans="1:13" s="6" customFormat="1" x14ac:dyDescent="0.45">
      <c r="A86"/>
      <c r="B86" t="s">
        <v>173</v>
      </c>
      <c r="C86" s="30"/>
      <c r="D86" s="13">
        <f t="shared" ref="D86:M86" si="22">D124*$G$31</f>
        <v>19.05</v>
      </c>
      <c r="E86" s="13">
        <f t="shared" si="22"/>
        <v>39.287914285714287</v>
      </c>
      <c r="F86" s="13">
        <f t="shared" si="22"/>
        <v>70.081971428571435</v>
      </c>
      <c r="G86" s="13">
        <f t="shared" si="22"/>
        <v>124.46717142857145</v>
      </c>
      <c r="H86" s="13">
        <f t="shared" si="22"/>
        <v>208.21956022752533</v>
      </c>
      <c r="I86" s="13">
        <f t="shared" si="22"/>
        <v>318.49916115463884</v>
      </c>
      <c r="J86" s="13">
        <f t="shared" si="22"/>
        <v>452.07215183441303</v>
      </c>
      <c r="K86" s="13">
        <f t="shared" si="22"/>
        <v>603.02265350021128</v>
      </c>
      <c r="L86" s="13">
        <f t="shared" si="22"/>
        <v>766.79895169808515</v>
      </c>
      <c r="M86" s="13">
        <f t="shared" si="22"/>
        <v>960.11083812379138</v>
      </c>
    </row>
    <row r="87" spans="1:13" s="6" customFormat="1" x14ac:dyDescent="0.45">
      <c r="A87"/>
      <c r="B87" s="3" t="s">
        <v>171</v>
      </c>
      <c r="C87" s="27"/>
      <c r="D87" s="100">
        <f>D84-D85-D86</f>
        <v>2397.8990880000001</v>
      </c>
      <c r="E87" s="100">
        <f t="shared" ref="E87:M87" si="23">E84-E85-E86</f>
        <v>1719.4025201142858</v>
      </c>
      <c r="F87" s="100">
        <f t="shared" si="23"/>
        <v>1998.2031587083204</v>
      </c>
      <c r="G87" s="100">
        <f t="shared" si="23"/>
        <v>2732.2042932679324</v>
      </c>
      <c r="H87" s="100">
        <f t="shared" si="23"/>
        <v>4237.2196876051594</v>
      </c>
      <c r="I87" s="100">
        <f>I84-I85-I86</f>
        <v>6878.0988484083027</v>
      </c>
      <c r="J87" s="100">
        <f t="shared" si="23"/>
        <v>11037.94982889239</v>
      </c>
      <c r="K87" s="100">
        <f t="shared" si="23"/>
        <v>18131.290146268548</v>
      </c>
      <c r="L87" s="100">
        <f t="shared" si="23"/>
        <v>28051.642548713546</v>
      </c>
      <c r="M87" s="100">
        <f t="shared" si="23"/>
        <v>41542.257910612119</v>
      </c>
    </row>
    <row r="88" spans="1:13" s="6" customFormat="1" x14ac:dyDescent="0.45">
      <c r="A88"/>
      <c r="B88" s="33" t="s">
        <v>176</v>
      </c>
      <c r="C88" s="31"/>
      <c r="D88" s="7" t="b">
        <f>IF(D84&lt;=SUM(D85:D86),FALSE,TRUE)</f>
        <v>1</v>
      </c>
      <c r="E88" s="7" t="b">
        <f t="shared" ref="E88:M88" si="24">IF(E84&lt;=SUM(E85:E86),FALSE,TRUE)</f>
        <v>1</v>
      </c>
      <c r="F88" s="7" t="b">
        <f t="shared" si="24"/>
        <v>1</v>
      </c>
      <c r="G88" s="7" t="b">
        <f t="shared" si="24"/>
        <v>1</v>
      </c>
      <c r="H88" s="7" t="b">
        <f t="shared" si="24"/>
        <v>1</v>
      </c>
      <c r="I88" s="7" t="b">
        <f t="shared" si="24"/>
        <v>1</v>
      </c>
      <c r="J88" s="7" t="b">
        <f t="shared" si="24"/>
        <v>1</v>
      </c>
      <c r="K88" s="7" t="b">
        <f t="shared" si="24"/>
        <v>1</v>
      </c>
      <c r="L88" s="7" t="b">
        <f t="shared" si="24"/>
        <v>1</v>
      </c>
      <c r="M88" s="7" t="b">
        <f t="shared" si="24"/>
        <v>1</v>
      </c>
    </row>
    <row r="89" spans="1:13" s="6" customFormat="1" x14ac:dyDescent="0.45">
      <c r="A89"/>
      <c r="C89" s="30"/>
    </row>
    <row r="90" spans="1:13" s="6" customFormat="1" x14ac:dyDescent="0.45">
      <c r="A90"/>
      <c r="C90" s="30"/>
      <c r="D90" s="11">
        <v>1</v>
      </c>
      <c r="E90" s="11">
        <v>2</v>
      </c>
      <c r="F90" s="11">
        <v>3</v>
      </c>
      <c r="G90" s="11">
        <v>4</v>
      </c>
      <c r="H90" s="11">
        <v>5</v>
      </c>
      <c r="I90" s="11">
        <v>6</v>
      </c>
      <c r="J90" s="11">
        <v>7</v>
      </c>
      <c r="K90" s="11">
        <v>8</v>
      </c>
      <c r="L90" s="11">
        <v>9</v>
      </c>
      <c r="M90" s="11">
        <v>10</v>
      </c>
    </row>
    <row r="91" spans="1:13" s="4" customFormat="1" x14ac:dyDescent="0.45">
      <c r="A91"/>
      <c r="B91" s="1" t="s">
        <v>63</v>
      </c>
      <c r="C91" s="28" t="s">
        <v>24</v>
      </c>
      <c r="D91" s="8" t="s">
        <v>10</v>
      </c>
      <c r="E91" s="8" t="s">
        <v>11</v>
      </c>
      <c r="F91" s="8" t="s">
        <v>12</v>
      </c>
      <c r="G91" s="8" t="s">
        <v>13</v>
      </c>
      <c r="H91" s="8" t="s">
        <v>14</v>
      </c>
      <c r="I91" s="8" t="s">
        <v>15</v>
      </c>
      <c r="J91" s="8" t="s">
        <v>16</v>
      </c>
      <c r="K91" s="8" t="s">
        <v>26</v>
      </c>
      <c r="L91" s="8" t="s">
        <v>27</v>
      </c>
      <c r="M91" s="8" t="s">
        <v>28</v>
      </c>
    </row>
    <row r="92" spans="1:13" x14ac:dyDescent="0.45">
      <c r="B92" t="s">
        <v>146</v>
      </c>
      <c r="C92" s="26"/>
      <c r="D92" s="13">
        <f>L18</f>
        <v>2104.7040000000002</v>
      </c>
      <c r="E92" s="13">
        <f t="shared" ref="E92:M92" si="25">D96</f>
        <v>2054.7040000000002</v>
      </c>
      <c r="F92" s="13">
        <f t="shared" si="25"/>
        <v>1832.7637479885716</v>
      </c>
      <c r="G92" s="13">
        <f t="shared" si="25"/>
        <v>1582.9434321177396</v>
      </c>
      <c r="H92" s="13">
        <f t="shared" si="25"/>
        <v>1259.7230027909463</v>
      </c>
      <c r="I92" s="13">
        <f t="shared" si="25"/>
        <v>786.00103403043045</v>
      </c>
      <c r="J92" s="13">
        <f t="shared" si="25"/>
        <v>48.191149189600083</v>
      </c>
      <c r="K92" s="13">
        <f t="shared" si="25"/>
        <v>0</v>
      </c>
      <c r="L92" s="13">
        <f t="shared" si="25"/>
        <v>0</v>
      </c>
      <c r="M92" s="13">
        <f t="shared" si="25"/>
        <v>0</v>
      </c>
    </row>
    <row r="93" spans="1:13" x14ac:dyDescent="0.45">
      <c r="B93" t="s">
        <v>161</v>
      </c>
      <c r="C93" s="26"/>
      <c r="D93" s="13">
        <f t="shared" ref="D93:M93" si="26">-D92*$M$18</f>
        <v>-126.28224</v>
      </c>
      <c r="E93" s="13">
        <f t="shared" si="26"/>
        <v>-123.28224</v>
      </c>
      <c r="F93" s="13">
        <f t="shared" si="26"/>
        <v>-109.9658248793143</v>
      </c>
      <c r="G93" s="13">
        <f t="shared" si="26"/>
        <v>-94.976605927064369</v>
      </c>
      <c r="H93" s="13">
        <f t="shared" si="26"/>
        <v>-75.583380167456781</v>
      </c>
      <c r="I93" s="13">
        <f t="shared" si="26"/>
        <v>-47.160062041825825</v>
      </c>
      <c r="J93" s="13">
        <f t="shared" si="26"/>
        <v>-2.8914689513760048</v>
      </c>
      <c r="K93" s="13">
        <f t="shared" si="26"/>
        <v>0</v>
      </c>
      <c r="L93" s="13">
        <f t="shared" si="26"/>
        <v>0</v>
      </c>
      <c r="M93" s="13">
        <f t="shared" si="26"/>
        <v>0</v>
      </c>
    </row>
    <row r="94" spans="1:13" x14ac:dyDescent="0.45">
      <c r="B94" t="s">
        <v>167</v>
      </c>
      <c r="C94" s="26"/>
      <c r="D94" s="13">
        <f t="shared" ref="D94:M94" si="27">IF(D92&lt;=0,0,-MIN($G$21,D92))</f>
        <v>-50</v>
      </c>
      <c r="E94" s="13">
        <f t="shared" si="27"/>
        <v>-50</v>
      </c>
      <c r="F94" s="13">
        <f t="shared" si="27"/>
        <v>-50</v>
      </c>
      <c r="G94" s="13">
        <f t="shared" si="27"/>
        <v>-50</v>
      </c>
      <c r="H94" s="13">
        <f t="shared" si="27"/>
        <v>-50</v>
      </c>
      <c r="I94" s="13">
        <f t="shared" si="27"/>
        <v>-50</v>
      </c>
      <c r="J94" s="13">
        <f t="shared" si="27"/>
        <v>-48.191149189600083</v>
      </c>
      <c r="K94" s="13">
        <f t="shared" si="27"/>
        <v>0</v>
      </c>
      <c r="L94" s="13">
        <f t="shared" si="27"/>
        <v>0</v>
      </c>
      <c r="M94" s="13">
        <f t="shared" si="27"/>
        <v>0</v>
      </c>
    </row>
    <row r="95" spans="1:13" x14ac:dyDescent="0.45">
      <c r="B95" t="s">
        <v>142</v>
      </c>
      <c r="C95" s="26"/>
      <c r="D95" s="13">
        <v>0</v>
      </c>
      <c r="E95" s="13">
        <f t="shared" ref="E95:M95" si="28">IF(OR(E92+E94=0,E87&lt;=0),0,-MIN(E92+E94,E87*$G$22))</f>
        <v>-171.94025201142858</v>
      </c>
      <c r="F95" s="13">
        <f t="shared" si="28"/>
        <v>-199.82031587083205</v>
      </c>
      <c r="G95" s="13">
        <f t="shared" si="28"/>
        <v>-273.22042932679324</v>
      </c>
      <c r="H95" s="13">
        <f t="shared" si="28"/>
        <v>-423.72196876051595</v>
      </c>
      <c r="I95" s="13">
        <f t="shared" si="28"/>
        <v>-687.80988484083036</v>
      </c>
      <c r="J95" s="13">
        <f t="shared" si="28"/>
        <v>0</v>
      </c>
      <c r="K95" s="13">
        <f t="shared" si="28"/>
        <v>0</v>
      </c>
      <c r="L95" s="13">
        <f t="shared" si="28"/>
        <v>0</v>
      </c>
      <c r="M95" s="13">
        <f t="shared" si="28"/>
        <v>0</v>
      </c>
    </row>
    <row r="96" spans="1:13" x14ac:dyDescent="0.45">
      <c r="B96" t="s">
        <v>147</v>
      </c>
      <c r="C96" s="26"/>
      <c r="D96" s="13">
        <f>IF(D92+D95+D94&lt;=0,0,D92+D95+D94)</f>
        <v>2054.7040000000002</v>
      </c>
      <c r="E96" s="13">
        <f t="shared" ref="E96:M96" si="29">IF(E92+E95+E94&lt;=0,0,E92+E95+E94)</f>
        <v>1832.7637479885716</v>
      </c>
      <c r="F96" s="13">
        <f t="shared" si="29"/>
        <v>1582.9434321177396</v>
      </c>
      <c r="G96" s="13">
        <f t="shared" si="29"/>
        <v>1259.7230027909463</v>
      </c>
      <c r="H96" s="13">
        <f t="shared" si="29"/>
        <v>786.00103403043045</v>
      </c>
      <c r="I96" s="13">
        <f t="shared" si="29"/>
        <v>48.191149189600083</v>
      </c>
      <c r="J96" s="13">
        <f t="shared" si="29"/>
        <v>0</v>
      </c>
      <c r="K96" s="13">
        <f t="shared" si="29"/>
        <v>0</v>
      </c>
      <c r="L96" s="13">
        <f t="shared" si="29"/>
        <v>0</v>
      </c>
      <c r="M96" s="13">
        <f t="shared" si="29"/>
        <v>0</v>
      </c>
    </row>
    <row r="97" spans="2:13" x14ac:dyDescent="0.45">
      <c r="C97"/>
      <c r="D97"/>
      <c r="E97" s="12"/>
      <c r="F97" s="12"/>
      <c r="G97" s="12"/>
      <c r="H97" s="12"/>
      <c r="I97" s="12"/>
      <c r="J97" s="12"/>
      <c r="K97" s="12"/>
      <c r="L97" s="12"/>
      <c r="M97" s="12"/>
    </row>
    <row r="98" spans="2:13" x14ac:dyDescent="0.45">
      <c r="C98"/>
      <c r="D98"/>
      <c r="E98"/>
      <c r="F98"/>
      <c r="G98"/>
      <c r="H98"/>
      <c r="I98"/>
      <c r="J98"/>
      <c r="K98"/>
      <c r="L98"/>
      <c r="M98"/>
    </row>
    <row r="99" spans="2:13" x14ac:dyDescent="0.45">
      <c r="B99" s="1" t="s">
        <v>148</v>
      </c>
      <c r="C99" s="28"/>
      <c r="D99" s="8"/>
      <c r="E99" s="8"/>
      <c r="F99" s="8"/>
      <c r="G99" s="8"/>
      <c r="H99" s="8"/>
      <c r="I99" s="8"/>
      <c r="J99" s="8"/>
      <c r="K99" s="8"/>
      <c r="L99" s="8"/>
      <c r="M99" s="8" t="str">
        <f>"Exit Year= "&amp;G26</f>
        <v>Exit Year= 5</v>
      </c>
    </row>
    <row r="100" spans="2:13" x14ac:dyDescent="0.45">
      <c r="C100"/>
      <c r="D100"/>
      <c r="E100"/>
      <c r="F100"/>
      <c r="G100"/>
      <c r="H100"/>
      <c r="I100"/>
      <c r="J100"/>
      <c r="K100"/>
      <c r="L100"/>
      <c r="M100"/>
    </row>
    <row r="101" spans="2:13" x14ac:dyDescent="0.45">
      <c r="B101" t="str">
        <f>"LTM Revenue at Exit"</f>
        <v>LTM Revenue at Exit</v>
      </c>
      <c r="C101"/>
      <c r="D101"/>
      <c r="E101"/>
      <c r="F101"/>
      <c r="G101"/>
      <c r="H101"/>
      <c r="I101"/>
      <c r="J101"/>
      <c r="K101"/>
      <c r="L101"/>
      <c r="M101" s="104">
        <f>HLOOKUP($G$26,$D$44:$M$51,8,FALSE)</f>
        <v>8328.7824091010134</v>
      </c>
    </row>
    <row r="102" spans="2:13" x14ac:dyDescent="0.45">
      <c r="B102" t="str">
        <f>"LTM EBITDA at Exit"</f>
        <v>LTM EBITDA at Exit</v>
      </c>
      <c r="C102"/>
      <c r="D102"/>
      <c r="E102"/>
      <c r="F102"/>
      <c r="G102"/>
      <c r="H102"/>
      <c r="I102"/>
      <c r="J102"/>
      <c r="K102"/>
      <c r="L102"/>
      <c r="M102" s="104">
        <f>HLOOKUP($G$26,$D$54:$M$59,3,FALSE)</f>
        <v>4555.6591829185527</v>
      </c>
    </row>
    <row r="103" spans="2:13" x14ac:dyDescent="0.45">
      <c r="B103" s="101" t="s">
        <v>7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2">
        <f>G25</f>
        <v>8</v>
      </c>
    </row>
    <row r="104" spans="2:13" x14ac:dyDescent="0.45">
      <c r="B104" s="105" t="s">
        <v>163</v>
      </c>
      <c r="C104" s="106"/>
      <c r="D104" s="106"/>
      <c r="E104" s="106"/>
      <c r="F104" s="106"/>
      <c r="G104" s="106"/>
      <c r="H104" s="106"/>
      <c r="I104" s="106"/>
      <c r="J104" s="106"/>
      <c r="K104" s="106"/>
      <c r="L104" s="106"/>
      <c r="M104" s="107">
        <f>M101*M103</f>
        <v>66630.259272808107</v>
      </c>
    </row>
    <row r="105" spans="2:13" x14ac:dyDescent="0.45">
      <c r="B105" s="148" t="s">
        <v>8</v>
      </c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  <c r="M105" s="150">
        <f>M104/M102</f>
        <v>14.625821774077901</v>
      </c>
    </row>
    <row r="106" spans="2:13" x14ac:dyDescent="0.45">
      <c r="B106" t="s">
        <v>147</v>
      </c>
      <c r="C106"/>
      <c r="D106"/>
      <c r="E106"/>
      <c r="F106"/>
      <c r="G106"/>
      <c r="H106"/>
      <c r="I106"/>
      <c r="J106"/>
      <c r="K106"/>
      <c r="L106"/>
      <c r="M106" s="116">
        <f>HLOOKUP($G$26,$B$90:$M$96,MATCH($B$106,$B$90:$B$96,0),FALSE)</f>
        <v>786.00103403043045</v>
      </c>
    </row>
    <row r="107" spans="2:13" x14ac:dyDescent="0.45">
      <c r="B107" t="s">
        <v>197</v>
      </c>
      <c r="C107"/>
      <c r="D107"/>
      <c r="E107"/>
      <c r="F107"/>
      <c r="G107"/>
      <c r="H107"/>
      <c r="I107"/>
      <c r="J107"/>
      <c r="K107"/>
      <c r="L107"/>
      <c r="M107" s="116">
        <f>HLOOKUP($G$26,$B$121:$M$128,MATCH('Summary Tab'!$B$56,$B$121:$B$128,0),FALSE)</f>
        <v>6914.5887013585507</v>
      </c>
    </row>
    <row r="108" spans="2:13" x14ac:dyDescent="0.45">
      <c r="B108" s="105" t="s">
        <v>149</v>
      </c>
      <c r="C108" s="106"/>
      <c r="D108" s="106"/>
      <c r="E108" s="106"/>
      <c r="F108" s="106"/>
      <c r="G108" s="106"/>
      <c r="H108" s="106"/>
      <c r="I108" s="106"/>
      <c r="J108" s="106"/>
      <c r="K108" s="106"/>
      <c r="L108" s="106"/>
      <c r="M108" s="107">
        <f>M104-M106+M107</f>
        <v>72758.846940136224</v>
      </c>
    </row>
    <row r="109" spans="2:13" x14ac:dyDescent="0.45">
      <c r="C109"/>
      <c r="D109"/>
      <c r="E109"/>
      <c r="F109"/>
      <c r="G109"/>
      <c r="H109"/>
      <c r="I109"/>
      <c r="J109"/>
      <c r="K109"/>
      <c r="L109"/>
      <c r="M109"/>
    </row>
    <row r="110" spans="2:13" x14ac:dyDescent="0.45">
      <c r="B110" s="108" t="s">
        <v>164</v>
      </c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18">
        <f>L18+L14</f>
        <v>3595.5360000000001</v>
      </c>
    </row>
    <row r="111" spans="2:13" x14ac:dyDescent="0.45">
      <c r="B111" s="111" t="s">
        <v>150</v>
      </c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7">
        <f>L14</f>
        <v>1490.8319999999999</v>
      </c>
    </row>
    <row r="112" spans="2:13" x14ac:dyDescent="0.45">
      <c r="C112"/>
      <c r="D112"/>
      <c r="E112"/>
      <c r="F112"/>
      <c r="G112"/>
      <c r="H112"/>
      <c r="I112"/>
      <c r="J112"/>
      <c r="K112"/>
      <c r="L112"/>
      <c r="M112"/>
    </row>
    <row r="113" spans="2:13" x14ac:dyDescent="0.45">
      <c r="B113" s="108" t="s">
        <v>18</v>
      </c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10">
        <f>M104/M110</f>
        <v>18.531384270052673</v>
      </c>
    </row>
    <row r="114" spans="2:13" x14ac:dyDescent="0.45">
      <c r="B114" s="111" t="s">
        <v>17</v>
      </c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5">
        <f>M113^(1/$G$26)-1</f>
        <v>0.79300529604867509</v>
      </c>
    </row>
    <row r="115" spans="2:13" x14ac:dyDescent="0.45">
      <c r="C115"/>
      <c r="D115"/>
      <c r="E115"/>
      <c r="F115"/>
      <c r="G115"/>
      <c r="H115"/>
      <c r="I115"/>
      <c r="J115"/>
      <c r="K115"/>
      <c r="L115"/>
      <c r="M115"/>
    </row>
    <row r="116" spans="2:13" x14ac:dyDescent="0.45">
      <c r="B116" s="108" t="s">
        <v>19</v>
      </c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10">
        <f>M108/M111</f>
        <v>48.804189164262795</v>
      </c>
    </row>
    <row r="117" spans="2:13" x14ac:dyDescent="0.45">
      <c r="B117" s="111" t="s">
        <v>139</v>
      </c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5">
        <f>M116^(1/$G$26)-1</f>
        <v>1.1761629918709122</v>
      </c>
    </row>
    <row r="118" spans="2:13" x14ac:dyDescent="0.45">
      <c r="C118" s="13"/>
      <c r="D118" s="13"/>
      <c r="E118" s="13"/>
      <c r="F118" s="13"/>
      <c r="G118" s="13"/>
      <c r="H118" s="13"/>
      <c r="I118" s="13"/>
      <c r="J118" s="13"/>
    </row>
    <row r="119" spans="2:13" x14ac:dyDescent="0.45">
      <c r="B119" s="105" t="s">
        <v>188</v>
      </c>
      <c r="C119" s="106"/>
      <c r="D119" s="106"/>
      <c r="E119" s="106"/>
      <c r="F119" s="106"/>
      <c r="G119" s="106"/>
      <c r="H119" s="106"/>
      <c r="I119" s="106"/>
      <c r="J119" s="106"/>
      <c r="K119" s="106"/>
      <c r="L119" s="106"/>
      <c r="M119" s="119">
        <f>M108*$L$15</f>
        <v>50931.192858095354</v>
      </c>
    </row>
    <row r="120" spans="2:13" x14ac:dyDescent="0.45">
      <c r="C120"/>
      <c r="D120"/>
      <c r="E120"/>
      <c r="F120"/>
      <c r="G120"/>
      <c r="H120"/>
      <c r="I120"/>
      <c r="J120"/>
      <c r="K120"/>
      <c r="L120"/>
      <c r="M120"/>
    </row>
    <row r="121" spans="2:13" x14ac:dyDescent="0.45">
      <c r="D121" s="11">
        <v>1</v>
      </c>
      <c r="E121" s="11">
        <v>2</v>
      </c>
      <c r="F121" s="11">
        <v>3</v>
      </c>
      <c r="G121" s="11">
        <v>4</v>
      </c>
      <c r="H121" s="11">
        <v>5</v>
      </c>
      <c r="I121" s="11">
        <v>6</v>
      </c>
      <c r="J121" s="11">
        <v>7</v>
      </c>
      <c r="K121" s="11">
        <v>8</v>
      </c>
      <c r="L121" s="11">
        <v>9</v>
      </c>
      <c r="M121" s="11">
        <v>10</v>
      </c>
    </row>
    <row r="122" spans="2:13" x14ac:dyDescent="0.45">
      <c r="B122" s="1" t="s">
        <v>140</v>
      </c>
      <c r="C122" s="28" t="s">
        <v>24</v>
      </c>
      <c r="D122" s="8" t="s">
        <v>10</v>
      </c>
      <c r="E122" s="8" t="s">
        <v>11</v>
      </c>
      <c r="F122" s="8" t="s">
        <v>12</v>
      </c>
      <c r="G122" s="8" t="s">
        <v>13</v>
      </c>
      <c r="H122" s="8" t="s">
        <v>14</v>
      </c>
      <c r="I122" s="8" t="s">
        <v>15</v>
      </c>
      <c r="J122" s="8" t="s">
        <v>16</v>
      </c>
      <c r="K122" s="8" t="s">
        <v>26</v>
      </c>
      <c r="L122" s="8" t="s">
        <v>27</v>
      </c>
      <c r="M122" s="8" t="s">
        <v>28</v>
      </c>
    </row>
    <row r="123" spans="2:13" x14ac:dyDescent="0.45">
      <c r="B123" t="s">
        <v>187</v>
      </c>
      <c r="C123" s="30"/>
      <c r="D123" s="13">
        <f t="shared" ref="D123:M123" si="30">SUM(D85:D86)</f>
        <v>107.19112</v>
      </c>
      <c r="E123" s="13">
        <f t="shared" si="30"/>
        <v>125.92903428571429</v>
      </c>
      <c r="F123" s="13">
        <f t="shared" si="30"/>
        <v>150.06488386822861</v>
      </c>
      <c r="G123" s="13">
        <f t="shared" si="30"/>
        <v>196.95547439210364</v>
      </c>
      <c r="H123" s="13">
        <f t="shared" si="30"/>
        <v>271.01125031125372</v>
      </c>
      <c r="I123" s="13">
        <f t="shared" si="30"/>
        <v>367.07919217555173</v>
      </c>
      <c r="J123" s="13">
        <f t="shared" si="30"/>
        <v>477.6134609049011</v>
      </c>
      <c r="K123" s="13">
        <f t="shared" si="30"/>
        <v>603.02265350021128</v>
      </c>
      <c r="L123" s="13">
        <f t="shared" si="30"/>
        <v>766.79895169808515</v>
      </c>
      <c r="M123" s="13">
        <f t="shared" si="30"/>
        <v>960.11083812379138</v>
      </c>
    </row>
    <row r="124" spans="2:13" ht="15" customHeight="1" x14ac:dyDescent="0.45">
      <c r="B124" t="s">
        <v>47</v>
      </c>
      <c r="C124" s="30">
        <f>C51*Projections!$C$25</f>
        <v>8.7696000000000005</v>
      </c>
      <c r="D124" s="13">
        <f>D51*Projections!$C$25</f>
        <v>38.1</v>
      </c>
      <c r="E124" s="13">
        <f>E51*Projections!$C$25</f>
        <v>78.575828571428573</v>
      </c>
      <c r="F124" s="13">
        <f>F51*Projections!$C$25</f>
        <v>140.16394285714287</v>
      </c>
      <c r="G124" s="13">
        <f>G51*Projections!$C$25</f>
        <v>248.93434285714289</v>
      </c>
      <c r="H124" s="13">
        <f>H51*Projections!$C$25</f>
        <v>416.43912045505067</v>
      </c>
      <c r="I124" s="13">
        <f>I51*Projections!$C$25</f>
        <v>636.99832230927768</v>
      </c>
      <c r="J124" s="13">
        <f>J51*Projections!$C$25</f>
        <v>904.14430366882607</v>
      </c>
      <c r="K124" s="13">
        <f>K51*Projections!$C$25</f>
        <v>1206.0453070004226</v>
      </c>
      <c r="L124" s="13">
        <f>L51*Projections!$C$25</f>
        <v>1533.5979033961703</v>
      </c>
      <c r="M124" s="13">
        <f>M51*Projections!$C$25</f>
        <v>1920.2216762475828</v>
      </c>
    </row>
    <row r="125" spans="2:13" x14ac:dyDescent="0.45">
      <c r="B125" t="s">
        <v>166</v>
      </c>
      <c r="C125" s="30"/>
      <c r="D125" s="120" t="str">
        <f t="shared" ref="D125:M125" si="31">IF((D96-D84)/D59&lt;0,"-",(D96-D84)/D59)</f>
        <v>-</v>
      </c>
      <c r="E125" s="120" t="str">
        <f t="shared" si="31"/>
        <v>-</v>
      </c>
      <c r="F125" s="120" t="str">
        <f t="shared" si="31"/>
        <v>-</v>
      </c>
      <c r="G125" s="120" t="str">
        <f t="shared" si="31"/>
        <v>-</v>
      </c>
      <c r="H125" s="120" t="str">
        <f t="shared" si="31"/>
        <v>-</v>
      </c>
      <c r="I125" s="120" t="str">
        <f t="shared" si="31"/>
        <v>-</v>
      </c>
      <c r="J125" s="120" t="str">
        <f t="shared" si="31"/>
        <v>-</v>
      </c>
      <c r="K125" s="120" t="str">
        <f t="shared" si="31"/>
        <v>-</v>
      </c>
      <c r="L125" s="120" t="str">
        <f t="shared" si="31"/>
        <v>-</v>
      </c>
      <c r="M125" s="120" t="str">
        <f t="shared" si="31"/>
        <v>-</v>
      </c>
    </row>
    <row r="126" spans="2:13" x14ac:dyDescent="0.45">
      <c r="B126" t="s">
        <v>196</v>
      </c>
      <c r="C126" s="30"/>
      <c r="D126" s="13">
        <f>-D58</f>
        <v>85.725000000000009</v>
      </c>
      <c r="E126" s="13">
        <f t="shared" ref="E126:M126" si="32">-E58</f>
        <v>185.63539499999999</v>
      </c>
      <c r="F126" s="13">
        <f t="shared" si="32"/>
        <v>347.69418075000004</v>
      </c>
      <c r="G126" s="13">
        <f t="shared" si="32"/>
        <v>648.38839196250012</v>
      </c>
      <c r="H126" s="13">
        <f t="shared" si="32"/>
        <v>1138.9147957296382</v>
      </c>
      <c r="I126" s="13">
        <f t="shared" si="32"/>
        <v>1829.2257317402184</v>
      </c>
      <c r="J126" s="13">
        <f t="shared" si="32"/>
        <v>2726.1896396456705</v>
      </c>
      <c r="K126" s="13">
        <f t="shared" si="32"/>
        <v>3818.3104377514842</v>
      </c>
      <c r="L126" s="13">
        <f t="shared" si="32"/>
        <v>5098.1007846513712</v>
      </c>
      <c r="M126" s="13">
        <f t="shared" si="32"/>
        <v>6702.511651416984</v>
      </c>
    </row>
    <row r="127" spans="2:13" x14ac:dyDescent="0.45">
      <c r="B127" t="s">
        <v>141</v>
      </c>
      <c r="C127" s="30"/>
      <c r="D127" s="13">
        <f>D84</f>
        <v>2505.0902080000001</v>
      </c>
      <c r="E127" s="13">
        <f t="shared" ref="E127:M127" si="33">E84</f>
        <v>1845.3315544000002</v>
      </c>
      <c r="F127" s="13">
        <f t="shared" si="33"/>
        <v>2148.2680425765489</v>
      </c>
      <c r="G127" s="13">
        <f t="shared" si="33"/>
        <v>2929.1597676600359</v>
      </c>
      <c r="H127" s="13">
        <f t="shared" si="33"/>
        <v>4508.2309379164126</v>
      </c>
      <c r="I127" s="13">
        <f t="shared" si="33"/>
        <v>7245.1780405838545</v>
      </c>
      <c r="J127" s="13">
        <f t="shared" si="33"/>
        <v>11515.56328979729</v>
      </c>
      <c r="K127" s="13">
        <f t="shared" si="33"/>
        <v>18734.312799768759</v>
      </c>
      <c r="L127" s="13">
        <f t="shared" si="33"/>
        <v>28818.441500411631</v>
      </c>
      <c r="M127" s="13">
        <f t="shared" si="33"/>
        <v>42502.368748735913</v>
      </c>
    </row>
    <row r="128" spans="2:13" x14ac:dyDescent="0.45">
      <c r="B128" t="s">
        <v>197</v>
      </c>
      <c r="C128" s="30"/>
      <c r="D128" s="13">
        <f t="shared" ref="D128" si="34">SUM(D126:D127)</f>
        <v>2590.815208</v>
      </c>
      <c r="E128" s="13">
        <f>SUM(E126:E127)+SUM($D126:D126)</f>
        <v>2116.6919494000003</v>
      </c>
      <c r="F128" s="13">
        <f>SUM(F126:F127)+SUM($D126:E126)</f>
        <v>2767.3226183265492</v>
      </c>
      <c r="G128" s="13">
        <f>SUM(G126:G127)+SUM($D126:F126)</f>
        <v>4196.6027353725358</v>
      </c>
      <c r="H128" s="13">
        <f>SUM(H126:H127)+SUM($D126:G126)</f>
        <v>6914.5887013585507</v>
      </c>
      <c r="I128" s="13">
        <f>SUM(I126:I127)+SUM($D126:H126)</f>
        <v>11480.761535766211</v>
      </c>
      <c r="J128" s="13">
        <f>SUM(J126:J127)+SUM($D126:I126)</f>
        <v>18477.336424625319</v>
      </c>
      <c r="K128" s="13">
        <f>SUM(K126:K127)+SUM($D126:J126)</f>
        <v>29514.396372348267</v>
      </c>
      <c r="L128" s="13">
        <f>SUM(L126:L127)+SUM($D126:K126)</f>
        <v>44696.62585764251</v>
      </c>
      <c r="M128" s="13">
        <f>SUM(M126:M127)+SUM($D126:L126)</f>
        <v>65083.064757383778</v>
      </c>
    </row>
    <row r="129" spans="3:13" x14ac:dyDescent="0.45">
      <c r="C129" s="30"/>
      <c r="D129" s="7" t="b">
        <f t="shared" ref="D129:M129" si="35">IF(D125="-",TRUE,IF(D125&lt;=$G$32,TRUE,FALSE))</f>
        <v>1</v>
      </c>
      <c r="E129" s="7" t="b">
        <f t="shared" si="35"/>
        <v>1</v>
      </c>
      <c r="F129" s="7" t="b">
        <f t="shared" si="35"/>
        <v>1</v>
      </c>
      <c r="G129" s="7" t="b">
        <f t="shared" si="35"/>
        <v>1</v>
      </c>
      <c r="H129" s="7" t="b">
        <f t="shared" si="35"/>
        <v>1</v>
      </c>
      <c r="I129" s="7" t="b">
        <f t="shared" si="35"/>
        <v>1</v>
      </c>
      <c r="J129" s="7" t="b">
        <f t="shared" si="35"/>
        <v>1</v>
      </c>
      <c r="K129" s="7" t="b">
        <f t="shared" si="35"/>
        <v>1</v>
      </c>
      <c r="L129" s="7" t="b">
        <f t="shared" si="35"/>
        <v>1</v>
      </c>
      <c r="M129" s="7" t="b">
        <f t="shared" si="35"/>
        <v>1</v>
      </c>
    </row>
  </sheetData>
  <phoneticPr fontId="7" type="noConversion"/>
  <conditionalFormatting sqref="C1">
    <cfRule type="containsText" dxfId="12" priority="3" operator="containsText" text="False">
      <formula>NOT(ISERROR(SEARCH("False",C1)))</formula>
    </cfRule>
    <cfRule type="containsText" dxfId="11" priority="4" operator="containsText" text="True">
      <formula>NOT(ISERROR(SEARCH("True",C1)))</formula>
    </cfRule>
    <cfRule type="cellIs" dxfId="10" priority="5" operator="equal">
      <formula>FALSE</formula>
    </cfRule>
    <cfRule type="cellIs" dxfId="9" priority="6" operator="equal">
      <formula>TRUE</formula>
    </cfRule>
  </conditionalFormatting>
  <conditionalFormatting sqref="D84">
    <cfRule type="cellIs" dxfId="8" priority="21" operator="lessThan">
      <formula>SUM($D$85:$D$86)</formula>
    </cfRule>
  </conditionalFormatting>
  <conditionalFormatting sqref="D88:M88">
    <cfRule type="containsText" dxfId="7" priority="15" operator="containsText" text="False">
      <formula>NOT(ISERROR(SEARCH("False",D88)))</formula>
    </cfRule>
    <cfRule type="containsText" dxfId="6" priority="16" operator="containsText" text="True">
      <formula>NOT(ISERROR(SEARCH("True",D88)))</formula>
    </cfRule>
    <cfRule type="cellIs" dxfId="5" priority="17" operator="equal">
      <formula>FALSE</formula>
    </cfRule>
    <cfRule type="cellIs" dxfId="4" priority="18" operator="equal">
      <formula>TRUE</formula>
    </cfRule>
  </conditionalFormatting>
  <conditionalFormatting sqref="D129:M129">
    <cfRule type="containsText" dxfId="3" priority="7" operator="containsText" text="False">
      <formula>NOT(ISERROR(SEARCH("False",D129)))</formula>
    </cfRule>
    <cfRule type="containsText" dxfId="2" priority="8" operator="containsText" text="True">
      <formula>NOT(ISERROR(SEARCH("True",D129)))</formula>
    </cfRule>
    <cfRule type="cellIs" dxfId="1" priority="9" operator="equal">
      <formula>FALSE</formula>
    </cfRule>
    <cfRule type="cellIs" dxfId="0" priority="10" operator="equal">
      <formula>TRUE</formula>
    </cfRule>
  </conditionalFormatting>
  <conditionalFormatting sqref="Q9:S1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8:S22">
    <cfRule type="colorScale" priority="1">
      <colorScale>
        <cfvo type="min"/>
        <cfvo type="max"/>
        <color rgb="FFFCFCFF"/>
        <color rgb="FF63BE7B"/>
      </colorScale>
    </cfRule>
  </conditionalFormatting>
  <pageMargins left="0.25" right="0.25" top="0.75" bottom="0.75" header="0.3" footer="0.3"/>
  <pageSetup paperSize="9" scale="59" fitToHeight="0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D4BEA97-9021-46E1-9F7D-E28C5E1585A8}">
          <x14:formula1>
            <xm:f>'Scenario assumptions'!$C$12:$C$14</xm:f>
          </x14:formula1>
          <xm:sqref>C11</xm:sqref>
        </x14:dataValidation>
        <x14:dataValidation type="list" allowBlank="1" showInputMessage="1" showErrorMessage="1" xr:uid="{BBECF4F1-76B6-4363-9E08-2A57FAA17F07}">
          <x14:formula1>
            <xm:f>'Scenario assumptions'!$B$24:$B$26</xm:f>
          </x14:formula1>
          <xm:sqref>G26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9D899-7025-428E-BAEE-A1997FC75E29}">
  <sheetPr codeName="Sheet1"/>
  <dimension ref="B2:M26"/>
  <sheetViews>
    <sheetView showGridLines="0" zoomScale="70" zoomScaleNormal="70" workbookViewId="0">
      <selection activeCell="C21" sqref="C21"/>
    </sheetView>
  </sheetViews>
  <sheetFormatPr defaultRowHeight="14.25" x14ac:dyDescent="0.45"/>
  <cols>
    <col min="1" max="1" width="3.1328125" customWidth="1"/>
    <col min="2" max="2" width="41.6640625" customWidth="1"/>
    <col min="3" max="3" width="14.796875" customWidth="1"/>
    <col min="4" max="13" width="13.46484375" customWidth="1"/>
  </cols>
  <sheetData>
    <row r="2" spans="2:13" x14ac:dyDescent="0.45">
      <c r="B2" s="1" t="s">
        <v>189</v>
      </c>
      <c r="C2" s="1" t="s">
        <v>84</v>
      </c>
      <c r="D2" s="8">
        <v>2025</v>
      </c>
      <c r="E2" s="8">
        <f>D2+1</f>
        <v>2026</v>
      </c>
      <c r="F2" s="8">
        <f t="shared" ref="F2:H2" si="0">E2+1</f>
        <v>2027</v>
      </c>
      <c r="G2" s="8">
        <f t="shared" si="0"/>
        <v>2028</v>
      </c>
      <c r="H2" s="8">
        <f t="shared" si="0"/>
        <v>2029</v>
      </c>
    </row>
    <row r="3" spans="2:13" x14ac:dyDescent="0.45">
      <c r="B3" t="s">
        <v>211</v>
      </c>
      <c r="C3" t="s">
        <v>190</v>
      </c>
      <c r="D3" s="25">
        <v>750</v>
      </c>
      <c r="E3" s="25">
        <v>875</v>
      </c>
      <c r="F3" s="25">
        <v>1111</v>
      </c>
      <c r="G3" s="25">
        <v>1467</v>
      </c>
      <c r="H3" s="25">
        <v>1943</v>
      </c>
    </row>
    <row r="4" spans="2:13" x14ac:dyDescent="0.45">
      <c r="B4" t="s">
        <v>3</v>
      </c>
      <c r="C4" t="s">
        <v>214</v>
      </c>
      <c r="D4" s="135"/>
      <c r="E4" s="136">
        <f>(E3-D3)/D3</f>
        <v>0.16666666666666666</v>
      </c>
      <c r="F4" s="136">
        <f t="shared" ref="F4:H4" si="1">(F3-E3)/E3</f>
        <v>0.26971428571428574</v>
      </c>
      <c r="G4" s="136">
        <f t="shared" si="1"/>
        <v>0.32043204320432045</v>
      </c>
      <c r="H4" s="136">
        <f t="shared" si="1"/>
        <v>0.32447171097477845</v>
      </c>
    </row>
    <row r="5" spans="2:13" x14ac:dyDescent="0.45">
      <c r="B5" t="s">
        <v>212</v>
      </c>
      <c r="C5" t="s">
        <v>190</v>
      </c>
      <c r="D5" s="25">
        <v>1218</v>
      </c>
      <c r="E5" s="25">
        <v>3000</v>
      </c>
      <c r="F5" s="135">
        <f>E5*(1+F4)</f>
        <v>3809.1428571428573</v>
      </c>
      <c r="G5" s="135">
        <f t="shared" ref="G5:H5" si="2">F5*(1+G4)</f>
        <v>5029.7142857142862</v>
      </c>
      <c r="H5" s="135">
        <f t="shared" si="2"/>
        <v>6661.7142857142871</v>
      </c>
    </row>
    <row r="6" spans="2:13" x14ac:dyDescent="0.45">
      <c r="B6" t="s">
        <v>215</v>
      </c>
      <c r="C6" t="s">
        <v>191</v>
      </c>
      <c r="D6" s="147">
        <f>D5*$C$8</f>
        <v>175.392</v>
      </c>
      <c r="E6" s="147">
        <f t="shared" ref="E6:H6" si="3">E5*$C$8</f>
        <v>431.99999999999994</v>
      </c>
      <c r="F6" s="147">
        <f t="shared" si="3"/>
        <v>548.51657142857141</v>
      </c>
      <c r="G6" s="147">
        <f t="shared" si="3"/>
        <v>724.27885714285719</v>
      </c>
      <c r="H6" s="147">
        <f t="shared" si="3"/>
        <v>959.28685714285723</v>
      </c>
    </row>
    <row r="8" spans="2:13" x14ac:dyDescent="0.45">
      <c r="B8" t="s">
        <v>192</v>
      </c>
      <c r="C8" s="7">
        <v>0.14399999999999999</v>
      </c>
    </row>
    <row r="9" spans="2:13" ht="14.65" thickBot="1" x14ac:dyDescent="0.5"/>
    <row r="10" spans="2:13" ht="14.65" thickBot="1" x14ac:dyDescent="0.5">
      <c r="D10" s="36"/>
      <c r="E10" s="37" t="s">
        <v>56</v>
      </c>
      <c r="F10" s="38"/>
      <c r="G10" s="39"/>
      <c r="H10" s="46" t="s">
        <v>57</v>
      </c>
      <c r="I10" s="41"/>
      <c r="J10" s="42"/>
      <c r="K10" s="43" t="s">
        <v>58</v>
      </c>
      <c r="L10" s="44"/>
      <c r="M10" s="45"/>
    </row>
    <row r="11" spans="2:13" x14ac:dyDescent="0.45">
      <c r="B11" s="1" t="s">
        <v>195</v>
      </c>
      <c r="C11" s="1"/>
      <c r="D11" s="8" t="s">
        <v>10</v>
      </c>
      <c r="E11" s="8" t="s">
        <v>11</v>
      </c>
      <c r="F11" s="8" t="s">
        <v>12</v>
      </c>
      <c r="G11" s="8" t="s">
        <v>13</v>
      </c>
      <c r="H11" s="8" t="s">
        <v>14</v>
      </c>
      <c r="I11" s="8" t="s">
        <v>15</v>
      </c>
      <c r="J11" s="8" t="s">
        <v>16</v>
      </c>
      <c r="K11" s="8" t="s">
        <v>26</v>
      </c>
      <c r="L11" s="8" t="s">
        <v>27</v>
      </c>
      <c r="M11" s="8" t="s">
        <v>28</v>
      </c>
    </row>
    <row r="12" spans="2:13" x14ac:dyDescent="0.45">
      <c r="B12" t="s">
        <v>59</v>
      </c>
      <c r="C12" t="s">
        <v>64</v>
      </c>
      <c r="D12" s="17">
        <f>D13-10%</f>
        <v>1</v>
      </c>
      <c r="E12" s="17">
        <f t="shared" ref="E12:M12" si="4">E13-10%</f>
        <v>0.9</v>
      </c>
      <c r="F12" s="17">
        <f t="shared" si="4"/>
        <v>0.8</v>
      </c>
      <c r="G12" s="17">
        <f t="shared" si="4"/>
        <v>0.70000000000000007</v>
      </c>
      <c r="H12" s="17">
        <f t="shared" si="4"/>
        <v>0.5</v>
      </c>
      <c r="I12" s="17">
        <f t="shared" si="4"/>
        <v>0.30000000000000004</v>
      </c>
      <c r="J12" s="17">
        <f t="shared" si="4"/>
        <v>0.19999999999999998</v>
      </c>
      <c r="K12" s="17">
        <f t="shared" si="4"/>
        <v>0.1</v>
      </c>
      <c r="L12" s="17">
        <f t="shared" si="4"/>
        <v>4.9999999999999989E-2</v>
      </c>
      <c r="M12" s="17">
        <f t="shared" si="4"/>
        <v>4.9999999999999989E-2</v>
      </c>
    </row>
    <row r="13" spans="2:13" x14ac:dyDescent="0.45">
      <c r="B13" t="s">
        <v>59</v>
      </c>
      <c r="C13" t="s">
        <v>2</v>
      </c>
      <c r="D13" s="17">
        <v>1.1000000000000001</v>
      </c>
      <c r="E13" s="17">
        <v>1</v>
      </c>
      <c r="F13" s="17">
        <v>0.9</v>
      </c>
      <c r="G13" s="17">
        <v>0.8</v>
      </c>
      <c r="H13" s="17">
        <v>0.6</v>
      </c>
      <c r="I13" s="17">
        <v>0.4</v>
      </c>
      <c r="J13" s="17">
        <v>0.3</v>
      </c>
      <c r="K13" s="17">
        <v>0.2</v>
      </c>
      <c r="L13" s="17">
        <v>0.15</v>
      </c>
      <c r="M13" s="17">
        <v>0.15</v>
      </c>
    </row>
    <row r="14" spans="2:13" x14ac:dyDescent="0.45">
      <c r="B14" t="s">
        <v>59</v>
      </c>
      <c r="C14" t="s">
        <v>65</v>
      </c>
      <c r="D14" s="17">
        <f>D13+10%</f>
        <v>1.2000000000000002</v>
      </c>
      <c r="E14" s="17">
        <f t="shared" ref="E14:M14" si="5">E13+10%</f>
        <v>1.1000000000000001</v>
      </c>
      <c r="F14" s="17">
        <f t="shared" si="5"/>
        <v>1</v>
      </c>
      <c r="G14" s="17">
        <f t="shared" si="5"/>
        <v>0.9</v>
      </c>
      <c r="H14" s="17">
        <f t="shared" si="5"/>
        <v>0.7</v>
      </c>
      <c r="I14" s="17">
        <f t="shared" si="5"/>
        <v>0.5</v>
      </c>
      <c r="J14" s="17">
        <f t="shared" si="5"/>
        <v>0.4</v>
      </c>
      <c r="K14" s="17">
        <f t="shared" si="5"/>
        <v>0.30000000000000004</v>
      </c>
      <c r="L14" s="17">
        <f t="shared" si="5"/>
        <v>0.25</v>
      </c>
      <c r="M14" s="17">
        <f t="shared" si="5"/>
        <v>0.25</v>
      </c>
    </row>
    <row r="17" spans="2:5" ht="71.25" x14ac:dyDescent="0.45">
      <c r="B17" s="131" t="s">
        <v>130</v>
      </c>
      <c r="C17" s="132" t="s">
        <v>131</v>
      </c>
      <c r="D17" s="132" t="s">
        <v>132</v>
      </c>
      <c r="E17" s="132" t="s">
        <v>42</v>
      </c>
    </row>
    <row r="18" spans="2:5" x14ac:dyDescent="0.45">
      <c r="B18" t="s">
        <v>64</v>
      </c>
      <c r="C18" s="23">
        <v>15</v>
      </c>
      <c r="D18" s="23">
        <v>6</v>
      </c>
      <c r="E18" s="125">
        <v>0.35</v>
      </c>
    </row>
    <row r="19" spans="2:5" x14ac:dyDescent="0.45">
      <c r="B19" t="s">
        <v>2</v>
      </c>
      <c r="C19" s="23">
        <v>18</v>
      </c>
      <c r="D19" s="23">
        <v>5.5</v>
      </c>
      <c r="E19" s="125">
        <v>0.4</v>
      </c>
    </row>
    <row r="20" spans="2:5" x14ac:dyDescent="0.45">
      <c r="B20" t="s">
        <v>65</v>
      </c>
      <c r="C20" s="23">
        <v>20</v>
      </c>
      <c r="D20" s="23">
        <v>5</v>
      </c>
      <c r="E20" s="125">
        <v>0.45</v>
      </c>
    </row>
    <row r="23" spans="2:5" x14ac:dyDescent="0.45">
      <c r="B23" s="8" t="s">
        <v>6</v>
      </c>
    </row>
    <row r="24" spans="2:5" x14ac:dyDescent="0.45">
      <c r="B24" s="89">
        <v>5</v>
      </c>
    </row>
    <row r="25" spans="2:5" x14ac:dyDescent="0.45">
      <c r="B25" s="89">
        <v>7</v>
      </c>
    </row>
    <row r="26" spans="2:5" x14ac:dyDescent="0.45">
      <c r="B26" s="89">
        <v>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AED2C-A1BD-4107-AE4A-9479F8128935}">
  <dimension ref="A1:U42"/>
  <sheetViews>
    <sheetView showGridLines="0" zoomScale="70" zoomScaleNormal="70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C26" sqref="C26"/>
    </sheetView>
  </sheetViews>
  <sheetFormatPr defaultRowHeight="14.25" x14ac:dyDescent="0.45"/>
  <cols>
    <col min="1" max="1" width="3" style="49" customWidth="1"/>
    <col min="2" max="2" width="39.6640625" style="49" customWidth="1"/>
    <col min="3" max="3" width="20.796875" style="49" customWidth="1"/>
    <col min="4" max="4" width="13.796875" style="49" customWidth="1"/>
    <col min="5" max="5" width="13.796875" style="64" customWidth="1"/>
    <col min="6" max="8" width="13.796875" style="49" customWidth="1"/>
    <col min="9" max="9" width="2.59765625" style="49" customWidth="1"/>
    <col min="10" max="10" width="9.06640625" style="49"/>
    <col min="11" max="11" width="13" style="49" customWidth="1"/>
    <col min="12" max="12" width="12" style="49" customWidth="1"/>
    <col min="13" max="13" width="3" style="49" customWidth="1"/>
    <col min="14" max="15" width="13" style="64" customWidth="1"/>
    <col min="16" max="16" width="9.06640625" style="49"/>
    <col min="17" max="17" width="2.46484375" style="49" customWidth="1"/>
    <col min="18" max="19" width="13.265625" style="49" customWidth="1"/>
    <col min="20" max="21" width="20.33203125" style="49" bestFit="1" customWidth="1"/>
    <col min="22" max="16384" width="9.06640625" style="49"/>
  </cols>
  <sheetData>
    <row r="1" spans="2:21" x14ac:dyDescent="0.45">
      <c r="B1" s="50" t="s">
        <v>122</v>
      </c>
      <c r="C1" s="83" t="s">
        <v>123</v>
      </c>
    </row>
    <row r="3" spans="2:21" x14ac:dyDescent="0.45">
      <c r="B3" s="47"/>
      <c r="C3" s="47"/>
      <c r="D3" s="47"/>
      <c r="E3" s="48"/>
      <c r="F3" s="179" t="s">
        <v>72</v>
      </c>
      <c r="G3" s="179"/>
      <c r="H3" s="179"/>
      <c r="I3" s="47"/>
      <c r="J3" s="179" t="s">
        <v>73</v>
      </c>
      <c r="K3" s="179"/>
      <c r="L3" s="179"/>
      <c r="M3" s="47"/>
      <c r="N3" s="179" t="s">
        <v>74</v>
      </c>
      <c r="O3" s="179"/>
      <c r="P3" s="179"/>
      <c r="Q3" s="47"/>
      <c r="R3" s="179" t="s">
        <v>75</v>
      </c>
      <c r="S3" s="179"/>
      <c r="T3" s="179"/>
      <c r="U3" s="179"/>
    </row>
    <row r="4" spans="2:21" x14ac:dyDescent="0.45">
      <c r="B4" s="50"/>
      <c r="C4" s="50"/>
      <c r="D4" s="50" t="s">
        <v>182</v>
      </c>
      <c r="E4" s="51" t="s">
        <v>76</v>
      </c>
      <c r="F4" s="52" t="s">
        <v>77</v>
      </c>
      <c r="G4" s="52" t="s">
        <v>78</v>
      </c>
      <c r="H4" s="52" t="s">
        <v>69</v>
      </c>
      <c r="I4" s="51"/>
      <c r="J4" s="52" t="s">
        <v>34</v>
      </c>
      <c r="K4" s="53" t="s">
        <v>20</v>
      </c>
      <c r="L4" s="52" t="s">
        <v>79</v>
      </c>
      <c r="M4" s="54"/>
      <c r="N4" s="52" t="s">
        <v>21</v>
      </c>
      <c r="O4" s="52" t="s">
        <v>22</v>
      </c>
      <c r="P4" s="52" t="s">
        <v>80</v>
      </c>
      <c r="Q4" s="54"/>
      <c r="R4" s="52" t="s">
        <v>81</v>
      </c>
      <c r="S4" s="52" t="s">
        <v>82</v>
      </c>
      <c r="T4" s="52" t="s">
        <v>83</v>
      </c>
      <c r="U4" s="52" t="s">
        <v>66</v>
      </c>
    </row>
    <row r="5" spans="2:21" x14ac:dyDescent="0.45">
      <c r="B5" s="50" t="s">
        <v>67</v>
      </c>
      <c r="C5" s="50" t="s">
        <v>124</v>
      </c>
      <c r="D5" s="50" t="s">
        <v>84</v>
      </c>
      <c r="E5" s="51" t="s">
        <v>85</v>
      </c>
      <c r="F5" s="55" t="s">
        <v>86</v>
      </c>
      <c r="G5" s="55" t="s">
        <v>87</v>
      </c>
      <c r="H5" s="55" t="s">
        <v>87</v>
      </c>
      <c r="I5" s="51"/>
      <c r="J5" s="55" t="s">
        <v>87</v>
      </c>
      <c r="K5" s="55" t="s">
        <v>87</v>
      </c>
      <c r="L5" s="55" t="s">
        <v>87</v>
      </c>
      <c r="M5" s="54"/>
      <c r="N5" s="55" t="s">
        <v>88</v>
      </c>
      <c r="O5" s="48" t="s">
        <v>88</v>
      </c>
      <c r="P5" s="48" t="s">
        <v>88</v>
      </c>
      <c r="Q5" s="54"/>
      <c r="R5" s="55" t="s">
        <v>87</v>
      </c>
      <c r="S5" s="55" t="s">
        <v>87</v>
      </c>
      <c r="T5" s="55" t="s">
        <v>87</v>
      </c>
      <c r="U5" s="55" t="s">
        <v>89</v>
      </c>
    </row>
    <row r="6" spans="2:21" x14ac:dyDescent="0.45">
      <c r="B6" s="139" t="s">
        <v>205</v>
      </c>
      <c r="C6" s="139" t="s">
        <v>206</v>
      </c>
      <c r="D6" s="139" t="s">
        <v>207</v>
      </c>
      <c r="E6" s="140">
        <v>5.9880239999999999E-5</v>
      </c>
      <c r="F6" s="141">
        <v>12.287425248</v>
      </c>
      <c r="G6" s="142">
        <v>29290.097924564612</v>
      </c>
      <c r="H6" s="143">
        <f t="shared" ref="H6:H22" si="0">G6+R6+T6-S6</f>
        <v>29336.637745296212</v>
      </c>
      <c r="I6" s="142"/>
      <c r="J6" s="142">
        <v>157.64682571530633</v>
      </c>
      <c r="K6" s="142">
        <v>99.399762715198094</v>
      </c>
      <c r="L6" s="142">
        <v>70.17832749412122</v>
      </c>
      <c r="M6" s="139"/>
      <c r="N6" s="144">
        <f t="shared" ref="N6:N22" si="1">IFERROR(IF(H6/J6&lt;0,"",H6/J6),"")</f>
        <v>186.09088773075018</v>
      </c>
      <c r="O6" s="61">
        <f t="shared" ref="O6:O22" si="2">IFERROR(IF(H6/K6&lt;0,"",H6/K6),"-")</f>
        <v>295.13790520156522</v>
      </c>
      <c r="P6" s="144">
        <f t="shared" ref="P6:P22" si="3">IFERROR(IF(G6/L6&lt;0,"",G6/L6),"-")</f>
        <v>417.36671377667443</v>
      </c>
      <c r="Q6" s="139"/>
      <c r="R6" s="142">
        <v>70.400359844639993</v>
      </c>
      <c r="S6" s="142">
        <v>30.307425392159999</v>
      </c>
      <c r="T6" s="142">
        <v>6.4468862791200001</v>
      </c>
      <c r="U6" s="145">
        <f t="shared" ref="U6:U22" si="4">K6/J6</f>
        <v>0.63052181522959216</v>
      </c>
    </row>
    <row r="7" spans="2:21" x14ac:dyDescent="0.45">
      <c r="B7" s="56" t="s">
        <v>103</v>
      </c>
      <c r="C7" s="56" t="s">
        <v>70</v>
      </c>
      <c r="D7" s="56" t="s">
        <v>101</v>
      </c>
      <c r="E7" s="57">
        <v>0.68856300000000004</v>
      </c>
      <c r="F7" s="58">
        <v>48.467949570000002</v>
      </c>
      <c r="G7" s="59">
        <v>1249.1999404104961</v>
      </c>
      <c r="H7" s="60">
        <f t="shared" si="0"/>
        <v>1318.6146650034959</v>
      </c>
      <c r="I7" s="59"/>
      <c r="J7" s="59">
        <v>254.52661887849604</v>
      </c>
      <c r="K7" s="59">
        <v>67.396546439999995</v>
      </c>
      <c r="L7" s="59">
        <v>23.999863365</v>
      </c>
      <c r="M7" s="56"/>
      <c r="N7" s="61">
        <f t="shared" si="1"/>
        <v>5.1806552525375196</v>
      </c>
      <c r="O7" s="61">
        <f t="shared" si="2"/>
        <v>19.565018308132409</v>
      </c>
      <c r="P7" s="61">
        <f t="shared" si="3"/>
        <v>52.050293845933155</v>
      </c>
      <c r="Q7" s="56"/>
      <c r="R7" s="59">
        <v>90.053711954999997</v>
      </c>
      <c r="S7" s="59">
        <v>20.638987362000002</v>
      </c>
      <c r="T7" s="59">
        <v>0</v>
      </c>
      <c r="U7" s="62">
        <f t="shared" si="4"/>
        <v>0.26479174059265387</v>
      </c>
    </row>
    <row r="8" spans="2:21" x14ac:dyDescent="0.45">
      <c r="B8" s="56" t="s">
        <v>106</v>
      </c>
      <c r="C8" s="56" t="s">
        <v>23</v>
      </c>
      <c r="D8" s="56" t="s">
        <v>90</v>
      </c>
      <c r="E8" s="57">
        <v>0.14362449999999999</v>
      </c>
      <c r="F8" s="58">
        <v>5.0311662349999997</v>
      </c>
      <c r="G8" s="59">
        <v>3614.2741698826235</v>
      </c>
      <c r="H8" s="60">
        <f t="shared" si="0"/>
        <v>3854.1327298884817</v>
      </c>
      <c r="I8" s="59"/>
      <c r="J8" s="59">
        <v>255.48788266598399</v>
      </c>
      <c r="K8" s="59">
        <v>148.59339294979199</v>
      </c>
      <c r="L8" s="59">
        <v>21.106672755335996</v>
      </c>
      <c r="M8" s="56"/>
      <c r="N8" s="61">
        <f t="shared" si="1"/>
        <v>15.08538365761652</v>
      </c>
      <c r="O8" s="61">
        <f t="shared" si="2"/>
        <v>25.937443471600041</v>
      </c>
      <c r="P8" s="61">
        <f t="shared" si="3"/>
        <v>171.23846149407399</v>
      </c>
      <c r="Q8" s="56"/>
      <c r="R8" s="59">
        <v>441.10263257407246</v>
      </c>
      <c r="S8" s="59">
        <v>201.74968077661427</v>
      </c>
      <c r="T8" s="59">
        <v>0.50560820839979492</v>
      </c>
      <c r="U8" s="62">
        <f t="shared" si="4"/>
        <v>0.58160642062253043</v>
      </c>
    </row>
    <row r="9" spans="2:21" x14ac:dyDescent="0.45">
      <c r="B9" s="56" t="s">
        <v>99</v>
      </c>
      <c r="C9" s="56" t="s">
        <v>95</v>
      </c>
      <c r="D9" s="56" t="s">
        <v>96</v>
      </c>
      <c r="E9" s="57">
        <v>1</v>
      </c>
      <c r="F9" s="58">
        <v>38.26</v>
      </c>
      <c r="G9" s="59">
        <v>10696.952832000001</v>
      </c>
      <c r="H9" s="60">
        <f t="shared" si="0"/>
        <v>11909.165832000001</v>
      </c>
      <c r="I9" s="59"/>
      <c r="J9" s="59">
        <v>263.98599999999999</v>
      </c>
      <c r="K9" s="59">
        <v>21.411000000000001</v>
      </c>
      <c r="L9" s="59" t="s">
        <v>91</v>
      </c>
      <c r="M9" s="56"/>
      <c r="N9" s="61">
        <f t="shared" si="1"/>
        <v>45.11286898547651</v>
      </c>
      <c r="O9" s="61">
        <f t="shared" si="2"/>
        <v>556.2171702395965</v>
      </c>
      <c r="P9" s="61" t="str">
        <f t="shared" si="3"/>
        <v>-</v>
      </c>
      <c r="Q9" s="56"/>
      <c r="R9" s="59">
        <v>2608.6770000000001</v>
      </c>
      <c r="S9" s="59">
        <v>1913.4359999999999</v>
      </c>
      <c r="T9" s="59">
        <v>516.97199999999998</v>
      </c>
      <c r="U9" s="62">
        <f t="shared" si="4"/>
        <v>8.1106573833460871E-2</v>
      </c>
    </row>
    <row r="10" spans="2:21" x14ac:dyDescent="0.45">
      <c r="B10" s="139" t="s">
        <v>201</v>
      </c>
      <c r="C10" s="139" t="s">
        <v>202</v>
      </c>
      <c r="D10" s="139" t="s">
        <v>203</v>
      </c>
      <c r="E10" s="140">
        <v>0.79359409999999997</v>
      </c>
      <c r="F10" s="141">
        <v>1.7617789020000001</v>
      </c>
      <c r="G10" s="142">
        <v>4319.4021051524096</v>
      </c>
      <c r="H10" s="143">
        <f t="shared" si="0"/>
        <v>5423.9001849271099</v>
      </c>
      <c r="I10" s="142"/>
      <c r="J10" s="142">
        <v>289.19838754559999</v>
      </c>
      <c r="K10" s="142">
        <v>0</v>
      </c>
      <c r="L10" s="142">
        <v>258.82752864109437</v>
      </c>
      <c r="M10" s="139"/>
      <c r="N10" s="144">
        <f t="shared" si="1"/>
        <v>18.75494614945557</v>
      </c>
      <c r="O10" s="61" t="str">
        <f t="shared" si="2"/>
        <v>-</v>
      </c>
      <c r="P10" s="144">
        <f t="shared" si="3"/>
        <v>16.688341181597995</v>
      </c>
      <c r="Q10" s="139"/>
      <c r="R10" s="142">
        <v>1259.600491461</v>
      </c>
      <c r="S10" s="142">
        <v>199.03498746819997</v>
      </c>
      <c r="T10" s="142">
        <v>43.932575781899999</v>
      </c>
      <c r="U10" s="145">
        <f t="shared" si="4"/>
        <v>0</v>
      </c>
    </row>
    <row r="11" spans="2:21" x14ac:dyDescent="0.45">
      <c r="B11" s="56" t="s">
        <v>100</v>
      </c>
      <c r="C11" s="56" t="s">
        <v>70</v>
      </c>
      <c r="D11" s="56" t="s">
        <v>101</v>
      </c>
      <c r="E11" s="57">
        <v>0.68856300000000004</v>
      </c>
      <c r="F11" s="58">
        <v>9.1716591600000008</v>
      </c>
      <c r="G11" s="59">
        <v>5885.5670039162887</v>
      </c>
      <c r="H11" s="60">
        <f t="shared" si="0"/>
        <v>6548.3185312982887</v>
      </c>
      <c r="I11" s="59"/>
      <c r="J11" s="59">
        <v>294.16030515849604</v>
      </c>
      <c r="K11" s="59">
        <v>124.162363214496</v>
      </c>
      <c r="L11" s="59" t="s">
        <v>91</v>
      </c>
      <c r="M11" s="56"/>
      <c r="N11" s="61">
        <f t="shared" si="1"/>
        <v>22.261054317882895</v>
      </c>
      <c r="O11" s="61">
        <f t="shared" si="2"/>
        <v>52.739963719809182</v>
      </c>
      <c r="P11" s="61" t="str">
        <f t="shared" si="3"/>
        <v>-</v>
      </c>
      <c r="Q11" s="56"/>
      <c r="R11" s="59">
        <v>830.54606772600005</v>
      </c>
      <c r="S11" s="59">
        <v>167.79454034400001</v>
      </c>
      <c r="T11" s="59">
        <v>0</v>
      </c>
      <c r="U11" s="62">
        <f t="shared" si="4"/>
        <v>0.42209081591615927</v>
      </c>
    </row>
    <row r="12" spans="2:21" x14ac:dyDescent="0.45">
      <c r="B12" s="139" t="s">
        <v>208</v>
      </c>
      <c r="C12" s="139" t="s">
        <v>23</v>
      </c>
      <c r="D12" s="139" t="s">
        <v>90</v>
      </c>
      <c r="E12" s="140">
        <v>0.14399677999999999</v>
      </c>
      <c r="F12" s="141">
        <v>3.4012039436000001</v>
      </c>
      <c r="G12" s="142">
        <v>3350.7948410687486</v>
      </c>
      <c r="H12" s="143">
        <f t="shared" si="0"/>
        <v>4255.9705791271199</v>
      </c>
      <c r="I12" s="142"/>
      <c r="J12" s="142">
        <v>346.62252403390465</v>
      </c>
      <c r="K12" s="142">
        <v>146.81625999188478</v>
      </c>
      <c r="L12" s="142">
        <v>23.55621897299136</v>
      </c>
      <c r="M12" s="139"/>
      <c r="N12" s="144">
        <f t="shared" si="1"/>
        <v>12.278401673374304</v>
      </c>
      <c r="O12" s="61">
        <f t="shared" si="2"/>
        <v>28.988414357935337</v>
      </c>
      <c r="P12" s="144">
        <f t="shared" si="3"/>
        <v>142.2467181558568</v>
      </c>
      <c r="Q12" s="139"/>
      <c r="R12" s="142">
        <v>954.73655276510442</v>
      </c>
      <c r="S12" s="142">
        <v>55.934800766295972</v>
      </c>
      <c r="T12" s="142">
        <v>6.3739860595623137</v>
      </c>
      <c r="U12" s="145">
        <f t="shared" si="4"/>
        <v>0.42356237639514749</v>
      </c>
    </row>
    <row r="13" spans="2:21" x14ac:dyDescent="0.45">
      <c r="B13" s="139" t="s">
        <v>198</v>
      </c>
      <c r="C13" s="139" t="s">
        <v>199</v>
      </c>
      <c r="D13" s="139" t="s">
        <v>200</v>
      </c>
      <c r="E13" s="140">
        <v>0.12818491000000001</v>
      </c>
      <c r="F13" s="141">
        <v>0.92293135200000009</v>
      </c>
      <c r="G13" s="142">
        <v>2178.7828294468095</v>
      </c>
      <c r="H13" s="143">
        <f t="shared" si="0"/>
        <v>4306.1386985124391</v>
      </c>
      <c r="I13" s="142"/>
      <c r="J13" s="142">
        <v>376.62188481261569</v>
      </c>
      <c r="K13" s="142">
        <v>242.90873907164931</v>
      </c>
      <c r="L13" s="142">
        <v>125.54622055121217</v>
      </c>
      <c r="M13" s="139"/>
      <c r="N13" s="144">
        <f t="shared" si="1"/>
        <v>11.433585970860173</v>
      </c>
      <c r="O13" s="61">
        <f t="shared" si="2"/>
        <v>17.727393073504381</v>
      </c>
      <c r="P13" s="144">
        <f t="shared" si="3"/>
        <v>17.354427874298704</v>
      </c>
      <c r="Q13" s="139"/>
      <c r="R13" s="142">
        <v>2181.3952943139702</v>
      </c>
      <c r="S13" s="142">
        <v>54.299384245820001</v>
      </c>
      <c r="T13" s="142">
        <v>0.25995899748000001</v>
      </c>
      <c r="U13" s="145">
        <f t="shared" si="4"/>
        <v>0.64496713777667491</v>
      </c>
    </row>
    <row r="14" spans="2:21" x14ac:dyDescent="0.45">
      <c r="B14" s="56" t="s">
        <v>104</v>
      </c>
      <c r="C14" s="56" t="s">
        <v>71</v>
      </c>
      <c r="D14" s="56" t="s">
        <v>92</v>
      </c>
      <c r="E14" s="57">
        <v>1.111E-2</v>
      </c>
      <c r="F14" s="58">
        <v>15.75</v>
      </c>
      <c r="G14" s="59">
        <v>1139.5188479999999</v>
      </c>
      <c r="H14" s="60">
        <f t="shared" si="0"/>
        <v>1538.3011879999999</v>
      </c>
      <c r="I14" s="59"/>
      <c r="J14" s="59">
        <v>472.73693491199998</v>
      </c>
      <c r="K14" s="59">
        <v>82.182947461119994</v>
      </c>
      <c r="L14" s="59" t="s">
        <v>91</v>
      </c>
      <c r="M14" s="56"/>
      <c r="N14" s="61">
        <f t="shared" si="1"/>
        <v>3.2540321569888651</v>
      </c>
      <c r="O14" s="61">
        <f t="shared" si="2"/>
        <v>18.718009459660184</v>
      </c>
      <c r="P14" s="61" t="str">
        <f t="shared" si="3"/>
        <v>-</v>
      </c>
      <c r="Q14" s="56"/>
      <c r="R14" s="59">
        <v>427.30171000000001</v>
      </c>
      <c r="S14" s="59">
        <v>28.519369999999999</v>
      </c>
      <c r="T14" s="59">
        <v>0</v>
      </c>
      <c r="U14" s="62">
        <f t="shared" si="4"/>
        <v>0.17384498944728818</v>
      </c>
    </row>
    <row r="15" spans="2:21" x14ac:dyDescent="0.45">
      <c r="B15" s="139" t="s">
        <v>204</v>
      </c>
      <c r="C15" s="139" t="s">
        <v>202</v>
      </c>
      <c r="D15" s="139" t="s">
        <v>203</v>
      </c>
      <c r="E15" s="140">
        <v>0.79358150000000005</v>
      </c>
      <c r="F15" s="141">
        <v>1.6823927800000003</v>
      </c>
      <c r="G15" s="142">
        <v>4800.4813032212487</v>
      </c>
      <c r="H15" s="143">
        <f t="shared" si="0"/>
        <v>7279.0609112857492</v>
      </c>
      <c r="I15" s="142"/>
      <c r="J15" s="142">
        <v>555.67526388339195</v>
      </c>
      <c r="K15" s="142">
        <v>362.69371457369601</v>
      </c>
      <c r="L15" s="142">
        <v>262.98734768084802</v>
      </c>
      <c r="M15" s="139"/>
      <c r="N15" s="144">
        <f t="shared" si="1"/>
        <v>13.099487028476501</v>
      </c>
      <c r="O15" s="61">
        <f t="shared" si="2"/>
        <v>20.06944322109754</v>
      </c>
      <c r="P15" s="144">
        <f t="shared" si="3"/>
        <v>18.253658761739899</v>
      </c>
      <c r="Q15" s="139"/>
      <c r="R15" s="142">
        <v>2562.9873171490003</v>
      </c>
      <c r="S15" s="142">
        <v>86.694810967500004</v>
      </c>
      <c r="T15" s="142">
        <v>2.2871018830000001</v>
      </c>
      <c r="U15" s="145">
        <f t="shared" si="4"/>
        <v>0.65270804397333593</v>
      </c>
    </row>
    <row r="16" spans="2:21" x14ac:dyDescent="0.45">
      <c r="B16" s="56" t="s">
        <v>105</v>
      </c>
      <c r="C16" s="56" t="s">
        <v>23</v>
      </c>
      <c r="D16" s="56" t="s">
        <v>90</v>
      </c>
      <c r="E16" s="57">
        <v>0.14362449999999999</v>
      </c>
      <c r="F16" s="58">
        <v>2.0768102699999997</v>
      </c>
      <c r="G16" s="59">
        <v>3733.2591216762876</v>
      </c>
      <c r="H16" s="60">
        <f t="shared" si="0"/>
        <v>4366.7103641605117</v>
      </c>
      <c r="I16" s="59"/>
      <c r="J16" s="59">
        <v>995.89127188351983</v>
      </c>
      <c r="K16" s="59">
        <v>163.15496855257601</v>
      </c>
      <c r="L16" s="59">
        <v>23.5482708714</v>
      </c>
      <c r="M16" s="56"/>
      <c r="N16" s="61">
        <f t="shared" si="1"/>
        <v>4.3847260112058146</v>
      </c>
      <c r="O16" s="61">
        <f t="shared" si="2"/>
        <v>26.764188690664099</v>
      </c>
      <c r="P16" s="61">
        <f t="shared" si="3"/>
        <v>158.53644380362678</v>
      </c>
      <c r="Q16" s="56"/>
      <c r="R16" s="59">
        <v>817.33283330366589</v>
      </c>
      <c r="S16" s="59">
        <v>263.49311208487848</v>
      </c>
      <c r="T16" s="59">
        <v>79.61152126543665</v>
      </c>
      <c r="U16" s="62">
        <f t="shared" si="4"/>
        <v>0.16382809364721365</v>
      </c>
    </row>
    <row r="17" spans="1:21" x14ac:dyDescent="0.45">
      <c r="B17" s="56" t="s">
        <v>102</v>
      </c>
      <c r="C17" s="56" t="s">
        <v>23</v>
      </c>
      <c r="D17" s="56" t="s">
        <v>90</v>
      </c>
      <c r="E17" s="57">
        <v>0.14000000000000001</v>
      </c>
      <c r="F17" s="58">
        <v>10.79</v>
      </c>
      <c r="G17" s="59">
        <v>2902.7893760000002</v>
      </c>
      <c r="H17" s="60">
        <f t="shared" si="0"/>
        <v>6403.2468960000006</v>
      </c>
      <c r="I17" s="59"/>
      <c r="J17" s="59">
        <v>1331.1985254400001</v>
      </c>
      <c r="K17" s="59">
        <v>424.44304896000006</v>
      </c>
      <c r="L17" s="59" t="s">
        <v>91</v>
      </c>
      <c r="M17" s="56"/>
      <c r="N17" s="61">
        <f t="shared" si="1"/>
        <v>4.8101367103629711</v>
      </c>
      <c r="O17" s="61">
        <f t="shared" si="2"/>
        <v>15.086233386763389</v>
      </c>
      <c r="P17" s="61" t="str">
        <f t="shared" si="3"/>
        <v>-</v>
      </c>
      <c r="Q17" s="56"/>
      <c r="R17" s="59">
        <v>3732.64878</v>
      </c>
      <c r="S17" s="59">
        <v>490.42196000000007</v>
      </c>
      <c r="T17" s="59">
        <v>258.23070000000001</v>
      </c>
      <c r="U17" s="62">
        <f t="shared" si="4"/>
        <v>0.31884278779508801</v>
      </c>
    </row>
    <row r="18" spans="1:21" x14ac:dyDescent="0.45">
      <c r="B18" s="56" t="s">
        <v>98</v>
      </c>
      <c r="C18" s="56" t="s">
        <v>23</v>
      </c>
      <c r="D18" s="56" t="s">
        <v>90</v>
      </c>
      <c r="E18" s="57">
        <v>0.14000000000000001</v>
      </c>
      <c r="F18" s="58">
        <v>43.56</v>
      </c>
      <c r="G18" s="59">
        <v>8342.2684160000008</v>
      </c>
      <c r="H18" s="60">
        <f t="shared" si="0"/>
        <v>13051.496996000002</v>
      </c>
      <c r="I18" s="59"/>
      <c r="J18" s="59">
        <v>1568.1727488000001</v>
      </c>
      <c r="K18" s="59">
        <v>680.34649088000003</v>
      </c>
      <c r="L18" s="59">
        <v>163.14283776000002</v>
      </c>
      <c r="M18" s="56"/>
      <c r="N18" s="61">
        <f t="shared" si="1"/>
        <v>8.3227418701079277</v>
      </c>
      <c r="O18" s="61">
        <f t="shared" si="2"/>
        <v>19.18360301839498</v>
      </c>
      <c r="P18" s="61">
        <f t="shared" si="3"/>
        <v>51.134751182104239</v>
      </c>
      <c r="Q18" s="56"/>
      <c r="R18" s="59">
        <v>6575.0258000000003</v>
      </c>
      <c r="S18" s="59">
        <v>1882.1150600000001</v>
      </c>
      <c r="T18" s="59">
        <v>16.31784</v>
      </c>
      <c r="U18" s="62">
        <f t="shared" si="4"/>
        <v>0.43384664820927155</v>
      </c>
    </row>
    <row r="19" spans="1:21" x14ac:dyDescent="0.45">
      <c r="B19" s="65" t="s">
        <v>108</v>
      </c>
      <c r="C19" s="65" t="s">
        <v>95</v>
      </c>
      <c r="D19" s="65" t="s">
        <v>96</v>
      </c>
      <c r="E19" s="66">
        <v>1</v>
      </c>
      <c r="F19" s="67">
        <v>92.98</v>
      </c>
      <c r="G19" s="68">
        <v>46333.562879999998</v>
      </c>
      <c r="H19" s="69">
        <f t="shared" si="0"/>
        <v>63247.440880000002</v>
      </c>
      <c r="I19" s="68"/>
      <c r="J19" s="68">
        <v>4306.5262080000002</v>
      </c>
      <c r="K19" s="68">
        <v>2184.1390080000001</v>
      </c>
      <c r="L19" s="68" t="s">
        <v>91</v>
      </c>
      <c r="M19" s="65"/>
      <c r="N19" s="70">
        <f t="shared" si="1"/>
        <v>14.686417271189169</v>
      </c>
      <c r="O19" s="61">
        <f t="shared" si="2"/>
        <v>28.957607848373723</v>
      </c>
      <c r="P19" s="70" t="str">
        <f t="shared" si="3"/>
        <v>-</v>
      </c>
      <c r="Q19" s="65"/>
      <c r="R19" s="68">
        <v>18808.276999999998</v>
      </c>
      <c r="S19" s="68">
        <v>1894.3989999999999</v>
      </c>
      <c r="T19" s="68">
        <v>0</v>
      </c>
      <c r="U19" s="71">
        <f t="shared" si="4"/>
        <v>0.50716956138398595</v>
      </c>
    </row>
    <row r="20" spans="1:21" x14ac:dyDescent="0.45">
      <c r="B20" s="56" t="s">
        <v>97</v>
      </c>
      <c r="C20" s="56" t="s">
        <v>95</v>
      </c>
      <c r="D20" s="56" t="s">
        <v>96</v>
      </c>
      <c r="E20" s="57">
        <v>1</v>
      </c>
      <c r="F20" s="58">
        <v>160.11500000000001</v>
      </c>
      <c r="G20" s="59">
        <v>55992.946688000004</v>
      </c>
      <c r="H20" s="60">
        <f t="shared" si="0"/>
        <v>74167.936688000002</v>
      </c>
      <c r="I20" s="59"/>
      <c r="J20" s="59">
        <v>5841.0357759999997</v>
      </c>
      <c r="K20" s="59">
        <v>2662.960896</v>
      </c>
      <c r="L20" s="59">
        <v>1358.7869439999999</v>
      </c>
      <c r="M20" s="56"/>
      <c r="N20" s="61">
        <f t="shared" si="1"/>
        <v>12.697737102166998</v>
      </c>
      <c r="O20" s="61">
        <f t="shared" si="2"/>
        <v>27.851680736058395</v>
      </c>
      <c r="P20" s="61">
        <f t="shared" si="3"/>
        <v>41.208039961855867</v>
      </c>
      <c r="Q20" s="56"/>
      <c r="R20" s="59">
        <v>19510.501</v>
      </c>
      <c r="S20" s="59">
        <v>3299.703</v>
      </c>
      <c r="T20" s="59">
        <v>1964.192</v>
      </c>
      <c r="U20" s="62">
        <f t="shared" si="4"/>
        <v>0.45590559587765828</v>
      </c>
    </row>
    <row r="21" spans="1:21" x14ac:dyDescent="0.45">
      <c r="B21" s="56" t="s">
        <v>107</v>
      </c>
      <c r="C21" s="56" t="s">
        <v>95</v>
      </c>
      <c r="D21" s="56" t="s">
        <v>96</v>
      </c>
      <c r="E21" s="57">
        <v>1</v>
      </c>
      <c r="F21" s="58">
        <v>93.694999999999993</v>
      </c>
      <c r="G21" s="59">
        <v>27695.257600000001</v>
      </c>
      <c r="H21" s="60">
        <f t="shared" si="0"/>
        <v>46251.270600000003</v>
      </c>
      <c r="I21" s="59"/>
      <c r="J21" s="59">
        <v>6639.8489600000003</v>
      </c>
      <c r="K21" s="59">
        <v>2233.931008</v>
      </c>
      <c r="L21" s="59">
        <v>159.25299200000001</v>
      </c>
      <c r="M21" s="56"/>
      <c r="N21" s="61">
        <f t="shared" si="1"/>
        <v>6.9657112501547029</v>
      </c>
      <c r="O21" s="61">
        <f t="shared" si="2"/>
        <v>20.703983441909411</v>
      </c>
      <c r="P21" s="61">
        <f t="shared" si="3"/>
        <v>173.9072983947454</v>
      </c>
      <c r="Q21" s="56"/>
      <c r="R21" s="59">
        <v>18477.060000000001</v>
      </c>
      <c r="S21" s="59">
        <v>195.21</v>
      </c>
      <c r="T21" s="59">
        <v>274.16300000000001</v>
      </c>
      <c r="U21" s="62">
        <f t="shared" si="4"/>
        <v>0.33644304583699447</v>
      </c>
    </row>
    <row r="22" spans="1:21" x14ac:dyDescent="0.45">
      <c r="B22" s="56" t="s">
        <v>68</v>
      </c>
      <c r="C22" s="56" t="s">
        <v>95</v>
      </c>
      <c r="D22" s="56" t="s">
        <v>96</v>
      </c>
      <c r="E22" s="57">
        <v>1</v>
      </c>
      <c r="F22" s="58">
        <v>795.78499999999997</v>
      </c>
      <c r="G22" s="59">
        <v>78135.009279999998</v>
      </c>
      <c r="H22" s="60">
        <f t="shared" si="0"/>
        <v>97063.009279999998</v>
      </c>
      <c r="I22" s="59"/>
      <c r="J22" s="59">
        <v>9075.9997440000006</v>
      </c>
      <c r="K22" s="59">
        <v>3900</v>
      </c>
      <c r="L22" s="59">
        <v>1071</v>
      </c>
      <c r="M22" s="56"/>
      <c r="N22" s="61">
        <f t="shared" si="1"/>
        <v>10.694470253171483</v>
      </c>
      <c r="O22" s="61">
        <f t="shared" si="2"/>
        <v>24.887951097435899</v>
      </c>
      <c r="P22" s="61">
        <f t="shared" si="3"/>
        <v>72.955190737628385</v>
      </c>
      <c r="Q22" s="56"/>
      <c r="R22" s="59">
        <v>20982</v>
      </c>
      <c r="S22" s="59">
        <v>2077</v>
      </c>
      <c r="T22" s="59">
        <v>23</v>
      </c>
      <c r="U22" s="62">
        <f t="shared" si="4"/>
        <v>0.42970472785416591</v>
      </c>
    </row>
    <row r="23" spans="1:21" x14ac:dyDescent="0.45">
      <c r="B23" s="56"/>
      <c r="C23" s="56"/>
      <c r="D23" s="56"/>
      <c r="E23" s="63"/>
      <c r="F23" s="56"/>
      <c r="G23" s="56"/>
      <c r="H23" s="56"/>
      <c r="I23" s="56"/>
      <c r="J23" s="56"/>
      <c r="K23" s="56"/>
      <c r="L23" s="56"/>
      <c r="M23" s="56"/>
      <c r="N23" s="63"/>
      <c r="O23" s="63"/>
      <c r="P23" s="56"/>
      <c r="Q23" s="56"/>
    </row>
    <row r="24" spans="1:21" x14ac:dyDescent="0.45">
      <c r="B24" s="83" t="s">
        <v>93</v>
      </c>
      <c r="C24" s="84"/>
      <c r="D24" s="84"/>
      <c r="E24" s="85"/>
      <c r="F24" s="84"/>
      <c r="G24" s="84"/>
      <c r="H24" s="84"/>
      <c r="I24" s="84"/>
      <c r="J24" s="84"/>
      <c r="K24" s="84"/>
      <c r="L24" s="84"/>
      <c r="M24" s="84"/>
      <c r="N24" s="86">
        <f>AVERAGE(N6:N22)</f>
        <v>23.241955493634006</v>
      </c>
      <c r="O24" s="86">
        <f>AVERAGE(O6:O22)</f>
        <v>74.908500579531278</v>
      </c>
      <c r="P24" s="86">
        <f>AVERAGE(P6:P22)</f>
        <v>111.07836159751129</v>
      </c>
      <c r="Q24" s="84"/>
      <c r="R24" s="86"/>
      <c r="S24" s="86"/>
      <c r="T24" s="86"/>
      <c r="U24" s="87">
        <f>AVERAGE(U6:U22)</f>
        <v>0.38358472790536596</v>
      </c>
    </row>
    <row r="25" spans="1:21" x14ac:dyDescent="0.45">
      <c r="B25" s="84" t="s">
        <v>94</v>
      </c>
      <c r="C25" s="84"/>
      <c r="D25" s="84"/>
      <c r="E25" s="85"/>
      <c r="F25" s="84"/>
      <c r="G25" s="84"/>
      <c r="H25" s="84"/>
      <c r="I25" s="84"/>
      <c r="J25" s="84"/>
      <c r="K25" s="84"/>
      <c r="L25" s="84"/>
      <c r="M25" s="84"/>
      <c r="N25" s="86">
        <f>MEDIAN(N6:N22)</f>
        <v>12.278401673374304</v>
      </c>
      <c r="O25" s="86">
        <f>MEDIAN(O6:O22)</f>
        <v>25.412697284517968</v>
      </c>
      <c r="P25" s="86">
        <f>MEDIAN(P6:P22)</f>
        <v>62.50274229178077</v>
      </c>
      <c r="Q25" s="84"/>
      <c r="R25" s="86"/>
      <c r="S25" s="86"/>
      <c r="T25" s="86"/>
      <c r="U25" s="87">
        <f>MEDIAN(U6:U22)</f>
        <v>0.42356237639514749</v>
      </c>
    </row>
    <row r="26" spans="1:21" x14ac:dyDescent="0.45">
      <c r="C26" s="134"/>
    </row>
    <row r="27" spans="1:21" ht="14.65" thickBot="1" x14ac:dyDescent="0.5"/>
    <row r="28" spans="1:21" ht="25.9" customHeight="1" x14ac:dyDescent="0.45">
      <c r="B28" s="73" t="s">
        <v>109</v>
      </c>
      <c r="C28" s="81" t="s">
        <v>110</v>
      </c>
      <c r="D28" s="81" t="s">
        <v>112</v>
      </c>
      <c r="E28" s="81" t="s">
        <v>111</v>
      </c>
      <c r="F28" s="82" t="s">
        <v>113</v>
      </c>
    </row>
    <row r="29" spans="1:21" x14ac:dyDescent="0.45">
      <c r="A29" s="72" t="s">
        <v>114</v>
      </c>
      <c r="B29" s="74" t="s">
        <v>119</v>
      </c>
      <c r="C29" s="64">
        <f>COUNTIFS($J$6:$J$22,$A29,$J$6:$J$22,$G29)</f>
        <v>11</v>
      </c>
      <c r="D29" s="75">
        <f>AVERAGEIFS($N$6:$N$22,$J$6:$J$22,$A29,$J$6:$J$22,$G29)</f>
        <v>30.630548084965895</v>
      </c>
      <c r="E29" s="75">
        <f>AVERAGEIFS($O$6:$O$22,$J$6:$J$22,$A29,$J$6:$J$22,$G29)</f>
        <v>106.18649497435646</v>
      </c>
      <c r="F29" s="76">
        <f>AVERAGEIFS($U$6:$U$22,$J$6:$J$22,$A29,$J$6:$J$22,$G29)</f>
        <v>0.36718436431218698</v>
      </c>
      <c r="G29" s="72" t="s">
        <v>115</v>
      </c>
      <c r="J29" s="72"/>
    </row>
    <row r="30" spans="1:21" x14ac:dyDescent="0.45">
      <c r="A30" s="72" t="s">
        <v>116</v>
      </c>
      <c r="B30" s="74" t="s">
        <v>120</v>
      </c>
      <c r="C30" s="64">
        <f>COUNTIFS($J$6:$J$22,$A30,$J$6:$J$22,$G30)</f>
        <v>3</v>
      </c>
      <c r="D30" s="75">
        <f>AVERAGEIFS($N$6:$N$22,$J$6:$J$22,$A30,$J$6:$J$22,$G30)</f>
        <v>9.2730986172200218</v>
      </c>
      <c r="E30" s="75">
        <f>AVERAGEIFS($O$6:$O$22,$J$6:$J$22,$A30,$J$6:$J$22,$G30)</f>
        <v>21.075814751177365</v>
      </c>
      <c r="F30" s="76">
        <f>AVERAGEIFS($U$6:$U$22,$J$6:$J$22,$A30,$J$6:$J$22,$G30)</f>
        <v>0.41995299912944856</v>
      </c>
      <c r="G30" s="72" t="s">
        <v>117</v>
      </c>
      <c r="J30" s="72"/>
    </row>
    <row r="31" spans="1:21" ht="14.65" thickBot="1" x14ac:dyDescent="0.5">
      <c r="A31" s="72" t="s">
        <v>118</v>
      </c>
      <c r="B31" s="77" t="s">
        <v>121</v>
      </c>
      <c r="C31" s="79">
        <f>COUNTIFS($J$6:$J$22,$A31,$J$6:$J$22,$G31)</f>
        <v>3</v>
      </c>
      <c r="D31" s="78">
        <f>AVERAGEIFS($N$6:$N$22,$J$6:$J$22,$A31,$J$6:$J$22,$G31)</f>
        <v>10.11930620183106</v>
      </c>
      <c r="E31" s="78">
        <f>AVERAGEIFS($O$6:$O$22,$J$6:$J$22,$A31,$J$6:$J$22,$G31)</f>
        <v>24.481205091801232</v>
      </c>
      <c r="F31" s="80">
        <f>AVERAGEIFS($U$6:$U$22,$J$6:$J$22,$A31,$J$6:$J$22,$G31)</f>
        <v>0.40735112318960626</v>
      </c>
      <c r="G31" s="72" t="s">
        <v>118</v>
      </c>
      <c r="J31" s="72"/>
    </row>
    <row r="33" spans="2:3" x14ac:dyDescent="0.45">
      <c r="B33" s="88" t="s">
        <v>125</v>
      </c>
    </row>
    <row r="42" spans="2:3" x14ac:dyDescent="0.45">
      <c r="C42" s="134"/>
    </row>
  </sheetData>
  <mergeCells count="4">
    <mergeCell ref="F3:H3"/>
    <mergeCell ref="J3:L3"/>
    <mergeCell ref="N3:P3"/>
    <mergeCell ref="R3:U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Tab</vt:lpstr>
      <vt:lpstr>Projections</vt:lpstr>
      <vt:lpstr>Scenario assumptions</vt:lpstr>
      <vt:lpstr>Trading Comparable 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Harsh Jindal</cp:lastModifiedBy>
  <cp:revision>0</cp:revision>
  <cp:lastPrinted>2026-01-28T13:07:10Z</cp:lastPrinted>
  <dcterms:created xsi:type="dcterms:W3CDTF">2026-01-22T08:47:54Z</dcterms:created>
  <dcterms:modified xsi:type="dcterms:W3CDTF">2026-03-05T08:35:24Z</dcterms:modified>
  <dc:language>en-US</dc:language>
</cp:coreProperties>
</file>