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cess Heaters\Calculation Modules\TNA Owned\"/>
    </mc:Choice>
  </mc:AlternateContent>
  <bookViews>
    <workbookView xWindow="6000" yWindow="1215" windowWidth="15480" windowHeight="8415" tabRatio="871"/>
  </bookViews>
  <sheets>
    <sheet name="US" sheetId="19" r:id="rId1"/>
    <sheet name="Combustion Details(US)" sheetId="17" state="hidden" r:id="rId2"/>
    <sheet name="Flue Gas, Air Enth (US)" sheetId="21" state="hidden" r:id="rId3"/>
    <sheet name="Flue Enth (US)" sheetId="4" state="hidden" r:id="rId4"/>
    <sheet name="SI" sheetId="22" r:id="rId5"/>
    <sheet name="Combustion Details(SI)" sheetId="23" state="hidden" r:id="rId6"/>
    <sheet name="Flue Gas, Air Enth (SI)" sheetId="24" state="hidden" r:id="rId7"/>
    <sheet name="Flue Enth (SI)" sheetId="25" state="hidden" r:id="rId8"/>
  </sheets>
  <definedNames>
    <definedName name="_xlnm.Print_Area" localSheetId="5">'Combustion Details(SI)'!$A$1:$R$38</definedName>
    <definedName name="_xlnm.Print_Area" localSheetId="1">'Combustion Details(US)'!$A$1:$R$38</definedName>
    <definedName name="_xlnm.Print_Area" localSheetId="4">SI!$A$1:$K$45</definedName>
    <definedName name="_xlnm.Print_Area" localSheetId="0">US!$A$1:$K$45</definedName>
    <definedName name="_xlnm.Print_Titles" localSheetId="5">'Combustion Details(SI)'!$A:$A</definedName>
    <definedName name="_xlnm.Print_Titles" localSheetId="1">'Combustion Details(US)'!$A:$A</definedName>
  </definedNames>
  <calcPr calcId="152511"/>
</workbook>
</file>

<file path=xl/calcChain.xml><?xml version="1.0" encoding="utf-8"?>
<calcChain xmlns="http://schemas.openxmlformats.org/spreadsheetml/2006/main">
  <c r="M37" i="25" l="1"/>
  <c r="B45" i="23" l="1"/>
  <c r="B1" i="25"/>
  <c r="H33" i="25" s="1"/>
  <c r="J33" i="25" s="1"/>
  <c r="K33" i="25" s="1"/>
  <c r="B36" i="24"/>
  <c r="I37" i="24" s="1"/>
  <c r="K37" i="24" s="1"/>
  <c r="M37" i="24" s="1"/>
  <c r="B1" i="24"/>
  <c r="B35" i="23"/>
  <c r="B33" i="23"/>
  <c r="D33" i="23" s="1"/>
  <c r="B30" i="23"/>
  <c r="D30" i="23" s="1"/>
  <c r="B26" i="23"/>
  <c r="D26" i="23" s="1"/>
  <c r="B25" i="23"/>
  <c r="B24" i="23"/>
  <c r="D24" i="23" s="1"/>
  <c r="B23" i="23"/>
  <c r="D23" i="23" s="1"/>
  <c r="B19" i="23"/>
  <c r="D19" i="23" s="1"/>
  <c r="B17" i="23"/>
  <c r="B15" i="23"/>
  <c r="D15" i="23" s="1"/>
  <c r="B14" i="23"/>
  <c r="D14" i="23" s="1"/>
  <c r="B13" i="23"/>
  <c r="D13" i="23" s="1"/>
  <c r="B12" i="23"/>
  <c r="D12" i="23" s="1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4" i="23"/>
  <c r="B46" i="23"/>
  <c r="B43" i="23"/>
  <c r="B41" i="23"/>
  <c r="E41" i="23" s="1"/>
  <c r="B42" i="23"/>
  <c r="I44" i="24"/>
  <c r="K44" i="24" s="1"/>
  <c r="M44" i="24" s="1"/>
  <c r="I43" i="24"/>
  <c r="K43" i="24" s="1"/>
  <c r="M43" i="24" s="1"/>
  <c r="I26" i="24"/>
  <c r="K26" i="24" s="1"/>
  <c r="I25" i="24"/>
  <c r="K25" i="24" s="1"/>
  <c r="M25" i="24" s="1"/>
  <c r="I24" i="24"/>
  <c r="K24" i="24" s="1"/>
  <c r="I23" i="24"/>
  <c r="K23" i="24" s="1"/>
  <c r="I22" i="24"/>
  <c r="K22" i="24" s="1"/>
  <c r="I21" i="24"/>
  <c r="K21" i="24" s="1"/>
  <c r="D36" i="23"/>
  <c r="L36" i="23" s="1"/>
  <c r="D35" i="23"/>
  <c r="D34" i="23"/>
  <c r="D32" i="23"/>
  <c r="D31" i="23"/>
  <c r="D29" i="23"/>
  <c r="D28" i="23"/>
  <c r="D27" i="23"/>
  <c r="D25" i="23"/>
  <c r="D22" i="23"/>
  <c r="D21" i="23"/>
  <c r="D20" i="23"/>
  <c r="D18" i="23"/>
  <c r="D17" i="23"/>
  <c r="D16" i="23"/>
  <c r="D5" i="23"/>
  <c r="D3" i="23"/>
  <c r="P3" i="23" s="1"/>
  <c r="E25" i="22"/>
  <c r="H3" i="23" l="1"/>
  <c r="L12" i="23"/>
  <c r="L16" i="23"/>
  <c r="P21" i="23"/>
  <c r="L25" i="23"/>
  <c r="P29" i="23"/>
  <c r="L35" i="23"/>
  <c r="J7" i="23"/>
  <c r="R11" i="23"/>
  <c r="L17" i="23"/>
  <c r="P22" i="23"/>
  <c r="P27" i="23"/>
  <c r="P31" i="23"/>
  <c r="R5" i="23"/>
  <c r="L18" i="23"/>
  <c r="N22" i="23"/>
  <c r="N27" i="23"/>
  <c r="P32" i="23"/>
  <c r="N9" i="23"/>
  <c r="L3" i="23"/>
  <c r="P20" i="23"/>
  <c r="P28" i="23"/>
  <c r="L34" i="23"/>
  <c r="L6" i="23"/>
  <c r="L14" i="23"/>
  <c r="P23" i="23"/>
  <c r="P30" i="23"/>
  <c r="J29" i="23"/>
  <c r="N21" i="23"/>
  <c r="J28" i="23"/>
  <c r="N28" i="23"/>
  <c r="N5" i="23"/>
  <c r="N16" i="23"/>
  <c r="J21" i="23"/>
  <c r="J22" i="23"/>
  <c r="F29" i="23"/>
  <c r="P17" i="23"/>
  <c r="N20" i="23"/>
  <c r="N29" i="23"/>
  <c r="F22" i="23"/>
  <c r="R34" i="23"/>
  <c r="R16" i="23"/>
  <c r="R20" i="23"/>
  <c r="R27" i="23"/>
  <c r="F34" i="23"/>
  <c r="H36" i="23"/>
  <c r="F16" i="23"/>
  <c r="H18" i="23"/>
  <c r="F20" i="23"/>
  <c r="R21" i="23"/>
  <c r="F27" i="23"/>
  <c r="R28" i="23"/>
  <c r="J34" i="23"/>
  <c r="H35" i="23"/>
  <c r="P36" i="23"/>
  <c r="I38" i="24"/>
  <c r="K38" i="24" s="1"/>
  <c r="M38" i="24" s="1"/>
  <c r="M39" i="24" s="1"/>
  <c r="F5" i="23"/>
  <c r="R7" i="23"/>
  <c r="P12" i="23"/>
  <c r="J16" i="23"/>
  <c r="H17" i="23"/>
  <c r="P18" i="23"/>
  <c r="J20" i="23"/>
  <c r="F21" i="23"/>
  <c r="R22" i="23"/>
  <c r="H25" i="23"/>
  <c r="J27" i="23"/>
  <c r="F28" i="23"/>
  <c r="R29" i="23"/>
  <c r="N34" i="23"/>
  <c r="P35" i="23"/>
  <c r="P25" i="23"/>
  <c r="R15" i="23"/>
  <c r="J15" i="23"/>
  <c r="F13" i="23"/>
  <c r="N13" i="23"/>
  <c r="H12" i="23"/>
  <c r="B37" i="23"/>
  <c r="L8" i="23"/>
  <c r="P8" i="23"/>
  <c r="H8" i="23"/>
  <c r="E42" i="23"/>
  <c r="H6" i="25"/>
  <c r="J6" i="25" s="1"/>
  <c r="K6" i="25" s="1"/>
  <c r="H14" i="25"/>
  <c r="J14" i="25" s="1"/>
  <c r="K14" i="25" s="1"/>
  <c r="H18" i="25"/>
  <c r="J18" i="25" s="1"/>
  <c r="K18" i="25" s="1"/>
  <c r="H22" i="25"/>
  <c r="J22" i="25" s="1"/>
  <c r="K22" i="25" s="1"/>
  <c r="H26" i="25"/>
  <c r="J26" i="25" s="1"/>
  <c r="K26" i="25" s="1"/>
  <c r="H3" i="25"/>
  <c r="J3" i="25" s="1"/>
  <c r="K3" i="25" s="1"/>
  <c r="H4" i="25"/>
  <c r="J4" i="25" s="1"/>
  <c r="K4" i="25" s="1"/>
  <c r="H8" i="25"/>
  <c r="J8" i="25" s="1"/>
  <c r="K8" i="25" s="1"/>
  <c r="H12" i="25"/>
  <c r="J12" i="25" s="1"/>
  <c r="K12" i="25" s="1"/>
  <c r="H16" i="25"/>
  <c r="J16" i="25" s="1"/>
  <c r="K16" i="25" s="1"/>
  <c r="H20" i="25"/>
  <c r="J20" i="25" s="1"/>
  <c r="K20" i="25" s="1"/>
  <c r="H24" i="25"/>
  <c r="J24" i="25" s="1"/>
  <c r="K24" i="25" s="1"/>
  <c r="H28" i="25"/>
  <c r="J28" i="25" s="1"/>
  <c r="K28" i="25" s="1"/>
  <c r="H32" i="25"/>
  <c r="J32" i="25" s="1"/>
  <c r="K32" i="25" s="1"/>
  <c r="H10" i="25"/>
  <c r="J10" i="25" s="1"/>
  <c r="K10" i="25" s="1"/>
  <c r="H30" i="25"/>
  <c r="J30" i="25" s="1"/>
  <c r="K30" i="25" s="1"/>
  <c r="H34" i="25"/>
  <c r="J34" i="25" s="1"/>
  <c r="K34" i="25" s="1"/>
  <c r="H7" i="25"/>
  <c r="J7" i="25" s="1"/>
  <c r="K7" i="25" s="1"/>
  <c r="H11" i="25"/>
  <c r="J11" i="25" s="1"/>
  <c r="K11" i="25" s="1"/>
  <c r="H15" i="25"/>
  <c r="J15" i="25" s="1"/>
  <c r="K15" i="25" s="1"/>
  <c r="H19" i="25"/>
  <c r="J19" i="25" s="1"/>
  <c r="K19" i="25" s="1"/>
  <c r="H23" i="25"/>
  <c r="J23" i="25" s="1"/>
  <c r="K23" i="25" s="1"/>
  <c r="H27" i="25"/>
  <c r="J27" i="25" s="1"/>
  <c r="K27" i="25" s="1"/>
  <c r="H31" i="25"/>
  <c r="J31" i="25" s="1"/>
  <c r="K31" i="25" s="1"/>
  <c r="H35" i="25"/>
  <c r="J35" i="25" s="1"/>
  <c r="K35" i="25" s="1"/>
  <c r="H5" i="25"/>
  <c r="J5" i="25" s="1"/>
  <c r="K5" i="25" s="1"/>
  <c r="H9" i="25"/>
  <c r="J9" i="25" s="1"/>
  <c r="K9" i="25" s="1"/>
  <c r="H13" i="25"/>
  <c r="J13" i="25" s="1"/>
  <c r="K13" i="25" s="1"/>
  <c r="H17" i="25"/>
  <c r="J17" i="25" s="1"/>
  <c r="K17" i="25" s="1"/>
  <c r="H21" i="25"/>
  <c r="J21" i="25" s="1"/>
  <c r="K21" i="25" s="1"/>
  <c r="H25" i="25"/>
  <c r="J25" i="25" s="1"/>
  <c r="K25" i="25" s="1"/>
  <c r="H29" i="25"/>
  <c r="J29" i="25" s="1"/>
  <c r="K29" i="25" s="1"/>
  <c r="M45" i="24"/>
  <c r="I7" i="24"/>
  <c r="K7" i="24" s="1"/>
  <c r="I15" i="24"/>
  <c r="K15" i="24" s="1"/>
  <c r="I2" i="24"/>
  <c r="K2" i="24" s="1"/>
  <c r="I3" i="24"/>
  <c r="K3" i="24" s="1"/>
  <c r="I4" i="24"/>
  <c r="K4" i="24" s="1"/>
  <c r="I5" i="24"/>
  <c r="K5" i="24" s="1"/>
  <c r="I6" i="24"/>
  <c r="K6" i="24" s="1"/>
  <c r="M6" i="24" s="1"/>
  <c r="I10" i="24"/>
  <c r="K10" i="24" s="1"/>
  <c r="I11" i="24"/>
  <c r="K11" i="24" s="1"/>
  <c r="I12" i="24"/>
  <c r="K12" i="24" s="1"/>
  <c r="I13" i="24"/>
  <c r="K13" i="24" s="1"/>
  <c r="I14" i="24"/>
  <c r="K14" i="24" s="1"/>
  <c r="M14" i="24" s="1"/>
  <c r="R9" i="23"/>
  <c r="J9" i="23"/>
  <c r="P9" i="23"/>
  <c r="H9" i="23"/>
  <c r="L9" i="23"/>
  <c r="P10" i="23"/>
  <c r="H10" i="23"/>
  <c r="N10" i="23"/>
  <c r="F10" i="23"/>
  <c r="R10" i="23"/>
  <c r="J10" i="23"/>
  <c r="N24" i="23"/>
  <c r="F24" i="23"/>
  <c r="J24" i="23"/>
  <c r="L24" i="23"/>
  <c r="P24" i="23"/>
  <c r="H24" i="23"/>
  <c r="R24" i="23"/>
  <c r="N7" i="23"/>
  <c r="F7" i="23"/>
  <c r="L7" i="23"/>
  <c r="P7" i="23"/>
  <c r="H7" i="23"/>
  <c r="F9" i="23"/>
  <c r="L10" i="23"/>
  <c r="R13" i="23"/>
  <c r="J13" i="23"/>
  <c r="P13" i="23"/>
  <c r="H13" i="23"/>
  <c r="L13" i="23"/>
  <c r="P14" i="23"/>
  <c r="H14" i="23"/>
  <c r="N14" i="23"/>
  <c r="F14" i="23"/>
  <c r="R14" i="23"/>
  <c r="J14" i="23"/>
  <c r="R26" i="23"/>
  <c r="J26" i="23"/>
  <c r="F26" i="23"/>
  <c r="P26" i="23"/>
  <c r="H26" i="23"/>
  <c r="L26" i="23"/>
  <c r="N26" i="23"/>
  <c r="N33" i="23"/>
  <c r="F33" i="23"/>
  <c r="L33" i="23"/>
  <c r="J33" i="23"/>
  <c r="P33" i="23"/>
  <c r="H33" i="23"/>
  <c r="R33" i="23"/>
  <c r="N11" i="23"/>
  <c r="F11" i="23"/>
  <c r="L11" i="23"/>
  <c r="P11" i="23"/>
  <c r="H11" i="23"/>
  <c r="R19" i="23"/>
  <c r="J19" i="23"/>
  <c r="P19" i="23"/>
  <c r="H19" i="23"/>
  <c r="N19" i="23"/>
  <c r="L19" i="23"/>
  <c r="F19" i="23"/>
  <c r="P6" i="23"/>
  <c r="H6" i="23"/>
  <c r="N6" i="23"/>
  <c r="F6" i="23"/>
  <c r="R6" i="23"/>
  <c r="J6" i="23"/>
  <c r="J11" i="23"/>
  <c r="N15" i="23"/>
  <c r="F15" i="23"/>
  <c r="L15" i="23"/>
  <c r="P15" i="23"/>
  <c r="H15" i="23"/>
  <c r="L23" i="23"/>
  <c r="F3" i="23"/>
  <c r="N3" i="23"/>
  <c r="D4" i="23"/>
  <c r="L5" i="23"/>
  <c r="F8" i="23"/>
  <c r="N8" i="23"/>
  <c r="F12" i="23"/>
  <c r="N12" i="23"/>
  <c r="H16" i="23"/>
  <c r="P16" i="23"/>
  <c r="F17" i="23"/>
  <c r="N17" i="23"/>
  <c r="F18" i="23"/>
  <c r="N18" i="23"/>
  <c r="L20" i="23"/>
  <c r="L21" i="23"/>
  <c r="L22" i="23"/>
  <c r="J23" i="23"/>
  <c r="R23" i="23"/>
  <c r="F25" i="23"/>
  <c r="N25" i="23"/>
  <c r="L27" i="23"/>
  <c r="L28" i="23"/>
  <c r="L29" i="23"/>
  <c r="J30" i="23"/>
  <c r="R30" i="23"/>
  <c r="J31" i="23"/>
  <c r="R31" i="23"/>
  <c r="J32" i="23"/>
  <c r="R32" i="23"/>
  <c r="H34" i="23"/>
  <c r="P34" i="23"/>
  <c r="F35" i="23"/>
  <c r="N35" i="23"/>
  <c r="F36" i="23"/>
  <c r="N36" i="23"/>
  <c r="B38" i="23"/>
  <c r="C38" i="23" s="1"/>
  <c r="L32" i="23"/>
  <c r="J3" i="23"/>
  <c r="R3" i="23"/>
  <c r="H5" i="23"/>
  <c r="P5" i="23"/>
  <c r="J8" i="23"/>
  <c r="R8" i="23"/>
  <c r="J12" i="23"/>
  <c r="R12" i="23"/>
  <c r="J17" i="23"/>
  <c r="R17" i="23"/>
  <c r="J18" i="23"/>
  <c r="R18" i="23"/>
  <c r="H20" i="23"/>
  <c r="H21" i="23"/>
  <c r="H22" i="23"/>
  <c r="F23" i="23"/>
  <c r="N23" i="23"/>
  <c r="J25" i="23"/>
  <c r="R25" i="23"/>
  <c r="H27" i="23"/>
  <c r="H28" i="23"/>
  <c r="H29" i="23"/>
  <c r="F30" i="23"/>
  <c r="N30" i="23"/>
  <c r="F31" i="23"/>
  <c r="N31" i="23"/>
  <c r="F32" i="23"/>
  <c r="N32" i="23"/>
  <c r="J35" i="23"/>
  <c r="R35" i="23"/>
  <c r="J36" i="23"/>
  <c r="R36" i="23"/>
  <c r="L30" i="23"/>
  <c r="L31" i="23"/>
  <c r="J5" i="23"/>
  <c r="H23" i="23"/>
  <c r="H30" i="23"/>
  <c r="H31" i="23"/>
  <c r="H32" i="23"/>
  <c r="I44" i="21"/>
  <c r="K44" i="21" s="1"/>
  <c r="I43" i="21"/>
  <c r="K43" i="21" s="1"/>
  <c r="I26" i="21"/>
  <c r="K26" i="21" s="1"/>
  <c r="I25" i="21"/>
  <c r="K25" i="21" s="1"/>
  <c r="M25" i="21" s="1"/>
  <c r="I24" i="21"/>
  <c r="K24" i="21" s="1"/>
  <c r="I23" i="21"/>
  <c r="K23" i="21" s="1"/>
  <c r="I22" i="21"/>
  <c r="K22" i="21" s="1"/>
  <c r="I21" i="21"/>
  <c r="K21" i="21" s="1"/>
  <c r="B1" i="4"/>
  <c r="H3" i="4" s="1"/>
  <c r="B46" i="17"/>
  <c r="B45" i="17"/>
  <c r="B36" i="21"/>
  <c r="I38" i="21" s="1"/>
  <c r="K38" i="21" s="1"/>
  <c r="B1" i="21"/>
  <c r="I13" i="21" s="1"/>
  <c r="K13" i="21" s="1"/>
  <c r="B42" i="17"/>
  <c r="D38" i="23" l="1"/>
  <c r="M46" i="24"/>
  <c r="M47" i="24" s="1"/>
  <c r="M48" i="24" s="1"/>
  <c r="D37" i="23"/>
  <c r="R4" i="23"/>
  <c r="R37" i="23" s="1"/>
  <c r="J4" i="23"/>
  <c r="J37" i="23" s="1"/>
  <c r="J38" i="23" s="1"/>
  <c r="H42" i="23" s="1"/>
  <c r="P4" i="23"/>
  <c r="P37" i="23" s="1"/>
  <c r="P38" i="23" s="1"/>
  <c r="H43" i="23" s="1"/>
  <c r="H4" i="23"/>
  <c r="H37" i="23" s="1"/>
  <c r="L4" i="23"/>
  <c r="L37" i="23" s="1"/>
  <c r="N4" i="23"/>
  <c r="N37" i="23" s="1"/>
  <c r="N38" i="23" s="1"/>
  <c r="H45" i="23" s="1"/>
  <c r="F4" i="23"/>
  <c r="F37" i="23" s="1"/>
  <c r="F38" i="23" s="1"/>
  <c r="J33" i="22" s="1"/>
  <c r="Q34" i="22" s="1"/>
  <c r="I37" i="21"/>
  <c r="K37" i="21" s="1"/>
  <c r="M37" i="21" s="1"/>
  <c r="I10" i="21"/>
  <c r="K10" i="21" s="1"/>
  <c r="I6" i="21"/>
  <c r="K6" i="21" s="1"/>
  <c r="M6" i="21" s="1"/>
  <c r="I11" i="21"/>
  <c r="K11" i="21" s="1"/>
  <c r="I15" i="21"/>
  <c r="K15" i="21" s="1"/>
  <c r="I4" i="21"/>
  <c r="K4" i="21" s="1"/>
  <c r="I5" i="21"/>
  <c r="K5" i="21" s="1"/>
  <c r="M44" i="21"/>
  <c r="M43" i="21"/>
  <c r="I14" i="21"/>
  <c r="K14" i="21" s="1"/>
  <c r="M14" i="21" s="1"/>
  <c r="I2" i="21"/>
  <c r="K2" i="21" s="1"/>
  <c r="I12" i="21"/>
  <c r="K12" i="21" s="1"/>
  <c r="I7" i="21"/>
  <c r="K7" i="21" s="1"/>
  <c r="I3" i="21"/>
  <c r="K3" i="21" s="1"/>
  <c r="M38" i="21"/>
  <c r="D3" i="17"/>
  <c r="B35" i="17"/>
  <c r="B33" i="17"/>
  <c r="B30" i="17"/>
  <c r="B26" i="17"/>
  <c r="B25" i="17"/>
  <c r="B24" i="17"/>
  <c r="B23" i="17"/>
  <c r="B19" i="17"/>
  <c r="B17" i="17"/>
  <c r="B15" i="17"/>
  <c r="B14" i="17"/>
  <c r="B13" i="17"/>
  <c r="B12" i="17"/>
  <c r="B11" i="17"/>
  <c r="B10" i="17"/>
  <c r="B9" i="17"/>
  <c r="B8" i="17"/>
  <c r="B7" i="17"/>
  <c r="B6" i="17"/>
  <c r="B4" i="17"/>
  <c r="B43" i="17"/>
  <c r="B41" i="17"/>
  <c r="E41" i="17" s="1"/>
  <c r="L38" i="23" l="1"/>
  <c r="H46" i="23" s="1"/>
  <c r="R38" i="23"/>
  <c r="H44" i="23" s="1"/>
  <c r="J44" i="23" s="1"/>
  <c r="H38" i="23"/>
  <c r="E43" i="23" s="1"/>
  <c r="L16" i="25"/>
  <c r="L25" i="25"/>
  <c r="L35" i="25"/>
  <c r="L11" i="25"/>
  <c r="L17" i="25"/>
  <c r="L27" i="25"/>
  <c r="L26" i="25"/>
  <c r="L20" i="25"/>
  <c r="L34" i="25"/>
  <c r="L12" i="25"/>
  <c r="L15" i="25"/>
  <c r="L5" i="25"/>
  <c r="L9" i="25"/>
  <c r="L14" i="25"/>
  <c r="L30" i="25"/>
  <c r="L24" i="25"/>
  <c r="L21" i="25"/>
  <c r="L29" i="25"/>
  <c r="L7" i="25"/>
  <c r="L33" i="25"/>
  <c r="L22" i="25"/>
  <c r="L31" i="25"/>
  <c r="L13" i="25"/>
  <c r="L3" i="25"/>
  <c r="L28" i="25"/>
  <c r="L6" i="25"/>
  <c r="L8" i="25"/>
  <c r="L18" i="25"/>
  <c r="L32" i="25"/>
  <c r="L19" i="25"/>
  <c r="L10" i="25"/>
  <c r="L23" i="25"/>
  <c r="L4" i="25"/>
  <c r="E42" i="17"/>
  <c r="J43" i="23"/>
  <c r="J42" i="23"/>
  <c r="J45" i="23"/>
  <c r="M39" i="21"/>
  <c r="M45" i="21"/>
  <c r="E25" i="19"/>
  <c r="J46" i="23" l="1"/>
  <c r="H47" i="23"/>
  <c r="M46" i="21"/>
  <c r="M47" i="21" s="1"/>
  <c r="M48" i="21" s="1"/>
  <c r="H34" i="4"/>
  <c r="J34" i="4" s="1"/>
  <c r="K34" i="4" s="1"/>
  <c r="J47" i="23" l="1"/>
  <c r="K46" i="23" s="1"/>
  <c r="E36" i="22" s="1"/>
  <c r="I47" i="23"/>
  <c r="N44" i="23"/>
  <c r="N41" i="23"/>
  <c r="J34" i="22" s="1"/>
  <c r="I43" i="23"/>
  <c r="F37" i="22" s="1"/>
  <c r="I45" i="23"/>
  <c r="F34" i="22" s="1"/>
  <c r="I44" i="23"/>
  <c r="F35" i="22" s="1"/>
  <c r="I42" i="23"/>
  <c r="F33" i="22" s="1"/>
  <c r="I46" i="23"/>
  <c r="F36" i="22" s="1"/>
  <c r="H29" i="4"/>
  <c r="J29" i="4" s="1"/>
  <c r="K29" i="4" s="1"/>
  <c r="H25" i="4"/>
  <c r="J25" i="4" s="1"/>
  <c r="K25" i="4" s="1"/>
  <c r="H21" i="4"/>
  <c r="J21" i="4" s="1"/>
  <c r="K21" i="4" s="1"/>
  <c r="H17" i="4"/>
  <c r="J17" i="4" s="1"/>
  <c r="K17" i="4" s="1"/>
  <c r="H13" i="4"/>
  <c r="J13" i="4" s="1"/>
  <c r="K13" i="4" s="1"/>
  <c r="H9" i="4"/>
  <c r="J9" i="4" s="1"/>
  <c r="K9" i="4" s="1"/>
  <c r="H5" i="4"/>
  <c r="J5" i="4" s="1"/>
  <c r="K5" i="4" s="1"/>
  <c r="H35" i="4"/>
  <c r="J35" i="4" s="1"/>
  <c r="K35" i="4" s="1"/>
  <c r="J3" i="4"/>
  <c r="K3" i="4" s="1"/>
  <c r="H28" i="4"/>
  <c r="J28" i="4" s="1"/>
  <c r="K28" i="4" s="1"/>
  <c r="H24" i="4"/>
  <c r="J24" i="4" s="1"/>
  <c r="K24" i="4" s="1"/>
  <c r="H20" i="4"/>
  <c r="J20" i="4" s="1"/>
  <c r="K20" i="4" s="1"/>
  <c r="H16" i="4"/>
  <c r="J16" i="4" s="1"/>
  <c r="K16" i="4" s="1"/>
  <c r="H12" i="4"/>
  <c r="J12" i="4" s="1"/>
  <c r="K12" i="4" s="1"/>
  <c r="H8" i="4"/>
  <c r="J8" i="4" s="1"/>
  <c r="K8" i="4" s="1"/>
  <c r="H4" i="4"/>
  <c r="J4" i="4" s="1"/>
  <c r="K4" i="4" s="1"/>
  <c r="H31" i="4"/>
  <c r="J31" i="4" s="1"/>
  <c r="K31" i="4" s="1"/>
  <c r="H27" i="4"/>
  <c r="J27" i="4" s="1"/>
  <c r="K27" i="4" s="1"/>
  <c r="H23" i="4"/>
  <c r="J23" i="4" s="1"/>
  <c r="K23" i="4" s="1"/>
  <c r="H19" i="4"/>
  <c r="J19" i="4" s="1"/>
  <c r="K19" i="4" s="1"/>
  <c r="H15" i="4"/>
  <c r="J15" i="4" s="1"/>
  <c r="K15" i="4" s="1"/>
  <c r="H11" i="4"/>
  <c r="J11" i="4" s="1"/>
  <c r="K11" i="4" s="1"/>
  <c r="H7" i="4"/>
  <c r="J7" i="4" s="1"/>
  <c r="K7" i="4" s="1"/>
  <c r="H33" i="4"/>
  <c r="J33" i="4" s="1"/>
  <c r="K33" i="4" s="1"/>
  <c r="H32" i="4"/>
  <c r="J32" i="4" s="1"/>
  <c r="K32" i="4" s="1"/>
  <c r="H30" i="4"/>
  <c r="J30" i="4" s="1"/>
  <c r="K30" i="4" s="1"/>
  <c r="H26" i="4"/>
  <c r="J26" i="4" s="1"/>
  <c r="K26" i="4" s="1"/>
  <c r="H22" i="4"/>
  <c r="J22" i="4" s="1"/>
  <c r="K22" i="4" s="1"/>
  <c r="H18" i="4"/>
  <c r="J18" i="4" s="1"/>
  <c r="K18" i="4" s="1"/>
  <c r="H14" i="4"/>
  <c r="J14" i="4" s="1"/>
  <c r="K14" i="4" s="1"/>
  <c r="H10" i="4"/>
  <c r="J10" i="4" s="1"/>
  <c r="K10" i="4" s="1"/>
  <c r="H6" i="4"/>
  <c r="J6" i="4" s="1"/>
  <c r="K6" i="4" s="1"/>
  <c r="B38" i="17"/>
  <c r="C38" i="17" s="1"/>
  <c r="B37" i="17"/>
  <c r="D36" i="17"/>
  <c r="P36" i="17" s="1"/>
  <c r="D35" i="17"/>
  <c r="D34" i="17"/>
  <c r="P34" i="17" s="1"/>
  <c r="D33" i="17"/>
  <c r="P33" i="17" s="1"/>
  <c r="D32" i="17"/>
  <c r="P32" i="17" s="1"/>
  <c r="D31" i="17"/>
  <c r="P31" i="17" s="1"/>
  <c r="D30" i="17"/>
  <c r="P30" i="17" s="1"/>
  <c r="D29" i="17"/>
  <c r="P29" i="17" s="1"/>
  <c r="D28" i="17"/>
  <c r="P28" i="17" s="1"/>
  <c r="D27" i="17"/>
  <c r="P27" i="17" s="1"/>
  <c r="D26" i="17"/>
  <c r="P26" i="17" s="1"/>
  <c r="D25" i="17"/>
  <c r="P25" i="17" s="1"/>
  <c r="D24" i="17"/>
  <c r="P24" i="17" s="1"/>
  <c r="D23" i="17"/>
  <c r="P23" i="17" s="1"/>
  <c r="D22" i="17"/>
  <c r="P22" i="17" s="1"/>
  <c r="D21" i="17"/>
  <c r="P21" i="17" s="1"/>
  <c r="D20" i="17"/>
  <c r="P20" i="17" s="1"/>
  <c r="D19" i="17"/>
  <c r="P19" i="17" s="1"/>
  <c r="D18" i="17"/>
  <c r="P18" i="17" s="1"/>
  <c r="D17" i="17"/>
  <c r="P17" i="17" s="1"/>
  <c r="D16" i="17"/>
  <c r="P16" i="17" s="1"/>
  <c r="D15" i="17"/>
  <c r="P15" i="17" s="1"/>
  <c r="D14" i="17"/>
  <c r="P14" i="17" s="1"/>
  <c r="D13" i="17"/>
  <c r="P13" i="17" s="1"/>
  <c r="D12" i="17"/>
  <c r="P12" i="17" s="1"/>
  <c r="D11" i="17"/>
  <c r="P11" i="17" s="1"/>
  <c r="D10" i="17"/>
  <c r="P10" i="17" s="1"/>
  <c r="D9" i="17"/>
  <c r="D8" i="17"/>
  <c r="P8" i="17" s="1"/>
  <c r="D7" i="17"/>
  <c r="P7" i="17" s="1"/>
  <c r="D6" i="17"/>
  <c r="D5" i="17"/>
  <c r="P5" i="17" s="1"/>
  <c r="D4" i="17"/>
  <c r="P4" i="17" s="1"/>
  <c r="P3" i="17"/>
  <c r="L24" i="24" l="1"/>
  <c r="L13" i="24"/>
  <c r="L5" i="24"/>
  <c r="L3" i="24"/>
  <c r="L22" i="24"/>
  <c r="L11" i="24"/>
  <c r="L10" i="24"/>
  <c r="L2" i="24"/>
  <c r="L21" i="24"/>
  <c r="L23" i="24"/>
  <c r="L12" i="24"/>
  <c r="L4" i="24"/>
  <c r="L15" i="24"/>
  <c r="L7" i="24"/>
  <c r="L26" i="24"/>
  <c r="P9" i="17"/>
  <c r="K47" i="23"/>
  <c r="K45" i="23"/>
  <c r="E34" i="22" s="1"/>
  <c r="K44" i="23"/>
  <c r="E35" i="22" s="1"/>
  <c r="K42" i="23"/>
  <c r="E33" i="22" s="1"/>
  <c r="K43" i="23"/>
  <c r="E37" i="22" s="1"/>
  <c r="E44" i="23"/>
  <c r="E45" i="23" s="1"/>
  <c r="N43" i="23"/>
  <c r="J35" i="22" s="1"/>
  <c r="M49" i="24" s="1"/>
  <c r="P6" i="17"/>
  <c r="N6" i="17"/>
  <c r="J34" i="17"/>
  <c r="F29" i="17"/>
  <c r="J33" i="17"/>
  <c r="F33" i="17"/>
  <c r="N34" i="17"/>
  <c r="R36" i="17"/>
  <c r="F19" i="17"/>
  <c r="F32" i="17"/>
  <c r="F36" i="17"/>
  <c r="F30" i="17"/>
  <c r="J32" i="17"/>
  <c r="R34" i="17"/>
  <c r="J36" i="17"/>
  <c r="F34" i="17"/>
  <c r="N36" i="17"/>
  <c r="P35" i="17"/>
  <c r="F35" i="17"/>
  <c r="J35" i="17"/>
  <c r="N35" i="17"/>
  <c r="R35" i="17"/>
  <c r="F3" i="17"/>
  <c r="J3" i="17"/>
  <c r="N3" i="17"/>
  <c r="R3" i="17"/>
  <c r="F4" i="17"/>
  <c r="J4" i="17"/>
  <c r="N4" i="17"/>
  <c r="R4" i="17"/>
  <c r="F5" i="17"/>
  <c r="J5" i="17"/>
  <c r="N5" i="17"/>
  <c r="R5" i="17"/>
  <c r="F6" i="17"/>
  <c r="J6" i="17"/>
  <c r="R6" i="17"/>
  <c r="F7" i="17"/>
  <c r="J7" i="17"/>
  <c r="N7" i="17"/>
  <c r="R7" i="17"/>
  <c r="F8" i="17"/>
  <c r="J8" i="17"/>
  <c r="N8" i="17"/>
  <c r="R8" i="17"/>
  <c r="F9" i="17"/>
  <c r="J9" i="17"/>
  <c r="N9" i="17"/>
  <c r="R9" i="17"/>
  <c r="F10" i="17"/>
  <c r="J10" i="17"/>
  <c r="N10" i="17"/>
  <c r="R10" i="17"/>
  <c r="F11" i="17"/>
  <c r="J11" i="17"/>
  <c r="N11" i="17"/>
  <c r="R11" i="17"/>
  <c r="F12" i="17"/>
  <c r="J12" i="17"/>
  <c r="N12" i="17"/>
  <c r="R12" i="17"/>
  <c r="F13" i="17"/>
  <c r="J13" i="17"/>
  <c r="N13" i="17"/>
  <c r="R13" i="17"/>
  <c r="F14" i="17"/>
  <c r="J14" i="17"/>
  <c r="N14" i="17"/>
  <c r="R14" i="17"/>
  <c r="F15" i="17"/>
  <c r="J15" i="17"/>
  <c r="N15" i="17"/>
  <c r="R15" i="17"/>
  <c r="F16" i="17"/>
  <c r="J16" i="17"/>
  <c r="N16" i="17"/>
  <c r="R16" i="17"/>
  <c r="F17" i="17"/>
  <c r="J17" i="17"/>
  <c r="N17" i="17"/>
  <c r="R17" i="17"/>
  <c r="F18" i="17"/>
  <c r="J18" i="17"/>
  <c r="N18" i="17"/>
  <c r="R18" i="17"/>
  <c r="J19" i="17"/>
  <c r="N19" i="17"/>
  <c r="R19" i="17"/>
  <c r="F20" i="17"/>
  <c r="J20" i="17"/>
  <c r="N20" i="17"/>
  <c r="R20" i="17"/>
  <c r="F21" i="17"/>
  <c r="J21" i="17"/>
  <c r="N21" i="17"/>
  <c r="R21" i="17"/>
  <c r="F22" i="17"/>
  <c r="J22" i="17"/>
  <c r="N22" i="17"/>
  <c r="R22" i="17"/>
  <c r="F23" i="17"/>
  <c r="J23" i="17"/>
  <c r="N23" i="17"/>
  <c r="R23" i="17"/>
  <c r="F24" i="17"/>
  <c r="J24" i="17"/>
  <c r="N24" i="17"/>
  <c r="R24" i="17"/>
  <c r="F25" i="17"/>
  <c r="J25" i="17"/>
  <c r="N25" i="17"/>
  <c r="R25" i="17"/>
  <c r="F26" i="17"/>
  <c r="J26" i="17"/>
  <c r="N26" i="17"/>
  <c r="R26" i="17"/>
  <c r="F27" i="17"/>
  <c r="J27" i="17"/>
  <c r="N27" i="17"/>
  <c r="R27" i="17"/>
  <c r="F28" i="17"/>
  <c r="J28" i="17"/>
  <c r="N28" i="17"/>
  <c r="R28" i="17"/>
  <c r="J29" i="17"/>
  <c r="N29" i="17"/>
  <c r="R29" i="17"/>
  <c r="J30" i="17"/>
  <c r="N30" i="17"/>
  <c r="R30" i="17"/>
  <c r="F31" i="17"/>
  <c r="J31" i="17"/>
  <c r="N31" i="17"/>
  <c r="R31" i="17"/>
  <c r="N32" i="17"/>
  <c r="R32" i="17"/>
  <c r="N33" i="17"/>
  <c r="R33" i="17"/>
  <c r="D37" i="17"/>
  <c r="D38" i="17"/>
  <c r="H3" i="17"/>
  <c r="L3" i="17"/>
  <c r="H4" i="17"/>
  <c r="L4" i="17"/>
  <c r="H5" i="17"/>
  <c r="L5" i="17"/>
  <c r="H6" i="17"/>
  <c r="L6" i="17"/>
  <c r="H7" i="17"/>
  <c r="L7" i="17"/>
  <c r="H8" i="17"/>
  <c r="L8" i="17"/>
  <c r="H9" i="17"/>
  <c r="L9" i="17"/>
  <c r="H10" i="17"/>
  <c r="L10" i="17"/>
  <c r="H11" i="17"/>
  <c r="L11" i="17"/>
  <c r="H12" i="17"/>
  <c r="L12" i="17"/>
  <c r="H13" i="17"/>
  <c r="L13" i="17"/>
  <c r="H14" i="17"/>
  <c r="L14" i="17"/>
  <c r="H15" i="17"/>
  <c r="L15" i="17"/>
  <c r="H16" i="17"/>
  <c r="L16" i="17"/>
  <c r="H17" i="17"/>
  <c r="L17" i="17"/>
  <c r="H18" i="17"/>
  <c r="L18" i="17"/>
  <c r="H19" i="17"/>
  <c r="L19" i="17"/>
  <c r="H20" i="17"/>
  <c r="L20" i="17"/>
  <c r="H21" i="17"/>
  <c r="L21" i="17"/>
  <c r="H22" i="17"/>
  <c r="L22" i="17"/>
  <c r="H23" i="17"/>
  <c r="L23" i="17"/>
  <c r="H24" i="17"/>
  <c r="L24" i="17"/>
  <c r="H25" i="17"/>
  <c r="L25" i="17"/>
  <c r="H26" i="17"/>
  <c r="L26" i="17"/>
  <c r="H27" i="17"/>
  <c r="L27" i="17"/>
  <c r="H28" i="17"/>
  <c r="L28" i="17"/>
  <c r="H29" i="17"/>
  <c r="L29" i="17"/>
  <c r="H30" i="17"/>
  <c r="L30" i="17"/>
  <c r="H31" i="17"/>
  <c r="L31" i="17"/>
  <c r="H32" i="17"/>
  <c r="L32" i="17"/>
  <c r="H33" i="17"/>
  <c r="L33" i="17"/>
  <c r="H34" i="17"/>
  <c r="L34" i="17"/>
  <c r="H35" i="17"/>
  <c r="L35" i="17"/>
  <c r="H36" i="17"/>
  <c r="L36" i="17"/>
  <c r="M32" i="25" l="1"/>
  <c r="M28" i="25"/>
  <c r="M24" i="25"/>
  <c r="M20" i="25"/>
  <c r="M16" i="25"/>
  <c r="M12" i="25"/>
  <c r="M8" i="25"/>
  <c r="M4" i="25"/>
  <c r="M35" i="25"/>
  <c r="M31" i="25"/>
  <c r="M27" i="25"/>
  <c r="M23" i="25"/>
  <c r="M19" i="25"/>
  <c r="M15" i="25"/>
  <c r="M11" i="25"/>
  <c r="M7" i="25"/>
  <c r="M3" i="25"/>
  <c r="M34" i="25"/>
  <c r="M30" i="25"/>
  <c r="M26" i="25"/>
  <c r="M22" i="25"/>
  <c r="M18" i="25"/>
  <c r="M14" i="25"/>
  <c r="M10" i="25"/>
  <c r="M6" i="25"/>
  <c r="M33" i="25"/>
  <c r="M29" i="25"/>
  <c r="M25" i="25"/>
  <c r="M21" i="25"/>
  <c r="M17" i="25"/>
  <c r="M13" i="25"/>
  <c r="M5" i="25"/>
  <c r="M9" i="25"/>
  <c r="N42" i="23"/>
  <c r="F31" i="22" s="1"/>
  <c r="P37" i="17"/>
  <c r="P38" i="17" s="1"/>
  <c r="H43" i="17" s="1"/>
  <c r="J43" i="17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" i="4"/>
  <c r="M3" i="4" s="1"/>
  <c r="L35" i="4"/>
  <c r="M35" i="4" s="1"/>
  <c r="H37" i="17"/>
  <c r="H38" i="17" s="1"/>
  <c r="E43" i="17" s="1"/>
  <c r="R37" i="17"/>
  <c r="R38" i="17" s="1"/>
  <c r="H44" i="17" s="1"/>
  <c r="J37" i="17"/>
  <c r="J38" i="17" s="1"/>
  <c r="H42" i="17" s="1"/>
  <c r="L37" i="17"/>
  <c r="L38" i="17" s="1"/>
  <c r="N37" i="17"/>
  <c r="N38" i="17" s="1"/>
  <c r="H45" i="17" s="1"/>
  <c r="F37" i="17"/>
  <c r="F38" i="17" s="1"/>
  <c r="J33" i="19" s="1"/>
  <c r="M36" i="25" l="1"/>
  <c r="M38" i="25" s="1"/>
  <c r="Q34" i="19"/>
  <c r="H46" i="17"/>
  <c r="M36" i="4"/>
  <c r="M38" i="4" s="1"/>
  <c r="J45" i="17"/>
  <c r="J42" i="17"/>
  <c r="J44" i="17"/>
  <c r="M39" i="25" l="1"/>
  <c r="H47" i="17"/>
  <c r="J46" i="17"/>
  <c r="N41" i="17" l="1"/>
  <c r="N43" i="17" s="1"/>
  <c r="I42" i="17"/>
  <c r="I45" i="17"/>
  <c r="J47" i="17"/>
  <c r="K42" i="17" s="1"/>
  <c r="I47" i="17"/>
  <c r="I46" i="17"/>
  <c r="I43" i="17"/>
  <c r="N44" i="17"/>
  <c r="I44" i="17"/>
  <c r="F37" i="19" l="1"/>
  <c r="L22" i="21" s="1"/>
  <c r="M22" i="21" s="1"/>
  <c r="F34" i="19"/>
  <c r="F36" i="19"/>
  <c r="L24" i="21" s="1"/>
  <c r="M24" i="21" s="1"/>
  <c r="F33" i="19"/>
  <c r="E33" i="19"/>
  <c r="F35" i="19"/>
  <c r="L12" i="21" s="1"/>
  <c r="M12" i="21" s="1"/>
  <c r="E44" i="17"/>
  <c r="J34" i="19"/>
  <c r="K43" i="17"/>
  <c r="K45" i="17"/>
  <c r="K46" i="17"/>
  <c r="K44" i="17"/>
  <c r="K47" i="17"/>
  <c r="J35" i="19"/>
  <c r="D34" i="19" l="1"/>
  <c r="L26" i="21"/>
  <c r="M26" i="21" s="1"/>
  <c r="L4" i="21"/>
  <c r="M4" i="21" s="1"/>
  <c r="L13" i="21"/>
  <c r="M13" i="21" s="1"/>
  <c r="L11" i="21"/>
  <c r="M11" i="21" s="1"/>
  <c r="D35" i="19"/>
  <c r="L5" i="21"/>
  <c r="M5" i="21" s="1"/>
  <c r="L3" i="21"/>
  <c r="M3" i="21" s="1"/>
  <c r="D35" i="22"/>
  <c r="D37" i="19"/>
  <c r="E35" i="19"/>
  <c r="D33" i="22"/>
  <c r="D34" i="22"/>
  <c r="E36" i="19"/>
  <c r="M12" i="24"/>
  <c r="M23" i="24"/>
  <c r="M4" i="24"/>
  <c r="L2" i="21"/>
  <c r="M2" i="21" s="1"/>
  <c r="M10" i="24"/>
  <c r="M21" i="24"/>
  <c r="M2" i="24"/>
  <c r="M26" i="24"/>
  <c r="M15" i="24"/>
  <c r="M7" i="24"/>
  <c r="M49" i="21"/>
  <c r="Q33" i="19" s="1"/>
  <c r="M50" i="24"/>
  <c r="Q33" i="22" s="1"/>
  <c r="E34" i="19"/>
  <c r="L15" i="21"/>
  <c r="M15" i="21" s="1"/>
  <c r="L21" i="21"/>
  <c r="M21" i="21" s="1"/>
  <c r="D37" i="22"/>
  <c r="E37" i="19"/>
  <c r="D33" i="19"/>
  <c r="L7" i="21"/>
  <c r="M7" i="21" s="1"/>
  <c r="L23" i="21"/>
  <c r="M23" i="21" s="1"/>
  <c r="L10" i="21"/>
  <c r="M10" i="21" s="1"/>
  <c r="M24" i="24"/>
  <c r="M13" i="24"/>
  <c r="M5" i="24"/>
  <c r="M3" i="24"/>
  <c r="M22" i="24"/>
  <c r="M11" i="24"/>
  <c r="E45" i="17"/>
  <c r="N42" i="17"/>
  <c r="F31" i="19" s="1"/>
  <c r="M27" i="24" l="1"/>
  <c r="M27" i="21"/>
  <c r="C35" i="19"/>
  <c r="M16" i="21"/>
  <c r="C34" i="19"/>
  <c r="C33" i="19"/>
  <c r="C34" i="22"/>
  <c r="M8" i="21"/>
  <c r="M18" i="21" s="1"/>
  <c r="C37" i="19"/>
  <c r="C37" i="22"/>
  <c r="C35" i="22"/>
  <c r="C33" i="22"/>
  <c r="M16" i="24"/>
  <c r="M8" i="24"/>
  <c r="M18" i="24" s="1"/>
  <c r="M29" i="24" l="1"/>
  <c r="M30" i="24" s="1"/>
  <c r="M31" i="24" s="1"/>
  <c r="M32" i="24" s="1"/>
  <c r="M33" i="24" s="1"/>
  <c r="Q35" i="22" s="1"/>
  <c r="Q36" i="22" s="1"/>
  <c r="J36" i="22" s="1"/>
  <c r="J37" i="22" s="1"/>
  <c r="M29" i="21"/>
  <c r="M30" i="21" s="1"/>
  <c r="M31" i="21" s="1"/>
  <c r="M32" i="21" s="1"/>
  <c r="Q35" i="19" s="1"/>
  <c r="Q36" i="19" s="1"/>
  <c r="J36" i="19" l="1"/>
  <c r="J37" i="19" s="1"/>
</calcChain>
</file>

<file path=xl/comments1.xml><?xml version="1.0" encoding="utf-8"?>
<comments xmlns="http://schemas.openxmlformats.org/spreadsheetml/2006/main">
  <authors>
    <author>hp</author>
  </authors>
  <commentList>
    <comment ref="E4" authorId="0" shapeId="0">
      <text>
        <r>
          <rPr>
            <b/>
            <sz val="11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Values </t>
        </r>
        <r>
          <rPr>
            <b/>
            <sz val="11"/>
            <color indexed="81"/>
            <rFont val="Arial"/>
            <family val="2"/>
          </rPr>
          <t>​​normalized</t>
        </r>
        <r>
          <rPr>
            <sz val="11"/>
            <color indexed="81"/>
            <rFont val="Arial"/>
            <family val="2"/>
          </rPr>
          <t xml:space="preserve"> to 100 should be entered in this column. If not, the sum in E25 will turn red.</t>
        </r>
      </text>
    </comment>
  </commentList>
</comments>
</file>

<file path=xl/comments2.xml><?xml version="1.0" encoding="utf-8"?>
<comments xmlns="http://schemas.openxmlformats.org/spreadsheetml/2006/main">
  <authors>
    <author>Naftoon Arya</author>
    <author>MRT</author>
  </authors>
  <commentList>
    <comment ref="R37" authorId="0" shapeId="0">
      <text>
        <r>
          <rPr>
            <b/>
            <sz val="8"/>
            <color indexed="81"/>
            <rFont val="Tahoma"/>
            <family val="2"/>
          </rPr>
          <t>Naftoon Arya:</t>
        </r>
        <r>
          <rPr>
            <sz val="8"/>
            <color indexed="81"/>
            <rFont val="Tahoma"/>
            <family val="2"/>
          </rPr>
          <t xml:space="preserve">
Sum of O2-O2 in Fuel
</t>
        </r>
      </text>
    </comment>
    <comment ref="B42" authorId="1" shapeId="0">
      <text>
        <r>
          <rPr>
            <b/>
            <sz val="8"/>
            <color indexed="81"/>
            <rFont val="Tahoma"/>
            <family val="2"/>
          </rPr>
          <t>MRT:</t>
        </r>
        <r>
          <rPr>
            <sz val="8"/>
            <color indexed="81"/>
            <rFont val="Tahoma"/>
            <family val="2"/>
          </rPr>
          <t xml:space="preserve">
Excess= 100 + X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Assuming Air 79% N2+21% O2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E4" authorId="0" shapeId="0">
      <text>
        <r>
          <rPr>
            <b/>
            <sz val="11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Values </t>
        </r>
        <r>
          <rPr>
            <b/>
            <sz val="11"/>
            <color indexed="81"/>
            <rFont val="Arial"/>
            <family val="2"/>
          </rPr>
          <t>​​normalized</t>
        </r>
        <r>
          <rPr>
            <sz val="11"/>
            <color indexed="81"/>
            <rFont val="Arial"/>
            <family val="2"/>
          </rPr>
          <t xml:space="preserve"> to 100 should be entered in this column. If not, the sum in E25 will turn red.</t>
        </r>
      </text>
    </comment>
  </commentList>
</comments>
</file>

<file path=xl/comments5.xml><?xml version="1.0" encoding="utf-8"?>
<comments xmlns="http://schemas.openxmlformats.org/spreadsheetml/2006/main">
  <authors>
    <author>Naftoon Arya</author>
    <author>MRT</author>
  </authors>
  <commentList>
    <comment ref="R37" authorId="0" shapeId="0">
      <text>
        <r>
          <rPr>
            <b/>
            <sz val="8"/>
            <color indexed="81"/>
            <rFont val="Tahoma"/>
            <family val="2"/>
          </rPr>
          <t>Naftoon Arya:</t>
        </r>
        <r>
          <rPr>
            <sz val="8"/>
            <color indexed="81"/>
            <rFont val="Tahoma"/>
            <family val="2"/>
          </rPr>
          <t xml:space="preserve">
Sum of O2-O2 in Fuel
</t>
        </r>
      </text>
    </comment>
    <comment ref="B42" authorId="1" shapeId="0">
      <text>
        <r>
          <rPr>
            <b/>
            <sz val="8"/>
            <color indexed="81"/>
            <rFont val="Tahoma"/>
            <family val="2"/>
          </rPr>
          <t>MRT:</t>
        </r>
        <r>
          <rPr>
            <sz val="8"/>
            <color indexed="81"/>
            <rFont val="Tahoma"/>
            <family val="2"/>
          </rPr>
          <t xml:space="preserve">
Excess= 100 + X</t>
        </r>
      </text>
    </comment>
  </commentList>
</comments>
</file>

<file path=xl/comments6.xml><?xml version="1.0" encoding="utf-8"?>
<comments xmlns="http://schemas.openxmlformats.org/spreadsheetml/2006/main">
  <authors>
    <author>hp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Assuming Air 79% N2+21% O2</t>
        </r>
      </text>
    </comment>
  </commentList>
</comments>
</file>

<file path=xl/sharedStrings.xml><?xml version="1.0" encoding="utf-8"?>
<sst xmlns="http://schemas.openxmlformats.org/spreadsheetml/2006/main" count="644" uniqueCount="236">
  <si>
    <t>Fuel Component</t>
  </si>
  <si>
    <t>column 1</t>
  </si>
  <si>
    <t>column 2</t>
  </si>
  <si>
    <t>column 4</t>
  </si>
  <si>
    <t>column 6</t>
  </si>
  <si>
    <t>column 8</t>
  </si>
  <si>
    <t>column 10</t>
  </si>
  <si>
    <t>column 12</t>
  </si>
  <si>
    <t>Mol.wt</t>
  </si>
  <si>
    <t>Heating Value (Btu)</t>
  </si>
  <si>
    <t>Air Required (lb of Air/ lb)</t>
  </si>
  <si>
    <t>Air Required (lb)</t>
  </si>
  <si>
    <t>H2O Formed (lbs)</t>
  </si>
  <si>
    <t>N2 Formed (lb of N2 / lb)</t>
  </si>
  <si>
    <t>N2 Formed (lbs)</t>
  </si>
  <si>
    <t>column 3 (1*2)</t>
  </si>
  <si>
    <t>column 5 (3*4)</t>
  </si>
  <si>
    <t>column 7 (3*6)</t>
  </si>
  <si>
    <t>column 9 (3*8)</t>
  </si>
  <si>
    <t>column 11(3*10)</t>
  </si>
  <si>
    <t>column 13 (3*12)</t>
  </si>
  <si>
    <t>Volume Fraction</t>
  </si>
  <si>
    <t>Carbon</t>
  </si>
  <si>
    <t>Hydrogen</t>
  </si>
  <si>
    <t>Oxygen</t>
  </si>
  <si>
    <t>Nitrogen</t>
  </si>
  <si>
    <t>CO</t>
  </si>
  <si>
    <t>Ethylen</t>
  </si>
  <si>
    <t>Acetylene</t>
  </si>
  <si>
    <t>Propylene</t>
  </si>
  <si>
    <t>Butylene</t>
  </si>
  <si>
    <t>Benzene</t>
  </si>
  <si>
    <t>Methanol</t>
  </si>
  <si>
    <t>Amonia</t>
  </si>
  <si>
    <t>Sulfur</t>
  </si>
  <si>
    <t>H2S</t>
  </si>
  <si>
    <t>H2O</t>
  </si>
  <si>
    <t>Total</t>
  </si>
  <si>
    <t>Total per lb of Fuel</t>
  </si>
  <si>
    <t>Net Heating Value (Btu/lb)</t>
  </si>
  <si>
    <t>CO2 Formed (lbs)</t>
  </si>
  <si>
    <t>H2O Formed (lb of H2O / lb)</t>
  </si>
  <si>
    <t>Total Weight (lb)</t>
  </si>
  <si>
    <t>CO2 Formed (lb of CO2/lb)</t>
  </si>
  <si>
    <t>Component</t>
  </si>
  <si>
    <t>Relative Humidity (%)</t>
  </si>
  <si>
    <t>Moisture in Air (lb / lb of Air)</t>
  </si>
  <si>
    <t>E</t>
  </si>
  <si>
    <r>
      <t>y</t>
    </r>
    <r>
      <rPr>
        <vertAlign val="subscript"/>
        <sz val="11"/>
        <color theme="1"/>
        <rFont val="Calibri"/>
        <family val="2"/>
        <scheme val="minor"/>
      </rPr>
      <t>i (mass)</t>
    </r>
  </si>
  <si>
    <t>column 14</t>
  </si>
  <si>
    <t>column 15 (3*14)</t>
  </si>
  <si>
    <t>column 16</t>
  </si>
  <si>
    <t>column 17 (3*16)</t>
  </si>
  <si>
    <t>SO2 Formed (lb of So2 / lb)</t>
  </si>
  <si>
    <t>SO2 Formed (lbs)</t>
  </si>
  <si>
    <t>O2 Required (lb of O2/ lb)</t>
  </si>
  <si>
    <t>O2 Required (lbs)</t>
  </si>
  <si>
    <t>CO2</t>
  </si>
  <si>
    <t>Methane</t>
  </si>
  <si>
    <t>Ethane</t>
  </si>
  <si>
    <t>Propane</t>
  </si>
  <si>
    <t>n-Butane</t>
  </si>
  <si>
    <t>i-Butane</t>
  </si>
  <si>
    <t>isoButene</t>
  </si>
  <si>
    <t>n-Pentane</t>
  </si>
  <si>
    <t>i-Pentane</t>
  </si>
  <si>
    <t>Ne-Pentane</t>
  </si>
  <si>
    <t>n-Pentene</t>
  </si>
  <si>
    <t>n-Hexane</t>
  </si>
  <si>
    <t>Toluene</t>
  </si>
  <si>
    <t>Xylene</t>
  </si>
  <si>
    <t>Naphthalene</t>
  </si>
  <si>
    <t>Methyl Alchol</t>
  </si>
  <si>
    <t>Ethyl Alchol</t>
  </si>
  <si>
    <t>SO2</t>
  </si>
  <si>
    <t>Ash</t>
  </si>
  <si>
    <t>Excess Air - Humidity Calculation</t>
  </si>
  <si>
    <t>Ambient Temperature (K)</t>
  </si>
  <si>
    <t>Water Vaper Pressure (Psia)</t>
  </si>
  <si>
    <t>Formed (lb / lb of Fuel)</t>
  </si>
  <si>
    <t>Composition (Mass)</t>
  </si>
  <si>
    <t>Formed (Mole)</t>
  </si>
  <si>
    <t>Composition (Mole)</t>
  </si>
  <si>
    <t>Flue Gas Flow Rate (lb / hr)</t>
  </si>
  <si>
    <t>Excess Air ( %)</t>
  </si>
  <si>
    <t xml:space="preserve">CO2 </t>
  </si>
  <si>
    <t>Flue Gas Mw</t>
  </si>
  <si>
    <t>lb of (Wet Air -Dry Air) / lb of Fuel</t>
  </si>
  <si>
    <t xml:space="preserve">SO2 </t>
  </si>
  <si>
    <t>Atomizing Steam Ratio (lb / lb of Fuel)</t>
  </si>
  <si>
    <t>O2</t>
  </si>
  <si>
    <t>Fuel Flow Flow Rate (lb / hr)</t>
  </si>
  <si>
    <t xml:space="preserve">N2 </t>
  </si>
  <si>
    <t xml:space="preserve">H2O </t>
  </si>
  <si>
    <t>Flue Gas Flow Rate-Wet Basis (lb / lb of Fuel)</t>
  </si>
  <si>
    <t>Parameter</t>
  </si>
  <si>
    <t>(a + b * ((cc / t) / sinh(cc / t) ^ 2) + d * ((E / t) / cosh(E / t) ^ 2))</t>
  </si>
  <si>
    <t>a</t>
  </si>
  <si>
    <t>b</t>
  </si>
  <si>
    <t>cc</t>
  </si>
  <si>
    <t>d</t>
  </si>
  <si>
    <t>Comp</t>
  </si>
  <si>
    <t>MW</t>
  </si>
  <si>
    <t>Cp (j/mol.K)</t>
  </si>
  <si>
    <t>Cp (j/kg.k)</t>
  </si>
  <si>
    <t>Cp (Btu/lb.F)</t>
  </si>
  <si>
    <t>lb of Total Air/lb of Fuel</t>
  </si>
  <si>
    <t>lb of (Total Air-Stochiometry Air) / lb of Fuel</t>
  </si>
  <si>
    <t>Total Dry Air (lb/hr)</t>
  </si>
  <si>
    <t>Total Air Consumed (lb/hr)</t>
  </si>
  <si>
    <t>Combustion Calculator</t>
  </si>
  <si>
    <t>Formula</t>
  </si>
  <si>
    <t>H2</t>
  </si>
  <si>
    <t>N2</t>
  </si>
  <si>
    <t>Excess Air</t>
  </si>
  <si>
    <t>Input Data</t>
  </si>
  <si>
    <t>Flue Gas Flow Rate</t>
  </si>
  <si>
    <t>Air Flow Rate</t>
  </si>
  <si>
    <t>Vol. %</t>
  </si>
  <si>
    <t>Carbon Dioxide (CO2)</t>
  </si>
  <si>
    <t>Nitrogen (N2)</t>
  </si>
  <si>
    <t>Oxygen (O2)</t>
  </si>
  <si>
    <t>Water Vapor (H2O)</t>
  </si>
  <si>
    <t>Sulfur Dioxide (SO2)</t>
  </si>
  <si>
    <t>Results</t>
  </si>
  <si>
    <t>Unit</t>
  </si>
  <si>
    <t>Value</t>
  </si>
  <si>
    <t>Efficiency</t>
  </si>
  <si>
    <t>Flue Gas Composition [%]</t>
  </si>
  <si>
    <t>Mole, Dry</t>
  </si>
  <si>
    <t>Mass, Dry</t>
  </si>
  <si>
    <t>Mole, Wet</t>
  </si>
  <si>
    <t>Mass, Wet</t>
  </si>
  <si>
    <t>Fuel LHV</t>
  </si>
  <si>
    <t>Carbon Monoxide</t>
  </si>
  <si>
    <t>Carbon Dioxide</t>
  </si>
  <si>
    <t>CH4</t>
  </si>
  <si>
    <t>C2H6</t>
  </si>
  <si>
    <t>Ethylene</t>
  </si>
  <si>
    <t>C2H4</t>
  </si>
  <si>
    <t>C2H2</t>
  </si>
  <si>
    <t>C3H8</t>
  </si>
  <si>
    <t>C3H6</t>
  </si>
  <si>
    <t>C4H8</t>
  </si>
  <si>
    <t>(n, i) Butanes</t>
  </si>
  <si>
    <t>C4H10</t>
  </si>
  <si>
    <t>(n, i) Pentanes</t>
  </si>
  <si>
    <t>C5H12</t>
  </si>
  <si>
    <t>Hexane</t>
  </si>
  <si>
    <t>C6H14</t>
  </si>
  <si>
    <t>C6H6</t>
  </si>
  <si>
    <t>C7H8</t>
  </si>
  <si>
    <t>C8H10</t>
  </si>
  <si>
    <t>CH3OH</t>
  </si>
  <si>
    <t>Hydrogen Sulfide</t>
  </si>
  <si>
    <t>Water</t>
  </si>
  <si>
    <t>Ambient Temperature</t>
  </si>
  <si>
    <t>Ambient Pressure</t>
  </si>
  <si>
    <t>Relative Humidity</t>
  </si>
  <si>
    <t>[%]</t>
  </si>
  <si>
    <t>Fuel Flow Rate</t>
  </si>
  <si>
    <t>[lb/hr]</t>
  </si>
  <si>
    <t>Heat Loss</t>
  </si>
  <si>
    <t>Flue Gas Temp.</t>
  </si>
  <si>
    <t>[°F]</t>
  </si>
  <si>
    <t>[Btu/lb]</t>
  </si>
  <si>
    <t>Ambient Pres (pa)</t>
  </si>
  <si>
    <t>[psia]</t>
  </si>
  <si>
    <t>--</t>
  </si>
  <si>
    <t>Heat Absorbed</t>
  </si>
  <si>
    <t>[Btu/hr]</t>
  </si>
  <si>
    <t>CO2_200_1000</t>
  </si>
  <si>
    <t>CO2_1000_6000</t>
  </si>
  <si>
    <t>SO2_200_1000</t>
  </si>
  <si>
    <t>SO2_1000_6000</t>
  </si>
  <si>
    <t>O2_200_1000</t>
  </si>
  <si>
    <t>O2_1000_6000</t>
  </si>
  <si>
    <t>H2O_200_1000</t>
  </si>
  <si>
    <t>H2O_1000_6000</t>
  </si>
  <si>
    <t>Ar_200_1000</t>
  </si>
  <si>
    <t>Ar_1000_6000</t>
  </si>
  <si>
    <t>N2_200_1000</t>
  </si>
  <si>
    <t>N2_1000_6000</t>
  </si>
  <si>
    <t>Cp [kJ/kmol.K]</t>
  </si>
  <si>
    <t>Mw</t>
  </si>
  <si>
    <t>Cp [J/kg.K]</t>
  </si>
  <si>
    <t>Mass Frac</t>
  </si>
  <si>
    <t xml:space="preserve"> &lt;-- if T[K] &lt; 1000</t>
  </si>
  <si>
    <t xml:space="preserve"> &lt;-- if T[K] &gt; 1000</t>
  </si>
  <si>
    <t>&lt;-- @ Base T</t>
  </si>
  <si>
    <t xml:space="preserve"> &lt;-- 60F = Base T</t>
  </si>
  <si>
    <t>Cpi * yi [J/kg.K]</t>
  </si>
  <si>
    <t>&lt;-- Enth [Btu/hr]</t>
  </si>
  <si>
    <t>Fuel Temperature</t>
  </si>
  <si>
    <t>Air</t>
  </si>
  <si>
    <t>Flue Gas Temp (K)</t>
  </si>
  <si>
    <t>Base Temp (K)</t>
  </si>
  <si>
    <t>Air Temp (K)</t>
  </si>
  <si>
    <t>DIPPR-107--&gt;</t>
  </si>
  <si>
    <t>Fuel Temp[K]</t>
  </si>
  <si>
    <r>
      <t xml:space="preserve">Cp </t>
    </r>
    <r>
      <rPr>
        <vertAlign val="subscript"/>
        <sz val="11"/>
        <color theme="1"/>
        <rFont val="Calibri"/>
        <family val="2"/>
        <scheme val="minor"/>
      </rPr>
      <t xml:space="preserve">mixture  </t>
    </r>
    <r>
      <rPr>
        <sz val="11"/>
        <color theme="1"/>
        <rFont val="Calibri"/>
        <family val="2"/>
        <scheme val="minor"/>
      </rPr>
      <t>(Btu/lb.F)</t>
    </r>
  </si>
  <si>
    <r>
      <t>Cp</t>
    </r>
    <r>
      <rPr>
        <vertAlign val="subscript"/>
        <sz val="11"/>
        <color theme="1"/>
        <rFont val="Calibri"/>
        <family val="2"/>
        <scheme val="minor"/>
      </rPr>
      <t xml:space="preserve">i  </t>
    </r>
    <r>
      <rPr>
        <sz val="11"/>
        <color theme="1"/>
        <rFont val="Calibri"/>
        <family val="2"/>
        <scheme val="minor"/>
      </rPr>
      <t xml:space="preserve"> (Btu/lb.F)</t>
    </r>
  </si>
  <si>
    <t>&lt;-- Air Cp [J/kg.K]</t>
  </si>
  <si>
    <t>&lt;-- AvgCp of Flue</t>
  </si>
  <si>
    <t>&lt;-- Enth of Flue [J/kg]</t>
  </si>
  <si>
    <t>&lt;-- Enth of Flue [Btu/lb]</t>
  </si>
  <si>
    <t>Avg Cp * (T-BaseT):</t>
  </si>
  <si>
    <t>FlueRate * Enth:</t>
  </si>
  <si>
    <t>&lt;-- AvgCp of Air</t>
  </si>
  <si>
    <t>&lt;-- Enth of Air [J/kg]</t>
  </si>
  <si>
    <t>&lt;-- Enth of Air [Btu/lb]</t>
  </si>
  <si>
    <t>AirRate * Enth:</t>
  </si>
  <si>
    <t>Total Heat Input</t>
  </si>
  <si>
    <t>Wall Heat Loss</t>
  </si>
  <si>
    <t>Flue Gas Loss</t>
  </si>
  <si>
    <t>Bar-chart Data</t>
  </si>
  <si>
    <t>[MM Btu/hr]</t>
  </si>
  <si>
    <t>[°C]</t>
  </si>
  <si>
    <t>[kpa]</t>
  </si>
  <si>
    <t>[kJ/kg]</t>
  </si>
  <si>
    <t>[kg/hr]</t>
  </si>
  <si>
    <t>[kW]</t>
  </si>
  <si>
    <t>W. VapPres.C1</t>
  </si>
  <si>
    <t>W. VapPres.C2</t>
  </si>
  <si>
    <t>W. VapPres.C3</t>
  </si>
  <si>
    <t>W. VapPres.C4</t>
  </si>
  <si>
    <t>W. VapPres.C5</t>
  </si>
  <si>
    <t xml:space="preserve"> &lt;-- Final decided based on T</t>
  </si>
  <si>
    <t>m*Cp*(Tf-60) :</t>
  </si>
  <si>
    <t xml:space="preserve"> &lt;-- Fuel Sen. Ht (Btu/hr)</t>
  </si>
  <si>
    <t>m*Cp*(Tf-60):</t>
  </si>
  <si>
    <t>&lt;-- Fuel Sen. Ht (Btu/hr)</t>
  </si>
  <si>
    <t>&lt;-- Fuel Sen. Ht (kW)</t>
  </si>
  <si>
    <t>&lt;-- Enth [kW]</t>
  </si>
  <si>
    <t>&lt;-- Fuel Temp (F)</t>
  </si>
  <si>
    <t>FHinfinity(C) Engineering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</si>
</sst>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_-* #,##0.00\-;_-* &quot;-&quot;??_-;_-@_-"/>
    <numFmt numFmtId="165" formatCode="0.0000"/>
    <numFmt numFmtId="166" formatCode="0.000"/>
    <numFmt numFmtId="167" formatCode="0.000000E+00"/>
    <numFmt numFmtId="168" formatCode="_-* #,##0_-;_-* #,##0\-;_-* &quot;-&quot;??_-;_-@_-"/>
    <numFmt numFmtId="169" formatCode="#,##0.000"/>
    <numFmt numFmtId="170" formatCode="0.0%"/>
  </numFmts>
  <fonts count="4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sz val="10"/>
      <color theme="0" tint="-0.499984740745262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charset val="178"/>
      <scheme val="minor"/>
    </font>
    <font>
      <sz val="10"/>
      <name val="Calibri"/>
      <family val="2"/>
      <charset val="178"/>
      <scheme val="minor"/>
    </font>
    <font>
      <b/>
      <sz val="10"/>
      <name val="Calibri"/>
      <family val="2"/>
      <charset val="178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Roboto"/>
    </font>
    <font>
      <b/>
      <sz val="18"/>
      <color theme="1"/>
      <name val="Roboto"/>
    </font>
    <font>
      <sz val="10"/>
      <color theme="1"/>
      <name val="Roboto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1"/>
      <name val="Arial"/>
      <family val="2"/>
    </font>
    <font>
      <b/>
      <sz val="11"/>
      <color indexed="81"/>
      <name val="Arial"/>
      <family val="2"/>
    </font>
    <font>
      <b/>
      <sz val="11"/>
      <color indexed="81"/>
      <name val="Tahom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sz val="11"/>
      <color theme="0" tint="-0.499984740745262"/>
      <name val="Calibri"/>
      <family val="2"/>
      <charset val="178"/>
      <scheme val="minor"/>
    </font>
    <font>
      <i/>
      <sz val="10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0" fontId="10" fillId="0" borderId="0"/>
    <xf numFmtId="0" fontId="2" fillId="0" borderId="0"/>
  </cellStyleXfs>
  <cellXfs count="194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6" fillId="0" borderId="0" xfId="0" applyFont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23" xfId="4" applyFont="1" applyFill="1" applyBorder="1" applyAlignment="1" applyProtection="1">
      <alignment horizontal="center" vertical="center" wrapText="1"/>
      <protection locked="0"/>
    </xf>
    <xf numFmtId="0" fontId="8" fillId="0" borderId="1" xfId="4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center" vertical="center" wrapText="1"/>
    </xf>
    <xf numFmtId="0" fontId="17" fillId="3" borderId="1" xfId="4" applyFont="1" applyFill="1" applyBorder="1" applyAlignment="1" applyProtection="1">
      <alignment horizontal="center" vertical="center" wrapText="1"/>
    </xf>
    <xf numFmtId="166" fontId="18" fillId="3" borderId="1" xfId="4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8" fillId="0" borderId="0" xfId="4" applyFill="1" applyAlignment="1" applyProtection="1">
      <alignment horizontal="center" vertical="center" wrapText="1"/>
    </xf>
    <xf numFmtId="0" fontId="6" fillId="4" borderId="2" xfId="4" applyFont="1" applyFill="1" applyBorder="1" applyAlignment="1" applyProtection="1">
      <alignment horizontal="center" vertical="center" wrapText="1"/>
    </xf>
    <xf numFmtId="0" fontId="6" fillId="4" borderId="3" xfId="4" applyFont="1" applyFill="1" applyBorder="1" applyAlignment="1" applyProtection="1">
      <alignment horizontal="center" vertical="center" wrapText="1"/>
    </xf>
    <xf numFmtId="0" fontId="6" fillId="4" borderId="10" xfId="4" applyFont="1" applyFill="1" applyBorder="1" applyAlignment="1" applyProtection="1">
      <alignment horizontal="center" vertical="center" wrapText="1"/>
    </xf>
    <xf numFmtId="0" fontId="6" fillId="4" borderId="1" xfId="4" applyFont="1" applyFill="1" applyBorder="1" applyAlignment="1" applyProtection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</xf>
    <xf numFmtId="0" fontId="6" fillId="4" borderId="5" xfId="4" applyFont="1" applyFill="1" applyBorder="1" applyAlignment="1" applyProtection="1">
      <alignment horizontal="center" vertical="center" wrapText="1"/>
    </xf>
    <xf numFmtId="0" fontId="6" fillId="4" borderId="7" xfId="4" applyFont="1" applyFill="1" applyBorder="1" applyAlignment="1" applyProtection="1">
      <alignment horizontal="center" vertical="center" wrapText="1"/>
    </xf>
    <xf numFmtId="0" fontId="6" fillId="4" borderId="4" xfId="4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 applyProtection="1">
      <alignment horizontal="center" vertical="center" wrapText="1"/>
    </xf>
    <xf numFmtId="0" fontId="17" fillId="3" borderId="7" xfId="4" applyFont="1" applyFill="1" applyBorder="1" applyAlignment="1" applyProtection="1">
      <alignment horizontal="center" vertical="center" wrapText="1"/>
    </xf>
    <xf numFmtId="4" fontId="17" fillId="3" borderId="1" xfId="4" applyNumberFormat="1" applyFont="1" applyFill="1" applyBorder="1" applyAlignment="1" applyProtection="1">
      <alignment horizontal="center" vertical="center" wrapText="1"/>
    </xf>
    <xf numFmtId="4" fontId="17" fillId="3" borderId="7" xfId="4" applyNumberFormat="1" applyFont="1" applyFill="1" applyBorder="1" applyAlignment="1" applyProtection="1">
      <alignment horizontal="center" vertical="center" wrapText="1"/>
    </xf>
    <xf numFmtId="166" fontId="6" fillId="4" borderId="6" xfId="4" applyNumberFormat="1" applyFont="1" applyFill="1" applyBorder="1" applyAlignment="1" applyProtection="1">
      <alignment horizontal="center" vertical="center" wrapText="1"/>
    </xf>
    <xf numFmtId="166" fontId="6" fillId="0" borderId="0" xfId="4" applyNumberFormat="1" applyFont="1" applyFill="1" applyAlignment="1" applyProtection="1">
      <alignment horizontal="center" vertical="center" wrapText="1"/>
    </xf>
    <xf numFmtId="0" fontId="3" fillId="4" borderId="23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4" borderId="23" xfId="4" applyFont="1" applyFill="1" applyBorder="1" applyAlignment="1" applyProtection="1">
      <alignment horizontal="center" vertical="center" wrapText="1"/>
    </xf>
    <xf numFmtId="166" fontId="19" fillId="3" borderId="23" xfId="4" applyNumberFormat="1" applyFont="1" applyFill="1" applyBorder="1" applyAlignment="1" applyProtection="1">
      <alignment horizontal="center" vertical="center" wrapText="1"/>
    </xf>
    <xf numFmtId="0" fontId="6" fillId="4" borderId="0" xfId="4" applyFont="1" applyFill="1" applyBorder="1" applyAlignment="1" applyProtection="1">
      <alignment horizontal="center" vertical="center" wrapText="1"/>
    </xf>
    <xf numFmtId="2" fontId="14" fillId="4" borderId="23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166" fontId="19" fillId="3" borderId="1" xfId="4" applyNumberFormat="1" applyFont="1" applyFill="1" applyBorder="1" applyAlignment="1" applyProtection="1">
      <alignment horizontal="center" vertical="center" wrapText="1"/>
    </xf>
    <xf numFmtId="165" fontId="19" fillId="3" borderId="1" xfId="4" applyNumberFormat="1" applyFont="1" applyFill="1" applyBorder="1" applyAlignment="1" applyProtection="1">
      <alignment horizontal="center" vertical="center" wrapText="1"/>
    </xf>
    <xf numFmtId="0" fontId="14" fillId="4" borderId="1" xfId="4" applyFont="1" applyFill="1" applyBorder="1" applyAlignment="1" applyProtection="1">
      <alignment horizontal="center" vertical="center" wrapText="1"/>
    </xf>
    <xf numFmtId="2" fontId="19" fillId="3" borderId="1" xfId="4" applyNumberFormat="1" applyFont="1" applyFill="1" applyBorder="1" applyAlignment="1" applyProtection="1">
      <alignment horizontal="center" vertical="center" wrapText="1"/>
    </xf>
    <xf numFmtId="0" fontId="8" fillId="0" borderId="0" xfId="4" applyFill="1" applyBorder="1" applyAlignment="1" applyProtection="1">
      <alignment horizontal="center" vertical="center" wrapText="1"/>
    </xf>
    <xf numFmtId="0" fontId="20" fillId="4" borderId="1" xfId="4" applyFont="1" applyFill="1" applyBorder="1" applyAlignment="1" applyProtection="1">
      <alignment horizontal="center" vertical="center" wrapText="1"/>
    </xf>
    <xf numFmtId="169" fontId="20" fillId="3" borderId="1" xfId="4" applyNumberFormat="1" applyFont="1" applyFill="1" applyBorder="1" applyAlignment="1" applyProtection="1">
      <alignment horizontal="center" vertical="center" wrapText="1"/>
    </xf>
    <xf numFmtId="2" fontId="20" fillId="3" borderId="1" xfId="4" applyNumberFormat="1" applyFont="1" applyFill="1" applyBorder="1" applyAlignment="1" applyProtection="1">
      <alignment horizontal="center" vertical="center" wrapText="1"/>
    </xf>
    <xf numFmtId="4" fontId="20" fillId="3" borderId="1" xfId="4" applyNumberFormat="1" applyFont="1" applyFill="1" applyBorder="1" applyAlignment="1" applyProtection="1">
      <alignment horizontal="center" vertical="center" wrapText="1"/>
    </xf>
    <xf numFmtId="166" fontId="20" fillId="3" borderId="1" xfId="4" applyNumberFormat="1" applyFont="1" applyFill="1" applyBorder="1" applyAlignment="1" applyProtection="1">
      <alignment horizontal="center" vertical="center" wrapText="1"/>
    </xf>
    <xf numFmtId="0" fontId="16" fillId="0" borderId="0" xfId="4" applyFont="1" applyFill="1" applyAlignment="1" applyProtection="1">
      <alignment horizontal="center" vertical="center" wrapText="1"/>
    </xf>
    <xf numFmtId="0" fontId="15" fillId="4" borderId="1" xfId="4" applyFont="1" applyFill="1" applyBorder="1" applyAlignment="1" applyProtection="1">
      <alignment horizontal="center" vertical="center" wrapText="1"/>
    </xf>
    <xf numFmtId="0" fontId="3" fillId="0" borderId="0" xfId="4" applyFont="1" applyFill="1" applyAlignment="1" applyProtection="1">
      <alignment horizontal="center" vertical="center" wrapText="1"/>
    </xf>
    <xf numFmtId="0" fontId="6" fillId="4" borderId="9" xfId="4" applyFont="1" applyFill="1" applyBorder="1" applyAlignment="1" applyProtection="1">
      <alignment horizontal="center" vertical="center" wrapText="1"/>
    </xf>
    <xf numFmtId="0" fontId="6" fillId="0" borderId="9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left" vertical="center" wrapText="1"/>
    </xf>
    <xf numFmtId="0" fontId="31" fillId="0" borderId="1" xfId="4" applyFont="1" applyFill="1" applyBorder="1" applyAlignment="1" applyProtection="1">
      <alignment horizontal="left" vertical="center" wrapText="1"/>
    </xf>
    <xf numFmtId="0" fontId="31" fillId="2" borderId="0" xfId="4" applyFont="1" applyFill="1" applyBorder="1" applyAlignment="1" applyProtection="1">
      <alignment horizontal="center" vertical="center" wrapText="1"/>
    </xf>
    <xf numFmtId="0" fontId="38" fillId="0" borderId="24" xfId="4" applyFont="1" applyFill="1" applyBorder="1" applyAlignment="1" applyProtection="1">
      <alignment horizontal="left" vertical="center" wrapText="1"/>
    </xf>
    <xf numFmtId="1" fontId="31" fillId="0" borderId="0" xfId="4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2" fillId="0" borderId="0" xfId="6" applyNumberFormat="1" applyAlignment="1">
      <alignment horizontal="center" vertical="center"/>
    </xf>
    <xf numFmtId="11" fontId="2" fillId="0" borderId="0" xfId="6" applyNumberFormat="1" applyAlignment="1">
      <alignment horizontal="center" vertical="center"/>
    </xf>
    <xf numFmtId="0" fontId="2" fillId="0" borderId="0" xfId="6"/>
    <xf numFmtId="0" fontId="2" fillId="0" borderId="0" xfId="6" quotePrefix="1"/>
    <xf numFmtId="3" fontId="19" fillId="3" borderId="23" xfId="4" applyNumberFormat="1" applyFont="1" applyFill="1" applyBorder="1" applyAlignment="1" applyProtection="1">
      <alignment horizontal="center" vertical="center" wrapText="1"/>
    </xf>
    <xf numFmtId="0" fontId="38" fillId="0" borderId="15" xfId="4" applyFont="1" applyFill="1" applyBorder="1" applyAlignment="1" applyProtection="1">
      <alignment horizontal="left" vertical="center" wrapText="1"/>
    </xf>
    <xf numFmtId="0" fontId="31" fillId="0" borderId="15" xfId="4" applyFont="1" applyFill="1" applyBorder="1" applyAlignment="1" applyProtection="1">
      <alignment vertical="center" wrapText="1"/>
    </xf>
    <xf numFmtId="0" fontId="31" fillId="2" borderId="15" xfId="4" applyFont="1" applyFill="1" applyBorder="1" applyAlignment="1" applyProtection="1">
      <alignment horizontal="center" vertical="center" wrapText="1"/>
    </xf>
    <xf numFmtId="0" fontId="31" fillId="2" borderId="16" xfId="4" applyFont="1" applyFill="1" applyBorder="1" applyAlignment="1" applyProtection="1">
      <alignment horizontal="center" vertical="center" wrapText="1"/>
    </xf>
    <xf numFmtId="0" fontId="2" fillId="0" borderId="16" xfId="6" applyBorder="1"/>
    <xf numFmtId="0" fontId="39" fillId="0" borderId="0" xfId="6" applyFont="1"/>
    <xf numFmtId="0" fontId="39" fillId="0" borderId="0" xfId="6" quotePrefix="1" applyFont="1"/>
    <xf numFmtId="0" fontId="38" fillId="2" borderId="19" xfId="4" applyFont="1" applyFill="1" applyBorder="1" applyAlignment="1" applyProtection="1">
      <alignment horizontal="left" vertical="center" wrapText="1"/>
    </xf>
    <xf numFmtId="0" fontId="31" fillId="2" borderId="24" xfId="4" applyFont="1" applyFill="1" applyBorder="1" applyAlignment="1" applyProtection="1">
      <alignment horizontal="left" vertical="center" wrapText="1"/>
    </xf>
    <xf numFmtId="0" fontId="31" fillId="2" borderId="17" xfId="4" applyFont="1" applyFill="1" applyBorder="1" applyAlignment="1" applyProtection="1">
      <alignment horizontal="left" vertical="center" wrapText="1"/>
    </xf>
    <xf numFmtId="0" fontId="39" fillId="0" borderId="0" xfId="6" applyFont="1" applyAlignment="1">
      <alignment horizont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0" fillId="0" borderId="7" xfId="0" applyFill="1" applyBorder="1" applyProtection="1"/>
    <xf numFmtId="0" fontId="23" fillId="0" borderId="14" xfId="0" applyFont="1" applyFill="1" applyBorder="1" applyAlignment="1" applyProtection="1">
      <alignment horizontal="center" vertical="center"/>
    </xf>
    <xf numFmtId="0" fontId="0" fillId="0" borderId="24" xfId="0" applyBorder="1" applyProtection="1"/>
    <xf numFmtId="0" fontId="30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24" fillId="0" borderId="0" xfId="0" applyFont="1" applyBorder="1" applyProtection="1"/>
    <xf numFmtId="0" fontId="0" fillId="0" borderId="25" xfId="0" applyBorder="1" applyAlignment="1" applyProtection="1">
      <alignment horizontal="center"/>
    </xf>
    <xf numFmtId="0" fontId="0" fillId="0" borderId="0" xfId="0" applyBorder="1" applyProtection="1"/>
    <xf numFmtId="0" fontId="0" fillId="0" borderId="25" xfId="0" applyBorder="1" applyProtection="1"/>
    <xf numFmtId="0" fontId="0" fillId="0" borderId="16" xfId="0" applyFill="1" applyBorder="1" applyProtection="1"/>
    <xf numFmtId="0" fontId="0" fillId="0" borderId="16" xfId="0" applyBorder="1" applyProtection="1"/>
    <xf numFmtId="0" fontId="0" fillId="0" borderId="18" xfId="0" applyBorder="1" applyProtection="1"/>
    <xf numFmtId="0" fontId="31" fillId="2" borderId="15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16" xfId="0" applyFont="1" applyFill="1" applyBorder="1" applyAlignment="1" applyProtection="1">
      <alignment horizontal="center" vertical="center"/>
    </xf>
    <xf numFmtId="168" fontId="0" fillId="0" borderId="0" xfId="1" applyNumberFormat="1" applyFont="1" applyProtection="1"/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38" fillId="0" borderId="7" xfId="0" applyFont="1" applyBorder="1" applyAlignment="1" applyProtection="1">
      <alignment horizontal="center" vertical="center"/>
    </xf>
    <xf numFmtId="2" fontId="38" fillId="0" borderId="9" xfId="0" applyNumberFormat="1" applyFont="1" applyBorder="1" applyAlignment="1" applyProtection="1">
      <alignment horizontal="center" vertical="center"/>
    </xf>
    <xf numFmtId="0" fontId="26" fillId="5" borderId="19" xfId="0" applyFont="1" applyFill="1" applyBorder="1" applyAlignment="1" applyProtection="1">
      <alignment horizontal="left" vertical="center" wrapText="1"/>
    </xf>
    <xf numFmtId="0" fontId="26" fillId="5" borderId="15" xfId="0" applyFont="1" applyFill="1" applyBorder="1" applyAlignment="1" applyProtection="1">
      <alignment horizontal="center" vertical="center" wrapText="1"/>
    </xf>
    <xf numFmtId="0" fontId="26" fillId="5" borderId="13" xfId="0" applyFont="1" applyFill="1" applyBorder="1" applyAlignment="1" applyProtection="1">
      <alignment horizontal="center" vertical="center" wrapText="1"/>
    </xf>
    <xf numFmtId="170" fontId="31" fillId="0" borderId="0" xfId="0" applyNumberFormat="1" applyFont="1" applyBorder="1" applyAlignment="1" applyProtection="1">
      <alignment horizontal="center" vertical="center"/>
    </xf>
    <xf numFmtId="170" fontId="31" fillId="0" borderId="25" xfId="0" applyNumberFormat="1" applyFont="1" applyBorder="1" applyAlignment="1" applyProtection="1">
      <alignment horizontal="center" vertical="center"/>
    </xf>
    <xf numFmtId="0" fontId="37" fillId="0" borderId="0" xfId="0" applyFont="1" applyBorder="1" applyProtection="1"/>
    <xf numFmtId="0" fontId="38" fillId="0" borderId="25" xfId="0" applyFont="1" applyBorder="1" applyAlignment="1" applyProtection="1">
      <alignment horizontal="center" vertical="center"/>
    </xf>
    <xf numFmtId="0" fontId="16" fillId="0" borderId="0" xfId="0" applyFont="1" applyProtection="1"/>
    <xf numFmtId="0" fontId="6" fillId="0" borderId="24" xfId="0" applyFont="1" applyBorder="1" applyProtection="1"/>
    <xf numFmtId="0" fontId="43" fillId="0" borderId="0" xfId="0" applyFont="1" applyBorder="1" applyAlignment="1" applyProtection="1">
      <alignment horizontal="right"/>
    </xf>
    <xf numFmtId="164" fontId="43" fillId="0" borderId="0" xfId="1" applyNumberFormat="1" applyFont="1" applyBorder="1" applyAlignment="1" applyProtection="1">
      <alignment horizontal="center" vertical="center"/>
    </xf>
    <xf numFmtId="0" fontId="44" fillId="0" borderId="25" xfId="0" applyFont="1" applyBorder="1" applyAlignment="1" applyProtection="1">
      <alignment horizontal="center" vertical="center"/>
    </xf>
    <xf numFmtId="1" fontId="31" fillId="0" borderId="0" xfId="0" applyNumberFormat="1" applyFont="1" applyBorder="1" applyAlignment="1" applyProtection="1">
      <alignment horizontal="center" vertical="center"/>
    </xf>
    <xf numFmtId="170" fontId="31" fillId="0" borderId="0" xfId="0" quotePrefix="1" applyNumberFormat="1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6" fillId="0" borderId="17" xfId="0" applyFont="1" applyBorder="1" applyProtection="1"/>
    <xf numFmtId="0" fontId="43" fillId="0" borderId="16" xfId="0" applyFont="1" applyBorder="1" applyAlignment="1" applyProtection="1">
      <alignment horizontal="right"/>
    </xf>
    <xf numFmtId="164" fontId="43" fillId="0" borderId="16" xfId="0" applyNumberFormat="1" applyFont="1" applyBorder="1" applyAlignment="1" applyProtection="1">
      <alignment horizontal="center" vertical="center"/>
    </xf>
    <xf numFmtId="0" fontId="44" fillId="0" borderId="18" xfId="0" applyFont="1" applyBorder="1" applyAlignment="1" applyProtection="1">
      <alignment horizontal="center" vertical="center"/>
    </xf>
    <xf numFmtId="2" fontId="31" fillId="0" borderId="0" xfId="0" applyNumberFormat="1" applyFont="1" applyBorder="1" applyAlignment="1" applyProtection="1">
      <alignment horizontal="center" vertical="center"/>
    </xf>
    <xf numFmtId="0" fontId="41" fillId="0" borderId="0" xfId="0" applyFont="1" applyProtection="1"/>
    <xf numFmtId="0" fontId="0" fillId="0" borderId="15" xfId="0" applyFill="1" applyBorder="1" applyProtection="1"/>
    <xf numFmtId="0" fontId="0" fillId="0" borderId="15" xfId="0" applyBorder="1" applyProtection="1"/>
    <xf numFmtId="0" fontId="0" fillId="0" borderId="15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7" xfId="0" applyBorder="1" applyProtection="1"/>
    <xf numFmtId="0" fontId="31" fillId="2" borderId="15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16" xfId="0" applyFont="1" applyFill="1" applyBorder="1" applyAlignment="1" applyProtection="1">
      <alignment horizontal="center" vertical="center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0" fontId="31" fillId="2" borderId="25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167" fontId="42" fillId="0" borderId="0" xfId="4" applyNumberFormat="1" applyFont="1" applyFill="1" applyAlignment="1" applyProtection="1">
      <alignment horizontal="center" vertical="center"/>
    </xf>
    <xf numFmtId="0" fontId="42" fillId="0" borderId="0" xfId="4" applyFont="1" applyFill="1" applyAlignment="1" applyProtection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6" fillId="0" borderId="0" xfId="6" applyFont="1" applyAlignment="1">
      <alignment horizontal="center" vertical="center"/>
    </xf>
    <xf numFmtId="0" fontId="46" fillId="0" borderId="0" xfId="6" applyFont="1"/>
    <xf numFmtId="0" fontId="2" fillId="0" borderId="0" xfId="6" applyAlignment="1">
      <alignment horizontal="center"/>
    </xf>
    <xf numFmtId="0" fontId="40" fillId="0" borderId="0" xfId="6" applyFont="1" applyAlignment="1">
      <alignment horizontal="center"/>
    </xf>
    <xf numFmtId="0" fontId="2" fillId="0" borderId="0" xfId="6" applyAlignment="1">
      <alignment horizontal="right"/>
    </xf>
    <xf numFmtId="0" fontId="39" fillId="0" borderId="0" xfId="6" applyFont="1" applyAlignment="1">
      <alignment horizontal="right"/>
    </xf>
    <xf numFmtId="0" fontId="2" fillId="0" borderId="0" xfId="6" applyBorder="1"/>
    <xf numFmtId="0" fontId="40" fillId="0" borderId="23" xfId="6" applyFont="1" applyBorder="1" applyAlignment="1">
      <alignment horizontal="center" vertical="center"/>
    </xf>
    <xf numFmtId="0" fontId="45" fillId="0" borderId="12" xfId="6" applyFont="1" applyBorder="1" applyAlignment="1">
      <alignment horizontal="center"/>
    </xf>
    <xf numFmtId="0" fontId="45" fillId="0" borderId="12" xfId="6" applyFont="1" applyBorder="1" applyAlignment="1">
      <alignment horizontal="center" vertical="center"/>
    </xf>
    <xf numFmtId="0" fontId="40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168" fontId="43" fillId="0" borderId="0" xfId="1" applyNumberFormat="1" applyFont="1" applyBorder="1" applyAlignment="1" applyProtection="1">
      <alignment horizontal="center" vertical="center"/>
    </xf>
    <xf numFmtId="168" fontId="43" fillId="0" borderId="16" xfId="0" applyNumberFormat="1" applyFont="1" applyBorder="1" applyAlignment="1" applyProtection="1">
      <alignment horizontal="center" vertical="center"/>
    </xf>
    <xf numFmtId="3" fontId="38" fillId="0" borderId="0" xfId="0" applyNumberFormat="1" applyFont="1" applyBorder="1" applyAlignment="1" applyProtection="1">
      <alignment horizontal="center" vertical="center"/>
    </xf>
    <xf numFmtId="0" fontId="32" fillId="0" borderId="7" xfId="4" applyFont="1" applyFill="1" applyBorder="1" applyAlignment="1" applyProtection="1">
      <alignment horizontal="center" vertical="center" wrapText="1"/>
    </xf>
    <xf numFmtId="0" fontId="32" fillId="0" borderId="9" xfId="4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right" vertical="top"/>
    </xf>
    <xf numFmtId="0" fontId="28" fillId="0" borderId="9" xfId="0" applyFont="1" applyFill="1" applyBorder="1" applyAlignment="1" applyProtection="1">
      <alignment horizontal="right" vertical="top"/>
    </xf>
    <xf numFmtId="0" fontId="31" fillId="2" borderId="16" xfId="4" applyFont="1" applyFill="1" applyBorder="1" applyAlignment="1" applyProtection="1">
      <alignment horizontal="left" vertical="center" wrapText="1"/>
    </xf>
    <xf numFmtId="0" fontId="9" fillId="5" borderId="14" xfId="0" applyFont="1" applyFill="1" applyBorder="1" applyAlignment="1" applyProtection="1">
      <alignment horizontal="center" vertical="center"/>
    </xf>
    <xf numFmtId="0" fontId="31" fillId="0" borderId="1" xfId="4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/>
    </xf>
    <xf numFmtId="0" fontId="31" fillId="2" borderId="15" xfId="4" applyFont="1" applyFill="1" applyBorder="1" applyAlignment="1" applyProtection="1">
      <alignment horizontal="left" vertical="center" wrapText="1"/>
    </xf>
    <xf numFmtId="0" fontId="31" fillId="2" borderId="0" xfId="4" applyFont="1" applyFill="1" applyBorder="1" applyAlignment="1" applyProtection="1">
      <alignment horizontal="left" vertical="center" wrapText="1"/>
    </xf>
    <xf numFmtId="0" fontId="29" fillId="0" borderId="7" xfId="0" applyFont="1" applyFill="1" applyBorder="1" applyAlignment="1" applyProtection="1">
      <alignment horizontal="center"/>
    </xf>
    <xf numFmtId="0" fontId="29" fillId="0" borderId="14" xfId="0" applyFont="1" applyFill="1" applyBorder="1" applyAlignment="1" applyProtection="1">
      <alignment horizontal="center"/>
    </xf>
    <xf numFmtId="0" fontId="29" fillId="0" borderId="9" xfId="0" applyFont="1" applyFill="1" applyBorder="1" applyAlignment="1" applyProtection="1">
      <alignment horizontal="center"/>
    </xf>
    <xf numFmtId="0" fontId="33" fillId="0" borderId="7" xfId="4" applyFont="1" applyFill="1" applyBorder="1" applyAlignment="1" applyProtection="1">
      <alignment horizontal="center" vertical="center" wrapText="1"/>
    </xf>
    <xf numFmtId="0" fontId="33" fillId="0" borderId="9" xfId="4" applyFont="1" applyFill="1" applyBorder="1" applyAlignment="1" applyProtection="1">
      <alignment horizontal="center" vertical="center" wrapText="1"/>
    </xf>
    <xf numFmtId="0" fontId="31" fillId="0" borderId="24" xfId="4" applyFont="1" applyFill="1" applyBorder="1" applyAlignment="1" applyProtection="1">
      <alignment horizontal="left" vertical="center" wrapText="1"/>
    </xf>
    <xf numFmtId="0" fontId="31" fillId="0" borderId="0" xfId="4" applyFont="1" applyFill="1" applyBorder="1" applyAlignment="1" applyProtection="1">
      <alignment horizontal="left" vertical="center" wrapText="1"/>
    </xf>
    <xf numFmtId="0" fontId="26" fillId="5" borderId="19" xfId="0" applyFont="1" applyFill="1" applyBorder="1" applyAlignment="1" applyProtection="1">
      <alignment horizontal="center" vertical="center" wrapText="1"/>
    </xf>
    <xf numFmtId="0" fontId="26" fillId="5" borderId="15" xfId="0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6" fillId="4" borderId="11" xfId="4" applyFont="1" applyFill="1" applyBorder="1" applyAlignment="1" applyProtection="1">
      <alignment horizontal="center" vertical="center" wrapText="1"/>
    </xf>
    <xf numFmtId="0" fontId="6" fillId="4" borderId="8" xfId="4" applyFont="1" applyFill="1" applyBorder="1" applyAlignment="1" applyProtection="1">
      <alignment horizontal="center" vertical="center" wrapText="1"/>
    </xf>
    <xf numFmtId="0" fontId="13" fillId="4" borderId="20" xfId="4" applyFont="1" applyFill="1" applyBorder="1" applyAlignment="1" applyProtection="1">
      <alignment horizontal="center" vertical="center" wrapText="1"/>
    </xf>
    <xf numFmtId="0" fontId="13" fillId="4" borderId="21" xfId="4" applyFont="1" applyFill="1" applyBorder="1" applyAlignment="1" applyProtection="1">
      <alignment horizontal="center" vertical="center" wrapText="1"/>
    </xf>
    <xf numFmtId="0" fontId="13" fillId="4" borderId="22" xfId="4" applyFont="1" applyFill="1" applyBorder="1" applyAlignment="1" applyProtection="1">
      <alignment horizontal="center" vertical="center" wrapText="1"/>
    </xf>
    <xf numFmtId="0" fontId="39" fillId="0" borderId="0" xfId="6" applyFont="1" applyAlignment="1">
      <alignment horizontal="right"/>
    </xf>
    <xf numFmtId="0" fontId="0" fillId="0" borderId="1" xfId="0" applyBorder="1" applyAlignment="1" applyProtection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21" fillId="0" borderId="0" xfId="0" quotePrefix="1" applyFont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 vertical="center" wrapText="1"/>
    </xf>
    <xf numFmtId="0" fontId="48" fillId="6" borderId="19" xfId="0" applyFont="1" applyFill="1" applyBorder="1" applyAlignment="1" applyProtection="1">
      <alignment vertical="center"/>
    </xf>
    <xf numFmtId="0" fontId="48" fillId="6" borderId="15" xfId="0" applyFont="1" applyFill="1" applyBorder="1" applyAlignment="1" applyProtection="1">
      <alignment vertical="center"/>
    </xf>
    <xf numFmtId="0" fontId="48" fillId="6" borderId="14" xfId="0" applyFont="1" applyFill="1" applyBorder="1" applyAlignment="1" applyProtection="1">
      <alignment horizontal="center" vertical="center"/>
    </xf>
    <xf numFmtId="0" fontId="48" fillId="6" borderId="9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right" vertical="top" wrapText="1"/>
    </xf>
  </cellXfs>
  <cellStyles count="7">
    <cellStyle name="Comma" xfId="1" builtinId="3"/>
    <cellStyle name="Normal" xfId="0" builtinId="0"/>
    <cellStyle name="Normal 2" xfId="2"/>
    <cellStyle name="Normal 2 2" xfId="4"/>
    <cellStyle name="Normal 2 3" xfId="5"/>
    <cellStyle name="Normal 3" xfId="3"/>
    <cellStyle name="Normal 4" xfId="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5400000" spcFirstLastPara="1" vertOverflow="ellipsis" wrap="square" anchor="ctr" anchorCtr="1"/>
          <a:lstStyle/>
          <a:p>
            <a:pPr>
              <a:defRPr sz="1100" b="1" i="0" u="none" strike="noStrike" kern="1200" spc="0" normalizeH="0" baseline="0">
                <a:solidFill>
                  <a:schemeClr val="tx2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chemeClr val="tx2"/>
                </a:solidFill>
              </a:rPr>
              <a:t>Mol, Wet%</a:t>
            </a:r>
          </a:p>
        </c:rich>
      </c:tx>
      <c:layout>
        <c:manualLayout>
          <c:xMode val="edge"/>
          <c:yMode val="edge"/>
          <c:x val="4.6087114833189197E-2"/>
          <c:y val="0.23184386867842638"/>
        </c:manualLayout>
      </c:layout>
      <c:overlay val="0"/>
      <c:spPr>
        <a:noFill/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1100" b="1" i="0" u="none" strike="noStrike" kern="1200" spc="0" normalizeH="0" baseline="0">
              <a:solidFill>
                <a:schemeClr val="tx2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668066320861677"/>
          <c:y val="3.3334116817487366E-2"/>
          <c:w val="0.73913063616418928"/>
          <c:h val="0.75016205063919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6350" cap="sq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Lit>
              <c:ptCount val="5"/>
              <c:pt idx="0">
                <c:v>CO2</c:v>
              </c:pt>
              <c:pt idx="1">
                <c:v> N2</c:v>
              </c:pt>
              <c:pt idx="2">
                <c:v> O2</c:v>
              </c:pt>
              <c:pt idx="3">
                <c:v> H2O</c:v>
              </c:pt>
              <c:pt idx="4">
                <c:v> SO2</c:v>
              </c:pt>
            </c:strLit>
          </c:cat>
          <c:val>
            <c:numRef>
              <c:f>US!$E$33:$E$37</c:f>
              <c:numCache>
                <c:formatCode>0.0%</c:formatCode>
                <c:ptCount val="5"/>
                <c:pt idx="0">
                  <c:v>7.603375900418681E-2</c:v>
                </c:pt>
                <c:pt idx="1">
                  <c:v>0.72129005468704721</c:v>
                </c:pt>
                <c:pt idx="2">
                  <c:v>4.1900644410723227E-2</c:v>
                </c:pt>
                <c:pt idx="3">
                  <c:v>0.15991557559216607</c:v>
                </c:pt>
                <c:pt idx="4">
                  <c:v>8.5996630587661417E-4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883209516444874E-2"/>
          <c:y val="0.87615152583538991"/>
          <c:w val="0.87821361649612306"/>
          <c:h val="9.8478212611483262E-2"/>
        </c:manualLayout>
      </c:layout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5400000" spcFirstLastPara="1" vertOverflow="ellipsis" wrap="square" anchor="ctr" anchorCtr="1"/>
          <a:lstStyle/>
          <a:p>
            <a:pPr>
              <a:defRPr sz="1100" b="1" i="0" u="none" strike="noStrike" kern="1200" spc="0" normalizeH="0" baseline="0">
                <a:solidFill>
                  <a:schemeClr val="tx2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chemeClr val="tx2"/>
                </a:solidFill>
              </a:rPr>
              <a:t>Mass, Wet%</a:t>
            </a:r>
          </a:p>
        </c:rich>
      </c:tx>
      <c:layout>
        <c:manualLayout>
          <c:xMode val="edge"/>
          <c:yMode val="edge"/>
          <c:x val="6.2199827834154939E-2"/>
          <c:y val="0.21986231984159874"/>
        </c:manualLayout>
      </c:layout>
      <c:overlay val="0"/>
      <c:spPr>
        <a:noFill/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1100" b="1" i="0" u="none" strike="noStrike" kern="1200" spc="0" normalizeH="0" baseline="0">
              <a:solidFill>
                <a:schemeClr val="tx2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6217267714085"/>
          <c:y val="7.108809997553657E-2"/>
          <c:w val="0.66942315030004507"/>
          <c:h val="0.7270760882833255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Lit>
              <c:ptCount val="5"/>
              <c:pt idx="0">
                <c:v>CO2</c:v>
              </c:pt>
              <c:pt idx="1">
                <c:v> N2</c:v>
              </c:pt>
              <c:pt idx="2">
                <c:v> O2</c:v>
              </c:pt>
              <c:pt idx="3">
                <c:v> H2O</c:v>
              </c:pt>
              <c:pt idx="4">
                <c:v> SO2</c:v>
              </c:pt>
            </c:strLit>
          </c:cat>
          <c:val>
            <c:numRef>
              <c:f>US!$F$33:$F$37</c:f>
              <c:numCache>
                <c:formatCode>0.0%</c:formatCode>
                <c:ptCount val="5"/>
                <c:pt idx="0">
                  <c:v>0.12027221457488947</c:v>
                </c:pt>
                <c:pt idx="1">
                  <c:v>0.72606273073438488</c:v>
                </c:pt>
                <c:pt idx="2">
                  <c:v>4.8203308744524165E-2</c:v>
                </c:pt>
                <c:pt idx="3">
                  <c:v>0.10348310232699023</c:v>
                </c:pt>
                <c:pt idx="4">
                  <c:v>1.9786436192112413E-3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96004153802339E-2"/>
          <c:y val="0.88941831991671427"/>
          <c:w val="0.82549377363071919"/>
          <c:h val="0.11058168008328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MM Btu/hr</a:t>
            </a:r>
          </a:p>
        </c:rich>
      </c:tx>
      <c:layout>
        <c:manualLayout>
          <c:xMode val="edge"/>
          <c:yMode val="edge"/>
          <c:x val="0.40468376068376066"/>
          <c:y val="9.96885713332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US!$P$33:$P$36</c:f>
              <c:strCache>
                <c:ptCount val="4"/>
                <c:pt idx="0">
                  <c:v>Total Heat Input</c:v>
                </c:pt>
                <c:pt idx="1">
                  <c:v>Wall Heat Loss</c:v>
                </c:pt>
                <c:pt idx="2">
                  <c:v>Flue Gas Loss</c:v>
                </c:pt>
                <c:pt idx="3">
                  <c:v>Heat Absorbed</c:v>
                </c:pt>
              </c:strCache>
            </c:strRef>
          </c:cat>
          <c:val>
            <c:numRef>
              <c:f>US!$Q$33:$Q$36</c:f>
              <c:numCache>
                <c:formatCode>_-* #,##0.00_-;_-* #,##0.00\-;_-* "-"??_-;_-@_-</c:formatCode>
                <c:ptCount val="4"/>
                <c:pt idx="0">
                  <c:v>24.655787631378796</c:v>
                </c:pt>
                <c:pt idx="1">
                  <c:v>0.73752375414982108</c:v>
                </c:pt>
                <c:pt idx="2">
                  <c:v>2.7356512936591351</c:v>
                </c:pt>
                <c:pt idx="3">
                  <c:v>21.182612583569842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7253976"/>
        <c:axId val="210319608"/>
      </c:barChart>
      <c:catAx>
        <c:axId val="377253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19608"/>
        <c:crosses val="autoZero"/>
        <c:auto val="1"/>
        <c:lblAlgn val="ctr"/>
        <c:lblOffset val="100"/>
        <c:noMultiLvlLbl val="0"/>
      </c:catAx>
      <c:valAx>
        <c:axId val="21031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_-* #,##0.00\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25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5400000" spcFirstLastPara="1" vertOverflow="ellipsis" wrap="square" anchor="ctr" anchorCtr="1"/>
          <a:lstStyle/>
          <a:p>
            <a:pPr>
              <a:defRPr sz="1100" b="1" i="0" u="none" strike="noStrike" kern="1200" spc="0" normalizeH="0" baseline="0">
                <a:solidFill>
                  <a:schemeClr val="tx2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chemeClr val="tx2"/>
                </a:solidFill>
              </a:rPr>
              <a:t>Mol, Wet%</a:t>
            </a:r>
          </a:p>
        </c:rich>
      </c:tx>
      <c:layout>
        <c:manualLayout>
          <c:xMode val="edge"/>
          <c:yMode val="edge"/>
          <c:x val="4.6087114833189197E-2"/>
          <c:y val="0.23184386867842638"/>
        </c:manualLayout>
      </c:layout>
      <c:overlay val="0"/>
      <c:spPr>
        <a:noFill/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1100" b="1" i="0" u="none" strike="noStrike" kern="1200" spc="0" normalizeH="0" baseline="0">
              <a:solidFill>
                <a:schemeClr val="tx2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668066320861677"/>
          <c:y val="3.3334116817487366E-2"/>
          <c:w val="0.73913063616418928"/>
          <c:h val="0.75016205063919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6350" cap="sq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Lit>
              <c:ptCount val="5"/>
              <c:pt idx="0">
                <c:v>CO2</c:v>
              </c:pt>
              <c:pt idx="1">
                <c:v> N2</c:v>
              </c:pt>
              <c:pt idx="2">
                <c:v> O2</c:v>
              </c:pt>
              <c:pt idx="3">
                <c:v> H2O</c:v>
              </c:pt>
              <c:pt idx="4">
                <c:v> SO2</c:v>
              </c:pt>
            </c:strLit>
          </c:cat>
          <c:val>
            <c:numRef>
              <c:f>SI!$E$33:$E$37</c:f>
              <c:numCache>
                <c:formatCode>0.0%</c:formatCode>
                <c:ptCount val="5"/>
                <c:pt idx="0">
                  <c:v>8.0191994823863216E-2</c:v>
                </c:pt>
                <c:pt idx="1">
                  <c:v>0.68347458472874723</c:v>
                </c:pt>
                <c:pt idx="2">
                  <c:v>2.3674372953176991E-2</c:v>
                </c:pt>
                <c:pt idx="3">
                  <c:v>0.21175205020178928</c:v>
                </c:pt>
                <c:pt idx="4">
                  <c:v>9.0699729242318245E-4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883209516444874E-2"/>
          <c:y val="0.87615152583538991"/>
          <c:w val="0.87821361649612306"/>
          <c:h val="9.8478212611483262E-2"/>
        </c:manualLayout>
      </c:layout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5400000" spcFirstLastPara="1" vertOverflow="ellipsis" wrap="square" anchor="ctr" anchorCtr="1"/>
          <a:lstStyle/>
          <a:p>
            <a:pPr>
              <a:defRPr sz="1100" b="1" i="0" u="none" strike="noStrike" kern="1200" spc="0" normalizeH="0" baseline="0">
                <a:solidFill>
                  <a:schemeClr val="tx2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chemeClr val="tx2"/>
                </a:solidFill>
              </a:rPr>
              <a:t>Mass, Wet%</a:t>
            </a:r>
          </a:p>
        </c:rich>
      </c:tx>
      <c:layout>
        <c:manualLayout>
          <c:xMode val="edge"/>
          <c:yMode val="edge"/>
          <c:x val="6.2199827834154939E-2"/>
          <c:y val="0.21986231984159874"/>
        </c:manualLayout>
      </c:layout>
      <c:overlay val="0"/>
      <c:spPr>
        <a:noFill/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1100" b="1" i="0" u="none" strike="noStrike" kern="1200" spc="0" normalizeH="0" baseline="0">
              <a:solidFill>
                <a:schemeClr val="tx2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6217267714085"/>
          <c:y val="7.108809997553657E-2"/>
          <c:w val="0.66942315030004507"/>
          <c:h val="0.7270760882833255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Lit>
              <c:ptCount val="5"/>
              <c:pt idx="0">
                <c:v>CO2</c:v>
              </c:pt>
              <c:pt idx="1">
                <c:v> N2</c:v>
              </c:pt>
              <c:pt idx="2">
                <c:v> O2</c:v>
              </c:pt>
              <c:pt idx="3">
                <c:v> H2O</c:v>
              </c:pt>
              <c:pt idx="4">
                <c:v> SO2</c:v>
              </c:pt>
            </c:strLit>
          </c:cat>
          <c:val>
            <c:numRef>
              <c:f>SI!$F$33:$F$37</c:f>
              <c:numCache>
                <c:formatCode>0.0%</c:formatCode>
                <c:ptCount val="5"/>
                <c:pt idx="0">
                  <c:v>0.12928078978769875</c:v>
                </c:pt>
                <c:pt idx="1">
                  <c:v>0.7011819119549576</c:v>
                </c:pt>
                <c:pt idx="2">
                  <c:v>2.7757398885129181E-2</c:v>
                </c:pt>
                <c:pt idx="3">
                  <c:v>0.13965305228035577</c:v>
                </c:pt>
                <c:pt idx="4">
                  <c:v>2.1268470918587891E-3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96004153802339E-2"/>
          <c:y val="0.88941831991671427"/>
          <c:w val="0.82549377363071919"/>
          <c:h val="0.11058168008328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kW</a:t>
            </a:r>
          </a:p>
        </c:rich>
      </c:tx>
      <c:layout>
        <c:manualLayout>
          <c:xMode val="edge"/>
          <c:yMode val="edge"/>
          <c:x val="0.40468376068376066"/>
          <c:y val="9.96885713332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SI!$P$33:$P$36</c:f>
              <c:strCache>
                <c:ptCount val="4"/>
                <c:pt idx="0">
                  <c:v>Total Heat Input</c:v>
                </c:pt>
                <c:pt idx="1">
                  <c:v>Wall Heat Loss</c:v>
                </c:pt>
                <c:pt idx="2">
                  <c:v>Flue Gas Loss</c:v>
                </c:pt>
                <c:pt idx="3">
                  <c:v>Heat Absorbed</c:v>
                </c:pt>
              </c:strCache>
            </c:strRef>
          </c:cat>
          <c:val>
            <c:numRef>
              <c:f>SI!$Q$33:$Q$36</c:f>
              <c:numCache>
                <c:formatCode>_-* #,##0_-;_-* #,##0\-;_-* "-"??_-;_-@_-</c:formatCode>
                <c:ptCount val="4"/>
                <c:pt idx="0">
                  <c:v>39897.140935158597</c:v>
                </c:pt>
                <c:pt idx="1">
                  <c:v>0</c:v>
                </c:pt>
                <c:pt idx="2">
                  <c:v>5806.6889423320081</c:v>
                </c:pt>
                <c:pt idx="3">
                  <c:v>34090.451992826587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8880232"/>
        <c:axId val="325000592"/>
      </c:barChart>
      <c:catAx>
        <c:axId val="208880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000592"/>
        <c:crosses val="autoZero"/>
        <c:auto val="1"/>
        <c:lblAlgn val="ctr"/>
        <c:lblOffset val="100"/>
        <c:noMultiLvlLbl val="0"/>
      </c:catAx>
      <c:valAx>
        <c:axId val="32500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_-* #,##0\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3</xdr:row>
      <xdr:rowOff>180975</xdr:rowOff>
    </xdr:from>
    <xdr:to>
      <xdr:col>9</xdr:col>
      <xdr:colOff>676275</xdr:colOff>
      <xdr:row>13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13</xdr:row>
      <xdr:rowOff>85722</xdr:rowOff>
    </xdr:from>
    <xdr:to>
      <xdr:col>10</xdr:col>
      <xdr:colOff>180975</xdr:colOff>
      <xdr:row>23</xdr:row>
      <xdr:rowOff>171449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304800</xdr:colOff>
      <xdr:row>37</xdr:row>
      <xdr:rowOff>95250</xdr:rowOff>
    </xdr:from>
    <xdr:to>
      <xdr:col>9</xdr:col>
      <xdr:colOff>295275</xdr:colOff>
      <xdr:row>45</xdr:row>
      <xdr:rowOff>14286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66676</xdr:rowOff>
    </xdr:from>
    <xdr:to>
      <xdr:col>1</xdr:col>
      <xdr:colOff>476250</xdr:colOff>
      <xdr:row>0</xdr:row>
      <xdr:rowOff>504826</xdr:rowOff>
    </xdr:to>
    <xdr:grpSp>
      <xdr:nvGrpSpPr>
        <xdr:cNvPr id="6" name="Group 5"/>
        <xdr:cNvGrpSpPr/>
      </xdr:nvGrpSpPr>
      <xdr:grpSpPr>
        <a:xfrm>
          <a:off x="171450" y="66676"/>
          <a:ext cx="447675" cy="438150"/>
          <a:chOff x="1872343" y="8758296"/>
          <a:chExt cx="914399" cy="914400"/>
        </a:xfrm>
      </xdr:grpSpPr>
      <xdr:sp macro="" textlink="">
        <xdr:nvSpPr>
          <xdr:cNvPr id="7" name="Rounded Rectangle 6"/>
          <xdr:cNvSpPr/>
        </xdr:nvSpPr>
        <xdr:spPr>
          <a:xfrm>
            <a:off x="1872343" y="8758296"/>
            <a:ext cx="914399" cy="914400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8526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70523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755785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341047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926309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51157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409683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682094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6650" y="8784739"/>
            <a:ext cx="865784" cy="85522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  <xdr:twoCellAnchor>
    <xdr:from>
      <xdr:col>1</xdr:col>
      <xdr:colOff>447674</xdr:colOff>
      <xdr:row>0</xdr:row>
      <xdr:rowOff>47625</xdr:rowOff>
    </xdr:from>
    <xdr:to>
      <xdr:col>3</xdr:col>
      <xdr:colOff>342899</xdr:colOff>
      <xdr:row>0</xdr:row>
      <xdr:rowOff>524679</xdr:rowOff>
    </xdr:to>
    <xdr:sp macro="" textlink="">
      <xdr:nvSpPr>
        <xdr:cNvPr id="10" name="TextBox 57"/>
        <xdr:cNvSpPr txBox="1"/>
      </xdr:nvSpPr>
      <xdr:spPr>
        <a:xfrm>
          <a:off x="590549" y="47625"/>
          <a:ext cx="1638300" cy="4770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8526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70523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55785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341047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926309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51157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9683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682094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chemeClr val="bg1"/>
              </a:solidFill>
              <a:latin typeface="TradeGothic CondEighteen" panose="020B0806000000000000" pitchFamily="34" charset="0"/>
            </a:rPr>
            <a:t>FHinfinity</a:t>
          </a:r>
          <a:r>
            <a:rPr lang="en-US" sz="1400" baseline="30000">
              <a:solidFill>
                <a:schemeClr val="bg1"/>
              </a:solidFill>
              <a:latin typeface="TradeGothic CondEighteen" panose="020B0806000000000000" pitchFamily="34" charset="0"/>
            </a:rPr>
            <a:t>©</a:t>
          </a:r>
        </a:p>
        <a:p>
          <a:r>
            <a:rPr lang="en-US" sz="1050">
              <a:solidFill>
                <a:schemeClr val="bg1"/>
              </a:solidFill>
              <a:latin typeface="TradeGothic CondEighteen" panose="020B0806000000000000" pitchFamily="34" charset="0"/>
            </a:rPr>
            <a:t>Engineering Solutions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3</xdr:row>
      <xdr:rowOff>180975</xdr:rowOff>
    </xdr:from>
    <xdr:to>
      <xdr:col>9</xdr:col>
      <xdr:colOff>676275</xdr:colOff>
      <xdr:row>13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13</xdr:row>
      <xdr:rowOff>85722</xdr:rowOff>
    </xdr:from>
    <xdr:to>
      <xdr:col>10</xdr:col>
      <xdr:colOff>180975</xdr:colOff>
      <xdr:row>23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304800</xdr:colOff>
      <xdr:row>37</xdr:row>
      <xdr:rowOff>95250</xdr:rowOff>
    </xdr:from>
    <xdr:to>
      <xdr:col>9</xdr:col>
      <xdr:colOff>295275</xdr:colOff>
      <xdr:row>45</xdr:row>
      <xdr:rowOff>14286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0</xdr:row>
      <xdr:rowOff>66676</xdr:rowOff>
    </xdr:from>
    <xdr:to>
      <xdr:col>1</xdr:col>
      <xdr:colOff>466725</xdr:colOff>
      <xdr:row>0</xdr:row>
      <xdr:rowOff>504826</xdr:rowOff>
    </xdr:to>
    <xdr:grpSp>
      <xdr:nvGrpSpPr>
        <xdr:cNvPr id="5" name="Group 4"/>
        <xdr:cNvGrpSpPr/>
      </xdr:nvGrpSpPr>
      <xdr:grpSpPr>
        <a:xfrm>
          <a:off x="161925" y="66676"/>
          <a:ext cx="447675" cy="438150"/>
          <a:chOff x="1872343" y="8758296"/>
          <a:chExt cx="914399" cy="914400"/>
        </a:xfrm>
      </xdr:grpSpPr>
      <xdr:sp macro="" textlink="">
        <xdr:nvSpPr>
          <xdr:cNvPr id="6" name="Rounded Rectangle 5"/>
          <xdr:cNvSpPr/>
        </xdr:nvSpPr>
        <xdr:spPr>
          <a:xfrm>
            <a:off x="1872343" y="8758296"/>
            <a:ext cx="914399" cy="914400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8526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70523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755785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341047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926309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51157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409683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682094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6650" y="8784739"/>
            <a:ext cx="865784" cy="85522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  <xdr:twoCellAnchor>
    <xdr:from>
      <xdr:col>1</xdr:col>
      <xdr:colOff>438149</xdr:colOff>
      <xdr:row>0</xdr:row>
      <xdr:rowOff>47625</xdr:rowOff>
    </xdr:from>
    <xdr:to>
      <xdr:col>3</xdr:col>
      <xdr:colOff>333374</xdr:colOff>
      <xdr:row>0</xdr:row>
      <xdr:rowOff>524679</xdr:rowOff>
    </xdr:to>
    <xdr:sp macro="" textlink="">
      <xdr:nvSpPr>
        <xdr:cNvPr id="8" name="TextBox 57"/>
        <xdr:cNvSpPr txBox="1"/>
      </xdr:nvSpPr>
      <xdr:spPr>
        <a:xfrm>
          <a:off x="581024" y="47625"/>
          <a:ext cx="1638300" cy="4770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8526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70523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55785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341047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926309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51157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9683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682094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chemeClr val="bg1"/>
              </a:solidFill>
              <a:latin typeface="TradeGothic CondEighteen" panose="020B0806000000000000" pitchFamily="34" charset="0"/>
            </a:rPr>
            <a:t>FHinfinity</a:t>
          </a:r>
          <a:r>
            <a:rPr lang="en-US" sz="1400" baseline="30000">
              <a:solidFill>
                <a:schemeClr val="bg1"/>
              </a:solidFill>
              <a:latin typeface="TradeGothic CondEighteen" panose="020B0806000000000000" pitchFamily="34" charset="0"/>
            </a:rPr>
            <a:t>©</a:t>
          </a:r>
        </a:p>
        <a:p>
          <a:r>
            <a:rPr lang="en-US" sz="1050">
              <a:solidFill>
                <a:schemeClr val="bg1"/>
              </a:solidFill>
              <a:latin typeface="TradeGothic CondEighteen" panose="020B0806000000000000" pitchFamily="34" charset="0"/>
            </a:rPr>
            <a:t>Engineering Solutions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5"/>
  <sheetViews>
    <sheetView showGridLines="0" tabSelected="1" zoomScaleNormal="100" workbookViewId="0">
      <selection activeCell="I2" sqref="I2:K2"/>
    </sheetView>
  </sheetViews>
  <sheetFormatPr defaultRowHeight="15" x14ac:dyDescent="0.25"/>
  <cols>
    <col min="1" max="1" width="2.140625" style="2" customWidth="1"/>
    <col min="2" max="2" width="18.140625" style="2" customWidth="1"/>
    <col min="3" max="6" width="8" style="2" customWidth="1"/>
    <col min="7" max="7" width="6.5703125" style="2" customWidth="1"/>
    <col min="8" max="8" width="8.140625" style="2" customWidth="1"/>
    <col min="9" max="9" width="9.140625" style="2"/>
    <col min="10" max="10" width="11.28515625" style="2" customWidth="1"/>
    <col min="11" max="11" width="7.7109375" style="2" customWidth="1"/>
    <col min="12" max="14" width="9.140625" style="2"/>
    <col min="15" max="15" width="14.28515625" style="2" bestFit="1" customWidth="1"/>
    <col min="16" max="16" width="9.140625" style="2"/>
    <col min="17" max="17" width="14.28515625" style="2" bestFit="1" customWidth="1"/>
    <col min="18" max="16384" width="9.140625" style="2"/>
  </cols>
  <sheetData>
    <row r="1" spans="1:11" ht="44.25" customHeight="1" x14ac:dyDescent="0.25">
      <c r="A1" s="189"/>
      <c r="B1" s="190"/>
      <c r="C1" s="190"/>
      <c r="D1" s="191" t="s">
        <v>110</v>
      </c>
      <c r="E1" s="191"/>
      <c r="F1" s="191"/>
      <c r="G1" s="191"/>
      <c r="H1" s="191"/>
      <c r="I1" s="191"/>
      <c r="J1" s="191"/>
      <c r="K1" s="192"/>
    </row>
    <row r="2" spans="1:11" ht="27" customHeight="1" x14ac:dyDescent="0.25">
      <c r="A2" s="74"/>
      <c r="B2" s="75"/>
      <c r="C2" s="75"/>
      <c r="D2" s="75"/>
      <c r="E2" s="75"/>
      <c r="F2" s="75"/>
      <c r="G2" s="75"/>
      <c r="H2" s="75"/>
      <c r="I2" s="193" t="s">
        <v>235</v>
      </c>
      <c r="J2" s="156"/>
      <c r="K2" s="157"/>
    </row>
    <row r="3" spans="1:11" ht="24" customHeight="1" x14ac:dyDescent="0.25">
      <c r="A3" s="76"/>
      <c r="B3" s="77" t="s">
        <v>115</v>
      </c>
      <c r="C3" s="78"/>
      <c r="D3" s="79"/>
      <c r="E3" s="79"/>
      <c r="F3" s="79"/>
      <c r="G3" s="79"/>
      <c r="H3" s="79"/>
      <c r="I3" s="79"/>
      <c r="J3" s="79"/>
      <c r="K3" s="80"/>
    </row>
    <row r="4" spans="1:11" ht="24" customHeight="1" x14ac:dyDescent="0.25">
      <c r="A4" s="76"/>
      <c r="B4" s="81" t="s">
        <v>44</v>
      </c>
      <c r="C4" s="159" t="s">
        <v>111</v>
      </c>
      <c r="D4" s="159"/>
      <c r="E4" s="159" t="s">
        <v>118</v>
      </c>
      <c r="F4" s="161"/>
      <c r="G4" s="82"/>
      <c r="H4" s="82"/>
      <c r="I4" s="83"/>
      <c r="J4" s="83"/>
      <c r="K4" s="84"/>
    </row>
    <row r="5" spans="1:11" x14ac:dyDescent="0.25">
      <c r="A5" s="76"/>
      <c r="B5" s="50" t="s">
        <v>23</v>
      </c>
      <c r="C5" s="154" t="s">
        <v>112</v>
      </c>
      <c r="D5" s="155"/>
      <c r="E5" s="160">
        <v>8.6</v>
      </c>
      <c r="F5" s="160"/>
      <c r="G5" s="85"/>
      <c r="H5" s="85"/>
      <c r="I5" s="85"/>
      <c r="J5" s="86"/>
      <c r="K5" s="87"/>
    </row>
    <row r="6" spans="1:11" x14ac:dyDescent="0.25">
      <c r="A6" s="76"/>
      <c r="B6" s="50" t="s">
        <v>25</v>
      </c>
      <c r="C6" s="154" t="s">
        <v>113</v>
      </c>
      <c r="D6" s="155"/>
      <c r="E6" s="160">
        <v>1.2</v>
      </c>
      <c r="F6" s="160"/>
      <c r="G6" s="85"/>
      <c r="H6" s="85"/>
      <c r="I6" s="85"/>
      <c r="J6" s="88"/>
      <c r="K6" s="89"/>
    </row>
    <row r="7" spans="1:11" x14ac:dyDescent="0.25">
      <c r="A7" s="76"/>
      <c r="B7" s="50" t="s">
        <v>134</v>
      </c>
      <c r="C7" s="154" t="s">
        <v>26</v>
      </c>
      <c r="D7" s="155"/>
      <c r="E7" s="160"/>
      <c r="F7" s="160"/>
      <c r="G7" s="85"/>
      <c r="H7" s="85"/>
      <c r="I7" s="85"/>
      <c r="J7" s="88"/>
      <c r="K7" s="89"/>
    </row>
    <row r="8" spans="1:11" x14ac:dyDescent="0.25">
      <c r="A8" s="76"/>
      <c r="B8" s="50" t="s">
        <v>135</v>
      </c>
      <c r="C8" s="154" t="s">
        <v>57</v>
      </c>
      <c r="D8" s="155"/>
      <c r="E8" s="160">
        <v>0.25</v>
      </c>
      <c r="F8" s="160"/>
      <c r="G8" s="85"/>
      <c r="H8" s="85"/>
      <c r="I8" s="85"/>
      <c r="J8" s="88"/>
      <c r="K8" s="89"/>
    </row>
    <row r="9" spans="1:11" x14ac:dyDescent="0.25">
      <c r="A9" s="76"/>
      <c r="B9" s="50" t="s">
        <v>58</v>
      </c>
      <c r="C9" s="154" t="s">
        <v>136</v>
      </c>
      <c r="D9" s="155"/>
      <c r="E9" s="160">
        <v>77.88</v>
      </c>
      <c r="F9" s="160"/>
      <c r="G9" s="85"/>
      <c r="H9" s="85"/>
      <c r="I9" s="85"/>
      <c r="J9" s="88"/>
      <c r="K9" s="89"/>
    </row>
    <row r="10" spans="1:11" x14ac:dyDescent="0.25">
      <c r="A10" s="76"/>
      <c r="B10" s="50" t="s">
        <v>59</v>
      </c>
      <c r="C10" s="154" t="s">
        <v>137</v>
      </c>
      <c r="D10" s="155"/>
      <c r="E10" s="160">
        <v>5.6</v>
      </c>
      <c r="F10" s="160"/>
      <c r="G10" s="85"/>
      <c r="H10" s="85"/>
      <c r="I10" s="85"/>
      <c r="J10" s="88"/>
      <c r="K10" s="89"/>
    </row>
    <row r="11" spans="1:11" x14ac:dyDescent="0.25">
      <c r="A11" s="76"/>
      <c r="B11" s="50" t="s">
        <v>138</v>
      </c>
      <c r="C11" s="154" t="s">
        <v>139</v>
      </c>
      <c r="D11" s="155"/>
      <c r="E11" s="160">
        <v>0.2</v>
      </c>
      <c r="F11" s="160"/>
      <c r="G11" s="85"/>
      <c r="H11" s="85"/>
      <c r="I11" s="85"/>
      <c r="J11" s="88"/>
      <c r="K11" s="89"/>
    </row>
    <row r="12" spans="1:11" x14ac:dyDescent="0.25">
      <c r="A12" s="76"/>
      <c r="B12" s="50" t="s">
        <v>28</v>
      </c>
      <c r="C12" s="154" t="s">
        <v>140</v>
      </c>
      <c r="D12" s="155"/>
      <c r="E12" s="160">
        <v>0.02</v>
      </c>
      <c r="F12" s="160"/>
      <c r="G12" s="85"/>
      <c r="H12" s="85"/>
      <c r="I12" s="85"/>
      <c r="J12" s="88"/>
      <c r="K12" s="89"/>
    </row>
    <row r="13" spans="1:11" x14ac:dyDescent="0.25">
      <c r="A13" s="76"/>
      <c r="B13" s="50" t="s">
        <v>60</v>
      </c>
      <c r="C13" s="154" t="s">
        <v>141</v>
      </c>
      <c r="D13" s="155"/>
      <c r="E13" s="160">
        <v>3.2</v>
      </c>
      <c r="F13" s="160"/>
      <c r="G13" s="85"/>
      <c r="H13" s="85"/>
      <c r="I13" s="85"/>
      <c r="J13" s="88"/>
      <c r="K13" s="89"/>
    </row>
    <row r="14" spans="1:11" x14ac:dyDescent="0.25">
      <c r="A14" s="76"/>
      <c r="B14" s="50" t="s">
        <v>29</v>
      </c>
      <c r="C14" s="154" t="s">
        <v>142</v>
      </c>
      <c r="D14" s="155"/>
      <c r="E14" s="160"/>
      <c r="F14" s="160"/>
      <c r="G14" s="85"/>
      <c r="H14" s="85"/>
      <c r="I14" s="85"/>
      <c r="J14" s="88"/>
      <c r="K14" s="89"/>
    </row>
    <row r="15" spans="1:11" x14ac:dyDescent="0.25">
      <c r="A15" s="76"/>
      <c r="B15" s="50" t="s">
        <v>144</v>
      </c>
      <c r="C15" s="154" t="s">
        <v>145</v>
      </c>
      <c r="D15" s="155"/>
      <c r="E15" s="160">
        <v>0.8</v>
      </c>
      <c r="F15" s="160"/>
      <c r="G15" s="85"/>
      <c r="H15" s="85"/>
      <c r="I15" s="85"/>
      <c r="J15" s="88"/>
      <c r="K15" s="89"/>
    </row>
    <row r="16" spans="1:11" x14ac:dyDescent="0.25">
      <c r="A16" s="76"/>
      <c r="B16" s="50" t="s">
        <v>30</v>
      </c>
      <c r="C16" s="154" t="s">
        <v>143</v>
      </c>
      <c r="D16" s="155"/>
      <c r="E16" s="160">
        <v>0</v>
      </c>
      <c r="F16" s="160"/>
      <c r="G16" s="85"/>
      <c r="H16" s="85"/>
      <c r="I16" s="85"/>
      <c r="J16" s="88"/>
      <c r="K16" s="89"/>
    </row>
    <row r="17" spans="1:18" x14ac:dyDescent="0.25">
      <c r="A17" s="76"/>
      <c r="B17" s="50" t="s">
        <v>146</v>
      </c>
      <c r="C17" s="154" t="s">
        <v>147</v>
      </c>
      <c r="D17" s="155"/>
      <c r="E17" s="160"/>
      <c r="F17" s="160"/>
      <c r="G17" s="85"/>
      <c r="H17" s="85"/>
      <c r="I17" s="85"/>
      <c r="J17" s="88"/>
      <c r="K17" s="89"/>
    </row>
    <row r="18" spans="1:18" x14ac:dyDescent="0.25">
      <c r="A18" s="76"/>
      <c r="B18" s="50" t="s">
        <v>148</v>
      </c>
      <c r="C18" s="154" t="s">
        <v>149</v>
      </c>
      <c r="D18" s="155"/>
      <c r="E18" s="160">
        <v>0.6</v>
      </c>
      <c r="F18" s="160"/>
      <c r="G18" s="85"/>
      <c r="H18" s="85"/>
      <c r="I18" s="85"/>
      <c r="J18" s="88"/>
      <c r="K18" s="89"/>
    </row>
    <row r="19" spans="1:18" x14ac:dyDescent="0.25">
      <c r="A19" s="76"/>
      <c r="B19" s="50" t="s">
        <v>31</v>
      </c>
      <c r="C19" s="154" t="s">
        <v>150</v>
      </c>
      <c r="D19" s="155"/>
      <c r="E19" s="160"/>
      <c r="F19" s="160"/>
      <c r="G19" s="85"/>
      <c r="H19" s="85"/>
      <c r="I19" s="85"/>
      <c r="J19" s="88"/>
      <c r="K19" s="89"/>
    </row>
    <row r="20" spans="1:18" x14ac:dyDescent="0.25">
      <c r="A20" s="76"/>
      <c r="B20" s="50" t="s">
        <v>69</v>
      </c>
      <c r="C20" s="154" t="s">
        <v>151</v>
      </c>
      <c r="D20" s="155"/>
      <c r="E20" s="160"/>
      <c r="F20" s="160"/>
      <c r="G20" s="85"/>
      <c r="H20" s="85"/>
      <c r="I20" s="85"/>
      <c r="J20" s="88"/>
      <c r="K20" s="89"/>
    </row>
    <row r="21" spans="1:18" x14ac:dyDescent="0.25">
      <c r="A21" s="76"/>
      <c r="B21" s="50" t="s">
        <v>70</v>
      </c>
      <c r="C21" s="154" t="s">
        <v>152</v>
      </c>
      <c r="D21" s="155"/>
      <c r="E21" s="160"/>
      <c r="F21" s="160"/>
      <c r="G21" s="85"/>
      <c r="H21" s="85"/>
      <c r="I21" s="85"/>
      <c r="J21" s="88"/>
      <c r="K21" s="89"/>
    </row>
    <row r="22" spans="1:18" x14ac:dyDescent="0.25">
      <c r="A22" s="76"/>
      <c r="B22" s="50" t="s">
        <v>72</v>
      </c>
      <c r="C22" s="154" t="s">
        <v>153</v>
      </c>
      <c r="D22" s="155"/>
      <c r="E22" s="160"/>
      <c r="F22" s="160"/>
      <c r="G22" s="85"/>
      <c r="H22" s="85"/>
      <c r="I22" s="85"/>
      <c r="J22" s="88"/>
      <c r="K22" s="89"/>
    </row>
    <row r="23" spans="1:18" x14ac:dyDescent="0.25">
      <c r="A23" s="76"/>
      <c r="B23" s="50" t="s">
        <v>154</v>
      </c>
      <c r="C23" s="154" t="s">
        <v>35</v>
      </c>
      <c r="D23" s="155"/>
      <c r="E23" s="160">
        <v>1.2</v>
      </c>
      <c r="F23" s="160"/>
      <c r="G23" s="85"/>
      <c r="H23" s="85"/>
      <c r="I23" s="85"/>
      <c r="J23" s="88"/>
      <c r="K23" s="89"/>
    </row>
    <row r="24" spans="1:18" x14ac:dyDescent="0.25">
      <c r="A24" s="76"/>
      <c r="B24" s="50" t="s">
        <v>155</v>
      </c>
      <c r="C24" s="154" t="s">
        <v>36</v>
      </c>
      <c r="D24" s="155"/>
      <c r="E24" s="160">
        <v>0.45</v>
      </c>
      <c r="F24" s="160"/>
      <c r="G24" s="85"/>
      <c r="H24" s="85"/>
      <c r="I24" s="85"/>
      <c r="J24" s="88"/>
      <c r="K24" s="89"/>
    </row>
    <row r="25" spans="1:18" x14ac:dyDescent="0.25">
      <c r="A25" s="76"/>
      <c r="B25" s="164" t="s">
        <v>37</v>
      </c>
      <c r="C25" s="165"/>
      <c r="D25" s="166"/>
      <c r="E25" s="167">
        <f>SUM(E5:F24)</f>
        <v>99.999999999999986</v>
      </c>
      <c r="F25" s="168"/>
      <c r="G25" s="90"/>
      <c r="H25" s="90"/>
      <c r="I25" s="90"/>
      <c r="J25" s="91"/>
      <c r="K25" s="92"/>
    </row>
    <row r="26" spans="1:18" ht="17.25" customHeight="1" x14ac:dyDescent="0.25">
      <c r="A26" s="76"/>
      <c r="B26" s="68" t="s">
        <v>156</v>
      </c>
      <c r="C26" s="63" t="s">
        <v>164</v>
      </c>
      <c r="D26" s="127">
        <v>66</v>
      </c>
      <c r="E26" s="93"/>
      <c r="F26" s="93"/>
      <c r="G26" s="93"/>
      <c r="H26" s="162" t="s">
        <v>193</v>
      </c>
      <c r="I26" s="162"/>
      <c r="J26" s="63" t="s">
        <v>164</v>
      </c>
      <c r="K26" s="130">
        <v>120</v>
      </c>
    </row>
    <row r="27" spans="1:18" ht="17.25" customHeight="1" x14ac:dyDescent="0.25">
      <c r="A27" s="76"/>
      <c r="B27" s="69" t="s">
        <v>157</v>
      </c>
      <c r="C27" s="51" t="s">
        <v>167</v>
      </c>
      <c r="D27" s="128">
        <v>11.89</v>
      </c>
      <c r="E27" s="94"/>
      <c r="F27" s="94"/>
      <c r="G27" s="94"/>
      <c r="H27" s="163" t="s">
        <v>160</v>
      </c>
      <c r="I27" s="163"/>
      <c r="J27" s="94" t="s">
        <v>161</v>
      </c>
      <c r="K27" s="131">
        <v>1200</v>
      </c>
    </row>
    <row r="28" spans="1:18" ht="17.25" customHeight="1" x14ac:dyDescent="0.25">
      <c r="A28" s="76"/>
      <c r="B28" s="69" t="s">
        <v>114</v>
      </c>
      <c r="C28" s="51" t="s">
        <v>159</v>
      </c>
      <c r="D28" s="128">
        <v>28</v>
      </c>
      <c r="E28" s="94"/>
      <c r="F28" s="94"/>
      <c r="G28" s="94"/>
      <c r="H28" s="163" t="s">
        <v>162</v>
      </c>
      <c r="I28" s="163"/>
      <c r="J28" s="94" t="s">
        <v>159</v>
      </c>
      <c r="K28" s="132">
        <v>3</v>
      </c>
    </row>
    <row r="29" spans="1:18" x14ac:dyDescent="0.25">
      <c r="A29" s="76"/>
      <c r="B29" s="70" t="s">
        <v>158</v>
      </c>
      <c r="C29" s="64" t="s">
        <v>159</v>
      </c>
      <c r="D29" s="129">
        <v>55</v>
      </c>
      <c r="E29" s="95"/>
      <c r="F29" s="95"/>
      <c r="G29" s="95"/>
      <c r="H29" s="158" t="s">
        <v>163</v>
      </c>
      <c r="I29" s="158"/>
      <c r="J29" s="64" t="s">
        <v>164</v>
      </c>
      <c r="K29" s="133">
        <v>450</v>
      </c>
      <c r="O29" s="96"/>
    </row>
    <row r="30" spans="1:18" x14ac:dyDescent="0.25">
      <c r="A30" s="76"/>
      <c r="B30" s="88"/>
      <c r="C30" s="88"/>
      <c r="D30" s="88"/>
      <c r="E30" s="88"/>
      <c r="F30" s="88"/>
      <c r="G30" s="85"/>
      <c r="H30" s="85"/>
      <c r="I30" s="88"/>
      <c r="J30" s="88"/>
      <c r="K30" s="89"/>
    </row>
    <row r="31" spans="1:18" ht="25.5" customHeight="1" x14ac:dyDescent="0.25">
      <c r="A31" s="76"/>
      <c r="B31" s="97" t="s">
        <v>128</v>
      </c>
      <c r="C31" s="98"/>
      <c r="D31" s="88"/>
      <c r="E31" s="99" t="s">
        <v>102</v>
      </c>
      <c r="F31" s="100">
        <f>'Combustion Details(US)'!N42</f>
        <v>27.830856978452637</v>
      </c>
      <c r="G31" s="85"/>
      <c r="H31" s="97" t="s">
        <v>124</v>
      </c>
      <c r="I31" s="88"/>
      <c r="J31" s="88"/>
      <c r="K31" s="89"/>
    </row>
    <row r="32" spans="1:18" ht="32.25" customHeight="1" x14ac:dyDescent="0.25">
      <c r="A32" s="76"/>
      <c r="B32" s="101" t="s">
        <v>44</v>
      </c>
      <c r="C32" s="102" t="s">
        <v>129</v>
      </c>
      <c r="D32" s="102" t="s">
        <v>130</v>
      </c>
      <c r="E32" s="102" t="s">
        <v>131</v>
      </c>
      <c r="F32" s="103" t="s">
        <v>132</v>
      </c>
      <c r="G32" s="88"/>
      <c r="H32" s="171" t="s">
        <v>95</v>
      </c>
      <c r="I32" s="172"/>
      <c r="J32" s="102" t="s">
        <v>126</v>
      </c>
      <c r="K32" s="103" t="s">
        <v>125</v>
      </c>
      <c r="O32" s="173" t="s">
        <v>215</v>
      </c>
      <c r="P32" s="174"/>
      <c r="Q32" s="174"/>
      <c r="R32" s="175"/>
    </row>
    <row r="33" spans="1:18" ht="21.95" customHeight="1" x14ac:dyDescent="0.25">
      <c r="A33" s="76"/>
      <c r="B33" s="52" t="s">
        <v>119</v>
      </c>
      <c r="C33" s="104">
        <f>E33/(E33+E34+E35+E37)</f>
        <v>9.0507283309986558E-2</v>
      </c>
      <c r="D33" s="104">
        <f>F33/(F33+F34+F35+F37)</f>
        <v>0.13415498903262929</v>
      </c>
      <c r="E33" s="104">
        <f>'Combustion Details(US)'!K42</f>
        <v>7.603375900418681E-2</v>
      </c>
      <c r="F33" s="105">
        <f>'Combustion Details(US)'!I42</f>
        <v>0.12027221457488947</v>
      </c>
      <c r="G33" s="106"/>
      <c r="H33" s="169" t="s">
        <v>133</v>
      </c>
      <c r="I33" s="170"/>
      <c r="J33" s="53">
        <f>'Combustion Details(US)'!F38</f>
        <v>20486.770948606143</v>
      </c>
      <c r="K33" s="107" t="s">
        <v>165</v>
      </c>
      <c r="M33" s="108"/>
      <c r="O33" s="109"/>
      <c r="P33" s="110" t="s">
        <v>212</v>
      </c>
      <c r="Q33" s="111">
        <f>(K27*J33+'Flue Enth (US)'!M38+'Flue Gas, Air Enth (US)'!M49)/1000000</f>
        <v>24.655787631378796</v>
      </c>
      <c r="R33" s="112" t="s">
        <v>216</v>
      </c>
    </row>
    <row r="34" spans="1:18" ht="21.95" customHeight="1" x14ac:dyDescent="0.25">
      <c r="A34" s="76"/>
      <c r="B34" s="52" t="s">
        <v>120</v>
      </c>
      <c r="C34" s="104">
        <f>E34/(E33+E34+E35+E37)</f>
        <v>0.85859234349628188</v>
      </c>
      <c r="D34" s="104">
        <f>F34/(F33+F34+F35+F37)</f>
        <v>0.80987065901261424</v>
      </c>
      <c r="E34" s="104">
        <f>'Combustion Details(US)'!K45</f>
        <v>0.72129005468704721</v>
      </c>
      <c r="F34" s="105">
        <f>'Combustion Details(US)'!I45</f>
        <v>0.72606273073438488</v>
      </c>
      <c r="G34" s="106"/>
      <c r="H34" s="169" t="s">
        <v>116</v>
      </c>
      <c r="I34" s="170"/>
      <c r="J34" s="113">
        <f>'Combustion Details(US)'!N41</f>
        <v>26280.953767254119</v>
      </c>
      <c r="K34" s="107" t="s">
        <v>161</v>
      </c>
      <c r="M34" s="108"/>
      <c r="O34" s="109"/>
      <c r="P34" s="110" t="s">
        <v>213</v>
      </c>
      <c r="Q34" s="111">
        <f>(K28/100*K27*J33)/1000000</f>
        <v>0.73752375414982108</v>
      </c>
      <c r="R34" s="112" t="s">
        <v>216</v>
      </c>
    </row>
    <row r="35" spans="1:18" ht="21.95" customHeight="1" x14ac:dyDescent="0.25">
      <c r="A35" s="76"/>
      <c r="B35" s="52" t="s">
        <v>121</v>
      </c>
      <c r="C35" s="104">
        <f>E35/(E33+E34+E35+E37)</f>
        <v>4.9876706665831258E-2</v>
      </c>
      <c r="D35" s="104">
        <f>F35/(F33+F34+F35+F37)</f>
        <v>5.3767317570522305E-2</v>
      </c>
      <c r="E35" s="104">
        <f>'Combustion Details(US)'!K44</f>
        <v>4.1900644410723227E-2</v>
      </c>
      <c r="F35" s="105">
        <f>'Combustion Details(US)'!I44</f>
        <v>4.8203308744524165E-2</v>
      </c>
      <c r="G35" s="106"/>
      <c r="H35" s="169" t="s">
        <v>117</v>
      </c>
      <c r="I35" s="170"/>
      <c r="J35" s="113">
        <f>'Combustion Details(US)'!N43</f>
        <v>25080.953767254119</v>
      </c>
      <c r="K35" s="107" t="s">
        <v>161</v>
      </c>
      <c r="M35" s="108"/>
      <c r="O35" s="109"/>
      <c r="P35" s="110" t="s">
        <v>214</v>
      </c>
      <c r="Q35" s="111">
        <f>('Flue Gas, Air Enth (US)'!M32)/1000000</f>
        <v>2.7356512936591351</v>
      </c>
      <c r="R35" s="112" t="s">
        <v>216</v>
      </c>
    </row>
    <row r="36" spans="1:18" ht="21.95" customHeight="1" x14ac:dyDescent="0.25">
      <c r="A36" s="76"/>
      <c r="B36" s="52" t="s">
        <v>122</v>
      </c>
      <c r="C36" s="114" t="s">
        <v>168</v>
      </c>
      <c r="D36" s="114" t="s">
        <v>168</v>
      </c>
      <c r="E36" s="104">
        <f>'Combustion Details(US)'!K46</f>
        <v>0.15991557559216607</v>
      </c>
      <c r="F36" s="105">
        <f>'Combustion Details(US)'!I46</f>
        <v>0.10348310232699023</v>
      </c>
      <c r="G36" s="106"/>
      <c r="H36" s="169" t="s">
        <v>169</v>
      </c>
      <c r="I36" s="170"/>
      <c r="J36" s="153">
        <f>Q36*1000000</f>
        <v>21182612.583569843</v>
      </c>
      <c r="K36" s="115" t="s">
        <v>170</v>
      </c>
      <c r="M36" s="108"/>
      <c r="O36" s="116"/>
      <c r="P36" s="117" t="s">
        <v>169</v>
      </c>
      <c r="Q36" s="118">
        <f>Q33-Q34-Q35</f>
        <v>21.182612583569842</v>
      </c>
      <c r="R36" s="119" t="s">
        <v>216</v>
      </c>
    </row>
    <row r="37" spans="1:18" ht="21.95" customHeight="1" x14ac:dyDescent="0.25">
      <c r="A37" s="76"/>
      <c r="B37" s="52" t="s">
        <v>123</v>
      </c>
      <c r="C37" s="104">
        <f>E37/(E33+E34+E35+E37)</f>
        <v>1.0236665279002104E-3</v>
      </c>
      <c r="D37" s="104">
        <f>F37/(F33+F34+F35+F37)</f>
        <v>2.2070343842341272E-3</v>
      </c>
      <c r="E37" s="104">
        <f>'Combustion Details(US)'!K43</f>
        <v>8.5996630587661417E-4</v>
      </c>
      <c r="F37" s="105">
        <f>'Combustion Details(US)'!I43</f>
        <v>1.9786436192112413E-3</v>
      </c>
      <c r="G37" s="106"/>
      <c r="H37" s="169" t="s">
        <v>127</v>
      </c>
      <c r="I37" s="170"/>
      <c r="J37" s="120">
        <f>J36/(K27*J33)*100</f>
        <v>86.163784411207416</v>
      </c>
      <c r="K37" s="107" t="s">
        <v>159</v>
      </c>
      <c r="M37" s="108"/>
      <c r="O37" s="121"/>
      <c r="P37" s="121"/>
      <c r="Q37" s="121"/>
    </row>
    <row r="38" spans="1:18" ht="21.95" customHeight="1" x14ac:dyDescent="0.25">
      <c r="A38" s="76"/>
      <c r="B38" s="61"/>
      <c r="C38" s="122"/>
      <c r="D38" s="123"/>
      <c r="E38" s="123"/>
      <c r="F38" s="123"/>
      <c r="G38" s="88"/>
      <c r="H38" s="62"/>
      <c r="I38" s="62"/>
      <c r="J38" s="124"/>
      <c r="K38" s="125"/>
    </row>
    <row r="39" spans="1:18" x14ac:dyDescent="0.25">
      <c r="A39" s="76"/>
      <c r="B39" s="49"/>
      <c r="C39" s="49"/>
      <c r="D39" s="88"/>
      <c r="E39" s="88"/>
      <c r="F39" s="88"/>
      <c r="G39" s="88"/>
      <c r="H39" s="88"/>
      <c r="I39" s="88"/>
      <c r="J39" s="88"/>
      <c r="K39" s="89"/>
    </row>
    <row r="40" spans="1:18" x14ac:dyDescent="0.25">
      <c r="A40" s="76"/>
      <c r="B40" s="88"/>
      <c r="C40" s="88"/>
      <c r="D40" s="88"/>
      <c r="E40" s="88"/>
      <c r="F40" s="88"/>
      <c r="G40" s="88"/>
      <c r="H40" s="88"/>
      <c r="I40" s="88"/>
      <c r="J40" s="88"/>
      <c r="K40" s="89"/>
    </row>
    <row r="41" spans="1:18" x14ac:dyDescent="0.25">
      <c r="A41" s="76"/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8" x14ac:dyDescent="0.25">
      <c r="A42" s="76"/>
      <c r="B42" s="88"/>
      <c r="C42" s="88"/>
      <c r="D42" s="88"/>
      <c r="E42" s="88"/>
      <c r="F42" s="88"/>
      <c r="G42" s="88"/>
      <c r="H42" s="88"/>
      <c r="I42" s="88"/>
      <c r="J42" s="88"/>
      <c r="K42" s="89"/>
    </row>
    <row r="43" spans="1:18" x14ac:dyDescent="0.25">
      <c r="A43" s="76"/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8" x14ac:dyDescent="0.25">
      <c r="A44" s="76"/>
      <c r="B44" s="88"/>
      <c r="C44" s="88"/>
      <c r="D44" s="88"/>
      <c r="E44" s="88"/>
      <c r="F44" s="88"/>
      <c r="G44" s="88"/>
      <c r="H44" s="88"/>
      <c r="I44" s="88"/>
      <c r="J44" s="88"/>
      <c r="K44" s="89"/>
    </row>
    <row r="45" spans="1:18" x14ac:dyDescent="0.25">
      <c r="A45" s="126"/>
      <c r="B45" s="91"/>
      <c r="C45" s="91"/>
      <c r="D45" s="91"/>
      <c r="E45" s="91"/>
      <c r="F45" s="91"/>
      <c r="G45" s="91"/>
      <c r="H45" s="91"/>
      <c r="I45" s="91"/>
      <c r="J45" s="91"/>
      <c r="K45" s="92"/>
    </row>
  </sheetData>
  <sheetProtection algorithmName="SHA-512" hashValue="lJpJaxz/Q0QryMsq16kg5XvN8N7KlNdeXLcrhHhSvEMnlFQ3pOJcudqlvhe9UOzAJxuq1ACcOGE+lHTlVmbc7g==" saltValue="KjdnRP6qHpPCQY6E1EnYsA==" spinCount="100000" sheet="1" objects="1" scenarios="1"/>
  <mergeCells count="57">
    <mergeCell ref="D1:K1"/>
    <mergeCell ref="H37:I37"/>
    <mergeCell ref="H33:I33"/>
    <mergeCell ref="H32:I32"/>
    <mergeCell ref="H34:I34"/>
    <mergeCell ref="O32:R32"/>
    <mergeCell ref="H35:I35"/>
    <mergeCell ref="H36:I36"/>
    <mergeCell ref="E18:F18"/>
    <mergeCell ref="E19:F19"/>
    <mergeCell ref="E20:F20"/>
    <mergeCell ref="E21:F21"/>
    <mergeCell ref="E22:F22"/>
    <mergeCell ref="E23:F23"/>
    <mergeCell ref="H26:I26"/>
    <mergeCell ref="H27:I27"/>
    <mergeCell ref="H28:I28"/>
    <mergeCell ref="C21:D21"/>
    <mergeCell ref="B25:D25"/>
    <mergeCell ref="E24:F24"/>
    <mergeCell ref="E25:F25"/>
    <mergeCell ref="E12:F12"/>
    <mergeCell ref="E13:F13"/>
    <mergeCell ref="E14:F14"/>
    <mergeCell ref="E15:F15"/>
    <mergeCell ref="E16:F16"/>
    <mergeCell ref="C16:D16"/>
    <mergeCell ref="E17:F17"/>
    <mergeCell ref="C23:D23"/>
    <mergeCell ref="C24:D24"/>
    <mergeCell ref="E4:F4"/>
    <mergeCell ref="E5:F5"/>
    <mergeCell ref="E6:F6"/>
    <mergeCell ref="E7:F7"/>
    <mergeCell ref="E8:F8"/>
    <mergeCell ref="E9:F9"/>
    <mergeCell ref="E10:F10"/>
    <mergeCell ref="E11:F11"/>
    <mergeCell ref="C17:D17"/>
    <mergeCell ref="C18:D18"/>
    <mergeCell ref="C19:D19"/>
    <mergeCell ref="C20:D20"/>
    <mergeCell ref="C9:D9"/>
    <mergeCell ref="C10:D10"/>
    <mergeCell ref="I2:K2"/>
    <mergeCell ref="H29:I29"/>
    <mergeCell ref="C5:D5"/>
    <mergeCell ref="C4:D4"/>
    <mergeCell ref="C6:D6"/>
    <mergeCell ref="C7:D7"/>
    <mergeCell ref="C8:D8"/>
    <mergeCell ref="C22:D22"/>
    <mergeCell ref="C11:D11"/>
    <mergeCell ref="C12:D12"/>
    <mergeCell ref="C13:D13"/>
    <mergeCell ref="C14:D14"/>
    <mergeCell ref="C15:D15"/>
  </mergeCells>
  <conditionalFormatting sqref="E25:F25">
    <cfRule type="cellIs" dxfId="1" priority="1" operator="notEqual">
      <formula>100</formula>
    </cfRule>
  </conditionalFormatting>
  <pageMargins left="0.47" right="0.31" top="0.44" bottom="0.33" header="0.3" footer="0.16"/>
  <pageSetup paperSize="9" orientation="portrait" verticalDpi="0" r:id="rId1"/>
  <ignoredErrors>
    <ignoredError sqref="E25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52"/>
  <sheetViews>
    <sheetView topLeftCell="A43" zoomScaleNormal="100" workbookViewId="0">
      <pane xSplit="1" topLeftCell="B1" activePane="topRight" state="frozen"/>
      <selection activeCell="C18" sqref="C18:D18"/>
      <selection pane="topRight" activeCell="C18" sqref="C18:D18"/>
    </sheetView>
  </sheetViews>
  <sheetFormatPr defaultColWidth="9" defaultRowHeight="15" x14ac:dyDescent="0.25"/>
  <cols>
    <col min="1" max="1" width="20.28515625" style="11" customWidth="1"/>
    <col min="2" max="2" width="14.85546875" style="11" customWidth="1"/>
    <col min="3" max="3" width="13.5703125" style="11" customWidth="1"/>
    <col min="4" max="4" width="14.28515625" style="11" customWidth="1"/>
    <col min="5" max="5" width="16.42578125" style="11" customWidth="1"/>
    <col min="6" max="6" width="15.5703125" style="11" customWidth="1"/>
    <col min="7" max="8" width="14.5703125" style="11" customWidth="1"/>
    <col min="9" max="9" width="14.42578125" style="11" customWidth="1"/>
    <col min="10" max="10" width="14.5703125" style="11" customWidth="1"/>
    <col min="11" max="11" width="14.85546875" style="11" customWidth="1"/>
    <col min="12" max="12" width="15.85546875" style="11" customWidth="1"/>
    <col min="13" max="13" width="12.28515625" style="11" customWidth="1"/>
    <col min="14" max="14" width="15.5703125" style="11" customWidth="1"/>
    <col min="15" max="16" width="14.140625" style="11" customWidth="1"/>
    <col min="17" max="17" width="14.7109375" style="11" customWidth="1"/>
    <col min="18" max="18" width="13.85546875" style="11" customWidth="1"/>
    <col min="19" max="19" width="10.140625" style="11" bestFit="1" customWidth="1"/>
    <col min="20" max="16384" width="9" style="11"/>
  </cols>
  <sheetData>
    <row r="1" spans="1:18" s="16" customFormat="1" ht="31.5" customHeight="1" x14ac:dyDescent="0.25">
      <c r="A1" s="176" t="s">
        <v>0</v>
      </c>
      <c r="B1" s="12" t="s">
        <v>1</v>
      </c>
      <c r="C1" s="12" t="s">
        <v>2</v>
      </c>
      <c r="D1" s="12" t="s">
        <v>15</v>
      </c>
      <c r="E1" s="12" t="s">
        <v>3</v>
      </c>
      <c r="F1" s="12" t="s">
        <v>16</v>
      </c>
      <c r="G1" s="12" t="s">
        <v>4</v>
      </c>
      <c r="H1" s="12" t="s">
        <v>17</v>
      </c>
      <c r="I1" s="12" t="s">
        <v>5</v>
      </c>
      <c r="J1" s="12" t="s">
        <v>18</v>
      </c>
      <c r="K1" s="12" t="s">
        <v>6</v>
      </c>
      <c r="L1" s="12" t="s">
        <v>19</v>
      </c>
      <c r="M1" s="12" t="s">
        <v>7</v>
      </c>
      <c r="N1" s="13" t="s">
        <v>20</v>
      </c>
      <c r="O1" s="12" t="s">
        <v>49</v>
      </c>
      <c r="P1" s="14" t="s">
        <v>50</v>
      </c>
      <c r="Q1" s="15" t="s">
        <v>51</v>
      </c>
      <c r="R1" s="15" t="s">
        <v>52</v>
      </c>
    </row>
    <row r="2" spans="1:18" s="16" customFormat="1" ht="33" customHeight="1" x14ac:dyDescent="0.25">
      <c r="A2" s="177"/>
      <c r="B2" s="15" t="s">
        <v>21</v>
      </c>
      <c r="C2" s="15" t="s">
        <v>8</v>
      </c>
      <c r="D2" s="15" t="s">
        <v>42</v>
      </c>
      <c r="E2" s="15" t="s">
        <v>39</v>
      </c>
      <c r="F2" s="15" t="s">
        <v>9</v>
      </c>
      <c r="G2" s="15" t="s">
        <v>10</v>
      </c>
      <c r="H2" s="15" t="s">
        <v>11</v>
      </c>
      <c r="I2" s="15" t="s">
        <v>43</v>
      </c>
      <c r="J2" s="15" t="s">
        <v>40</v>
      </c>
      <c r="K2" s="15" t="s">
        <v>41</v>
      </c>
      <c r="L2" s="15" t="s">
        <v>12</v>
      </c>
      <c r="M2" s="15" t="s">
        <v>13</v>
      </c>
      <c r="N2" s="17" t="s">
        <v>14</v>
      </c>
      <c r="O2" s="15" t="s">
        <v>53</v>
      </c>
      <c r="P2" s="18" t="s">
        <v>54</v>
      </c>
      <c r="Q2" s="15" t="s">
        <v>55</v>
      </c>
      <c r="R2" s="15" t="s">
        <v>56</v>
      </c>
    </row>
    <row r="3" spans="1:18" s="16" customFormat="1" ht="18.75" customHeight="1" x14ac:dyDescent="0.25">
      <c r="A3" s="19" t="s">
        <v>22</v>
      </c>
      <c r="B3" s="4">
        <v>0</v>
      </c>
      <c r="C3" s="20">
        <v>12.01</v>
      </c>
      <c r="D3" s="8">
        <f>B3*C3</f>
        <v>0</v>
      </c>
      <c r="E3" s="20">
        <v>14093</v>
      </c>
      <c r="F3" s="8">
        <f>E3*D3</f>
        <v>0</v>
      </c>
      <c r="G3" s="20">
        <v>11.526999999999999</v>
      </c>
      <c r="H3" s="8">
        <f>G3*D3</f>
        <v>0</v>
      </c>
      <c r="I3" s="20">
        <v>3.6640000000000001</v>
      </c>
      <c r="J3" s="8">
        <f>D3*I3</f>
        <v>0</v>
      </c>
      <c r="K3" s="20">
        <v>0</v>
      </c>
      <c r="L3" s="8">
        <f>K3*D3</f>
        <v>0</v>
      </c>
      <c r="M3" s="20">
        <v>8.8629999999999995</v>
      </c>
      <c r="N3" s="21">
        <f>M3*D3</f>
        <v>0</v>
      </c>
      <c r="O3" s="20">
        <v>0</v>
      </c>
      <c r="P3" s="21">
        <f>O3*D3</f>
        <v>0</v>
      </c>
      <c r="Q3" s="20">
        <v>2.6640000000000001</v>
      </c>
      <c r="R3" s="8">
        <f>Q3*D3</f>
        <v>0</v>
      </c>
    </row>
    <row r="4" spans="1:18" s="16" customFormat="1" ht="18.75" customHeight="1" x14ac:dyDescent="0.25">
      <c r="A4" s="19" t="s">
        <v>23</v>
      </c>
      <c r="B4" s="4">
        <f>US!E5/100</f>
        <v>8.5999999999999993E-2</v>
      </c>
      <c r="C4" s="20">
        <v>2.016</v>
      </c>
      <c r="D4" s="8">
        <f t="shared" ref="D4:D36" si="0">B4*C4</f>
        <v>0.17337599999999997</v>
      </c>
      <c r="E4" s="20">
        <v>51623</v>
      </c>
      <c r="F4" s="8">
        <f t="shared" ref="F4:F36" si="1">E4*D4</f>
        <v>8950.1892479999988</v>
      </c>
      <c r="G4" s="20">
        <v>34.344000000000001</v>
      </c>
      <c r="H4" s="8">
        <f t="shared" ref="H4:H36" si="2">G4*D4</f>
        <v>5.9544253439999997</v>
      </c>
      <c r="I4" s="20">
        <v>0</v>
      </c>
      <c r="J4" s="8">
        <f t="shared" ref="J4:J36" si="3">D4*I4</f>
        <v>0</v>
      </c>
      <c r="K4" s="20">
        <v>8.9369999999999994</v>
      </c>
      <c r="L4" s="8">
        <f t="shared" ref="L4:L36" si="4">K4*D4</f>
        <v>1.5494613119999996</v>
      </c>
      <c r="M4" s="20">
        <v>26.1111</v>
      </c>
      <c r="N4" s="21">
        <f t="shared" ref="N4:N36" si="5">M4*D4</f>
        <v>4.5270380735999991</v>
      </c>
      <c r="O4" s="20">
        <v>0</v>
      </c>
      <c r="P4" s="21">
        <f t="shared" ref="P4:P36" si="6">O4*D4</f>
        <v>0</v>
      </c>
      <c r="Q4" s="20">
        <v>7.9370000000000003</v>
      </c>
      <c r="R4" s="8">
        <f t="shared" ref="R4:R36" si="7">Q4*D4</f>
        <v>1.3760853119999998</v>
      </c>
    </row>
    <row r="5" spans="1:18" s="16" customFormat="1" ht="18.75" customHeight="1" x14ac:dyDescent="0.25">
      <c r="A5" s="19" t="s">
        <v>24</v>
      </c>
      <c r="B5" s="4">
        <v>0</v>
      </c>
      <c r="C5" s="20">
        <v>32</v>
      </c>
      <c r="D5" s="8">
        <f t="shared" si="0"/>
        <v>0</v>
      </c>
      <c r="E5" s="20">
        <v>0</v>
      </c>
      <c r="F5" s="8">
        <f t="shared" si="1"/>
        <v>0</v>
      </c>
      <c r="G5" s="20">
        <v>-4.3150000000000004</v>
      </c>
      <c r="H5" s="8">
        <f t="shared" si="2"/>
        <v>0</v>
      </c>
      <c r="I5" s="20">
        <v>0</v>
      </c>
      <c r="J5" s="8">
        <f t="shared" si="3"/>
        <v>0</v>
      </c>
      <c r="K5" s="20">
        <v>0</v>
      </c>
      <c r="L5" s="8">
        <f t="shared" si="4"/>
        <v>0</v>
      </c>
      <c r="M5" s="20">
        <v>-3.3170000000000002</v>
      </c>
      <c r="N5" s="21">
        <f t="shared" si="5"/>
        <v>0</v>
      </c>
      <c r="O5" s="20">
        <v>0</v>
      </c>
      <c r="P5" s="21">
        <f t="shared" si="6"/>
        <v>0</v>
      </c>
      <c r="Q5" s="20">
        <v>-1</v>
      </c>
      <c r="R5" s="8">
        <f t="shared" si="7"/>
        <v>0</v>
      </c>
    </row>
    <row r="6" spans="1:18" s="16" customFormat="1" ht="18.75" customHeight="1" x14ac:dyDescent="0.25">
      <c r="A6" s="19" t="s">
        <v>25</v>
      </c>
      <c r="B6" s="4">
        <f>US!E6/100</f>
        <v>1.2E-2</v>
      </c>
      <c r="C6" s="20">
        <v>28.015999999999998</v>
      </c>
      <c r="D6" s="8">
        <f t="shared" si="0"/>
        <v>0.33619199999999999</v>
      </c>
      <c r="E6" s="20">
        <v>0</v>
      </c>
      <c r="F6" s="8">
        <f t="shared" si="1"/>
        <v>0</v>
      </c>
      <c r="G6" s="20">
        <v>0</v>
      </c>
      <c r="H6" s="8">
        <f t="shared" si="2"/>
        <v>0</v>
      </c>
      <c r="I6" s="20">
        <v>0</v>
      </c>
      <c r="J6" s="8">
        <f t="shared" si="3"/>
        <v>0</v>
      </c>
      <c r="K6" s="20">
        <v>0</v>
      </c>
      <c r="L6" s="8">
        <f t="shared" si="4"/>
        <v>0</v>
      </c>
      <c r="M6" s="20">
        <v>1</v>
      </c>
      <c r="N6" s="21">
        <f>M6*D6</f>
        <v>0.33619199999999999</v>
      </c>
      <c r="O6" s="20">
        <v>0</v>
      </c>
      <c r="P6" s="21">
        <f t="shared" si="6"/>
        <v>0</v>
      </c>
      <c r="Q6" s="20">
        <v>0</v>
      </c>
      <c r="R6" s="8">
        <f t="shared" si="7"/>
        <v>0</v>
      </c>
    </row>
    <row r="7" spans="1:18" s="16" customFormat="1" ht="18.75" customHeight="1" x14ac:dyDescent="0.25">
      <c r="A7" s="19" t="s">
        <v>26</v>
      </c>
      <c r="B7" s="4">
        <f>US!E7/100</f>
        <v>0</v>
      </c>
      <c r="C7" s="20">
        <v>28.01</v>
      </c>
      <c r="D7" s="8">
        <f t="shared" si="0"/>
        <v>0</v>
      </c>
      <c r="E7" s="20">
        <v>4347</v>
      </c>
      <c r="F7" s="8">
        <f t="shared" si="1"/>
        <v>0</v>
      </c>
      <c r="G7" s="20">
        <v>2.4710000000000001</v>
      </c>
      <c r="H7" s="8">
        <f t="shared" si="2"/>
        <v>0</v>
      </c>
      <c r="I7" s="20">
        <v>1.571</v>
      </c>
      <c r="J7" s="8">
        <f t="shared" si="3"/>
        <v>0</v>
      </c>
      <c r="K7" s="20">
        <v>0</v>
      </c>
      <c r="L7" s="8">
        <f t="shared" si="4"/>
        <v>0</v>
      </c>
      <c r="M7" s="20">
        <v>1.8793</v>
      </c>
      <c r="N7" s="21">
        <f t="shared" si="5"/>
        <v>0</v>
      </c>
      <c r="O7" s="20">
        <v>0</v>
      </c>
      <c r="P7" s="21">
        <f t="shared" si="6"/>
        <v>0</v>
      </c>
      <c r="Q7" s="20">
        <v>0.57099999999999995</v>
      </c>
      <c r="R7" s="8">
        <f t="shared" si="7"/>
        <v>0</v>
      </c>
    </row>
    <row r="8" spans="1:18" s="16" customFormat="1" ht="18.75" customHeight="1" x14ac:dyDescent="0.25">
      <c r="A8" s="19" t="s">
        <v>57</v>
      </c>
      <c r="B8" s="4">
        <f>US!E8/100</f>
        <v>2.5000000000000001E-3</v>
      </c>
      <c r="C8" s="20">
        <v>44.01</v>
      </c>
      <c r="D8" s="8">
        <f t="shared" si="0"/>
        <v>0.110025</v>
      </c>
      <c r="E8" s="20">
        <v>0</v>
      </c>
      <c r="F8" s="8">
        <f t="shared" si="1"/>
        <v>0</v>
      </c>
      <c r="G8" s="20">
        <v>0</v>
      </c>
      <c r="H8" s="8">
        <f t="shared" si="2"/>
        <v>0</v>
      </c>
      <c r="I8" s="20">
        <v>1</v>
      </c>
      <c r="J8" s="8">
        <f t="shared" si="3"/>
        <v>0.110025</v>
      </c>
      <c r="K8" s="20">
        <v>0</v>
      </c>
      <c r="L8" s="8">
        <f t="shared" si="4"/>
        <v>0</v>
      </c>
      <c r="M8" s="20">
        <v>0</v>
      </c>
      <c r="N8" s="21">
        <f t="shared" si="5"/>
        <v>0</v>
      </c>
      <c r="O8" s="20">
        <v>0</v>
      </c>
      <c r="P8" s="21">
        <f t="shared" si="6"/>
        <v>0</v>
      </c>
      <c r="Q8" s="20">
        <v>0</v>
      </c>
      <c r="R8" s="8">
        <f t="shared" si="7"/>
        <v>0</v>
      </c>
    </row>
    <row r="9" spans="1:18" s="16" customFormat="1" ht="18.75" customHeight="1" x14ac:dyDescent="0.25">
      <c r="A9" s="19" t="s">
        <v>58</v>
      </c>
      <c r="B9" s="4">
        <f>US!E9/100</f>
        <v>0.77879999999999994</v>
      </c>
      <c r="C9" s="20">
        <v>16.041</v>
      </c>
      <c r="D9" s="8">
        <f t="shared" si="0"/>
        <v>12.492730799999999</v>
      </c>
      <c r="E9" s="20">
        <v>21520</v>
      </c>
      <c r="F9" s="8">
        <f t="shared" si="1"/>
        <v>268843.56681599998</v>
      </c>
      <c r="G9" s="20">
        <v>17.265000000000001</v>
      </c>
      <c r="H9" s="8">
        <f t="shared" si="2"/>
        <v>215.68699726199998</v>
      </c>
      <c r="I9" s="20">
        <v>2.7440000000000002</v>
      </c>
      <c r="J9" s="8">
        <f t="shared" si="3"/>
        <v>34.2800533152</v>
      </c>
      <c r="K9" s="20">
        <v>2.246</v>
      </c>
      <c r="L9" s="8">
        <f t="shared" si="4"/>
        <v>28.058673376799998</v>
      </c>
      <c r="M9" s="20">
        <v>13.1272</v>
      </c>
      <c r="N9" s="21">
        <f t="shared" si="5"/>
        <v>163.99457575775997</v>
      </c>
      <c r="O9" s="20">
        <v>0</v>
      </c>
      <c r="P9" s="21">
        <f t="shared" si="6"/>
        <v>0</v>
      </c>
      <c r="Q9" s="20">
        <v>3.99</v>
      </c>
      <c r="R9" s="8">
        <f t="shared" si="7"/>
        <v>49.845995891999998</v>
      </c>
    </row>
    <row r="10" spans="1:18" s="16" customFormat="1" ht="18.75" customHeight="1" x14ac:dyDescent="0.25">
      <c r="A10" s="19" t="s">
        <v>59</v>
      </c>
      <c r="B10" s="4">
        <f>US!E10/100</f>
        <v>5.5999999999999994E-2</v>
      </c>
      <c r="C10" s="20">
        <v>30.067</v>
      </c>
      <c r="D10" s="8">
        <f t="shared" si="0"/>
        <v>1.6837519999999999</v>
      </c>
      <c r="E10" s="20">
        <v>20432</v>
      </c>
      <c r="F10" s="8">
        <f t="shared" si="1"/>
        <v>34402.420864</v>
      </c>
      <c r="G10" s="20">
        <v>16.011900000000001</v>
      </c>
      <c r="H10" s="8">
        <f t="shared" si="2"/>
        <v>26.9600686488</v>
      </c>
      <c r="I10" s="20">
        <v>2.927</v>
      </c>
      <c r="J10" s="8">
        <f t="shared" si="3"/>
        <v>4.9283421039999995</v>
      </c>
      <c r="K10" s="20">
        <v>1.798</v>
      </c>
      <c r="L10" s="8">
        <f t="shared" si="4"/>
        <v>3.0273860959999999</v>
      </c>
      <c r="M10" s="20">
        <v>12.254099999999999</v>
      </c>
      <c r="N10" s="21">
        <f t="shared" si="5"/>
        <v>20.632865383199999</v>
      </c>
      <c r="O10" s="20">
        <v>0</v>
      </c>
      <c r="P10" s="21">
        <f t="shared" si="6"/>
        <v>0</v>
      </c>
      <c r="Q10" s="20">
        <v>3.7250000000000001</v>
      </c>
      <c r="R10" s="8">
        <f t="shared" si="7"/>
        <v>6.2719762000000001</v>
      </c>
    </row>
    <row r="11" spans="1:18" s="16" customFormat="1" ht="18.75" customHeight="1" x14ac:dyDescent="0.25">
      <c r="A11" s="19" t="s">
        <v>138</v>
      </c>
      <c r="B11" s="4">
        <f>US!E11/100</f>
        <v>2E-3</v>
      </c>
      <c r="C11" s="20">
        <v>28.050999999999998</v>
      </c>
      <c r="D11" s="8">
        <f t="shared" si="0"/>
        <v>5.6101999999999999E-2</v>
      </c>
      <c r="E11" s="20">
        <v>20295</v>
      </c>
      <c r="F11" s="8">
        <f t="shared" si="1"/>
        <v>1138.5900899999999</v>
      </c>
      <c r="G11" s="20">
        <v>14.807</v>
      </c>
      <c r="H11" s="8">
        <f t="shared" si="2"/>
        <v>0.83070231400000005</v>
      </c>
      <c r="I11" s="20">
        <v>3.1379999999999999</v>
      </c>
      <c r="J11" s="8">
        <f t="shared" si="3"/>
        <v>0.176048076</v>
      </c>
      <c r="K11" s="20">
        <v>1.2849999999999999</v>
      </c>
      <c r="L11" s="8">
        <f t="shared" si="4"/>
        <v>7.2091069999999993E-2</v>
      </c>
      <c r="M11" s="20">
        <v>11.2599</v>
      </c>
      <c r="N11" s="21">
        <f t="shared" si="5"/>
        <v>0.63170290979999999</v>
      </c>
      <c r="O11" s="20">
        <v>0</v>
      </c>
      <c r="P11" s="21">
        <f t="shared" si="6"/>
        <v>0</v>
      </c>
      <c r="Q11" s="20">
        <v>3.4220000000000002</v>
      </c>
      <c r="R11" s="8">
        <f t="shared" si="7"/>
        <v>0.19198104400000002</v>
      </c>
    </row>
    <row r="12" spans="1:18" s="16" customFormat="1" ht="18.75" customHeight="1" x14ac:dyDescent="0.25">
      <c r="A12" s="19" t="s">
        <v>28</v>
      </c>
      <c r="B12" s="4">
        <f>US!E12/100</f>
        <v>2.0000000000000001E-4</v>
      </c>
      <c r="C12" s="20">
        <v>26.036000000000001</v>
      </c>
      <c r="D12" s="8">
        <f t="shared" si="0"/>
        <v>5.2072000000000004E-3</v>
      </c>
      <c r="E12" s="20">
        <v>20776</v>
      </c>
      <c r="F12" s="8">
        <f t="shared" si="1"/>
        <v>108.1847872</v>
      </c>
      <c r="G12" s="20">
        <v>13.297000000000001</v>
      </c>
      <c r="H12" s="8">
        <f t="shared" si="2"/>
        <v>6.9240138400000012E-2</v>
      </c>
      <c r="I12" s="20">
        <v>3.3809999999999998</v>
      </c>
      <c r="J12" s="8">
        <f t="shared" si="3"/>
        <v>1.76055432E-2</v>
      </c>
      <c r="K12" s="20">
        <v>0.69199999999999995</v>
      </c>
      <c r="L12" s="8">
        <f t="shared" si="4"/>
        <v>3.6033824000000002E-3</v>
      </c>
      <c r="M12" s="20">
        <v>10.1075</v>
      </c>
      <c r="N12" s="21">
        <f t="shared" si="5"/>
        <v>5.2631774000000006E-2</v>
      </c>
      <c r="O12" s="20">
        <v>0</v>
      </c>
      <c r="P12" s="21">
        <f t="shared" si="6"/>
        <v>0</v>
      </c>
      <c r="Q12" s="20">
        <v>3.073</v>
      </c>
      <c r="R12" s="8">
        <f t="shared" si="7"/>
        <v>1.6001725600000002E-2</v>
      </c>
    </row>
    <row r="13" spans="1:18" s="16" customFormat="1" ht="18.75" customHeight="1" x14ac:dyDescent="0.25">
      <c r="A13" s="19" t="s">
        <v>60</v>
      </c>
      <c r="B13" s="4">
        <f>US!E13/100</f>
        <v>3.2000000000000001E-2</v>
      </c>
      <c r="C13" s="20">
        <v>44.091999999999999</v>
      </c>
      <c r="D13" s="8">
        <f t="shared" si="0"/>
        <v>1.410944</v>
      </c>
      <c r="E13" s="20">
        <v>19944</v>
      </c>
      <c r="F13" s="8">
        <f t="shared" si="1"/>
        <v>28139.867136000001</v>
      </c>
      <c r="G13" s="20">
        <v>15.702999999999999</v>
      </c>
      <c r="H13" s="8">
        <f t="shared" si="2"/>
        <v>22.156053631999999</v>
      </c>
      <c r="I13" s="20">
        <v>2.9940000000000002</v>
      </c>
      <c r="J13" s="8">
        <f t="shared" si="3"/>
        <v>4.2243663360000001</v>
      </c>
      <c r="K13" s="20">
        <v>1.6339999999999999</v>
      </c>
      <c r="L13" s="8">
        <f t="shared" si="4"/>
        <v>2.3054824959999998</v>
      </c>
      <c r="M13" s="20">
        <v>11.936500000000001</v>
      </c>
      <c r="N13" s="21">
        <f t="shared" si="5"/>
        <v>16.841733055999999</v>
      </c>
      <c r="O13" s="20">
        <v>0</v>
      </c>
      <c r="P13" s="21">
        <f t="shared" si="6"/>
        <v>0</v>
      </c>
      <c r="Q13" s="20">
        <v>3.629</v>
      </c>
      <c r="R13" s="8">
        <f t="shared" si="7"/>
        <v>5.120315776</v>
      </c>
    </row>
    <row r="14" spans="1:18" s="16" customFormat="1" ht="18.75" customHeight="1" x14ac:dyDescent="0.25">
      <c r="A14" s="19" t="s">
        <v>29</v>
      </c>
      <c r="B14" s="4">
        <f>US!E14/100</f>
        <v>0</v>
      </c>
      <c r="C14" s="20">
        <v>42.076999999999998</v>
      </c>
      <c r="D14" s="8">
        <f t="shared" si="0"/>
        <v>0</v>
      </c>
      <c r="E14" s="20">
        <v>19691</v>
      </c>
      <c r="F14" s="8">
        <f t="shared" si="1"/>
        <v>0</v>
      </c>
      <c r="G14" s="20">
        <v>14.807</v>
      </c>
      <c r="H14" s="8">
        <f t="shared" si="2"/>
        <v>0</v>
      </c>
      <c r="I14" s="20">
        <v>3.1379999999999999</v>
      </c>
      <c r="J14" s="8">
        <f t="shared" si="3"/>
        <v>0</v>
      </c>
      <c r="K14" s="20">
        <v>1.2849999999999999</v>
      </c>
      <c r="L14" s="8">
        <f t="shared" si="4"/>
        <v>0</v>
      </c>
      <c r="M14" s="20">
        <v>11.258599999999999</v>
      </c>
      <c r="N14" s="21">
        <f t="shared" si="5"/>
        <v>0</v>
      </c>
      <c r="O14" s="20">
        <v>0</v>
      </c>
      <c r="P14" s="21">
        <f t="shared" si="6"/>
        <v>0</v>
      </c>
      <c r="Q14" s="20">
        <v>3.4220000000000002</v>
      </c>
      <c r="R14" s="8">
        <f t="shared" si="7"/>
        <v>0</v>
      </c>
    </row>
    <row r="15" spans="1:18" s="16" customFormat="1" ht="18.75" customHeight="1" x14ac:dyDescent="0.25">
      <c r="A15" s="19" t="s">
        <v>61</v>
      </c>
      <c r="B15" s="4">
        <f>US!E15/100</f>
        <v>8.0000000000000002E-3</v>
      </c>
      <c r="C15" s="20">
        <v>58.118000000000002</v>
      </c>
      <c r="D15" s="8">
        <f t="shared" si="0"/>
        <v>0.46494400000000002</v>
      </c>
      <c r="E15" s="20">
        <v>19680</v>
      </c>
      <c r="F15" s="8">
        <f t="shared" si="1"/>
        <v>9150.0979200000002</v>
      </c>
      <c r="G15" s="20">
        <v>15.487</v>
      </c>
      <c r="H15" s="8">
        <f t="shared" si="2"/>
        <v>7.2005877280000004</v>
      </c>
      <c r="I15" s="20">
        <v>3.0289999999999999</v>
      </c>
      <c r="J15" s="8">
        <f t="shared" si="3"/>
        <v>1.408315376</v>
      </c>
      <c r="K15" s="20">
        <v>1.55</v>
      </c>
      <c r="L15" s="8">
        <f t="shared" si="4"/>
        <v>0.72066320000000006</v>
      </c>
      <c r="M15" s="20">
        <v>11.7743</v>
      </c>
      <c r="N15" s="21">
        <f t="shared" si="5"/>
        <v>5.4743901392000005</v>
      </c>
      <c r="O15" s="20">
        <v>0</v>
      </c>
      <c r="P15" s="21">
        <f t="shared" si="6"/>
        <v>0</v>
      </c>
      <c r="Q15" s="20">
        <v>3.5790000000000002</v>
      </c>
      <c r="R15" s="8">
        <f t="shared" si="7"/>
        <v>1.6640345760000002</v>
      </c>
    </row>
    <row r="16" spans="1:18" s="16" customFormat="1" ht="18.75" customHeight="1" x14ac:dyDescent="0.25">
      <c r="A16" s="19" t="s">
        <v>62</v>
      </c>
      <c r="B16" s="4">
        <v>0</v>
      </c>
      <c r="C16" s="20">
        <v>58.118000000000002</v>
      </c>
      <c r="D16" s="8">
        <f t="shared" si="0"/>
        <v>0</v>
      </c>
      <c r="E16" s="20">
        <v>19629</v>
      </c>
      <c r="F16" s="8">
        <f t="shared" si="1"/>
        <v>0</v>
      </c>
      <c r="G16" s="20">
        <v>15.487</v>
      </c>
      <c r="H16" s="8">
        <f t="shared" si="2"/>
        <v>0</v>
      </c>
      <c r="I16" s="20">
        <v>3.0289999999999999</v>
      </c>
      <c r="J16" s="8">
        <f t="shared" si="3"/>
        <v>0</v>
      </c>
      <c r="K16" s="20">
        <v>1.55</v>
      </c>
      <c r="L16" s="8">
        <f t="shared" si="4"/>
        <v>0</v>
      </c>
      <c r="M16" s="20">
        <v>11.7743</v>
      </c>
      <c r="N16" s="21">
        <f t="shared" si="5"/>
        <v>0</v>
      </c>
      <c r="O16" s="20">
        <v>0</v>
      </c>
      <c r="P16" s="21">
        <f t="shared" si="6"/>
        <v>0</v>
      </c>
      <c r="Q16" s="20">
        <v>3.5790000000000002</v>
      </c>
      <c r="R16" s="8">
        <f t="shared" si="7"/>
        <v>0</v>
      </c>
    </row>
    <row r="17" spans="1:18" s="16" customFormat="1" ht="18.75" customHeight="1" x14ac:dyDescent="0.25">
      <c r="A17" s="19" t="s">
        <v>30</v>
      </c>
      <c r="B17" s="4">
        <f>US!E16/100</f>
        <v>0</v>
      </c>
      <c r="C17" s="20">
        <v>56.101999999999997</v>
      </c>
      <c r="D17" s="8">
        <f t="shared" si="0"/>
        <v>0</v>
      </c>
      <c r="E17" s="20">
        <v>19496</v>
      </c>
      <c r="F17" s="8">
        <f t="shared" si="1"/>
        <v>0</v>
      </c>
      <c r="G17" s="20">
        <v>14.807</v>
      </c>
      <c r="H17" s="8">
        <f t="shared" si="2"/>
        <v>0</v>
      </c>
      <c r="I17" s="20">
        <v>3.1379999999999999</v>
      </c>
      <c r="J17" s="8">
        <f t="shared" si="3"/>
        <v>0</v>
      </c>
      <c r="K17" s="20">
        <v>1.2849999999999999</v>
      </c>
      <c r="L17" s="8">
        <f t="shared" si="4"/>
        <v>0</v>
      </c>
      <c r="M17" s="20">
        <v>11.257899999999999</v>
      </c>
      <c r="N17" s="21">
        <f t="shared" si="5"/>
        <v>0</v>
      </c>
      <c r="O17" s="20">
        <v>0</v>
      </c>
      <c r="P17" s="21">
        <f t="shared" si="6"/>
        <v>0</v>
      </c>
      <c r="Q17" s="20">
        <v>3.4220000000000002</v>
      </c>
      <c r="R17" s="8">
        <f t="shared" si="7"/>
        <v>0</v>
      </c>
    </row>
    <row r="18" spans="1:18" s="16" customFormat="1" ht="18.75" customHeight="1" x14ac:dyDescent="0.25">
      <c r="A18" s="19" t="s">
        <v>63</v>
      </c>
      <c r="B18" s="4">
        <v>0</v>
      </c>
      <c r="C18" s="20">
        <v>56.101999999999997</v>
      </c>
      <c r="D18" s="8">
        <f t="shared" si="0"/>
        <v>0</v>
      </c>
      <c r="E18" s="20">
        <v>19382</v>
      </c>
      <c r="F18" s="8">
        <f t="shared" si="1"/>
        <v>0</v>
      </c>
      <c r="G18" s="20">
        <v>14.807</v>
      </c>
      <c r="H18" s="8">
        <f t="shared" si="2"/>
        <v>0</v>
      </c>
      <c r="I18" s="20">
        <v>3.1379999999999999</v>
      </c>
      <c r="J18" s="8">
        <f t="shared" si="3"/>
        <v>0</v>
      </c>
      <c r="K18" s="20">
        <v>1.2849999999999999</v>
      </c>
      <c r="L18" s="8">
        <f t="shared" si="4"/>
        <v>0</v>
      </c>
      <c r="M18" s="20">
        <v>11.385</v>
      </c>
      <c r="N18" s="21">
        <f t="shared" si="5"/>
        <v>0</v>
      </c>
      <c r="O18" s="20">
        <v>0</v>
      </c>
      <c r="P18" s="21">
        <f t="shared" si="6"/>
        <v>0</v>
      </c>
      <c r="Q18" s="20">
        <v>3.4220000000000002</v>
      </c>
      <c r="R18" s="8">
        <f t="shared" si="7"/>
        <v>0</v>
      </c>
    </row>
    <row r="19" spans="1:18" s="16" customFormat="1" ht="18.75" customHeight="1" x14ac:dyDescent="0.25">
      <c r="A19" s="19" t="s">
        <v>64</v>
      </c>
      <c r="B19" s="4">
        <f>US!E17/100</f>
        <v>0</v>
      </c>
      <c r="C19" s="20">
        <v>72.144000000000005</v>
      </c>
      <c r="D19" s="8">
        <f t="shared" si="0"/>
        <v>0</v>
      </c>
      <c r="E19" s="20">
        <v>19517</v>
      </c>
      <c r="F19" s="8">
        <f t="shared" si="1"/>
        <v>0</v>
      </c>
      <c r="G19" s="20">
        <v>15.353</v>
      </c>
      <c r="H19" s="8">
        <f t="shared" si="2"/>
        <v>0</v>
      </c>
      <c r="I19" s="20">
        <v>3.05</v>
      </c>
      <c r="J19" s="8">
        <f t="shared" si="3"/>
        <v>0</v>
      </c>
      <c r="K19" s="20">
        <v>1.498</v>
      </c>
      <c r="L19" s="8">
        <f t="shared" si="4"/>
        <v>0</v>
      </c>
      <c r="M19" s="20">
        <v>11.673500000000001</v>
      </c>
      <c r="N19" s="21">
        <f t="shared" si="5"/>
        <v>0</v>
      </c>
      <c r="O19" s="20">
        <v>0</v>
      </c>
      <c r="P19" s="21">
        <f t="shared" si="6"/>
        <v>0</v>
      </c>
      <c r="Q19" s="20">
        <v>3.548</v>
      </c>
      <c r="R19" s="8">
        <f t="shared" si="7"/>
        <v>0</v>
      </c>
    </row>
    <row r="20" spans="1:18" s="16" customFormat="1" ht="18.75" customHeight="1" x14ac:dyDescent="0.25">
      <c r="A20" s="19" t="s">
        <v>65</v>
      </c>
      <c r="B20" s="4">
        <v>0</v>
      </c>
      <c r="C20" s="20">
        <v>72.144000000000005</v>
      </c>
      <c r="D20" s="8">
        <f t="shared" si="0"/>
        <v>0</v>
      </c>
      <c r="E20" s="20">
        <v>19478</v>
      </c>
      <c r="F20" s="8">
        <f t="shared" si="1"/>
        <v>0</v>
      </c>
      <c r="G20" s="20">
        <v>15.353</v>
      </c>
      <c r="H20" s="8">
        <f t="shared" si="2"/>
        <v>0</v>
      </c>
      <c r="I20" s="20">
        <v>3.05</v>
      </c>
      <c r="J20" s="8">
        <f t="shared" si="3"/>
        <v>0</v>
      </c>
      <c r="K20" s="20">
        <v>1.498</v>
      </c>
      <c r="L20" s="8">
        <f t="shared" si="4"/>
        <v>0</v>
      </c>
      <c r="M20" s="20">
        <v>11.673500000000001</v>
      </c>
      <c r="N20" s="21">
        <f t="shared" si="5"/>
        <v>0</v>
      </c>
      <c r="O20" s="20">
        <v>0</v>
      </c>
      <c r="P20" s="21">
        <f t="shared" si="6"/>
        <v>0</v>
      </c>
      <c r="Q20" s="20">
        <v>3.548</v>
      </c>
      <c r="R20" s="8">
        <f t="shared" si="7"/>
        <v>0</v>
      </c>
    </row>
    <row r="21" spans="1:18" s="16" customFormat="1" ht="18.75" customHeight="1" x14ac:dyDescent="0.25">
      <c r="A21" s="19" t="s">
        <v>66</v>
      </c>
      <c r="B21" s="4">
        <v>0</v>
      </c>
      <c r="C21" s="20">
        <v>72.144000000000005</v>
      </c>
      <c r="D21" s="8">
        <f t="shared" si="0"/>
        <v>0</v>
      </c>
      <c r="E21" s="20">
        <v>19396</v>
      </c>
      <c r="F21" s="8">
        <f t="shared" si="1"/>
        <v>0</v>
      </c>
      <c r="G21" s="20">
        <v>15.353</v>
      </c>
      <c r="H21" s="8">
        <f t="shared" si="2"/>
        <v>0</v>
      </c>
      <c r="I21" s="20">
        <v>3.05</v>
      </c>
      <c r="J21" s="8">
        <f t="shared" si="3"/>
        <v>0</v>
      </c>
      <c r="K21" s="20">
        <v>1.498</v>
      </c>
      <c r="L21" s="8">
        <f t="shared" si="4"/>
        <v>0</v>
      </c>
      <c r="M21" s="20">
        <v>11.805</v>
      </c>
      <c r="N21" s="21">
        <f t="shared" si="5"/>
        <v>0</v>
      </c>
      <c r="O21" s="20">
        <v>0</v>
      </c>
      <c r="P21" s="21">
        <f t="shared" si="6"/>
        <v>0</v>
      </c>
      <c r="Q21" s="20">
        <v>3.548</v>
      </c>
      <c r="R21" s="8">
        <f t="shared" si="7"/>
        <v>0</v>
      </c>
    </row>
    <row r="22" spans="1:18" s="16" customFormat="1" ht="18.75" customHeight="1" x14ac:dyDescent="0.25">
      <c r="A22" s="19" t="s">
        <v>67</v>
      </c>
      <c r="B22" s="4">
        <v>0</v>
      </c>
      <c r="C22" s="20">
        <v>70.128</v>
      </c>
      <c r="D22" s="8">
        <f t="shared" si="0"/>
        <v>0</v>
      </c>
      <c r="E22" s="20">
        <v>19363</v>
      </c>
      <c r="F22" s="8">
        <f t="shared" si="1"/>
        <v>0</v>
      </c>
      <c r="G22" s="20">
        <v>14.807</v>
      </c>
      <c r="H22" s="8">
        <f t="shared" si="2"/>
        <v>0</v>
      </c>
      <c r="I22" s="20">
        <v>3.1379999999999999</v>
      </c>
      <c r="J22" s="8">
        <f t="shared" si="3"/>
        <v>0</v>
      </c>
      <c r="K22" s="20">
        <v>1.2849999999999999</v>
      </c>
      <c r="L22" s="8">
        <f t="shared" si="4"/>
        <v>0</v>
      </c>
      <c r="M22" s="20">
        <v>11.385</v>
      </c>
      <c r="N22" s="21">
        <f t="shared" si="5"/>
        <v>0</v>
      </c>
      <c r="O22" s="20">
        <v>0</v>
      </c>
      <c r="P22" s="21">
        <f t="shared" si="6"/>
        <v>0</v>
      </c>
      <c r="Q22" s="20">
        <v>3.4220000000000002</v>
      </c>
      <c r="R22" s="8">
        <f t="shared" si="7"/>
        <v>0</v>
      </c>
    </row>
    <row r="23" spans="1:18" s="16" customFormat="1" ht="18.75" customHeight="1" x14ac:dyDescent="0.25">
      <c r="A23" s="19" t="s">
        <v>68</v>
      </c>
      <c r="B23" s="4">
        <f>US!E18/100</f>
        <v>6.0000000000000001E-3</v>
      </c>
      <c r="C23" s="20">
        <v>86.168999999999997</v>
      </c>
      <c r="D23" s="8">
        <f t="shared" si="0"/>
        <v>0.51701399999999997</v>
      </c>
      <c r="E23" s="20">
        <v>19403</v>
      </c>
      <c r="F23" s="8">
        <f t="shared" si="1"/>
        <v>10031.622642</v>
      </c>
      <c r="G23" s="20">
        <v>15.266</v>
      </c>
      <c r="H23" s="8">
        <f t="shared" si="2"/>
        <v>7.8927357239999996</v>
      </c>
      <c r="I23" s="20">
        <v>3.0640000000000001</v>
      </c>
      <c r="J23" s="8">
        <f t="shared" si="3"/>
        <v>1.584130896</v>
      </c>
      <c r="K23" s="20">
        <v>1.464</v>
      </c>
      <c r="L23" s="8">
        <f t="shared" si="4"/>
        <v>0.75690849599999999</v>
      </c>
      <c r="M23" s="20">
        <v>11.605499999999999</v>
      </c>
      <c r="N23" s="21">
        <f t="shared" si="5"/>
        <v>6.0002059769999994</v>
      </c>
      <c r="O23" s="20">
        <v>0</v>
      </c>
      <c r="P23" s="21">
        <f t="shared" si="6"/>
        <v>0</v>
      </c>
      <c r="Q23" s="20">
        <v>3.528</v>
      </c>
      <c r="R23" s="8">
        <f t="shared" si="7"/>
        <v>1.824025392</v>
      </c>
    </row>
    <row r="24" spans="1:18" s="16" customFormat="1" ht="18.75" customHeight="1" x14ac:dyDescent="0.25">
      <c r="A24" s="19" t="s">
        <v>31</v>
      </c>
      <c r="B24" s="4">
        <f>US!E19/100</f>
        <v>0</v>
      </c>
      <c r="C24" s="20">
        <v>78.106999999999999</v>
      </c>
      <c r="D24" s="8">
        <f t="shared" si="0"/>
        <v>0</v>
      </c>
      <c r="E24" s="20">
        <v>17480</v>
      </c>
      <c r="F24" s="8">
        <f t="shared" si="1"/>
        <v>0</v>
      </c>
      <c r="G24" s="20">
        <v>13.297000000000001</v>
      </c>
      <c r="H24" s="8">
        <f t="shared" si="2"/>
        <v>0</v>
      </c>
      <c r="I24" s="20">
        <v>3.3809999999999998</v>
      </c>
      <c r="J24" s="8">
        <f t="shared" si="3"/>
        <v>0</v>
      </c>
      <c r="K24" s="20">
        <v>0.69199999999999995</v>
      </c>
      <c r="L24" s="8">
        <f t="shared" si="4"/>
        <v>0</v>
      </c>
      <c r="M24" s="20">
        <v>10.1088</v>
      </c>
      <c r="N24" s="21">
        <f t="shared" si="5"/>
        <v>0</v>
      </c>
      <c r="O24" s="20">
        <v>0</v>
      </c>
      <c r="P24" s="21">
        <f t="shared" si="6"/>
        <v>0</v>
      </c>
      <c r="Q24" s="20">
        <v>3.073</v>
      </c>
      <c r="R24" s="8">
        <f t="shared" si="7"/>
        <v>0</v>
      </c>
    </row>
    <row r="25" spans="1:18" s="16" customFormat="1" ht="18.75" customHeight="1" x14ac:dyDescent="0.25">
      <c r="A25" s="19" t="s">
        <v>69</v>
      </c>
      <c r="B25" s="4">
        <f>US!E20/100</f>
        <v>0</v>
      </c>
      <c r="C25" s="20">
        <v>92.132000000000005</v>
      </c>
      <c r="D25" s="8">
        <f t="shared" si="0"/>
        <v>0</v>
      </c>
      <c r="E25" s="20">
        <v>17620</v>
      </c>
      <c r="F25" s="8">
        <f t="shared" si="1"/>
        <v>0</v>
      </c>
      <c r="G25" s="20">
        <v>13.526999999999999</v>
      </c>
      <c r="H25" s="8">
        <f t="shared" si="2"/>
        <v>0</v>
      </c>
      <c r="I25" s="20">
        <v>3.3439999999999999</v>
      </c>
      <c r="J25" s="8">
        <f t="shared" si="3"/>
        <v>0</v>
      </c>
      <c r="K25" s="20">
        <v>0.78200000000000003</v>
      </c>
      <c r="L25" s="8">
        <f t="shared" si="4"/>
        <v>0</v>
      </c>
      <c r="M25" s="20">
        <v>10.2835</v>
      </c>
      <c r="N25" s="21">
        <f t="shared" si="5"/>
        <v>0</v>
      </c>
      <c r="O25" s="20">
        <v>0</v>
      </c>
      <c r="P25" s="21">
        <f t="shared" si="6"/>
        <v>0</v>
      </c>
      <c r="Q25" s="20">
        <v>3.1259999999999999</v>
      </c>
      <c r="R25" s="8">
        <f t="shared" si="7"/>
        <v>0</v>
      </c>
    </row>
    <row r="26" spans="1:18" s="16" customFormat="1" ht="18.75" customHeight="1" x14ac:dyDescent="0.25">
      <c r="A26" s="19" t="s">
        <v>70</v>
      </c>
      <c r="B26" s="4">
        <f>US!E21/100</f>
        <v>0</v>
      </c>
      <c r="C26" s="20">
        <v>106.158</v>
      </c>
      <c r="D26" s="8">
        <f t="shared" si="0"/>
        <v>0</v>
      </c>
      <c r="E26" s="20">
        <v>17760</v>
      </c>
      <c r="F26" s="8">
        <f t="shared" si="1"/>
        <v>0</v>
      </c>
      <c r="G26" s="20">
        <v>13.695</v>
      </c>
      <c r="H26" s="8">
        <f t="shared" si="2"/>
        <v>0</v>
      </c>
      <c r="I26" s="20">
        <v>3.3170000000000002</v>
      </c>
      <c r="J26" s="8">
        <f t="shared" si="3"/>
        <v>0</v>
      </c>
      <c r="K26" s="20">
        <v>0.84899999999999998</v>
      </c>
      <c r="L26" s="8">
        <f t="shared" si="4"/>
        <v>0</v>
      </c>
      <c r="M26" s="20">
        <v>10.412000000000001</v>
      </c>
      <c r="N26" s="21">
        <f t="shared" si="5"/>
        <v>0</v>
      </c>
      <c r="O26" s="20">
        <v>0</v>
      </c>
      <c r="P26" s="21">
        <f t="shared" si="6"/>
        <v>0</v>
      </c>
      <c r="Q26" s="20">
        <v>3.165</v>
      </c>
      <c r="R26" s="8">
        <f t="shared" si="7"/>
        <v>0</v>
      </c>
    </row>
    <row r="27" spans="1:18" s="16" customFormat="1" ht="18.75" customHeight="1" x14ac:dyDescent="0.25">
      <c r="A27" s="19" t="s">
        <v>32</v>
      </c>
      <c r="B27" s="4">
        <v>0</v>
      </c>
      <c r="C27" s="20">
        <v>32</v>
      </c>
      <c r="D27" s="8">
        <f t="shared" si="0"/>
        <v>0</v>
      </c>
      <c r="E27" s="20">
        <v>8580</v>
      </c>
      <c r="F27" s="8">
        <f t="shared" si="1"/>
        <v>0</v>
      </c>
      <c r="G27" s="20">
        <v>6.48</v>
      </c>
      <c r="H27" s="8">
        <f t="shared" si="2"/>
        <v>0</v>
      </c>
      <c r="I27" s="20">
        <v>1.38</v>
      </c>
      <c r="J27" s="8">
        <f t="shared" si="3"/>
        <v>0</v>
      </c>
      <c r="K27" s="20">
        <v>1.1299999999999999</v>
      </c>
      <c r="L27" s="8">
        <f t="shared" si="4"/>
        <v>0</v>
      </c>
      <c r="M27" s="20">
        <v>4.9800000000000004</v>
      </c>
      <c r="N27" s="21">
        <f t="shared" si="5"/>
        <v>0</v>
      </c>
      <c r="O27" s="20">
        <v>0</v>
      </c>
      <c r="P27" s="21">
        <f t="shared" si="6"/>
        <v>0</v>
      </c>
      <c r="Q27" s="20">
        <v>1.5</v>
      </c>
      <c r="R27" s="8">
        <f t="shared" si="7"/>
        <v>0</v>
      </c>
    </row>
    <row r="28" spans="1:18" s="16" customFormat="1" ht="18.75" customHeight="1" x14ac:dyDescent="0.25">
      <c r="A28" s="19" t="s">
        <v>33</v>
      </c>
      <c r="B28" s="4">
        <v>0</v>
      </c>
      <c r="C28" s="20">
        <v>17.030999999999999</v>
      </c>
      <c r="D28" s="8">
        <f t="shared" si="0"/>
        <v>0</v>
      </c>
      <c r="E28" s="20">
        <v>8001</v>
      </c>
      <c r="F28" s="8">
        <f t="shared" si="1"/>
        <v>0</v>
      </c>
      <c r="G28" s="20">
        <v>6.0970000000000004</v>
      </c>
      <c r="H28" s="8">
        <f t="shared" si="2"/>
        <v>0</v>
      </c>
      <c r="I28" s="20">
        <v>0</v>
      </c>
      <c r="J28" s="8">
        <f t="shared" si="3"/>
        <v>0</v>
      </c>
      <c r="K28" s="20">
        <v>1.587</v>
      </c>
      <c r="L28" s="8">
        <f t="shared" si="4"/>
        <v>0</v>
      </c>
      <c r="M28" s="20">
        <v>5.5110000000000001</v>
      </c>
      <c r="N28" s="21">
        <f t="shared" si="5"/>
        <v>0</v>
      </c>
      <c r="O28" s="20">
        <v>0</v>
      </c>
      <c r="P28" s="21">
        <f t="shared" si="6"/>
        <v>0</v>
      </c>
      <c r="Q28" s="20">
        <v>1.409</v>
      </c>
      <c r="R28" s="8">
        <f t="shared" si="7"/>
        <v>0</v>
      </c>
    </row>
    <row r="29" spans="1:18" s="16" customFormat="1" ht="18.75" customHeight="1" x14ac:dyDescent="0.25">
      <c r="A29" s="19" t="s">
        <v>71</v>
      </c>
      <c r="B29" s="4">
        <v>0</v>
      </c>
      <c r="C29" s="20">
        <v>128.16200000000001</v>
      </c>
      <c r="D29" s="8">
        <f t="shared" si="0"/>
        <v>0</v>
      </c>
      <c r="E29" s="20">
        <v>16708</v>
      </c>
      <c r="F29" s="8">
        <f t="shared" si="1"/>
        <v>0</v>
      </c>
      <c r="G29" s="20">
        <v>12.964</v>
      </c>
      <c r="H29" s="8">
        <f t="shared" si="2"/>
        <v>0</v>
      </c>
      <c r="I29" s="20">
        <v>3.4340000000000002</v>
      </c>
      <c r="J29" s="8">
        <f t="shared" si="3"/>
        <v>0</v>
      </c>
      <c r="K29" s="20">
        <v>0.56200000000000006</v>
      </c>
      <c r="L29" s="8">
        <f t="shared" si="4"/>
        <v>0</v>
      </c>
      <c r="M29" s="20">
        <v>9.968</v>
      </c>
      <c r="N29" s="21">
        <f t="shared" si="5"/>
        <v>0</v>
      </c>
      <c r="O29" s="20">
        <v>0</v>
      </c>
      <c r="P29" s="21">
        <f t="shared" si="6"/>
        <v>0</v>
      </c>
      <c r="Q29" s="20">
        <v>2.996</v>
      </c>
      <c r="R29" s="8">
        <f t="shared" si="7"/>
        <v>0</v>
      </c>
    </row>
    <row r="30" spans="1:18" s="16" customFormat="1" ht="18.75" customHeight="1" x14ac:dyDescent="0.25">
      <c r="A30" s="19" t="s">
        <v>72</v>
      </c>
      <c r="B30" s="4">
        <f>US!E22/100</f>
        <v>0</v>
      </c>
      <c r="C30" s="20">
        <v>32.040999999999997</v>
      </c>
      <c r="D30" s="8">
        <f t="shared" si="0"/>
        <v>0</v>
      </c>
      <c r="E30" s="20">
        <v>9078</v>
      </c>
      <c r="F30" s="8">
        <f t="shared" si="1"/>
        <v>0</v>
      </c>
      <c r="G30" s="20">
        <v>6.4820000000000002</v>
      </c>
      <c r="H30" s="8">
        <f t="shared" si="2"/>
        <v>0</v>
      </c>
      <c r="I30" s="20">
        <v>1.3740000000000001</v>
      </c>
      <c r="J30" s="8">
        <f t="shared" si="3"/>
        <v>0</v>
      </c>
      <c r="K30" s="20">
        <v>1.125</v>
      </c>
      <c r="L30" s="8">
        <f t="shared" si="4"/>
        <v>0</v>
      </c>
      <c r="M30" s="20">
        <v>4.9287999999999998</v>
      </c>
      <c r="N30" s="21">
        <f t="shared" si="5"/>
        <v>0</v>
      </c>
      <c r="O30" s="20">
        <v>0</v>
      </c>
      <c r="P30" s="21">
        <f t="shared" si="6"/>
        <v>0</v>
      </c>
      <c r="Q30" s="20">
        <v>1.498</v>
      </c>
      <c r="R30" s="8">
        <f t="shared" si="7"/>
        <v>0</v>
      </c>
    </row>
    <row r="31" spans="1:18" s="16" customFormat="1" ht="18.75" customHeight="1" x14ac:dyDescent="0.25">
      <c r="A31" s="19" t="s">
        <v>73</v>
      </c>
      <c r="B31" s="4">
        <v>0</v>
      </c>
      <c r="C31" s="20">
        <v>46.067</v>
      </c>
      <c r="D31" s="8">
        <f t="shared" si="0"/>
        <v>0</v>
      </c>
      <c r="E31" s="20">
        <v>11929</v>
      </c>
      <c r="F31" s="8">
        <f t="shared" si="1"/>
        <v>0</v>
      </c>
      <c r="G31" s="20">
        <v>9.0180000000000007</v>
      </c>
      <c r="H31" s="8">
        <f t="shared" si="2"/>
        <v>0</v>
      </c>
      <c r="I31" s="20">
        <v>1.9219999999999999</v>
      </c>
      <c r="J31" s="8">
        <f t="shared" si="3"/>
        <v>0</v>
      </c>
      <c r="K31" s="20">
        <v>1.17</v>
      </c>
      <c r="L31" s="8">
        <f t="shared" si="4"/>
        <v>0</v>
      </c>
      <c r="M31" s="20">
        <v>6.9340000000000002</v>
      </c>
      <c r="N31" s="21">
        <f t="shared" si="5"/>
        <v>0</v>
      </c>
      <c r="O31" s="20">
        <v>0</v>
      </c>
      <c r="P31" s="21">
        <f t="shared" si="6"/>
        <v>0</v>
      </c>
      <c r="Q31" s="20">
        <v>2.0840000000000001</v>
      </c>
      <c r="R31" s="8">
        <f t="shared" si="7"/>
        <v>0</v>
      </c>
    </row>
    <row r="32" spans="1:18" s="16" customFormat="1" ht="18.75" customHeight="1" x14ac:dyDescent="0.25">
      <c r="A32" s="19" t="s">
        <v>34</v>
      </c>
      <c r="B32" s="4">
        <v>0</v>
      </c>
      <c r="C32" s="20">
        <v>32.06</v>
      </c>
      <c r="D32" s="8">
        <f t="shared" si="0"/>
        <v>0</v>
      </c>
      <c r="E32" s="20">
        <v>3983</v>
      </c>
      <c r="F32" s="8">
        <f t="shared" si="1"/>
        <v>0</v>
      </c>
      <c r="G32" s="20">
        <v>4.2850000000000001</v>
      </c>
      <c r="H32" s="8">
        <f t="shared" si="2"/>
        <v>0</v>
      </c>
      <c r="I32" s="20">
        <v>0</v>
      </c>
      <c r="J32" s="8">
        <f t="shared" si="3"/>
        <v>0</v>
      </c>
      <c r="K32" s="20">
        <v>0</v>
      </c>
      <c r="L32" s="8">
        <f t="shared" si="4"/>
        <v>0</v>
      </c>
      <c r="M32" s="20">
        <v>3.2946</v>
      </c>
      <c r="N32" s="21">
        <f t="shared" si="5"/>
        <v>0</v>
      </c>
      <c r="O32" s="20">
        <v>1.998</v>
      </c>
      <c r="P32" s="21">
        <f t="shared" si="6"/>
        <v>0</v>
      </c>
      <c r="Q32" s="20">
        <v>0.998</v>
      </c>
      <c r="R32" s="8">
        <f t="shared" si="7"/>
        <v>0</v>
      </c>
    </row>
    <row r="33" spans="1:18" s="16" customFormat="1" ht="18.75" customHeight="1" x14ac:dyDescent="0.25">
      <c r="A33" s="19" t="s">
        <v>35</v>
      </c>
      <c r="B33" s="4">
        <f>US!E23/100</f>
        <v>1.2E-2</v>
      </c>
      <c r="C33" s="20">
        <v>34.076000000000001</v>
      </c>
      <c r="D33" s="8">
        <f t="shared" si="0"/>
        <v>0.408912</v>
      </c>
      <c r="E33" s="20">
        <v>6545</v>
      </c>
      <c r="F33" s="8">
        <f t="shared" si="1"/>
        <v>2676.3290400000001</v>
      </c>
      <c r="G33" s="20">
        <v>6.0970000000000004</v>
      </c>
      <c r="H33" s="8">
        <f t="shared" si="2"/>
        <v>2.493136464</v>
      </c>
      <c r="I33" s="20">
        <v>0</v>
      </c>
      <c r="J33" s="8">
        <f t="shared" si="3"/>
        <v>0</v>
      </c>
      <c r="K33" s="20">
        <v>0.52900000000000003</v>
      </c>
      <c r="L33" s="8">
        <f t="shared" si="4"/>
        <v>0.21631444800000002</v>
      </c>
      <c r="M33" s="20">
        <v>4.6337999999999999</v>
      </c>
      <c r="N33" s="21">
        <f t="shared" si="5"/>
        <v>1.8948164256</v>
      </c>
      <c r="O33" s="20">
        <v>1.88</v>
      </c>
      <c r="P33" s="21">
        <f t="shared" si="6"/>
        <v>0.76875455999999998</v>
      </c>
      <c r="Q33" s="20">
        <v>1.409</v>
      </c>
      <c r="R33" s="8">
        <f t="shared" si="7"/>
        <v>0.57615700800000003</v>
      </c>
    </row>
    <row r="34" spans="1:18" s="16" customFormat="1" ht="18.75" customHeight="1" x14ac:dyDescent="0.25">
      <c r="A34" s="19" t="s">
        <v>74</v>
      </c>
      <c r="B34" s="4">
        <v>0</v>
      </c>
      <c r="C34" s="20">
        <v>64.06</v>
      </c>
      <c r="D34" s="8">
        <f t="shared" si="0"/>
        <v>0</v>
      </c>
      <c r="E34" s="20">
        <v>0</v>
      </c>
      <c r="F34" s="8">
        <f t="shared" si="1"/>
        <v>0</v>
      </c>
      <c r="G34" s="20">
        <v>0</v>
      </c>
      <c r="H34" s="8">
        <f t="shared" si="2"/>
        <v>0</v>
      </c>
      <c r="I34" s="20">
        <v>0</v>
      </c>
      <c r="J34" s="8">
        <f t="shared" si="3"/>
        <v>0</v>
      </c>
      <c r="K34" s="20">
        <v>0</v>
      </c>
      <c r="L34" s="8">
        <f t="shared" si="4"/>
        <v>0</v>
      </c>
      <c r="M34" s="20">
        <v>0</v>
      </c>
      <c r="N34" s="21">
        <f t="shared" si="5"/>
        <v>0</v>
      </c>
      <c r="O34" s="20">
        <v>1</v>
      </c>
      <c r="P34" s="21">
        <f t="shared" si="6"/>
        <v>0</v>
      </c>
      <c r="Q34" s="20">
        <v>0</v>
      </c>
      <c r="R34" s="8">
        <f t="shared" si="7"/>
        <v>0</v>
      </c>
    </row>
    <row r="35" spans="1:18" s="16" customFormat="1" ht="18.75" customHeight="1" x14ac:dyDescent="0.25">
      <c r="A35" s="19" t="s">
        <v>36</v>
      </c>
      <c r="B35" s="4">
        <f>US!E24/100</f>
        <v>4.5000000000000005E-3</v>
      </c>
      <c r="C35" s="20">
        <v>18.015999999999998</v>
      </c>
      <c r="D35" s="8">
        <f t="shared" si="0"/>
        <v>8.1072000000000005E-2</v>
      </c>
      <c r="E35" s="20">
        <v>0</v>
      </c>
      <c r="F35" s="8">
        <f t="shared" si="1"/>
        <v>0</v>
      </c>
      <c r="G35" s="20">
        <v>0</v>
      </c>
      <c r="H35" s="8">
        <f t="shared" si="2"/>
        <v>0</v>
      </c>
      <c r="I35" s="20">
        <v>0</v>
      </c>
      <c r="J35" s="8">
        <f t="shared" si="3"/>
        <v>0</v>
      </c>
      <c r="K35" s="20">
        <v>1</v>
      </c>
      <c r="L35" s="8">
        <f t="shared" si="4"/>
        <v>8.1072000000000005E-2</v>
      </c>
      <c r="M35" s="20">
        <v>0</v>
      </c>
      <c r="N35" s="21">
        <f t="shared" si="5"/>
        <v>0</v>
      </c>
      <c r="O35" s="20">
        <v>0</v>
      </c>
      <c r="P35" s="21">
        <f t="shared" si="6"/>
        <v>0</v>
      </c>
      <c r="Q35" s="20">
        <v>0</v>
      </c>
      <c r="R35" s="8">
        <f t="shared" si="7"/>
        <v>0</v>
      </c>
    </row>
    <row r="36" spans="1:18" s="16" customFormat="1" ht="18.75" customHeight="1" x14ac:dyDescent="0.25">
      <c r="A36" s="19" t="s">
        <v>75</v>
      </c>
      <c r="B36" s="4">
        <v>0</v>
      </c>
      <c r="C36" s="4">
        <v>200</v>
      </c>
      <c r="D36" s="8">
        <f t="shared" si="0"/>
        <v>0</v>
      </c>
      <c r="E36" s="20">
        <v>0</v>
      </c>
      <c r="F36" s="8">
        <f t="shared" si="1"/>
        <v>0</v>
      </c>
      <c r="G36" s="20">
        <v>0</v>
      </c>
      <c r="H36" s="8">
        <f t="shared" si="2"/>
        <v>0</v>
      </c>
      <c r="I36" s="20">
        <v>0</v>
      </c>
      <c r="J36" s="8">
        <f t="shared" si="3"/>
        <v>0</v>
      </c>
      <c r="K36" s="20">
        <v>0</v>
      </c>
      <c r="L36" s="8">
        <f t="shared" si="4"/>
        <v>0</v>
      </c>
      <c r="M36" s="20">
        <v>0</v>
      </c>
      <c r="N36" s="21">
        <f t="shared" si="5"/>
        <v>0</v>
      </c>
      <c r="O36" s="20">
        <v>0</v>
      </c>
      <c r="P36" s="21">
        <f t="shared" si="6"/>
        <v>0</v>
      </c>
      <c r="Q36" s="20">
        <v>0</v>
      </c>
      <c r="R36" s="8">
        <f t="shared" si="7"/>
        <v>0</v>
      </c>
    </row>
    <row r="37" spans="1:18" s="16" customFormat="1" ht="18.75" customHeight="1" x14ac:dyDescent="0.25">
      <c r="A37" s="19" t="s">
        <v>37</v>
      </c>
      <c r="B37" s="8">
        <f>SUM(B3:B36)</f>
        <v>1</v>
      </c>
      <c r="C37" s="8"/>
      <c r="D37" s="8">
        <f>SUM(D3:D36)</f>
        <v>17.740270999999996</v>
      </c>
      <c r="E37" s="8"/>
      <c r="F37" s="22">
        <f>SUM(F3:F36)</f>
        <v>363440.86854319996</v>
      </c>
      <c r="G37" s="22"/>
      <c r="H37" s="22">
        <f>SUM(H3:H36)</f>
        <v>289.24394725519994</v>
      </c>
      <c r="I37" s="22"/>
      <c r="J37" s="22">
        <f>SUM(J3:J36)</f>
        <v>46.728886646399999</v>
      </c>
      <c r="K37" s="22"/>
      <c r="L37" s="22">
        <f>SUM(L3:L36)</f>
        <v>36.791655877199986</v>
      </c>
      <c r="M37" s="22"/>
      <c r="N37" s="23">
        <f>SUM(N3:N36)</f>
        <v>220.38615149615998</v>
      </c>
      <c r="O37" s="8"/>
      <c r="P37" s="23">
        <f>SUM(P3:P36)</f>
        <v>0.76875455999999998</v>
      </c>
      <c r="Q37" s="8"/>
      <c r="R37" s="23">
        <f>SUM(R3:R36)</f>
        <v>66.886572925599992</v>
      </c>
    </row>
    <row r="38" spans="1:18" s="25" customFormat="1" ht="36" customHeight="1" thickBot="1" x14ac:dyDescent="0.3">
      <c r="A38" s="24" t="s">
        <v>38</v>
      </c>
      <c r="B38" s="9">
        <f>SUM(B3:B36)</f>
        <v>1</v>
      </c>
      <c r="C38" s="9">
        <f>(B3/B38*C3)+(B4/B38*C4)+(B5/B38*C5)+(B6/B38*C6)+(B7/B38*C7)+(B8/B38*C8)+(B9/B38*C9)+(B10/B38*C10)+(B11/B38*C11)+(B12/B38*C12)+(B13/B38*C13)+(B14/B38*C14)+(B15/B38*C15)+(B16/B38*C16)+(B17/B38*C17)+(B18/B38*C18)+(B19/B38*C19)+(B20/B38*C20)+(B21/B38*C21)+(B22/B38*C22)+(B23/B38*C23)+(B24/B38*C24)+(B25/B38*C25)+(B26/B38*C26)+(B27/B38*C27)+(B28/B38*C28)+(B29/B38*C29)+(B30/B38*C30)+(B31/B38*C31)+(B32/B38*C32)+(B33/B38*C33)+(B34/B38*C34)+(B35/B38*C35)</f>
        <v>17.740270999999996</v>
      </c>
      <c r="D38" s="9">
        <f>SUM(D3:D36)</f>
        <v>17.740270999999996</v>
      </c>
      <c r="E38" s="9"/>
      <c r="F38" s="9">
        <f>F37/D$38</f>
        <v>20486.770948606143</v>
      </c>
      <c r="G38" s="9"/>
      <c r="H38" s="9">
        <f>H37/D38</f>
        <v>16.30437028020598</v>
      </c>
      <c r="I38" s="9"/>
      <c r="J38" s="9">
        <f>J37/D38</f>
        <v>2.6340570922732809</v>
      </c>
      <c r="K38" s="9"/>
      <c r="L38" s="9">
        <f>L37/D38</f>
        <v>2.0739060794054383</v>
      </c>
      <c r="M38" s="9"/>
      <c r="N38" s="9">
        <f>N37/D38</f>
        <v>12.422930376664484</v>
      </c>
      <c r="O38" s="9"/>
      <c r="P38" s="9">
        <f>P37/D38</f>
        <v>4.3333867898635831E-2</v>
      </c>
      <c r="Q38" s="9"/>
      <c r="R38" s="9">
        <f>R37/D38</f>
        <v>3.7703241920937964</v>
      </c>
    </row>
    <row r="39" spans="1:18" s="16" customFormat="1" ht="13.5" thickBot="1" x14ac:dyDescent="0.3"/>
    <row r="40" spans="1:18" s="16" customFormat="1" ht="48.75" customHeight="1" thickBot="1" x14ac:dyDescent="0.3">
      <c r="A40" s="178" t="s">
        <v>76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8" s="16" customFormat="1" ht="32.25" customHeight="1" x14ac:dyDescent="0.25">
      <c r="A41" s="26" t="s">
        <v>77</v>
      </c>
      <c r="B41" s="5">
        <f>(US!D26-32)/1.8+273.15</f>
        <v>292.03888888888889</v>
      </c>
      <c r="C41" s="27"/>
      <c r="D41" s="28" t="s">
        <v>78</v>
      </c>
      <c r="E41" s="29">
        <f>(EXP(A48+(A49/B41)+(A50*LN(B41))+(A51*B41^A52)))/101325*14.696</f>
        <v>0.31660920796319708</v>
      </c>
      <c r="G41" s="28"/>
      <c r="H41" s="26" t="s">
        <v>79</v>
      </c>
      <c r="I41" s="28" t="s">
        <v>80</v>
      </c>
      <c r="J41" s="30" t="s">
        <v>81</v>
      </c>
      <c r="K41" s="28" t="s">
        <v>82</v>
      </c>
      <c r="L41" s="27"/>
      <c r="M41" s="31" t="s">
        <v>83</v>
      </c>
      <c r="N41" s="60">
        <f>H47*B45</f>
        <v>26280.953767254119</v>
      </c>
    </row>
    <row r="42" spans="1:18" ht="41.25" customHeight="1" x14ac:dyDescent="0.25">
      <c r="A42" s="32" t="s">
        <v>84</v>
      </c>
      <c r="B42" s="6">
        <f>100+US!D28</f>
        <v>128</v>
      </c>
      <c r="C42" s="33"/>
      <c r="D42" s="7" t="s">
        <v>46</v>
      </c>
      <c r="E42" s="34">
        <f>E41/((14.696*B46/101325))*(B43/100)*(18/28.85)</f>
        <v>9.1375772974847443E-3</v>
      </c>
      <c r="G42" s="32" t="s">
        <v>85</v>
      </c>
      <c r="H42" s="34">
        <f>J38</f>
        <v>2.6340570922732809</v>
      </c>
      <c r="I42" s="34">
        <f>H42/H$47</f>
        <v>0.12027221457488947</v>
      </c>
      <c r="J42" s="35">
        <f>H42/44</f>
        <v>5.9864933915301836E-2</v>
      </c>
      <c r="K42" s="35">
        <f>J42/J$47</f>
        <v>7.603375900418681E-2</v>
      </c>
      <c r="M42" s="36" t="s">
        <v>86</v>
      </c>
      <c r="N42" s="37">
        <f>K42*C8+K43*C34+K44*C5+K45*C6+K46*C35</f>
        <v>27.830856978452637</v>
      </c>
    </row>
    <row r="43" spans="1:18" ht="38.25" customHeight="1" x14ac:dyDescent="0.25">
      <c r="A43" s="32" t="s">
        <v>45</v>
      </c>
      <c r="B43" s="6">
        <f>US!D29</f>
        <v>55</v>
      </c>
      <c r="C43" s="38"/>
      <c r="D43" s="7" t="s">
        <v>87</v>
      </c>
      <c r="E43" s="34">
        <f>(H38/(1-E42)-H38)*(B42/100)</f>
        <v>0.19245611055094286</v>
      </c>
      <c r="G43" s="32" t="s">
        <v>88</v>
      </c>
      <c r="H43" s="34">
        <f>P38</f>
        <v>4.3333867898635831E-2</v>
      </c>
      <c r="I43" s="34">
        <f t="shared" ref="I43:I46" si="8">H43/H$47</f>
        <v>1.9786436192112413E-3</v>
      </c>
      <c r="J43" s="35">
        <f>H43/64</f>
        <v>6.7709168591618485E-4</v>
      </c>
      <c r="K43" s="35">
        <f t="shared" ref="K43:K47" si="9">J43/J$47</f>
        <v>8.5996630587661417E-4</v>
      </c>
      <c r="M43" s="39" t="s">
        <v>109</v>
      </c>
      <c r="N43" s="40">
        <f>N41-B45</f>
        <v>25080.953767254119</v>
      </c>
    </row>
    <row r="44" spans="1:18" ht="36" customHeight="1" x14ac:dyDescent="0.25">
      <c r="A44" s="32" t="s">
        <v>89</v>
      </c>
      <c r="B44" s="6">
        <v>0</v>
      </c>
      <c r="D44" s="15" t="s">
        <v>106</v>
      </c>
      <c r="E44" s="41">
        <f>(N41-B45)/B45</f>
        <v>20.900794806045099</v>
      </c>
      <c r="G44" s="32" t="s">
        <v>90</v>
      </c>
      <c r="H44" s="34">
        <f>R38*(B42-100)/100</f>
        <v>1.0556907737862631</v>
      </c>
      <c r="I44" s="34">
        <f t="shared" si="8"/>
        <v>4.8203308744524165E-2</v>
      </c>
      <c r="J44" s="35">
        <f>H44/32</f>
        <v>3.2990336680820721E-2</v>
      </c>
      <c r="K44" s="35">
        <f t="shared" si="9"/>
        <v>4.1900644410723227E-2</v>
      </c>
      <c r="M44" s="39" t="s">
        <v>108</v>
      </c>
      <c r="N44" s="42">
        <f>(H47-H46)*B45</f>
        <v>23561.319139306459</v>
      </c>
    </row>
    <row r="45" spans="1:18" ht="44.25" customHeight="1" x14ac:dyDescent="0.25">
      <c r="A45" s="32" t="s">
        <v>91</v>
      </c>
      <c r="B45" s="6">
        <f>US!K27</f>
        <v>1200</v>
      </c>
      <c r="D45" s="32" t="s">
        <v>107</v>
      </c>
      <c r="E45" s="43">
        <f>E44-H38</f>
        <v>4.5964245258391188</v>
      </c>
      <c r="G45" s="32" t="s">
        <v>92</v>
      </c>
      <c r="H45" s="34">
        <f>N38*B42/100</f>
        <v>15.901350882130538</v>
      </c>
      <c r="I45" s="34">
        <f>H45/H$47</f>
        <v>0.72606273073438488</v>
      </c>
      <c r="J45" s="35">
        <f>H45/28</f>
        <v>0.56790538864751927</v>
      </c>
      <c r="K45" s="35">
        <f t="shared" si="9"/>
        <v>0.72129005468704721</v>
      </c>
    </row>
    <row r="46" spans="1:18" ht="31.5" customHeight="1" x14ac:dyDescent="0.25">
      <c r="A46" s="32" t="s">
        <v>166</v>
      </c>
      <c r="B46" s="6">
        <f>US!D27/14.696*101325</f>
        <v>81978.378470332071</v>
      </c>
      <c r="G46" s="32" t="s">
        <v>93</v>
      </c>
      <c r="H46" s="34">
        <f>L38+E43+B44</f>
        <v>2.2663621899563813</v>
      </c>
      <c r="I46" s="34">
        <f t="shared" si="8"/>
        <v>0.10348310232699023</v>
      </c>
      <c r="J46" s="35">
        <f>H46/18</f>
        <v>0.12590901055313231</v>
      </c>
      <c r="K46" s="35">
        <f t="shared" si="9"/>
        <v>0.15991557559216607</v>
      </c>
    </row>
    <row r="47" spans="1:18" ht="45" customHeight="1" x14ac:dyDescent="0.25">
      <c r="A47" s="44"/>
      <c r="G47" s="45" t="s">
        <v>94</v>
      </c>
      <c r="H47" s="34">
        <f>SUM(H42:H46)</f>
        <v>21.900794806045099</v>
      </c>
      <c r="I47" s="34">
        <f>H47/H$47</f>
        <v>1</v>
      </c>
      <c r="J47" s="35">
        <f>SUM(J42:J46)</f>
        <v>0.78734676148269034</v>
      </c>
      <c r="K47" s="35">
        <f t="shared" si="9"/>
        <v>1</v>
      </c>
    </row>
    <row r="48" spans="1:18" x14ac:dyDescent="0.25">
      <c r="A48" s="136">
        <v>73.649000000000001</v>
      </c>
      <c r="B48" s="137" t="s">
        <v>222</v>
      </c>
      <c r="G48" s="46"/>
    </row>
    <row r="49" spans="1:7" ht="21" customHeight="1" x14ac:dyDescent="0.25">
      <c r="A49" s="136">
        <v>-7258.2</v>
      </c>
      <c r="B49" s="137" t="s">
        <v>223</v>
      </c>
      <c r="G49" s="46"/>
    </row>
    <row r="50" spans="1:7" ht="21" customHeight="1" x14ac:dyDescent="0.25">
      <c r="A50" s="136">
        <v>-7.3037000000000001</v>
      </c>
      <c r="B50" s="137" t="s">
        <v>224</v>
      </c>
    </row>
    <row r="51" spans="1:7" ht="21" customHeight="1" x14ac:dyDescent="0.25">
      <c r="A51" s="136">
        <v>4.1652999999999997E-6</v>
      </c>
      <c r="B51" s="137" t="s">
        <v>225</v>
      </c>
    </row>
    <row r="52" spans="1:7" ht="21" customHeight="1" x14ac:dyDescent="0.25">
      <c r="A52" s="136">
        <v>2</v>
      </c>
      <c r="B52" s="137" t="s">
        <v>226</v>
      </c>
    </row>
  </sheetData>
  <mergeCells count="2">
    <mergeCell ref="A1:A2"/>
    <mergeCell ref="A40:N40"/>
  </mergeCells>
  <pageMargins left="0.23622047244094491" right="0.23622047244094491" top="0.47244094488188981" bottom="0.47244094488188981" header="0.31496062992125984" footer="0.31496062992125984"/>
  <pageSetup paperSize="9" scale="65" orientation="landscape" horizontalDpi="1200" verticalDpi="1200" r:id="rId1"/>
  <ignoredErrors>
    <ignoredError sqref="D18:D36 D4:D17" unlockedFormula="1"/>
    <ignoredError sqref="J42:J47 I4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O51"/>
  <sheetViews>
    <sheetView topLeftCell="A16" workbookViewId="0">
      <selection activeCell="C18" sqref="C18:D18"/>
    </sheetView>
  </sheetViews>
  <sheetFormatPr defaultRowHeight="15" x14ac:dyDescent="0.25"/>
  <cols>
    <col min="1" max="1" width="17.42578125" style="58" customWidth="1"/>
    <col min="2" max="8" width="9.140625" style="58"/>
    <col min="9" max="9" width="14" style="58" bestFit="1" customWidth="1"/>
    <col min="10" max="10" width="9.140625" style="58"/>
    <col min="11" max="11" width="11.85546875" style="58" customWidth="1"/>
    <col min="12" max="12" width="12" style="58" customWidth="1"/>
    <col min="13" max="13" width="16.28515625" style="58" customWidth="1"/>
    <col min="14" max="16384" width="9.140625" style="58"/>
  </cols>
  <sheetData>
    <row r="1" spans="1:14" x14ac:dyDescent="0.25">
      <c r="A1" s="138" t="s">
        <v>195</v>
      </c>
      <c r="B1" s="138">
        <f>(US!K29-32)/1.8+273.15</f>
        <v>505.37222222222221</v>
      </c>
      <c r="I1" s="142" t="s">
        <v>183</v>
      </c>
      <c r="J1" s="142" t="s">
        <v>184</v>
      </c>
      <c r="K1" s="142" t="s">
        <v>185</v>
      </c>
      <c r="L1" s="142" t="s">
        <v>186</v>
      </c>
      <c r="M1" s="142" t="s">
        <v>191</v>
      </c>
    </row>
    <row r="2" spans="1:14" x14ac:dyDescent="0.25">
      <c r="A2" s="139" t="s">
        <v>171</v>
      </c>
      <c r="B2" s="56">
        <v>49436.505400000002</v>
      </c>
      <c r="C2" s="56">
        <v>-626.41160100000002</v>
      </c>
      <c r="D2" s="56">
        <v>5.3017252399999997</v>
      </c>
      <c r="E2" s="56">
        <v>2.5038138159999999E-3</v>
      </c>
      <c r="F2" s="57">
        <v>-2.127308728E-7</v>
      </c>
      <c r="G2" s="57">
        <v>-7.6899887800000002E-10</v>
      </c>
      <c r="H2" s="57">
        <v>2.8496778010000001E-13</v>
      </c>
      <c r="I2" s="141">
        <f>(B2* $B$1^ -2 +C2*$B$1^ -1 +D2+E2* $B$1+F2* $B$1^ 2 +G2* $B$1^ 3 +H2* $B$1^ 4) * 8.314</f>
        <v>44.780384258893818</v>
      </c>
      <c r="J2" s="141">
        <v>44</v>
      </c>
      <c r="K2" s="141">
        <f>I2*1000/J2</f>
        <v>1017.7360058839505</v>
      </c>
      <c r="L2" s="141">
        <f>US!F33</f>
        <v>0.12027221457488947</v>
      </c>
      <c r="M2" s="141">
        <f t="shared" ref="M2:M7" si="0">L2*K2</f>
        <v>122.40536328026546</v>
      </c>
    </row>
    <row r="3" spans="1:14" x14ac:dyDescent="0.25">
      <c r="A3" s="139" t="s">
        <v>173</v>
      </c>
      <c r="B3" s="56">
        <v>-53108.421399999999</v>
      </c>
      <c r="C3" s="56">
        <v>909.03116699999998</v>
      </c>
      <c r="D3" s="56">
        <v>-2.3568912439999998</v>
      </c>
      <c r="E3" s="56">
        <v>2.204449885E-2</v>
      </c>
      <c r="F3" s="56">
        <v>-2.510781471E-5</v>
      </c>
      <c r="G3" s="57">
        <v>1.4463004839999999E-8</v>
      </c>
      <c r="H3" s="57">
        <v>-3.36907094E-12</v>
      </c>
      <c r="I3" s="141">
        <f t="shared" ref="I3:I7" si="1">(B3* $B$1^ -2 +C3*$B$1^ -1 +D3+E3* $B$1+F3* $B$1^ 2 +G3* $B$1^ 3 +H3* $B$1^ 4) * 8.314</f>
        <v>46.633492170433243</v>
      </c>
      <c r="J3" s="141">
        <v>64</v>
      </c>
      <c r="K3" s="141">
        <f t="shared" ref="K3:K7" si="2">I3*1000/J3</f>
        <v>728.64831516301945</v>
      </c>
      <c r="L3" s="141">
        <f>US!F37</f>
        <v>1.9786436192112413E-3</v>
      </c>
      <c r="M3" s="141">
        <f t="shared" si="0"/>
        <v>1.4417353394463299</v>
      </c>
    </row>
    <row r="4" spans="1:14" x14ac:dyDescent="0.25">
      <c r="A4" s="139" t="s">
        <v>175</v>
      </c>
      <c r="B4" s="56">
        <v>-34255.6342</v>
      </c>
      <c r="C4" s="56">
        <v>484.70009700000003</v>
      </c>
      <c r="D4" s="56">
        <v>1.1190109610000001</v>
      </c>
      <c r="E4" s="56">
        <v>4.2938892400000003E-3</v>
      </c>
      <c r="F4" s="56">
        <v>-6.8363005199999996E-7</v>
      </c>
      <c r="G4" s="57">
        <v>-2.0233726999999998E-9</v>
      </c>
      <c r="H4" s="57">
        <v>1.039040018E-12</v>
      </c>
      <c r="I4" s="141">
        <f>(B4* $B$1^ -2 +C4*$B$1^ -1 +D4+E4* $B$1+F4* $B$1^ 2 +G4* $B$1^ 3 +H4* $B$1^ 4) * 8.314</f>
        <v>31.144311536963485</v>
      </c>
      <c r="J4" s="141">
        <v>32</v>
      </c>
      <c r="K4" s="141">
        <f t="shared" si="2"/>
        <v>973.25973553010897</v>
      </c>
      <c r="L4" s="141">
        <f>US!F35</f>
        <v>4.8203308744524165E-2</v>
      </c>
      <c r="M4" s="141">
        <f t="shared" si="0"/>
        <v>46.914339520371776</v>
      </c>
    </row>
    <row r="5" spans="1:14" x14ac:dyDescent="0.25">
      <c r="A5" s="139" t="s">
        <v>177</v>
      </c>
      <c r="B5" s="56">
        <v>-39479.6083</v>
      </c>
      <c r="C5" s="56">
        <v>575.57310199999995</v>
      </c>
      <c r="D5" s="56">
        <v>0.93178265299999996</v>
      </c>
      <c r="E5" s="56">
        <v>7.2227128600000001E-3</v>
      </c>
      <c r="F5" s="56">
        <v>-7.34255737E-6</v>
      </c>
      <c r="G5" s="57">
        <v>4.9550434900000003E-9</v>
      </c>
      <c r="H5" s="57">
        <v>-1.336933246E-12</v>
      </c>
      <c r="I5" s="141">
        <f>(B5* $B$1^ -2 +C5*$B$1^ -1 +D5+E5* $B$1+F5* $B$1^ 2 +G5* $B$1^ 3 +H5* $B$1^ 4) * 8.314</f>
        <v>35.279020942460711</v>
      </c>
      <c r="J5" s="141">
        <v>18</v>
      </c>
      <c r="K5" s="141">
        <f t="shared" si="2"/>
        <v>1959.9456079144838</v>
      </c>
      <c r="L5" s="141">
        <f>US!F36</f>
        <v>0.10348310232699023</v>
      </c>
      <c r="M5" s="141">
        <f t="shared" si="0"/>
        <v>202.82125189914962</v>
      </c>
    </row>
    <row r="6" spans="1:14" x14ac:dyDescent="0.25">
      <c r="A6" s="139" t="s">
        <v>179</v>
      </c>
      <c r="B6" s="56">
        <v>0</v>
      </c>
      <c r="C6" s="56">
        <v>0</v>
      </c>
      <c r="D6" s="56">
        <v>2.5</v>
      </c>
      <c r="E6" s="56">
        <v>0</v>
      </c>
      <c r="F6" s="56">
        <v>0</v>
      </c>
      <c r="G6" s="56">
        <v>0</v>
      </c>
      <c r="H6" s="56">
        <v>0</v>
      </c>
      <c r="I6" s="141">
        <f>(B6* $B$1^ -2 +C6*$B$1^ -1 +D6+E6* $B$1+F6* $B$1^ 2 +G6* $B$1^ 3 +H6* $B$1^ 4) * 8.314</f>
        <v>20.785</v>
      </c>
      <c r="J6" s="141">
        <v>40</v>
      </c>
      <c r="K6" s="141">
        <f t="shared" si="2"/>
        <v>519.625</v>
      </c>
      <c r="L6" s="141"/>
      <c r="M6" s="141">
        <f t="shared" si="0"/>
        <v>0</v>
      </c>
    </row>
    <row r="7" spans="1:14" x14ac:dyDescent="0.25">
      <c r="A7" s="139" t="s">
        <v>181</v>
      </c>
      <c r="B7" s="56">
        <v>22103.714970000001</v>
      </c>
      <c r="C7" s="56">
        <v>-381.846182</v>
      </c>
      <c r="D7" s="56">
        <v>6.0827383599999996</v>
      </c>
      <c r="E7" s="56">
        <v>-8.5309144099999998E-3</v>
      </c>
      <c r="F7" s="56">
        <v>1.384646189E-5</v>
      </c>
      <c r="G7" s="57">
        <v>-9.6257936199999997E-9</v>
      </c>
      <c r="H7" s="57">
        <v>2.5197058090000001E-12</v>
      </c>
      <c r="I7" s="141">
        <f t="shared" si="1"/>
        <v>29.604132651150152</v>
      </c>
      <c r="J7" s="141">
        <v>28</v>
      </c>
      <c r="K7" s="141">
        <f t="shared" si="2"/>
        <v>1057.2904518267912</v>
      </c>
      <c r="L7" s="141">
        <f>US!F34</f>
        <v>0.72606273073438488</v>
      </c>
      <c r="M7" s="141">
        <f t="shared" si="0"/>
        <v>767.65919263275168</v>
      </c>
    </row>
    <row r="8" spans="1:14" x14ac:dyDescent="0.25">
      <c r="A8" s="140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71">
        <f>SUM(M2:M7)</f>
        <v>1141.241882671985</v>
      </c>
      <c r="N8" s="67" t="s">
        <v>187</v>
      </c>
    </row>
    <row r="9" spans="1:14" x14ac:dyDescent="0.25">
      <c r="A9" s="140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4" x14ac:dyDescent="0.25">
      <c r="A10" s="139" t="s">
        <v>172</v>
      </c>
      <c r="B10" s="56">
        <v>117696.24189999999</v>
      </c>
      <c r="C10" s="56">
        <v>-1788.791477</v>
      </c>
      <c r="D10" s="56">
        <v>8.2915231899999995</v>
      </c>
      <c r="E10" s="56">
        <v>-9.2231567800000002E-5</v>
      </c>
      <c r="F10" s="57">
        <v>4.8636768799999996E-9</v>
      </c>
      <c r="G10" s="57">
        <v>-1.891053312E-12</v>
      </c>
      <c r="H10" s="57">
        <v>6.3300365900000004E-16</v>
      </c>
      <c r="I10" s="141">
        <f>(B10* $B$1^ -2 +C10*$B$1^ -1 +D10+E10* $B$1+F10* $B$1^ 2 +G10* $B$1^ 3 +H10* $B$1^ 4) * 8.314</f>
        <v>42.960333154556707</v>
      </c>
      <c r="J10" s="141">
        <v>44</v>
      </c>
      <c r="K10" s="141">
        <f t="shared" ref="K10:K15" si="3">I10*1000/J10</f>
        <v>976.37120805810696</v>
      </c>
      <c r="L10" s="141">
        <f>US!F33</f>
        <v>0.12027221457488947</v>
      </c>
      <c r="M10" s="141">
        <f t="shared" ref="M10:M15" si="4">L10*K10</f>
        <v>117.43032744030869</v>
      </c>
    </row>
    <row r="11" spans="1:14" x14ac:dyDescent="0.25">
      <c r="A11" s="139" t="s">
        <v>174</v>
      </c>
      <c r="B11" s="56">
        <v>-112764.0116</v>
      </c>
      <c r="C11" s="56">
        <v>-825.22613799999999</v>
      </c>
      <c r="D11" s="56">
        <v>7.6161786300000003</v>
      </c>
      <c r="E11" s="56">
        <v>-1.9993276099999999E-4</v>
      </c>
      <c r="F11" s="57">
        <v>5.65563143E-8</v>
      </c>
      <c r="G11" s="57">
        <v>-5.4543166099999999E-12</v>
      </c>
      <c r="H11" s="57">
        <v>2.9182941020000001E-16</v>
      </c>
      <c r="I11" s="141">
        <f>(B11* $B$1^ -2 +C11*$B$1^ -1 +D11+E11* $B$1+F11* $B$1^ 2 +G11* $B$1^ 3 +H11* $B$1^ 4) * 8.314</f>
        <v>45.348486803839485</v>
      </c>
      <c r="J11" s="141">
        <v>64</v>
      </c>
      <c r="K11" s="141">
        <f t="shared" si="3"/>
        <v>708.57010630999196</v>
      </c>
      <c r="L11" s="141">
        <f>US!F37</f>
        <v>1.9786436192112413E-3</v>
      </c>
      <c r="M11" s="141">
        <f t="shared" si="4"/>
        <v>1.4020077196140965</v>
      </c>
    </row>
    <row r="12" spans="1:14" x14ac:dyDescent="0.25">
      <c r="A12" s="139" t="s">
        <v>176</v>
      </c>
      <c r="B12" s="56">
        <v>-1037939.022</v>
      </c>
      <c r="C12" s="56">
        <v>2344.8302819999999</v>
      </c>
      <c r="D12" s="56">
        <v>1.819732036</v>
      </c>
      <c r="E12" s="56">
        <v>1.267847582E-3</v>
      </c>
      <c r="F12" s="57">
        <v>-2.188067988E-7</v>
      </c>
      <c r="G12" s="57">
        <v>2.053719572E-11</v>
      </c>
      <c r="H12" s="57">
        <v>-8.1934670499999999E-16</v>
      </c>
      <c r="I12" s="141">
        <f t="shared" ref="I12:I14" si="5">(B12* $B$1^ -2 +C12*$B$1^ -1 +D12+E12* $B$1+F12* $B$1^ 2 +G12* $B$1^ 3 +H12* $B$1^ 4) * 8.314</f>
        <v>24.800929919956911</v>
      </c>
      <c r="J12" s="141">
        <v>32</v>
      </c>
      <c r="K12" s="141">
        <f t="shared" si="3"/>
        <v>775.02905999865345</v>
      </c>
      <c r="L12" s="141">
        <f>US!F35</f>
        <v>4.8203308744524165E-2</v>
      </c>
      <c r="M12" s="141">
        <f t="shared" si="4"/>
        <v>37.358965065093436</v>
      </c>
    </row>
    <row r="13" spans="1:14" x14ac:dyDescent="0.25">
      <c r="A13" s="139" t="s">
        <v>178</v>
      </c>
      <c r="B13" s="56">
        <v>1034972.096</v>
      </c>
      <c r="C13" s="56">
        <v>-2412.698562</v>
      </c>
      <c r="D13" s="56">
        <v>4.6461107799999999</v>
      </c>
      <c r="E13" s="56">
        <v>2.291998307E-3</v>
      </c>
      <c r="F13" s="56">
        <v>-6.8368304800000004E-7</v>
      </c>
      <c r="G13" s="57">
        <v>9.4264689299999995E-11</v>
      </c>
      <c r="H13" s="57">
        <v>-4.82238053E-15</v>
      </c>
      <c r="I13" s="141">
        <f t="shared" si="5"/>
        <v>40.904051291068058</v>
      </c>
      <c r="J13" s="141">
        <v>18</v>
      </c>
      <c r="K13" s="141">
        <f t="shared" si="3"/>
        <v>2272.4472939482253</v>
      </c>
      <c r="L13" s="141">
        <f>US!F36</f>
        <v>0.10348310232699023</v>
      </c>
      <c r="M13" s="141">
        <f t="shared" si="4"/>
        <v>235.15989585233626</v>
      </c>
    </row>
    <row r="14" spans="1:14" x14ac:dyDescent="0.25">
      <c r="A14" s="139" t="s">
        <v>180</v>
      </c>
      <c r="B14" s="56">
        <v>20.105384749999999</v>
      </c>
      <c r="C14" s="56">
        <v>-5.9926610700000001E-2</v>
      </c>
      <c r="D14" s="56">
        <v>2.5000694010000002</v>
      </c>
      <c r="E14" s="57">
        <v>-3.9921411600000003E-8</v>
      </c>
      <c r="F14" s="57">
        <v>1.20527214E-11</v>
      </c>
      <c r="G14" s="57">
        <v>-1.8190155760000001E-15</v>
      </c>
      <c r="H14" s="57">
        <v>1.078576636E-19</v>
      </c>
      <c r="I14" s="141">
        <f t="shared" si="5"/>
        <v>20.785101580700317</v>
      </c>
      <c r="J14" s="141">
        <v>40</v>
      </c>
      <c r="K14" s="141">
        <f t="shared" si="3"/>
        <v>519.6275395175079</v>
      </c>
      <c r="L14" s="141"/>
      <c r="M14" s="141">
        <f t="shared" si="4"/>
        <v>0</v>
      </c>
    </row>
    <row r="15" spans="1:14" x14ac:dyDescent="0.25">
      <c r="A15" s="139" t="s">
        <v>182</v>
      </c>
      <c r="B15" s="56">
        <v>587712.40599999996</v>
      </c>
      <c r="C15" s="56">
        <v>-2239.249073</v>
      </c>
      <c r="D15" s="56">
        <v>6.0669492199999997</v>
      </c>
      <c r="E15" s="56">
        <v>-6.1396854999999997E-4</v>
      </c>
      <c r="F15" s="57">
        <v>1.4918066790000001E-7</v>
      </c>
      <c r="G15" s="57">
        <v>-1.9231054850000001E-11</v>
      </c>
      <c r="H15" s="57">
        <v>1.0619543859999999E-15</v>
      </c>
      <c r="I15" s="141">
        <f>(B15* $B$1^ -2 +C15*$B$1^ -1 +D15+E15* $B$1+F15* $B$1^ 2 +G15* $B$1^ 3 +H15* $B$1^ 4) * 8.314</f>
        <v>30.450848015783585</v>
      </c>
      <c r="J15" s="141">
        <v>28</v>
      </c>
      <c r="K15" s="141">
        <f t="shared" si="3"/>
        <v>1087.5302862779852</v>
      </c>
      <c r="L15" s="141">
        <f>US!F34</f>
        <v>0.72606273073438488</v>
      </c>
      <c r="M15" s="141">
        <f t="shared" si="4"/>
        <v>789.6152094113412</v>
      </c>
    </row>
    <row r="16" spans="1:14" x14ac:dyDescent="0.25">
      <c r="M16" s="66">
        <f>SUM(M10:M15)</f>
        <v>1180.9664054886937</v>
      </c>
      <c r="N16" s="67" t="s">
        <v>188</v>
      </c>
    </row>
    <row r="18" spans="1:14" x14ac:dyDescent="0.25">
      <c r="M18" s="66">
        <f>IF(B1&lt;=1000,M8,M16)</f>
        <v>1141.241882671985</v>
      </c>
      <c r="N18" s="67" t="s">
        <v>227</v>
      </c>
    </row>
    <row r="20" spans="1:14" x14ac:dyDescent="0.25">
      <c r="A20" s="138" t="s">
        <v>196</v>
      </c>
      <c r="B20" s="138">
        <v>288.7</v>
      </c>
      <c r="C20" s="59" t="s">
        <v>190</v>
      </c>
      <c r="I20" s="142" t="s">
        <v>183</v>
      </c>
      <c r="J20" s="142" t="s">
        <v>184</v>
      </c>
      <c r="K20" s="142" t="s">
        <v>185</v>
      </c>
      <c r="L20" s="142" t="s">
        <v>186</v>
      </c>
      <c r="M20" s="142" t="s">
        <v>191</v>
      </c>
    </row>
    <row r="21" spans="1:14" x14ac:dyDescent="0.25">
      <c r="A21" s="139" t="s">
        <v>171</v>
      </c>
      <c r="B21" s="56">
        <v>49436.505400000002</v>
      </c>
      <c r="C21" s="56">
        <v>-626.41160100000002</v>
      </c>
      <c r="D21" s="56">
        <v>5.3017252399999997</v>
      </c>
      <c r="E21" s="56">
        <v>2.5038138159999999E-3</v>
      </c>
      <c r="F21" s="57">
        <v>-2.127308728E-7</v>
      </c>
      <c r="G21" s="57">
        <v>-7.6899887800000002E-10</v>
      </c>
      <c r="H21" s="57">
        <v>2.8496778010000001E-13</v>
      </c>
      <c r="I21" s="141">
        <f t="shared" ref="I21:I26" si="6">(B21* $B$20^ -2 +C21*$B$20^ -1 +D21+E21* $B$20+F21* $B$20^ 2 +G21* $B$20^ 3 +H21* $B$20^ 4) * 8.314</f>
        <v>36.6954236836809</v>
      </c>
      <c r="J21" s="141">
        <v>44</v>
      </c>
      <c r="K21" s="141">
        <f>I21*1000/J21</f>
        <v>833.98690190183868</v>
      </c>
      <c r="L21" s="141">
        <f>US!F33</f>
        <v>0.12027221457488947</v>
      </c>
      <c r="M21" s="141">
        <f t="shared" ref="M21:M26" si="7">L21*K21</f>
        <v>100.30545161818524</v>
      </c>
    </row>
    <row r="22" spans="1:14" x14ac:dyDescent="0.25">
      <c r="A22" s="139" t="s">
        <v>173</v>
      </c>
      <c r="B22" s="56">
        <v>-53108.421399999999</v>
      </c>
      <c r="C22" s="56">
        <v>909.03116699999998</v>
      </c>
      <c r="D22" s="56">
        <v>-2.3568912439999998</v>
      </c>
      <c r="E22" s="56">
        <v>2.204449885E-2</v>
      </c>
      <c r="F22" s="56">
        <v>-2.510781471E-5</v>
      </c>
      <c r="G22" s="57">
        <v>1.4463004839999999E-8</v>
      </c>
      <c r="H22" s="57">
        <v>-3.36907094E-12</v>
      </c>
      <c r="I22" s="141">
        <f t="shared" si="6"/>
        <v>39.498171159263791</v>
      </c>
      <c r="J22" s="141">
        <v>64</v>
      </c>
      <c r="K22" s="141">
        <f t="shared" ref="K22:K26" si="8">I22*1000/J22</f>
        <v>617.15892436349668</v>
      </c>
      <c r="L22" s="141">
        <f>US!F37</f>
        <v>1.9786436192112413E-3</v>
      </c>
      <c r="M22" s="141">
        <f t="shared" si="7"/>
        <v>1.2211375677311058</v>
      </c>
    </row>
    <row r="23" spans="1:14" x14ac:dyDescent="0.25">
      <c r="A23" s="139" t="s">
        <v>175</v>
      </c>
      <c r="B23" s="56">
        <v>-34255.6342</v>
      </c>
      <c r="C23" s="56">
        <v>484.70009700000003</v>
      </c>
      <c r="D23" s="56">
        <v>1.1190109610000001</v>
      </c>
      <c r="E23" s="56">
        <v>4.2938892400000003E-3</v>
      </c>
      <c r="F23" s="56">
        <v>-6.8363005199999996E-7</v>
      </c>
      <c r="G23" s="57">
        <v>-2.0233726999999998E-9</v>
      </c>
      <c r="H23" s="57">
        <v>1.039040018E-12</v>
      </c>
      <c r="I23" s="141">
        <f t="shared" si="6"/>
        <v>29.332768479526493</v>
      </c>
      <c r="J23" s="141">
        <v>32</v>
      </c>
      <c r="K23" s="141">
        <f t="shared" si="8"/>
        <v>916.64901498520294</v>
      </c>
      <c r="L23" s="141">
        <f>US!F35</f>
        <v>4.8203308744524165E-2</v>
      </c>
      <c r="M23" s="141">
        <f t="shared" si="7"/>
        <v>44.185515479695695</v>
      </c>
    </row>
    <row r="24" spans="1:14" x14ac:dyDescent="0.25">
      <c r="A24" s="139" t="s">
        <v>177</v>
      </c>
      <c r="B24" s="56">
        <v>-39479.6083</v>
      </c>
      <c r="C24" s="56">
        <v>575.57310199999995</v>
      </c>
      <c r="D24" s="56">
        <v>0.93178265299999996</v>
      </c>
      <c r="E24" s="56">
        <v>7.2227128600000001E-3</v>
      </c>
      <c r="F24" s="56">
        <v>-7.34255737E-6</v>
      </c>
      <c r="G24" s="57">
        <v>4.9550434900000003E-9</v>
      </c>
      <c r="H24" s="57">
        <v>-1.336933246E-12</v>
      </c>
      <c r="I24" s="141">
        <f t="shared" si="6"/>
        <v>33.546458880300705</v>
      </c>
      <c r="J24" s="141">
        <v>18</v>
      </c>
      <c r="K24" s="141">
        <f t="shared" si="8"/>
        <v>1863.6921600167059</v>
      </c>
      <c r="L24" s="141">
        <f>US!F36</f>
        <v>0.10348310232699023</v>
      </c>
      <c r="M24" s="141">
        <f t="shared" si="7"/>
        <v>192.86064650101824</v>
      </c>
    </row>
    <row r="25" spans="1:14" x14ac:dyDescent="0.25">
      <c r="A25" s="139" t="s">
        <v>179</v>
      </c>
      <c r="B25" s="56">
        <v>0</v>
      </c>
      <c r="C25" s="56">
        <v>0</v>
      </c>
      <c r="D25" s="56">
        <v>2.5</v>
      </c>
      <c r="E25" s="56">
        <v>0</v>
      </c>
      <c r="F25" s="56">
        <v>0</v>
      </c>
      <c r="G25" s="56">
        <v>0</v>
      </c>
      <c r="H25" s="56">
        <v>0</v>
      </c>
      <c r="I25" s="141">
        <f t="shared" si="6"/>
        <v>20.785</v>
      </c>
      <c r="J25" s="141">
        <v>40</v>
      </c>
      <c r="K25" s="141">
        <f t="shared" si="8"/>
        <v>519.625</v>
      </c>
      <c r="L25" s="141"/>
      <c r="M25" s="141">
        <f t="shared" si="7"/>
        <v>0</v>
      </c>
    </row>
    <row r="26" spans="1:14" x14ac:dyDescent="0.25">
      <c r="A26" s="139" t="s">
        <v>181</v>
      </c>
      <c r="B26" s="56">
        <v>22103.714970000001</v>
      </c>
      <c r="C26" s="56">
        <v>-381.846182</v>
      </c>
      <c r="D26" s="56">
        <v>6.0827383599999996</v>
      </c>
      <c r="E26" s="56">
        <v>-8.5309144099999998E-3</v>
      </c>
      <c r="F26" s="56">
        <v>1.384646189E-5</v>
      </c>
      <c r="G26" s="57">
        <v>-9.6257936199999997E-9</v>
      </c>
      <c r="H26" s="57">
        <v>2.5197058090000001E-12</v>
      </c>
      <c r="I26" s="141">
        <f t="shared" si="6"/>
        <v>29.11875709143025</v>
      </c>
      <c r="J26" s="141">
        <v>28</v>
      </c>
      <c r="K26" s="141">
        <f t="shared" si="8"/>
        <v>1039.9556104082233</v>
      </c>
      <c r="L26" s="141">
        <f>US!F34</f>
        <v>0.72606273073438488</v>
      </c>
      <c r="M26" s="141">
        <f t="shared" si="7"/>
        <v>755.0730103355387</v>
      </c>
    </row>
    <row r="27" spans="1:14" x14ac:dyDescent="0.25">
      <c r="M27" s="66">
        <f>SUM(M21:M26)</f>
        <v>1093.6457615021691</v>
      </c>
      <c r="N27" s="67" t="s">
        <v>189</v>
      </c>
    </row>
    <row r="29" spans="1:14" x14ac:dyDescent="0.25">
      <c r="M29" s="66">
        <f>AVERAGE(M18,M27)</f>
        <v>1117.443822087077</v>
      </c>
      <c r="N29" s="67" t="s">
        <v>203</v>
      </c>
    </row>
    <row r="30" spans="1:14" x14ac:dyDescent="0.25">
      <c r="K30" s="181" t="s">
        <v>206</v>
      </c>
      <c r="L30" s="181"/>
      <c r="M30" s="66">
        <f>M29*(B1-B20)</f>
        <v>242119.03614010051</v>
      </c>
      <c r="N30" s="67" t="s">
        <v>204</v>
      </c>
    </row>
    <row r="31" spans="1:14" x14ac:dyDescent="0.25">
      <c r="K31" s="66"/>
      <c r="L31" s="66"/>
      <c r="M31" s="66">
        <f>M30* 0.000429923</f>
        <v>104.09254237446044</v>
      </c>
      <c r="N31" s="67" t="s">
        <v>205</v>
      </c>
    </row>
    <row r="32" spans="1:14" x14ac:dyDescent="0.25">
      <c r="K32" s="181" t="s">
        <v>207</v>
      </c>
      <c r="L32" s="181"/>
      <c r="M32" s="66">
        <f>M31*US!J34</f>
        <v>2735651.2936591352</v>
      </c>
      <c r="N32" s="67" t="s">
        <v>192</v>
      </c>
    </row>
    <row r="34" spans="1:15" ht="15.75" thickBot="1" x14ac:dyDescent="0.3">
      <c r="A34" s="14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ht="19.5" thickBot="1" x14ac:dyDescent="0.3">
      <c r="A35" s="148" t="s">
        <v>194</v>
      </c>
    </row>
    <row r="36" spans="1:15" x14ac:dyDescent="0.25">
      <c r="A36" s="146" t="s">
        <v>197</v>
      </c>
      <c r="B36" s="138">
        <f>(US!D26-32)/1.8+273.15</f>
        <v>292.03888888888889</v>
      </c>
      <c r="C36" s="59"/>
      <c r="I36" s="142" t="s">
        <v>183</v>
      </c>
      <c r="J36" s="142" t="s">
        <v>184</v>
      </c>
      <c r="K36" s="142" t="s">
        <v>185</v>
      </c>
      <c r="L36" s="142" t="s">
        <v>186</v>
      </c>
      <c r="M36" s="142" t="s">
        <v>191</v>
      </c>
    </row>
    <row r="37" spans="1:15" x14ac:dyDescent="0.25">
      <c r="A37" s="139" t="s">
        <v>175</v>
      </c>
      <c r="B37" s="56">
        <v>-34255.6342</v>
      </c>
      <c r="C37" s="56">
        <v>484.70009700000003</v>
      </c>
      <c r="D37" s="56">
        <v>1.1190109610000001</v>
      </c>
      <c r="E37" s="56">
        <v>4.2938892400000003E-3</v>
      </c>
      <c r="F37" s="56">
        <v>-6.8363005199999996E-7</v>
      </c>
      <c r="G37" s="57">
        <v>-2.0233726999999998E-9</v>
      </c>
      <c r="H37" s="57">
        <v>1.039040018E-12</v>
      </c>
      <c r="I37" s="141">
        <f>(B37* $B$36^ -2 +C37*$B$36^ -1 +D37+E37* $B$36+F37* $B$36^ 2 +G37* $B$36^ 3 +H37* $B$36^ 4) * 8.314</f>
        <v>29.347661474406998</v>
      </c>
      <c r="J37" s="141">
        <v>32</v>
      </c>
      <c r="K37" s="141">
        <f t="shared" ref="K37:K38" si="9">I37*1000/J37</f>
        <v>917.11442107521873</v>
      </c>
      <c r="L37" s="141">
        <v>0.23300000000000001</v>
      </c>
      <c r="M37" s="141">
        <f>L37*K37</f>
        <v>213.68766011052597</v>
      </c>
    </row>
    <row r="38" spans="1:15" x14ac:dyDescent="0.25">
      <c r="A38" s="139" t="s">
        <v>181</v>
      </c>
      <c r="B38" s="56">
        <v>22103.714970000001</v>
      </c>
      <c r="C38" s="56">
        <v>-381.846182</v>
      </c>
      <c r="D38" s="56">
        <v>6.0827383599999996</v>
      </c>
      <c r="E38" s="56">
        <v>-8.5309144099999998E-3</v>
      </c>
      <c r="F38" s="56">
        <v>1.384646189E-5</v>
      </c>
      <c r="G38" s="57">
        <v>-9.6257936199999997E-9</v>
      </c>
      <c r="H38" s="57">
        <v>2.5197058090000001E-12</v>
      </c>
      <c r="I38" s="141">
        <f>(B38* $B$36^ -2 +C38*$B$36^ -1 +D38+E38* $B$36+F38* $B$36^ 2 +G38* $B$36^ 3 +H38* $B$36^ 4) * 8.314</f>
        <v>29.120017341920374</v>
      </c>
      <c r="J38" s="141">
        <v>28</v>
      </c>
      <c r="K38" s="141">
        <f t="shared" si="9"/>
        <v>1040.000619354299</v>
      </c>
      <c r="L38" s="141">
        <v>0.76700000000000002</v>
      </c>
      <c r="M38" s="141">
        <f>L38*K38</f>
        <v>797.68047504474737</v>
      </c>
    </row>
    <row r="39" spans="1:15" x14ac:dyDescent="0.25">
      <c r="M39" s="66">
        <f>SUM(M37:M38)</f>
        <v>1011.3681351552733</v>
      </c>
      <c r="N39" s="67" t="s">
        <v>202</v>
      </c>
    </row>
    <row r="40" spans="1:15" x14ac:dyDescent="0.25">
      <c r="M40" s="66"/>
      <c r="N40" s="67"/>
    </row>
    <row r="41" spans="1:15" x14ac:dyDescent="0.25">
      <c r="N41" s="67"/>
    </row>
    <row r="42" spans="1:15" x14ac:dyDescent="0.25">
      <c r="A42" s="138" t="s">
        <v>196</v>
      </c>
      <c r="B42" s="138">
        <v>288.7</v>
      </c>
      <c r="C42" s="59" t="s">
        <v>190</v>
      </c>
      <c r="I42" s="142" t="s">
        <v>183</v>
      </c>
      <c r="J42" s="142" t="s">
        <v>184</v>
      </c>
      <c r="K42" s="142" t="s">
        <v>185</v>
      </c>
      <c r="L42" s="142" t="s">
        <v>186</v>
      </c>
      <c r="M42" s="142" t="s">
        <v>191</v>
      </c>
    </row>
    <row r="43" spans="1:15" x14ac:dyDescent="0.25">
      <c r="A43" s="139" t="s">
        <v>175</v>
      </c>
      <c r="B43" s="56">
        <v>-34255.6342</v>
      </c>
      <c r="C43" s="56">
        <v>484.70009700000003</v>
      </c>
      <c r="D43" s="56">
        <v>1.1190109610000001</v>
      </c>
      <c r="E43" s="56">
        <v>4.2938892400000003E-3</v>
      </c>
      <c r="F43" s="56">
        <v>-6.8363005199999996E-7</v>
      </c>
      <c r="G43" s="57">
        <v>-2.0233726999999998E-9</v>
      </c>
      <c r="H43" s="57">
        <v>1.039040018E-12</v>
      </c>
      <c r="I43" s="141">
        <f>(B43* $B$42^ -2 +C43*$B$42^ -1 +D43+E43* $B$42+F43* $B$42^ 2 +G43* $B$42^ 3 +H43* $B$42^ 4) * 8.314</f>
        <v>29.332768479526493</v>
      </c>
      <c r="J43" s="141">
        <v>32</v>
      </c>
      <c r="K43" s="141">
        <f t="shared" ref="K43:K44" si="10">I43*1000/J43</f>
        <v>916.64901498520294</v>
      </c>
      <c r="L43" s="141">
        <v>0.23300000000000001</v>
      </c>
      <c r="M43" s="141">
        <f>L43*K43</f>
        <v>213.57922049155229</v>
      </c>
    </row>
    <row r="44" spans="1:15" x14ac:dyDescent="0.25">
      <c r="A44" s="139" t="s">
        <v>181</v>
      </c>
      <c r="B44" s="56">
        <v>22103.714970000001</v>
      </c>
      <c r="C44" s="56">
        <v>-381.846182</v>
      </c>
      <c r="D44" s="56">
        <v>6.0827383599999996</v>
      </c>
      <c r="E44" s="56">
        <v>-8.5309144099999998E-3</v>
      </c>
      <c r="F44" s="56">
        <v>1.384646189E-5</v>
      </c>
      <c r="G44" s="57">
        <v>-9.6257936199999997E-9</v>
      </c>
      <c r="H44" s="57">
        <v>2.5197058090000001E-12</v>
      </c>
      <c r="I44" s="141">
        <f>(B44* $B$42^ -2 +C44*$B$42^ -1 +D44+E44* $B$42+F44* $B$42^ 2 +G44* $B$42^ 3 +H44* $B$42^ 4) * 8.314</f>
        <v>29.11875709143025</v>
      </c>
      <c r="J44" s="141">
        <v>28</v>
      </c>
      <c r="K44" s="141">
        <f t="shared" si="10"/>
        <v>1039.9556104082233</v>
      </c>
      <c r="L44" s="141">
        <v>0.76700000000000002</v>
      </c>
      <c r="M44" s="141">
        <f>L44*K44</f>
        <v>797.64595318310728</v>
      </c>
    </row>
    <row r="45" spans="1:15" x14ac:dyDescent="0.25">
      <c r="M45" s="66">
        <f>SUM(M43:M44)</f>
        <v>1011.2251736746596</v>
      </c>
      <c r="N45" s="67" t="s">
        <v>189</v>
      </c>
    </row>
    <row r="46" spans="1:15" x14ac:dyDescent="0.25">
      <c r="M46" s="66">
        <f>AVERAGE(M39,M45)</f>
        <v>1011.2966544149665</v>
      </c>
      <c r="N46" s="67" t="s">
        <v>208</v>
      </c>
    </row>
    <row r="47" spans="1:15" x14ac:dyDescent="0.25">
      <c r="K47" s="181" t="s">
        <v>206</v>
      </c>
      <c r="L47" s="181"/>
      <c r="M47" s="66">
        <f>M46*(B36-B42)</f>
        <v>3376.6071627966521</v>
      </c>
      <c r="N47" s="67" t="s">
        <v>209</v>
      </c>
    </row>
    <row r="48" spans="1:15" x14ac:dyDescent="0.25">
      <c r="K48" s="143"/>
      <c r="L48" s="143"/>
      <c r="M48" s="66">
        <f>M47* 0.000429923</f>
        <v>1.4516810812510252</v>
      </c>
      <c r="N48" s="67" t="s">
        <v>210</v>
      </c>
    </row>
    <row r="49" spans="1:15" x14ac:dyDescent="0.25">
      <c r="K49" s="181" t="s">
        <v>211</v>
      </c>
      <c r="L49" s="181"/>
      <c r="M49" s="66">
        <f>US!J35*'Flue Gas, Air Enth (US)'!M48</f>
        <v>36409.546083654437</v>
      </c>
      <c r="N49" s="67" t="s">
        <v>192</v>
      </c>
    </row>
    <row r="51" spans="1:1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</sheetData>
  <mergeCells count="4">
    <mergeCell ref="K30:L30"/>
    <mergeCell ref="K32:L32"/>
    <mergeCell ref="K47:L47"/>
    <mergeCell ref="K49:L4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39"/>
  <sheetViews>
    <sheetView topLeftCell="C25" workbookViewId="0">
      <selection activeCell="C18" sqref="C18:D18"/>
    </sheetView>
  </sheetViews>
  <sheetFormatPr defaultColWidth="9" defaultRowHeight="15" x14ac:dyDescent="0.25"/>
  <cols>
    <col min="1" max="1" width="30.42578125" style="1" bestFit="1" customWidth="1"/>
    <col min="2" max="2" width="14.140625" style="1" customWidth="1"/>
    <col min="3" max="3" width="4.140625" style="1" customWidth="1"/>
    <col min="4" max="4" width="16.42578125" style="1" customWidth="1"/>
    <col min="5" max="5" width="17.42578125" style="1" customWidth="1"/>
    <col min="6" max="6" width="16.7109375" style="1" customWidth="1"/>
    <col min="7" max="9" width="12.42578125" style="1" customWidth="1"/>
    <col min="10" max="11" width="13.42578125" style="1" customWidth="1"/>
    <col min="12" max="12" width="14" style="1" customWidth="1"/>
    <col min="13" max="13" width="16" style="1" customWidth="1"/>
    <col min="14" max="16384" width="9" style="1"/>
  </cols>
  <sheetData>
    <row r="1" spans="1:16" s="3" customFormat="1" ht="24" customHeight="1" x14ac:dyDescent="0.25">
      <c r="A1" s="149" t="s">
        <v>199</v>
      </c>
      <c r="B1" s="55">
        <f>(US!K26-32)/1.8+273.15</f>
        <v>322.03888888888889</v>
      </c>
      <c r="C1" s="1"/>
      <c r="G1" s="3" t="s">
        <v>198</v>
      </c>
      <c r="H1" s="183" t="s">
        <v>96</v>
      </c>
      <c r="I1" s="183"/>
      <c r="J1" s="183"/>
      <c r="K1" s="183"/>
      <c r="L1" s="183"/>
      <c r="M1" s="183"/>
      <c r="N1" s="183"/>
      <c r="O1" s="183"/>
      <c r="P1" s="183"/>
    </row>
    <row r="2" spans="1:16" ht="18" x14ac:dyDescent="0.25">
      <c r="A2" s="10" t="s">
        <v>97</v>
      </c>
      <c r="B2" s="10" t="s">
        <v>98</v>
      </c>
      <c r="C2" s="184" t="s">
        <v>99</v>
      </c>
      <c r="D2" s="184"/>
      <c r="E2" s="10" t="s">
        <v>100</v>
      </c>
      <c r="F2" s="10" t="s">
        <v>47</v>
      </c>
      <c r="G2" s="10" t="s">
        <v>101</v>
      </c>
      <c r="H2" s="10" t="s">
        <v>103</v>
      </c>
      <c r="I2" s="10" t="s">
        <v>102</v>
      </c>
      <c r="J2" s="10" t="s">
        <v>104</v>
      </c>
      <c r="K2" s="10" t="s">
        <v>105</v>
      </c>
      <c r="L2" s="10" t="s">
        <v>48</v>
      </c>
      <c r="M2" s="10" t="s">
        <v>201</v>
      </c>
    </row>
    <row r="3" spans="1:16" x14ac:dyDescent="0.25">
      <c r="A3" s="54">
        <v>20733</v>
      </c>
      <c r="B3" s="54">
        <v>3680</v>
      </c>
      <c r="C3" s="182">
        <v>6582</v>
      </c>
      <c r="D3" s="182"/>
      <c r="E3" s="54">
        <v>230</v>
      </c>
      <c r="F3" s="54">
        <v>450</v>
      </c>
      <c r="G3" s="47" t="s">
        <v>22</v>
      </c>
      <c r="H3" s="48">
        <f>(A3+B3*((C3/B$1)/SINH(C3/B$1)^2)+E3*((F3/B$1)/COSH(F3/B$1)^2))</f>
        <v>20802.796220080894</v>
      </c>
      <c r="I3" s="20">
        <v>12.01</v>
      </c>
      <c r="J3" s="55">
        <f>H3/I3</f>
        <v>1732.1229159101495</v>
      </c>
      <c r="K3" s="55">
        <f>J3*0.000238846</f>
        <v>0.41371062997347557</v>
      </c>
      <c r="L3" s="55">
        <f>'Combustion Details(US)'!D3/'Combustion Details(US)'!D$37</f>
        <v>0</v>
      </c>
      <c r="M3" s="55">
        <f>L3*K3</f>
        <v>0</v>
      </c>
    </row>
    <row r="4" spans="1:16" x14ac:dyDescent="0.25">
      <c r="A4" s="54">
        <v>27617</v>
      </c>
      <c r="B4" s="54">
        <v>9560</v>
      </c>
      <c r="C4" s="182">
        <v>2466</v>
      </c>
      <c r="D4" s="182"/>
      <c r="E4" s="54">
        <v>3760</v>
      </c>
      <c r="F4" s="54">
        <v>568</v>
      </c>
      <c r="G4" s="47" t="s">
        <v>23</v>
      </c>
      <c r="H4" s="48">
        <f t="shared" ref="H4:H35" si="0">(A4+B4*((C4/B$1)/SINH(C4/B$1)^2)+E4*((F4/B$1)/COSH(F4/B$1)^2))</f>
        <v>28352.517035209865</v>
      </c>
      <c r="I4" s="20">
        <v>2.016</v>
      </c>
      <c r="J4" s="55">
        <f t="shared" ref="J4:J35" si="1">H4/I4</f>
        <v>14063.748529369972</v>
      </c>
      <c r="K4" s="55">
        <f t="shared" ref="K4:K35" si="2">J4*0.000238846</f>
        <v>3.3590700812459002</v>
      </c>
      <c r="L4" s="55">
        <f>'Combustion Details(US)'!D4/'Combustion Details(US)'!D$37</f>
        <v>9.7730186872568067E-3</v>
      </c>
      <c r="M4" s="55">
        <f t="shared" ref="M4:M17" si="3">L4*K4</f>
        <v>3.2828254675821421E-2</v>
      </c>
    </row>
    <row r="5" spans="1:16" x14ac:dyDescent="0.25">
      <c r="A5" s="54">
        <v>29103</v>
      </c>
      <c r="B5" s="54">
        <v>10040</v>
      </c>
      <c r="C5" s="182">
        <v>2526</v>
      </c>
      <c r="D5" s="182"/>
      <c r="E5" s="54">
        <v>9356</v>
      </c>
      <c r="F5" s="54">
        <v>1154</v>
      </c>
      <c r="G5" s="47" t="s">
        <v>24</v>
      </c>
      <c r="H5" s="48">
        <f t="shared" si="0"/>
        <v>29206.386474553863</v>
      </c>
      <c r="I5" s="20">
        <v>32</v>
      </c>
      <c r="J5" s="55">
        <f t="shared" si="1"/>
        <v>912.69957732980822</v>
      </c>
      <c r="K5" s="55">
        <f t="shared" si="2"/>
        <v>0.21799464324691536</v>
      </c>
      <c r="L5" s="55">
        <f>'Combustion Details(US)'!D5/'Combustion Details(US)'!D$37</f>
        <v>0</v>
      </c>
      <c r="M5" s="55">
        <f t="shared" si="3"/>
        <v>0</v>
      </c>
    </row>
    <row r="6" spans="1:16" x14ac:dyDescent="0.25">
      <c r="A6" s="54">
        <v>29105</v>
      </c>
      <c r="B6" s="54">
        <v>8615</v>
      </c>
      <c r="C6" s="182">
        <v>1702</v>
      </c>
      <c r="D6" s="182"/>
      <c r="E6" s="54">
        <v>103</v>
      </c>
      <c r="F6" s="54">
        <v>910</v>
      </c>
      <c r="G6" s="47" t="s">
        <v>25</v>
      </c>
      <c r="H6" s="48">
        <f t="shared" si="0"/>
        <v>29113.735965040214</v>
      </c>
      <c r="I6" s="20">
        <v>28.015999999999998</v>
      </c>
      <c r="J6" s="55">
        <f t="shared" si="1"/>
        <v>1039.1824659137712</v>
      </c>
      <c r="K6" s="55">
        <f t="shared" si="2"/>
        <v>0.24820457525364059</v>
      </c>
      <c r="L6" s="55">
        <f>'Combustion Details(US)'!D6/'Combustion Details(US)'!D$37</f>
        <v>1.8950781529774832E-2</v>
      </c>
      <c r="M6" s="55">
        <f t="shared" si="3"/>
        <v>4.7036706803222994E-3</v>
      </c>
    </row>
    <row r="7" spans="1:16" x14ac:dyDescent="0.25">
      <c r="A7" s="54">
        <v>29108</v>
      </c>
      <c r="B7" s="54">
        <v>8773</v>
      </c>
      <c r="C7" s="182">
        <v>3085</v>
      </c>
      <c r="D7" s="182"/>
      <c r="E7" s="54">
        <v>8455</v>
      </c>
      <c r="F7" s="54">
        <v>1538</v>
      </c>
      <c r="G7" s="47" t="s">
        <v>26</v>
      </c>
      <c r="H7" s="48">
        <f t="shared" si="0"/>
        <v>29119.481416382045</v>
      </c>
      <c r="I7" s="20">
        <v>28.01</v>
      </c>
      <c r="J7" s="55">
        <f t="shared" si="1"/>
        <v>1039.6101898030004</v>
      </c>
      <c r="K7" s="55">
        <f t="shared" si="2"/>
        <v>0.24830673539368742</v>
      </c>
      <c r="L7" s="55">
        <f>'Combustion Details(US)'!D7/'Combustion Details(US)'!D$37</f>
        <v>0</v>
      </c>
      <c r="M7" s="55">
        <f t="shared" si="3"/>
        <v>0</v>
      </c>
    </row>
    <row r="8" spans="1:16" x14ac:dyDescent="0.25">
      <c r="A8" s="54">
        <v>29370</v>
      </c>
      <c r="B8" s="54">
        <v>34540</v>
      </c>
      <c r="C8" s="182">
        <v>1428</v>
      </c>
      <c r="D8" s="182"/>
      <c r="E8" s="54">
        <v>26400</v>
      </c>
      <c r="F8" s="54">
        <v>588</v>
      </c>
      <c r="G8" s="47" t="s">
        <v>57</v>
      </c>
      <c r="H8" s="48">
        <f t="shared" si="0"/>
        <v>34209.130184754562</v>
      </c>
      <c r="I8" s="20">
        <v>44.01</v>
      </c>
      <c r="J8" s="55">
        <f t="shared" si="1"/>
        <v>777.3035715690653</v>
      </c>
      <c r="K8" s="55">
        <f t="shared" si="2"/>
        <v>0.18565584885498496</v>
      </c>
      <c r="L8" s="55">
        <f>'Combustion Details(US)'!D8/'Combustion Details(US)'!D$37</f>
        <v>6.2019909391463086E-3</v>
      </c>
      <c r="M8" s="55">
        <f t="shared" si="3"/>
        <v>1.1514358923981332E-3</v>
      </c>
    </row>
    <row r="9" spans="1:16" x14ac:dyDescent="0.25">
      <c r="A9" s="54">
        <v>33298</v>
      </c>
      <c r="B9" s="54">
        <v>79933</v>
      </c>
      <c r="C9" s="182">
        <v>2087</v>
      </c>
      <c r="D9" s="182"/>
      <c r="E9" s="54">
        <v>41602</v>
      </c>
      <c r="F9" s="54">
        <v>992</v>
      </c>
      <c r="G9" s="47" t="s">
        <v>58</v>
      </c>
      <c r="H9" s="48">
        <f t="shared" si="0"/>
        <v>34380.246505705654</v>
      </c>
      <c r="I9" s="20">
        <v>16.041</v>
      </c>
      <c r="J9" s="55">
        <f t="shared" si="1"/>
        <v>2143.2732688551619</v>
      </c>
      <c r="K9" s="55">
        <f t="shared" si="2"/>
        <v>0.51191224717298001</v>
      </c>
      <c r="L9" s="55">
        <f>'Combustion Details(US)'!D9/'Combustion Details(US)'!D$37</f>
        <v>0.70420180165229729</v>
      </c>
      <c r="M9" s="55">
        <f t="shared" si="3"/>
        <v>0.36048952674708867</v>
      </c>
    </row>
    <row r="10" spans="1:16" x14ac:dyDescent="0.25">
      <c r="A10" s="54">
        <v>40326</v>
      </c>
      <c r="B10" s="54">
        <v>134220</v>
      </c>
      <c r="C10" s="182">
        <v>1656</v>
      </c>
      <c r="D10" s="182"/>
      <c r="E10" s="54">
        <v>73223</v>
      </c>
      <c r="F10" s="54">
        <v>753</v>
      </c>
      <c r="G10" s="47" t="s">
        <v>59</v>
      </c>
      <c r="H10" s="48">
        <f t="shared" si="0"/>
        <v>46680.469352119871</v>
      </c>
      <c r="I10" s="20">
        <v>30.067</v>
      </c>
      <c r="J10" s="55">
        <f t="shared" si="1"/>
        <v>1552.5482872291839</v>
      </c>
      <c r="K10" s="55">
        <f t="shared" si="2"/>
        <v>0.37081994821154163</v>
      </c>
      <c r="L10" s="55">
        <f>'Combustion Details(US)'!D10/'Combustion Details(US)'!D$37</f>
        <v>9.4911289686611902E-2</v>
      </c>
      <c r="M10" s="55">
        <f t="shared" si="3"/>
        <v>3.5194999526280052E-2</v>
      </c>
    </row>
    <row r="11" spans="1:16" x14ac:dyDescent="0.25">
      <c r="A11" s="54">
        <v>33380</v>
      </c>
      <c r="B11" s="54">
        <v>94790</v>
      </c>
      <c r="C11" s="182">
        <v>1596</v>
      </c>
      <c r="D11" s="182"/>
      <c r="E11" s="54">
        <v>55100</v>
      </c>
      <c r="F11" s="54">
        <v>741</v>
      </c>
      <c r="G11" s="47" t="s">
        <v>27</v>
      </c>
      <c r="H11" s="48">
        <f t="shared" si="0"/>
        <v>38460.402126767382</v>
      </c>
      <c r="I11" s="20">
        <v>28.050999999999998</v>
      </c>
      <c r="J11" s="55">
        <f t="shared" si="1"/>
        <v>1371.0884505638794</v>
      </c>
      <c r="K11" s="55">
        <f t="shared" si="2"/>
        <v>0.32747899206338033</v>
      </c>
      <c r="L11" s="55">
        <f>'Combustion Details(US)'!D11/'Combustion Details(US)'!D$37</f>
        <v>3.162409413024187E-3</v>
      </c>
      <c r="M11" s="55">
        <f t="shared" si="3"/>
        <v>1.0356226470689071E-3</v>
      </c>
    </row>
    <row r="12" spans="1:16" x14ac:dyDescent="0.25">
      <c r="A12" s="54">
        <v>31990</v>
      </c>
      <c r="B12" s="54">
        <v>54240</v>
      </c>
      <c r="C12" s="182">
        <v>1594</v>
      </c>
      <c r="D12" s="182"/>
      <c r="E12" s="54">
        <v>43250</v>
      </c>
      <c r="F12" s="54">
        <v>607</v>
      </c>
      <c r="G12" s="47" t="s">
        <v>28</v>
      </c>
      <c r="H12" s="48">
        <f t="shared" si="0"/>
        <v>39227.687206496492</v>
      </c>
      <c r="I12" s="20">
        <v>26.036000000000001</v>
      </c>
      <c r="J12" s="55">
        <f t="shared" si="1"/>
        <v>1506.6710403478448</v>
      </c>
      <c r="K12" s="55">
        <f t="shared" si="2"/>
        <v>0.35986235130292132</v>
      </c>
      <c r="L12" s="55">
        <f>'Combustion Details(US)'!D12/'Combustion Details(US)'!D$37</f>
        <v>2.9352426465187602E-4</v>
      </c>
      <c r="M12" s="55">
        <f t="shared" si="3"/>
        <v>1.0562833204208506E-4</v>
      </c>
    </row>
    <row r="13" spans="1:16" x14ac:dyDescent="0.25">
      <c r="A13" s="54">
        <v>51920</v>
      </c>
      <c r="B13" s="54">
        <v>192450</v>
      </c>
      <c r="C13" s="182">
        <v>1626</v>
      </c>
      <c r="D13" s="182"/>
      <c r="E13" s="54">
        <v>116800</v>
      </c>
      <c r="F13" s="54">
        <v>724</v>
      </c>
      <c r="G13" s="47" t="s">
        <v>60</v>
      </c>
      <c r="H13" s="48">
        <f t="shared" si="0"/>
        <v>63534.09276920159</v>
      </c>
      <c r="I13" s="20">
        <v>44.091999999999999</v>
      </c>
      <c r="J13" s="55">
        <f t="shared" si="1"/>
        <v>1440.9437714143517</v>
      </c>
      <c r="K13" s="55">
        <f t="shared" si="2"/>
        <v>0.34416365602723226</v>
      </c>
      <c r="L13" s="55">
        <f>'Combustion Details(US)'!D13/'Combustion Details(US)'!D$37</f>
        <v>7.9533396079462387E-2</v>
      </c>
      <c r="M13" s="55">
        <f t="shared" si="3"/>
        <v>2.7372504370969716E-2</v>
      </c>
    </row>
    <row r="14" spans="1:16" ht="17.25" customHeight="1" x14ac:dyDescent="0.25">
      <c r="A14" s="54">
        <v>43390</v>
      </c>
      <c r="B14" s="54">
        <v>152000</v>
      </c>
      <c r="C14" s="182">
        <v>1425</v>
      </c>
      <c r="D14" s="182"/>
      <c r="E14" s="54">
        <v>78600</v>
      </c>
      <c r="F14" s="54">
        <v>624</v>
      </c>
      <c r="G14" s="47" t="s">
        <v>29</v>
      </c>
      <c r="H14" s="48">
        <f t="shared" si="0"/>
        <v>55906.915813425956</v>
      </c>
      <c r="I14" s="20">
        <v>42.076999999999998</v>
      </c>
      <c r="J14" s="55">
        <f t="shared" si="1"/>
        <v>1328.6811277758861</v>
      </c>
      <c r="K14" s="55">
        <f t="shared" si="2"/>
        <v>0.31735017264475929</v>
      </c>
      <c r="L14" s="55">
        <f>'Combustion Details(US)'!D14/'Combustion Details(US)'!D$37</f>
        <v>0</v>
      </c>
      <c r="M14" s="55">
        <f t="shared" si="3"/>
        <v>0</v>
      </c>
    </row>
    <row r="15" spans="1:16" ht="17.25" customHeight="1" x14ac:dyDescent="0.25">
      <c r="A15" s="54">
        <v>71340</v>
      </c>
      <c r="B15" s="54">
        <v>243000</v>
      </c>
      <c r="C15" s="182">
        <v>1630</v>
      </c>
      <c r="D15" s="182"/>
      <c r="E15" s="54">
        <v>150330</v>
      </c>
      <c r="F15" s="54">
        <v>730</v>
      </c>
      <c r="G15" s="47" t="s">
        <v>61</v>
      </c>
      <c r="H15" s="48">
        <f t="shared" si="0"/>
        <v>85869.833740542046</v>
      </c>
      <c r="I15" s="20">
        <v>58.118000000000002</v>
      </c>
      <c r="J15" s="55">
        <f t="shared" si="1"/>
        <v>1477.5084094521842</v>
      </c>
      <c r="K15" s="55">
        <f t="shared" si="2"/>
        <v>0.35289697356401639</v>
      </c>
      <c r="L15" s="55">
        <f>'Combustion Details(US)'!D15/'Combustion Details(US)'!D$37</f>
        <v>2.6208393321612736E-2</v>
      </c>
      <c r="M15" s="55">
        <f t="shared" si="3"/>
        <v>9.2488626851725143E-3</v>
      </c>
    </row>
    <row r="16" spans="1:16" ht="17.25" customHeight="1" x14ac:dyDescent="0.25">
      <c r="A16" s="54">
        <v>65490</v>
      </c>
      <c r="B16" s="54">
        <v>247760</v>
      </c>
      <c r="C16" s="182">
        <v>1587</v>
      </c>
      <c r="D16" s="182"/>
      <c r="E16" s="54">
        <v>157500</v>
      </c>
      <c r="F16" s="54">
        <v>-707</v>
      </c>
      <c r="G16" s="47" t="s">
        <v>62</v>
      </c>
      <c r="H16" s="48">
        <f t="shared" si="0"/>
        <v>49024.960167285972</v>
      </c>
      <c r="I16" s="20">
        <v>58.118000000000002</v>
      </c>
      <c r="J16" s="55">
        <f t="shared" si="1"/>
        <v>843.5417627462399</v>
      </c>
      <c r="K16" s="55">
        <f t="shared" si="2"/>
        <v>0.2014765758648884</v>
      </c>
      <c r="L16" s="55">
        <f>'Combustion Details(US)'!D16/'Combustion Details(US)'!D$37</f>
        <v>0</v>
      </c>
      <c r="M16" s="55">
        <f t="shared" si="3"/>
        <v>0</v>
      </c>
    </row>
    <row r="17" spans="1:13" ht="17.25" customHeight="1" x14ac:dyDescent="0.25">
      <c r="A17" s="54">
        <v>61250</v>
      </c>
      <c r="B17" s="54">
        <v>206600</v>
      </c>
      <c r="C17" s="182">
        <v>1545</v>
      </c>
      <c r="D17" s="182"/>
      <c r="E17" s="54">
        <v>120570</v>
      </c>
      <c r="F17" s="54">
        <v>676</v>
      </c>
      <c r="G17" s="47" t="s">
        <v>30</v>
      </c>
      <c r="H17" s="48">
        <f t="shared" si="0"/>
        <v>76280.670643947233</v>
      </c>
      <c r="I17" s="20">
        <v>56.101999999999997</v>
      </c>
      <c r="J17" s="55">
        <f t="shared" si="1"/>
        <v>1359.6782760676488</v>
      </c>
      <c r="K17" s="55">
        <f t="shared" si="2"/>
        <v>0.32475371752565363</v>
      </c>
      <c r="L17" s="55">
        <f>'Combustion Details(US)'!D17/'Combustion Details(US)'!D$37</f>
        <v>0</v>
      </c>
      <c r="M17" s="55">
        <f t="shared" si="3"/>
        <v>0</v>
      </c>
    </row>
    <row r="18" spans="1:13" ht="17.25" customHeight="1" x14ac:dyDescent="0.25">
      <c r="A18" s="54">
        <v>61250</v>
      </c>
      <c r="B18" s="54">
        <v>206600</v>
      </c>
      <c r="C18" s="182">
        <v>1545</v>
      </c>
      <c r="D18" s="182"/>
      <c r="E18" s="54">
        <v>120570</v>
      </c>
      <c r="F18" s="54">
        <v>676</v>
      </c>
      <c r="G18" s="47" t="s">
        <v>63</v>
      </c>
      <c r="H18" s="48">
        <f t="shared" si="0"/>
        <v>76280.670643947233</v>
      </c>
      <c r="I18" s="20">
        <v>56.101999999999997</v>
      </c>
      <c r="J18" s="55">
        <f t="shared" si="1"/>
        <v>1359.6782760676488</v>
      </c>
      <c r="K18" s="55">
        <f t="shared" si="2"/>
        <v>0.32475371752565363</v>
      </c>
      <c r="L18" s="55">
        <f>'Combustion Details(US)'!D18/'Combustion Details(US)'!D$37</f>
        <v>0</v>
      </c>
      <c r="M18" s="55">
        <f t="shared" ref="M18:M35" si="4">L18*K18</f>
        <v>0</v>
      </c>
    </row>
    <row r="19" spans="1:13" ht="17.25" customHeight="1" x14ac:dyDescent="0.25">
      <c r="A19" s="54">
        <v>88050</v>
      </c>
      <c r="B19" s="54">
        <v>301100</v>
      </c>
      <c r="C19" s="182">
        <v>1650</v>
      </c>
      <c r="D19" s="182"/>
      <c r="E19" s="54">
        <v>189200</v>
      </c>
      <c r="F19" s="54">
        <v>748</v>
      </c>
      <c r="G19" s="47" t="s">
        <v>64</v>
      </c>
      <c r="H19" s="48">
        <f t="shared" si="0"/>
        <v>104834.08166803012</v>
      </c>
      <c r="I19" s="20">
        <v>72.144000000000005</v>
      </c>
      <c r="J19" s="55">
        <f t="shared" si="1"/>
        <v>1453.1226667225287</v>
      </c>
      <c r="K19" s="55">
        <f t="shared" si="2"/>
        <v>0.34707253645600911</v>
      </c>
      <c r="L19" s="55">
        <f>'Combustion Details(US)'!D19/'Combustion Details(US)'!D$37</f>
        <v>0</v>
      </c>
      <c r="M19" s="55">
        <f t="shared" si="4"/>
        <v>0</v>
      </c>
    </row>
    <row r="20" spans="1:13" ht="17.25" customHeight="1" x14ac:dyDescent="0.25">
      <c r="A20" s="54">
        <v>74600</v>
      </c>
      <c r="B20" s="54">
        <v>326500</v>
      </c>
      <c r="C20" s="182">
        <v>1545</v>
      </c>
      <c r="D20" s="182"/>
      <c r="E20" s="54">
        <v>192300</v>
      </c>
      <c r="F20" s="54">
        <v>667</v>
      </c>
      <c r="G20" s="47" t="s">
        <v>65</v>
      </c>
      <c r="H20" s="48">
        <f t="shared" si="0"/>
        <v>99548.99316952964</v>
      </c>
      <c r="I20" s="20">
        <v>72.144000000000005</v>
      </c>
      <c r="J20" s="55">
        <f t="shared" si="1"/>
        <v>1379.8651747827905</v>
      </c>
      <c r="K20" s="55">
        <f t="shared" si="2"/>
        <v>0.32957527753617039</v>
      </c>
      <c r="L20" s="55">
        <f>'Combustion Details(US)'!D20/'Combustion Details(US)'!D$37</f>
        <v>0</v>
      </c>
      <c r="M20" s="55">
        <f t="shared" si="4"/>
        <v>0</v>
      </c>
    </row>
    <row r="21" spans="1:13" ht="17.25" customHeight="1" x14ac:dyDescent="0.25">
      <c r="A21" s="54">
        <v>66200</v>
      </c>
      <c r="B21" s="54">
        <v>368700</v>
      </c>
      <c r="C21" s="182">
        <v>1555</v>
      </c>
      <c r="D21" s="182"/>
      <c r="E21" s="54">
        <v>212000</v>
      </c>
      <c r="F21" s="54">
        <v>-633</v>
      </c>
      <c r="G21" s="47" t="s">
        <v>66</v>
      </c>
      <c r="H21" s="48">
        <f t="shared" si="0"/>
        <v>35198.710696173875</v>
      </c>
      <c r="I21" s="20">
        <v>72.144000000000005</v>
      </c>
      <c r="J21" s="55">
        <f t="shared" si="1"/>
        <v>487.89519150828721</v>
      </c>
      <c r="K21" s="55">
        <f t="shared" si="2"/>
        <v>0.11653181491098837</v>
      </c>
      <c r="L21" s="55">
        <f>'Combustion Details(US)'!D21/'Combustion Details(US)'!D$37</f>
        <v>0</v>
      </c>
      <c r="M21" s="55">
        <f t="shared" si="4"/>
        <v>0</v>
      </c>
    </row>
    <row r="22" spans="1:13" ht="17.25" customHeight="1" x14ac:dyDescent="0.25">
      <c r="A22" s="54">
        <v>75950</v>
      </c>
      <c r="B22" s="54">
        <v>255250</v>
      </c>
      <c r="C22" s="182">
        <v>1582</v>
      </c>
      <c r="D22" s="182"/>
      <c r="E22" s="54">
        <v>166600</v>
      </c>
      <c r="F22" s="54">
        <v>713</v>
      </c>
      <c r="G22" s="47" t="s">
        <v>67</v>
      </c>
      <c r="H22" s="48">
        <f t="shared" si="0"/>
        <v>93421.635735456701</v>
      </c>
      <c r="I22" s="20">
        <v>70.128</v>
      </c>
      <c r="J22" s="55">
        <f t="shared" si="1"/>
        <v>1332.1588486119197</v>
      </c>
      <c r="K22" s="55">
        <f t="shared" si="2"/>
        <v>0.31818081235556256</v>
      </c>
      <c r="L22" s="55">
        <f>'Combustion Details(US)'!D22/'Combustion Details(US)'!D$37</f>
        <v>0</v>
      </c>
      <c r="M22" s="55">
        <f t="shared" si="4"/>
        <v>0</v>
      </c>
    </row>
    <row r="23" spans="1:13" ht="17.25" customHeight="1" x14ac:dyDescent="0.25">
      <c r="A23" s="54">
        <v>104400</v>
      </c>
      <c r="B23" s="54">
        <v>352300</v>
      </c>
      <c r="C23" s="182">
        <v>1695</v>
      </c>
      <c r="D23" s="182"/>
      <c r="E23" s="54">
        <v>236900</v>
      </c>
      <c r="F23" s="54">
        <v>762</v>
      </c>
      <c r="G23" s="47" t="s">
        <v>68</v>
      </c>
      <c r="H23" s="48">
        <f t="shared" si="0"/>
        <v>123999.87303081996</v>
      </c>
      <c r="I23" s="20">
        <v>86.168999999999997</v>
      </c>
      <c r="J23" s="55">
        <f t="shared" si="1"/>
        <v>1439.0311252401671</v>
      </c>
      <c r="K23" s="55">
        <f t="shared" si="2"/>
        <v>0.34370682813911296</v>
      </c>
      <c r="L23" s="55">
        <f>'Combustion Details(US)'!D23/'Combustion Details(US)'!D$37</f>
        <v>2.9143523230282114E-2</v>
      </c>
      <c r="M23" s="55">
        <f t="shared" si="4"/>
        <v>1.001682793027882E-2</v>
      </c>
    </row>
    <row r="24" spans="1:13" ht="17.25" customHeight="1" x14ac:dyDescent="0.25">
      <c r="A24" s="54">
        <v>44767</v>
      </c>
      <c r="B24" s="54">
        <v>230850</v>
      </c>
      <c r="C24" s="182">
        <v>1479</v>
      </c>
      <c r="D24" s="182"/>
      <c r="E24" s="54">
        <v>168360</v>
      </c>
      <c r="F24" s="54">
        <v>678</v>
      </c>
      <c r="G24" s="47" t="s">
        <v>31</v>
      </c>
      <c r="H24" s="48">
        <f t="shared" si="0"/>
        <v>65626.707604882162</v>
      </c>
      <c r="I24" s="20">
        <v>78.106999999999999</v>
      </c>
      <c r="J24" s="55">
        <f t="shared" si="1"/>
        <v>840.21544298055437</v>
      </c>
      <c r="K24" s="55">
        <f t="shared" si="2"/>
        <v>0.20068209769413348</v>
      </c>
      <c r="L24" s="55">
        <f>'Combustion Details(US)'!D24/'Combustion Details(US)'!D$37</f>
        <v>0</v>
      </c>
      <c r="M24" s="55">
        <f t="shared" si="4"/>
        <v>0</v>
      </c>
    </row>
    <row r="25" spans="1:13" ht="17.25" customHeight="1" x14ac:dyDescent="0.25">
      <c r="A25" s="54">
        <v>58140</v>
      </c>
      <c r="B25" s="54">
        <v>286300</v>
      </c>
      <c r="C25" s="182">
        <v>1441</v>
      </c>
      <c r="D25" s="182"/>
      <c r="E25" s="54">
        <v>189800</v>
      </c>
      <c r="F25" s="54">
        <v>-650</v>
      </c>
      <c r="G25" s="47" t="s">
        <v>69</v>
      </c>
      <c r="H25" s="48">
        <f t="shared" si="0"/>
        <v>32683.306062881584</v>
      </c>
      <c r="I25" s="20">
        <v>92.132000000000005</v>
      </c>
      <c r="J25" s="55">
        <f t="shared" si="1"/>
        <v>354.74434575263297</v>
      </c>
      <c r="K25" s="55">
        <f t="shared" si="2"/>
        <v>8.4729268005633379E-2</v>
      </c>
      <c r="L25" s="55">
        <f>'Combustion Details(US)'!D25/'Combustion Details(US)'!D$37</f>
        <v>0</v>
      </c>
      <c r="M25" s="55">
        <f t="shared" si="4"/>
        <v>0</v>
      </c>
    </row>
    <row r="26" spans="1:13" ht="17.25" customHeight="1" x14ac:dyDescent="0.25">
      <c r="A26" s="54">
        <v>85210</v>
      </c>
      <c r="B26" s="54">
        <v>329540</v>
      </c>
      <c r="C26" s="182">
        <v>1494</v>
      </c>
      <c r="D26" s="182"/>
      <c r="E26" s="54">
        <v>211500</v>
      </c>
      <c r="F26" s="54">
        <v>-676</v>
      </c>
      <c r="G26" s="47" t="s">
        <v>70</v>
      </c>
      <c r="H26" s="48">
        <f t="shared" si="0"/>
        <v>59888.492125789526</v>
      </c>
      <c r="I26" s="20">
        <v>106.158</v>
      </c>
      <c r="J26" s="55">
        <f t="shared" si="1"/>
        <v>564.14487957374411</v>
      </c>
      <c r="K26" s="55">
        <f t="shared" si="2"/>
        <v>0.13474374790667049</v>
      </c>
      <c r="L26" s="55">
        <f>'Combustion Details(US)'!D26/'Combustion Details(US)'!D$37</f>
        <v>0</v>
      </c>
      <c r="M26" s="55">
        <f t="shared" si="4"/>
        <v>0</v>
      </c>
    </row>
    <row r="27" spans="1:13" ht="17.25" customHeight="1" x14ac:dyDescent="0.25">
      <c r="A27" s="54">
        <v>39252</v>
      </c>
      <c r="B27" s="54">
        <v>87900</v>
      </c>
      <c r="C27" s="182">
        <v>1916</v>
      </c>
      <c r="D27" s="182"/>
      <c r="E27" s="54">
        <v>53654</v>
      </c>
      <c r="F27" s="54">
        <v>897</v>
      </c>
      <c r="G27" s="47" t="s">
        <v>32</v>
      </c>
      <c r="H27" s="48">
        <f t="shared" si="0"/>
        <v>41525.115233664445</v>
      </c>
      <c r="I27" s="20">
        <v>32</v>
      </c>
      <c r="J27" s="55">
        <f t="shared" si="1"/>
        <v>1297.6598510520139</v>
      </c>
      <c r="K27" s="55">
        <f t="shared" si="2"/>
        <v>0.30994086478436933</v>
      </c>
      <c r="L27" s="55">
        <f>'Combustion Details(US)'!D27/'Combustion Details(US)'!D$37</f>
        <v>0</v>
      </c>
      <c r="M27" s="55">
        <f t="shared" si="4"/>
        <v>0</v>
      </c>
    </row>
    <row r="28" spans="1:13" ht="17.25" customHeight="1" x14ac:dyDescent="0.25">
      <c r="A28" s="54">
        <v>33427</v>
      </c>
      <c r="B28" s="54">
        <v>48980</v>
      </c>
      <c r="C28" s="182">
        <v>2036</v>
      </c>
      <c r="D28" s="182"/>
      <c r="E28" s="54">
        <v>22560</v>
      </c>
      <c r="F28" s="54">
        <v>882</v>
      </c>
      <c r="G28" s="47" t="s">
        <v>33</v>
      </c>
      <c r="H28" s="48">
        <f t="shared" si="0"/>
        <v>34455.338741676729</v>
      </c>
      <c r="I28" s="20">
        <v>17.030999999999999</v>
      </c>
      <c r="J28" s="55">
        <f t="shared" si="1"/>
        <v>2023.0954577932437</v>
      </c>
      <c r="K28" s="55">
        <f t="shared" si="2"/>
        <v>0.48320825771208509</v>
      </c>
      <c r="L28" s="55">
        <f>'Combustion Details(US)'!D28/'Combustion Details(US)'!D$37</f>
        <v>0</v>
      </c>
      <c r="M28" s="55">
        <f t="shared" si="4"/>
        <v>0</v>
      </c>
    </row>
    <row r="29" spans="1:13" ht="17.25" customHeight="1" x14ac:dyDescent="0.25">
      <c r="A29" s="54">
        <v>68050</v>
      </c>
      <c r="B29" s="54">
        <v>354940</v>
      </c>
      <c r="C29" s="182">
        <v>1426</v>
      </c>
      <c r="D29" s="182"/>
      <c r="E29" s="54">
        <v>259840</v>
      </c>
      <c r="F29" s="54">
        <v>650</v>
      </c>
      <c r="G29" s="47" t="s">
        <v>71</v>
      </c>
      <c r="H29" s="48">
        <f t="shared" si="0"/>
        <v>104708.01037785652</v>
      </c>
      <c r="I29" s="20">
        <v>128.16200000000001</v>
      </c>
      <c r="J29" s="55">
        <f t="shared" si="1"/>
        <v>816.99731884534037</v>
      </c>
      <c r="K29" s="55">
        <f t="shared" si="2"/>
        <v>0.19513654161693417</v>
      </c>
      <c r="L29" s="55">
        <f>'Combustion Details(US)'!D29/'Combustion Details(US)'!D$37</f>
        <v>0</v>
      </c>
      <c r="M29" s="55">
        <f t="shared" si="4"/>
        <v>0</v>
      </c>
    </row>
    <row r="30" spans="1:13" ht="17.25" customHeight="1" x14ac:dyDescent="0.25">
      <c r="A30" s="54">
        <v>39252</v>
      </c>
      <c r="B30" s="54">
        <v>87900</v>
      </c>
      <c r="C30" s="182">
        <v>1916</v>
      </c>
      <c r="D30" s="182"/>
      <c r="E30" s="54">
        <v>53654</v>
      </c>
      <c r="F30" s="54">
        <v>897</v>
      </c>
      <c r="G30" s="47" t="s">
        <v>72</v>
      </c>
      <c r="H30" s="48">
        <f t="shared" si="0"/>
        <v>41525.115233664445</v>
      </c>
      <c r="I30" s="20">
        <v>32.040999999999997</v>
      </c>
      <c r="J30" s="55">
        <f t="shared" si="1"/>
        <v>1295.9993518824147</v>
      </c>
      <c r="K30" s="55">
        <f t="shared" si="2"/>
        <v>0.30954426119970718</v>
      </c>
      <c r="L30" s="55">
        <f>'Combustion Details(US)'!D30/'Combustion Details(US)'!D$37</f>
        <v>0</v>
      </c>
      <c r="M30" s="55">
        <f t="shared" si="4"/>
        <v>0</v>
      </c>
    </row>
    <row r="31" spans="1:13" ht="17.25" customHeight="1" x14ac:dyDescent="0.25">
      <c r="A31" s="54">
        <v>49200</v>
      </c>
      <c r="B31" s="54">
        <v>145770</v>
      </c>
      <c r="C31" s="182">
        <v>1663</v>
      </c>
      <c r="D31" s="182"/>
      <c r="E31" s="54">
        <v>93900</v>
      </c>
      <c r="F31" s="54">
        <v>745</v>
      </c>
      <c r="G31" s="47" t="s">
        <v>73</v>
      </c>
      <c r="H31" s="48">
        <f t="shared" si="0"/>
        <v>57637.864353931684</v>
      </c>
      <c r="I31" s="20">
        <v>46.067</v>
      </c>
      <c r="J31" s="55">
        <f t="shared" si="1"/>
        <v>1251.1746880398482</v>
      </c>
      <c r="K31" s="55">
        <f t="shared" si="2"/>
        <v>0.2988380695395656</v>
      </c>
      <c r="L31" s="55">
        <f>'Combustion Details(US)'!D31/'Combustion Details(US)'!D$37</f>
        <v>0</v>
      </c>
      <c r="M31" s="55">
        <f t="shared" si="4"/>
        <v>0</v>
      </c>
    </row>
    <row r="32" spans="1:13" s="135" customFormat="1" ht="17.25" customHeight="1" x14ac:dyDescent="0.25">
      <c r="A32" s="150">
        <v>25639</v>
      </c>
      <c r="B32" s="150">
        <v>-8</v>
      </c>
      <c r="C32" s="187">
        <v>0</v>
      </c>
      <c r="D32" s="187"/>
      <c r="E32" s="150">
        <v>0</v>
      </c>
      <c r="F32" s="150">
        <v>0</v>
      </c>
      <c r="G32" s="47" t="s">
        <v>34</v>
      </c>
      <c r="H32" s="48">
        <f>A32+B32*B$1+C32*(B$1^12)+E32*(B$1^3)+F32*(B$1^4)</f>
        <v>23062.68888888889</v>
      </c>
      <c r="I32" s="20">
        <v>32.06</v>
      </c>
      <c r="J32" s="134">
        <f t="shared" si="1"/>
        <v>719.36022735149368</v>
      </c>
      <c r="K32" s="134">
        <f t="shared" si="2"/>
        <v>0.17181631286199486</v>
      </c>
      <c r="L32" s="134">
        <f>'Combustion Details(US)'!D32/'Combustion Details(US)'!D$37</f>
        <v>0</v>
      </c>
      <c r="M32" s="134">
        <f t="shared" si="4"/>
        <v>0</v>
      </c>
    </row>
    <row r="33" spans="1:17" ht="17.25" customHeight="1" x14ac:dyDescent="0.25">
      <c r="A33" s="54">
        <v>33288</v>
      </c>
      <c r="B33" s="54">
        <v>26086</v>
      </c>
      <c r="C33" s="182">
        <v>913</v>
      </c>
      <c r="D33" s="182"/>
      <c r="E33" s="54">
        <v>-17979</v>
      </c>
      <c r="F33" s="54">
        <v>949</v>
      </c>
      <c r="G33" s="47" t="s">
        <v>35</v>
      </c>
      <c r="H33" s="48">
        <f t="shared" si="0"/>
        <v>33733.87544513683</v>
      </c>
      <c r="I33" s="20">
        <v>34.076000000000001</v>
      </c>
      <c r="J33" s="55">
        <f t="shared" si="1"/>
        <v>989.95995554457181</v>
      </c>
      <c r="K33" s="55">
        <f t="shared" si="2"/>
        <v>0.23644797554199878</v>
      </c>
      <c r="L33" s="55">
        <f>'Combustion Details(US)'!D33/'Combustion Details(US)'!D$37</f>
        <v>2.3049929733316932E-2</v>
      </c>
      <c r="M33" s="55">
        <f t="shared" si="4"/>
        <v>5.4501092218281122E-3</v>
      </c>
    </row>
    <row r="34" spans="1:17" ht="17.25" customHeight="1" x14ac:dyDescent="0.25">
      <c r="A34" s="54">
        <v>33375</v>
      </c>
      <c r="B34" s="54">
        <v>25864</v>
      </c>
      <c r="C34" s="182">
        <v>933</v>
      </c>
      <c r="D34" s="182"/>
      <c r="E34" s="54">
        <v>10880</v>
      </c>
      <c r="F34" s="54">
        <v>424</v>
      </c>
      <c r="G34" s="47" t="s">
        <v>74</v>
      </c>
      <c r="H34" s="48">
        <f t="shared" si="0"/>
        <v>37876.521549978374</v>
      </c>
      <c r="I34" s="20">
        <v>64.06</v>
      </c>
      <c r="J34" s="55">
        <f t="shared" si="1"/>
        <v>591.2663370274488</v>
      </c>
      <c r="K34" s="55">
        <f t="shared" si="2"/>
        <v>0.14122159953365804</v>
      </c>
      <c r="L34" s="55">
        <f>'Combustion Details(US)'!D34/'Combustion Details(US)'!D$37</f>
        <v>0</v>
      </c>
      <c r="M34" s="55">
        <f t="shared" si="4"/>
        <v>0</v>
      </c>
    </row>
    <row r="35" spans="1:17" ht="17.25" customHeight="1" x14ac:dyDescent="0.25">
      <c r="A35" s="54">
        <v>33363</v>
      </c>
      <c r="B35" s="54">
        <v>26790</v>
      </c>
      <c r="C35" s="182">
        <v>2610</v>
      </c>
      <c r="D35" s="182"/>
      <c r="E35" s="54">
        <v>8896</v>
      </c>
      <c r="F35" s="54">
        <v>1169</v>
      </c>
      <c r="G35" s="47" t="s">
        <v>36</v>
      </c>
      <c r="H35" s="48">
        <f t="shared" si="0"/>
        <v>33453.772680487607</v>
      </c>
      <c r="I35" s="20">
        <v>18.015999999999998</v>
      </c>
      <c r="J35" s="55">
        <f t="shared" si="1"/>
        <v>1856.8923557109019</v>
      </c>
      <c r="K35" s="55">
        <f t="shared" si="2"/>
        <v>0.44351131159212609</v>
      </c>
      <c r="L35" s="55">
        <f>'Combustion Details(US)'!D35/'Combustion Details(US)'!D$37</f>
        <v>4.5699414625627773E-3</v>
      </c>
      <c r="M35" s="55">
        <f t="shared" si="4"/>
        <v>2.0268207319604561E-3</v>
      </c>
    </row>
    <row r="36" spans="1:17" ht="30" customHeight="1" x14ac:dyDescent="0.25">
      <c r="D36" s="186"/>
      <c r="E36" s="186"/>
      <c r="F36" s="186"/>
      <c r="L36" s="10" t="s">
        <v>200</v>
      </c>
      <c r="M36" s="10">
        <f>SUM(M3:M35)</f>
        <v>0.48962426344123117</v>
      </c>
    </row>
    <row r="38" spans="1:17" ht="15.95" customHeight="1" x14ac:dyDescent="0.25">
      <c r="J38" s="72"/>
      <c r="K38" s="188" t="s">
        <v>228</v>
      </c>
      <c r="L38" s="188"/>
      <c r="M38" s="72">
        <f>US!K27*'Flue Enth (US)'!M36*(US!K26-60)</f>
        <v>35252.946967768643</v>
      </c>
      <c r="N38" s="185" t="s">
        <v>229</v>
      </c>
      <c r="O38" s="185"/>
      <c r="P38" s="185"/>
      <c r="Q38" s="185"/>
    </row>
    <row r="39" spans="1:17" ht="15" customHeight="1" x14ac:dyDescent="0.25"/>
  </sheetData>
  <mergeCells count="38">
    <mergeCell ref="N38:Q38"/>
    <mergeCell ref="C28:D28"/>
    <mergeCell ref="C29:D29"/>
    <mergeCell ref="D36:F36"/>
    <mergeCell ref="C32:D32"/>
    <mergeCell ref="C33:D33"/>
    <mergeCell ref="C34:D34"/>
    <mergeCell ref="C35:D35"/>
    <mergeCell ref="K38:L38"/>
    <mergeCell ref="C31:D31"/>
    <mergeCell ref="C30:D30"/>
    <mergeCell ref="H1:P1"/>
    <mergeCell ref="C13:D13"/>
    <mergeCell ref="C27:D27"/>
    <mergeCell ref="C9:D9"/>
    <mergeCell ref="C10:D10"/>
    <mergeCell ref="C11:D11"/>
    <mergeCell ref="C7:D7"/>
    <mergeCell ref="C25:D25"/>
    <mergeCell ref="C3:D3"/>
    <mergeCell ref="C4:D4"/>
    <mergeCell ref="C5:D5"/>
    <mergeCell ref="C6:D6"/>
    <mergeCell ref="C8:D8"/>
    <mergeCell ref="C2:D2"/>
    <mergeCell ref="C19:D19"/>
    <mergeCell ref="C26:D26"/>
    <mergeCell ref="C24:D24"/>
    <mergeCell ref="C12:D12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R45"/>
  <sheetViews>
    <sheetView showGridLines="0" zoomScaleNormal="100" workbookViewId="0">
      <selection activeCell="I2" sqref="I2:K2"/>
    </sheetView>
  </sheetViews>
  <sheetFormatPr defaultRowHeight="15" x14ac:dyDescent="0.25"/>
  <cols>
    <col min="1" max="1" width="2.140625" style="2" customWidth="1"/>
    <col min="2" max="2" width="18.140625" style="2" customWidth="1"/>
    <col min="3" max="6" width="8" style="2" customWidth="1"/>
    <col min="7" max="7" width="6.5703125" style="2" customWidth="1"/>
    <col min="8" max="8" width="8.140625" style="2" customWidth="1"/>
    <col min="9" max="9" width="9.140625" style="2"/>
    <col min="10" max="10" width="11.28515625" style="2" customWidth="1"/>
    <col min="11" max="11" width="7.7109375" style="2" customWidth="1"/>
    <col min="12" max="14" width="9.140625" style="2"/>
    <col min="15" max="15" width="14.28515625" style="2" bestFit="1" customWidth="1"/>
    <col min="16" max="16" width="9.140625" style="2"/>
    <col min="17" max="17" width="14.28515625" style="2" bestFit="1" customWidth="1"/>
    <col min="18" max="16384" width="9.140625" style="2"/>
  </cols>
  <sheetData>
    <row r="1" spans="1:11" ht="44.25" customHeight="1" x14ac:dyDescent="0.25">
      <c r="A1" s="189"/>
      <c r="B1" s="190"/>
      <c r="C1" s="190"/>
      <c r="D1" s="191" t="s">
        <v>110</v>
      </c>
      <c r="E1" s="191"/>
      <c r="F1" s="191"/>
      <c r="G1" s="191"/>
      <c r="H1" s="191"/>
      <c r="I1" s="191"/>
      <c r="J1" s="191"/>
      <c r="K1" s="192"/>
    </row>
    <row r="2" spans="1:11" ht="27" customHeight="1" x14ac:dyDescent="0.25">
      <c r="A2" s="74"/>
      <c r="B2" s="75"/>
      <c r="C2" s="75"/>
      <c r="D2" s="75"/>
      <c r="E2" s="75"/>
      <c r="F2" s="75"/>
      <c r="G2" s="75"/>
      <c r="H2" s="75"/>
      <c r="I2" s="193" t="s">
        <v>235</v>
      </c>
      <c r="J2" s="156"/>
      <c r="K2" s="157"/>
    </row>
    <row r="3" spans="1:11" ht="24" customHeight="1" x14ac:dyDescent="0.25">
      <c r="A3" s="76"/>
      <c r="B3" s="77" t="s">
        <v>115</v>
      </c>
      <c r="C3" s="78"/>
      <c r="D3" s="79"/>
      <c r="E3" s="79"/>
      <c r="F3" s="79"/>
      <c r="G3" s="79"/>
      <c r="H3" s="79"/>
      <c r="I3" s="79"/>
      <c r="J3" s="79"/>
      <c r="K3" s="80"/>
    </row>
    <row r="4" spans="1:11" ht="24" customHeight="1" x14ac:dyDescent="0.25">
      <c r="A4" s="76"/>
      <c r="B4" s="81" t="s">
        <v>44</v>
      </c>
      <c r="C4" s="159" t="s">
        <v>111</v>
      </c>
      <c r="D4" s="159"/>
      <c r="E4" s="159" t="s">
        <v>118</v>
      </c>
      <c r="F4" s="161"/>
      <c r="G4" s="82"/>
      <c r="H4" s="82"/>
      <c r="I4" s="83"/>
      <c r="J4" s="83"/>
      <c r="K4" s="84"/>
    </row>
    <row r="5" spans="1:11" x14ac:dyDescent="0.25">
      <c r="A5" s="76"/>
      <c r="B5" s="50" t="s">
        <v>23</v>
      </c>
      <c r="C5" s="154" t="s">
        <v>112</v>
      </c>
      <c r="D5" s="155"/>
      <c r="E5" s="160">
        <v>8.6</v>
      </c>
      <c r="F5" s="160"/>
      <c r="G5" s="85"/>
      <c r="H5" s="85"/>
      <c r="I5" s="85"/>
      <c r="J5" s="86"/>
      <c r="K5" s="87"/>
    </row>
    <row r="6" spans="1:11" x14ac:dyDescent="0.25">
      <c r="A6" s="76"/>
      <c r="B6" s="50" t="s">
        <v>25</v>
      </c>
      <c r="C6" s="154" t="s">
        <v>113</v>
      </c>
      <c r="D6" s="155"/>
      <c r="E6" s="160">
        <v>1.2</v>
      </c>
      <c r="F6" s="160"/>
      <c r="G6" s="85"/>
      <c r="H6" s="85"/>
      <c r="I6" s="85"/>
      <c r="J6" s="88"/>
      <c r="K6" s="89"/>
    </row>
    <row r="7" spans="1:11" x14ac:dyDescent="0.25">
      <c r="A7" s="76"/>
      <c r="B7" s="50" t="s">
        <v>134</v>
      </c>
      <c r="C7" s="154" t="s">
        <v>26</v>
      </c>
      <c r="D7" s="155"/>
      <c r="E7" s="160"/>
      <c r="F7" s="160"/>
      <c r="G7" s="85"/>
      <c r="H7" s="85"/>
      <c r="I7" s="85"/>
      <c r="J7" s="88"/>
      <c r="K7" s="89"/>
    </row>
    <row r="8" spans="1:11" x14ac:dyDescent="0.25">
      <c r="A8" s="76"/>
      <c r="B8" s="50" t="s">
        <v>135</v>
      </c>
      <c r="C8" s="154" t="s">
        <v>57</v>
      </c>
      <c r="D8" s="155"/>
      <c r="E8" s="160">
        <v>0.25</v>
      </c>
      <c r="F8" s="160"/>
      <c r="G8" s="85"/>
      <c r="H8" s="85"/>
      <c r="I8" s="85"/>
      <c r="J8" s="88"/>
      <c r="K8" s="89"/>
    </row>
    <row r="9" spans="1:11" x14ac:dyDescent="0.25">
      <c r="A9" s="76"/>
      <c r="B9" s="50" t="s">
        <v>58</v>
      </c>
      <c r="C9" s="154" t="s">
        <v>136</v>
      </c>
      <c r="D9" s="155"/>
      <c r="E9" s="160">
        <v>77.88</v>
      </c>
      <c r="F9" s="160"/>
      <c r="G9" s="85"/>
      <c r="H9" s="85"/>
      <c r="I9" s="85"/>
      <c r="J9" s="88"/>
      <c r="K9" s="89"/>
    </row>
    <row r="10" spans="1:11" x14ac:dyDescent="0.25">
      <c r="A10" s="76"/>
      <c r="B10" s="50" t="s">
        <v>59</v>
      </c>
      <c r="C10" s="154" t="s">
        <v>137</v>
      </c>
      <c r="D10" s="155"/>
      <c r="E10" s="160">
        <v>5.6</v>
      </c>
      <c r="F10" s="160"/>
      <c r="G10" s="85"/>
      <c r="H10" s="85"/>
      <c r="I10" s="85"/>
      <c r="J10" s="88"/>
      <c r="K10" s="89"/>
    </row>
    <row r="11" spans="1:11" x14ac:dyDescent="0.25">
      <c r="A11" s="76"/>
      <c r="B11" s="50" t="s">
        <v>138</v>
      </c>
      <c r="C11" s="154" t="s">
        <v>139</v>
      </c>
      <c r="D11" s="155"/>
      <c r="E11" s="160">
        <v>0.2</v>
      </c>
      <c r="F11" s="160"/>
      <c r="G11" s="85"/>
      <c r="H11" s="85"/>
      <c r="I11" s="85"/>
      <c r="J11" s="88"/>
      <c r="K11" s="89"/>
    </row>
    <row r="12" spans="1:11" x14ac:dyDescent="0.25">
      <c r="A12" s="76"/>
      <c r="B12" s="50" t="s">
        <v>28</v>
      </c>
      <c r="C12" s="154" t="s">
        <v>140</v>
      </c>
      <c r="D12" s="155"/>
      <c r="E12" s="160">
        <v>0.02</v>
      </c>
      <c r="F12" s="160"/>
      <c r="G12" s="85"/>
      <c r="H12" s="85"/>
      <c r="I12" s="85"/>
      <c r="J12" s="88"/>
      <c r="K12" s="89"/>
    </row>
    <row r="13" spans="1:11" x14ac:dyDescent="0.25">
      <c r="A13" s="76"/>
      <c r="B13" s="50" t="s">
        <v>60</v>
      </c>
      <c r="C13" s="154" t="s">
        <v>141</v>
      </c>
      <c r="D13" s="155"/>
      <c r="E13" s="160">
        <v>3.2</v>
      </c>
      <c r="F13" s="160"/>
      <c r="G13" s="85"/>
      <c r="H13" s="85"/>
      <c r="I13" s="85"/>
      <c r="J13" s="88"/>
      <c r="K13" s="89"/>
    </row>
    <row r="14" spans="1:11" x14ac:dyDescent="0.25">
      <c r="A14" s="76"/>
      <c r="B14" s="50" t="s">
        <v>29</v>
      </c>
      <c r="C14" s="154" t="s">
        <v>142</v>
      </c>
      <c r="D14" s="155"/>
      <c r="E14" s="160"/>
      <c r="F14" s="160"/>
      <c r="G14" s="85"/>
      <c r="H14" s="85"/>
      <c r="I14" s="85"/>
      <c r="J14" s="88"/>
      <c r="K14" s="89"/>
    </row>
    <row r="15" spans="1:11" x14ac:dyDescent="0.25">
      <c r="A15" s="76"/>
      <c r="B15" s="50" t="s">
        <v>144</v>
      </c>
      <c r="C15" s="154" t="s">
        <v>145</v>
      </c>
      <c r="D15" s="155"/>
      <c r="E15" s="160">
        <v>0.8</v>
      </c>
      <c r="F15" s="160"/>
      <c r="G15" s="85"/>
      <c r="H15" s="85"/>
      <c r="I15" s="85"/>
      <c r="J15" s="88"/>
      <c r="K15" s="89"/>
    </row>
    <row r="16" spans="1:11" x14ac:dyDescent="0.25">
      <c r="A16" s="76"/>
      <c r="B16" s="50" t="s">
        <v>30</v>
      </c>
      <c r="C16" s="154" t="s">
        <v>143</v>
      </c>
      <c r="D16" s="155"/>
      <c r="E16" s="160">
        <v>0</v>
      </c>
      <c r="F16" s="160"/>
      <c r="G16" s="85"/>
      <c r="H16" s="85"/>
      <c r="I16" s="85"/>
      <c r="J16" s="88"/>
      <c r="K16" s="89"/>
    </row>
    <row r="17" spans="1:18" x14ac:dyDescent="0.25">
      <c r="A17" s="76"/>
      <c r="B17" s="50" t="s">
        <v>146</v>
      </c>
      <c r="C17" s="154" t="s">
        <v>147</v>
      </c>
      <c r="D17" s="155"/>
      <c r="E17" s="160"/>
      <c r="F17" s="160"/>
      <c r="G17" s="85"/>
      <c r="H17" s="85"/>
      <c r="I17" s="85"/>
      <c r="J17" s="88"/>
      <c r="K17" s="89"/>
    </row>
    <row r="18" spans="1:18" x14ac:dyDescent="0.25">
      <c r="A18" s="76"/>
      <c r="B18" s="50" t="s">
        <v>148</v>
      </c>
      <c r="C18" s="154" t="s">
        <v>149</v>
      </c>
      <c r="D18" s="155"/>
      <c r="E18" s="160">
        <v>0.6</v>
      </c>
      <c r="F18" s="160"/>
      <c r="G18" s="85"/>
      <c r="H18" s="85"/>
      <c r="I18" s="85"/>
      <c r="J18" s="88"/>
      <c r="K18" s="89"/>
    </row>
    <row r="19" spans="1:18" x14ac:dyDescent="0.25">
      <c r="A19" s="76"/>
      <c r="B19" s="50" t="s">
        <v>31</v>
      </c>
      <c r="C19" s="154" t="s">
        <v>150</v>
      </c>
      <c r="D19" s="155"/>
      <c r="E19" s="160"/>
      <c r="F19" s="160"/>
      <c r="G19" s="85"/>
      <c r="H19" s="85"/>
      <c r="I19" s="85"/>
      <c r="J19" s="88"/>
      <c r="K19" s="89"/>
    </row>
    <row r="20" spans="1:18" x14ac:dyDescent="0.25">
      <c r="A20" s="76"/>
      <c r="B20" s="50" t="s">
        <v>69</v>
      </c>
      <c r="C20" s="154" t="s">
        <v>151</v>
      </c>
      <c r="D20" s="155"/>
      <c r="E20" s="160"/>
      <c r="F20" s="160"/>
      <c r="G20" s="85"/>
      <c r="H20" s="85"/>
      <c r="I20" s="85"/>
      <c r="J20" s="88"/>
      <c r="K20" s="89"/>
    </row>
    <row r="21" spans="1:18" x14ac:dyDescent="0.25">
      <c r="A21" s="76"/>
      <c r="B21" s="50" t="s">
        <v>70</v>
      </c>
      <c r="C21" s="154" t="s">
        <v>152</v>
      </c>
      <c r="D21" s="155"/>
      <c r="E21" s="160"/>
      <c r="F21" s="160"/>
      <c r="G21" s="85"/>
      <c r="H21" s="85"/>
      <c r="I21" s="85"/>
      <c r="J21" s="88"/>
      <c r="K21" s="89"/>
    </row>
    <row r="22" spans="1:18" x14ac:dyDescent="0.25">
      <c r="A22" s="76"/>
      <c r="B22" s="50" t="s">
        <v>72</v>
      </c>
      <c r="C22" s="154" t="s">
        <v>153</v>
      </c>
      <c r="D22" s="155"/>
      <c r="E22" s="160"/>
      <c r="F22" s="160"/>
      <c r="G22" s="85"/>
      <c r="H22" s="85"/>
      <c r="I22" s="85"/>
      <c r="J22" s="88"/>
      <c r="K22" s="89"/>
    </row>
    <row r="23" spans="1:18" x14ac:dyDescent="0.25">
      <c r="A23" s="76"/>
      <c r="B23" s="50" t="s">
        <v>154</v>
      </c>
      <c r="C23" s="154" t="s">
        <v>35</v>
      </c>
      <c r="D23" s="155"/>
      <c r="E23" s="160">
        <v>1.2</v>
      </c>
      <c r="F23" s="160"/>
      <c r="G23" s="85"/>
      <c r="H23" s="85"/>
      <c r="I23" s="85"/>
      <c r="J23" s="88"/>
      <c r="K23" s="89"/>
    </row>
    <row r="24" spans="1:18" x14ac:dyDescent="0.25">
      <c r="A24" s="76"/>
      <c r="B24" s="50" t="s">
        <v>155</v>
      </c>
      <c r="C24" s="154" t="s">
        <v>36</v>
      </c>
      <c r="D24" s="155"/>
      <c r="E24" s="160">
        <v>0.45</v>
      </c>
      <c r="F24" s="160"/>
      <c r="G24" s="85"/>
      <c r="H24" s="85"/>
      <c r="I24" s="85"/>
      <c r="J24" s="88"/>
      <c r="K24" s="89"/>
    </row>
    <row r="25" spans="1:18" x14ac:dyDescent="0.25">
      <c r="A25" s="76"/>
      <c r="B25" s="164" t="s">
        <v>37</v>
      </c>
      <c r="C25" s="165"/>
      <c r="D25" s="166"/>
      <c r="E25" s="167">
        <f>SUM(E5:F24)</f>
        <v>99.999999999999986</v>
      </c>
      <c r="F25" s="168"/>
      <c r="G25" s="90"/>
      <c r="H25" s="90"/>
      <c r="I25" s="90"/>
      <c r="J25" s="91"/>
      <c r="K25" s="92"/>
    </row>
    <row r="26" spans="1:18" ht="17.25" customHeight="1" x14ac:dyDescent="0.25">
      <c r="A26" s="76"/>
      <c r="B26" s="68" t="s">
        <v>156</v>
      </c>
      <c r="C26" s="63" t="s">
        <v>217</v>
      </c>
      <c r="D26" s="127">
        <v>35</v>
      </c>
      <c r="E26" s="93"/>
      <c r="F26" s="93"/>
      <c r="G26" s="93"/>
      <c r="H26" s="162" t="s">
        <v>193</v>
      </c>
      <c r="I26" s="162"/>
      <c r="J26" s="63" t="s">
        <v>217</v>
      </c>
      <c r="K26" s="130">
        <v>70</v>
      </c>
    </row>
    <row r="27" spans="1:18" ht="17.25" customHeight="1" x14ac:dyDescent="0.25">
      <c r="A27" s="76"/>
      <c r="B27" s="69" t="s">
        <v>157</v>
      </c>
      <c r="C27" s="51" t="s">
        <v>218</v>
      </c>
      <c r="D27" s="128">
        <v>80</v>
      </c>
      <c r="E27" s="94"/>
      <c r="F27" s="94"/>
      <c r="G27" s="94"/>
      <c r="H27" s="163" t="s">
        <v>160</v>
      </c>
      <c r="I27" s="163"/>
      <c r="J27" s="94" t="s">
        <v>220</v>
      </c>
      <c r="K27" s="131">
        <v>3000</v>
      </c>
    </row>
    <row r="28" spans="1:18" ht="17.25" customHeight="1" x14ac:dyDescent="0.25">
      <c r="A28" s="76"/>
      <c r="B28" s="69" t="s">
        <v>114</v>
      </c>
      <c r="C28" s="51" t="s">
        <v>159</v>
      </c>
      <c r="D28" s="128">
        <v>15</v>
      </c>
      <c r="E28" s="94"/>
      <c r="F28" s="94"/>
      <c r="G28" s="94"/>
      <c r="H28" s="163" t="s">
        <v>162</v>
      </c>
      <c r="I28" s="163"/>
      <c r="J28" s="94" t="s">
        <v>159</v>
      </c>
      <c r="K28" s="132">
        <v>0</v>
      </c>
    </row>
    <row r="29" spans="1:18" x14ac:dyDescent="0.25">
      <c r="A29" s="76"/>
      <c r="B29" s="70" t="s">
        <v>158</v>
      </c>
      <c r="C29" s="64" t="s">
        <v>159</v>
      </c>
      <c r="D29" s="129">
        <v>90</v>
      </c>
      <c r="E29" s="95"/>
      <c r="F29" s="95"/>
      <c r="G29" s="95"/>
      <c r="H29" s="158" t="s">
        <v>163</v>
      </c>
      <c r="I29" s="158"/>
      <c r="J29" s="64" t="s">
        <v>217</v>
      </c>
      <c r="K29" s="133">
        <v>310</v>
      </c>
      <c r="O29" s="96"/>
    </row>
    <row r="30" spans="1:18" x14ac:dyDescent="0.25">
      <c r="A30" s="76"/>
      <c r="B30" s="88"/>
      <c r="C30" s="88"/>
      <c r="D30" s="88"/>
      <c r="E30" s="88"/>
      <c r="F30" s="88"/>
      <c r="G30" s="85"/>
      <c r="H30" s="85"/>
      <c r="I30" s="88"/>
      <c r="J30" s="88"/>
      <c r="K30" s="89"/>
    </row>
    <row r="31" spans="1:18" ht="25.5" customHeight="1" x14ac:dyDescent="0.25">
      <c r="A31" s="76"/>
      <c r="B31" s="97" t="s">
        <v>128</v>
      </c>
      <c r="C31" s="98"/>
      <c r="D31" s="88"/>
      <c r="E31" s="99" t="s">
        <v>102</v>
      </c>
      <c r="F31" s="100">
        <f>'Combustion Details(SI)'!N42</f>
        <v>27.308080775448531</v>
      </c>
      <c r="G31" s="85"/>
      <c r="H31" s="97" t="s">
        <v>124</v>
      </c>
      <c r="I31" s="88"/>
      <c r="J31" s="88"/>
      <c r="K31" s="89"/>
    </row>
    <row r="32" spans="1:18" ht="32.25" customHeight="1" x14ac:dyDescent="0.25">
      <c r="A32" s="76"/>
      <c r="B32" s="101" t="s">
        <v>44</v>
      </c>
      <c r="C32" s="102" t="s">
        <v>129</v>
      </c>
      <c r="D32" s="102" t="s">
        <v>130</v>
      </c>
      <c r="E32" s="102" t="s">
        <v>131</v>
      </c>
      <c r="F32" s="103" t="s">
        <v>132</v>
      </c>
      <c r="G32" s="88"/>
      <c r="H32" s="171" t="s">
        <v>95</v>
      </c>
      <c r="I32" s="172"/>
      <c r="J32" s="102" t="s">
        <v>126</v>
      </c>
      <c r="K32" s="103" t="s">
        <v>125</v>
      </c>
      <c r="O32" s="173" t="s">
        <v>215</v>
      </c>
      <c r="P32" s="174"/>
      <c r="Q32" s="174"/>
      <c r="R32" s="175"/>
    </row>
    <row r="33" spans="1:18" ht="21.95" customHeight="1" x14ac:dyDescent="0.25">
      <c r="A33" s="76"/>
      <c r="B33" s="52" t="s">
        <v>119</v>
      </c>
      <c r="C33" s="104">
        <f>E33/(E33+E34+E35+E37)</f>
        <v>0.1017344794165239</v>
      </c>
      <c r="D33" s="104">
        <f>F33/(F33+F34+F35+F37)</f>
        <v>0.15026587835332988</v>
      </c>
      <c r="E33" s="104">
        <f>'Combustion Details(SI)'!K42</f>
        <v>8.0191994823863216E-2</v>
      </c>
      <c r="F33" s="105">
        <f>'Combustion Details(SI)'!I42</f>
        <v>0.12928078978769875</v>
      </c>
      <c r="G33" s="106"/>
      <c r="H33" s="169" t="s">
        <v>133</v>
      </c>
      <c r="I33" s="170"/>
      <c r="J33" s="53">
        <f>'Combustion Details(SI)'!F38*2.326</f>
        <v>47652.229226457894</v>
      </c>
      <c r="K33" s="107" t="s">
        <v>219</v>
      </c>
      <c r="M33" s="108"/>
      <c r="O33" s="109"/>
      <c r="P33" s="110" t="s">
        <v>212</v>
      </c>
      <c r="Q33" s="151">
        <f>(K27*J33/3600+'Flue Enth (SI)'!M39+'Flue Gas, Air Enth (SI)'!M50)</f>
        <v>39897.140935158597</v>
      </c>
      <c r="R33" s="112" t="s">
        <v>221</v>
      </c>
    </row>
    <row r="34" spans="1:18" ht="21.95" customHeight="1" x14ac:dyDescent="0.25">
      <c r="A34" s="76"/>
      <c r="B34" s="52" t="s">
        <v>120</v>
      </c>
      <c r="C34" s="104">
        <f>E34/(E33+E34+E35+E37)</f>
        <v>0.86708070081719202</v>
      </c>
      <c r="D34" s="104">
        <f>F34/(F33+F34+F35+F37)</f>
        <v>0.81499901151906817</v>
      </c>
      <c r="E34" s="104">
        <f>'Combustion Details(SI)'!K45</f>
        <v>0.68347458472874723</v>
      </c>
      <c r="F34" s="105">
        <f>'Combustion Details(SI)'!I45</f>
        <v>0.7011819119549576</v>
      </c>
      <c r="G34" s="106"/>
      <c r="H34" s="169" t="s">
        <v>116</v>
      </c>
      <c r="I34" s="170"/>
      <c r="J34" s="113">
        <f>'Combustion Details(SI)'!N41*0.45359237</f>
        <v>61124.095005442097</v>
      </c>
      <c r="K34" s="107" t="s">
        <v>220</v>
      </c>
      <c r="M34" s="108"/>
      <c r="O34" s="109"/>
      <c r="P34" s="110" t="s">
        <v>213</v>
      </c>
      <c r="Q34" s="151">
        <f>(K28/100*K27*J33/3600)</f>
        <v>0</v>
      </c>
      <c r="R34" s="112" t="s">
        <v>221</v>
      </c>
    </row>
    <row r="35" spans="1:18" ht="21.95" customHeight="1" x14ac:dyDescent="0.25">
      <c r="A35" s="76"/>
      <c r="B35" s="52" t="s">
        <v>121</v>
      </c>
      <c r="C35" s="104">
        <f>E35/(E33+E34+E35+E37)</f>
        <v>3.0034170033981782E-2</v>
      </c>
      <c r="D35" s="104">
        <f>F35/(F33+F34+F35+F37)</f>
        <v>3.2263029419352697E-2</v>
      </c>
      <c r="E35" s="104">
        <f>'Combustion Details(SI)'!K44</f>
        <v>2.3674372953176991E-2</v>
      </c>
      <c r="F35" s="105">
        <f>'Combustion Details(SI)'!I44</f>
        <v>2.7757398885129181E-2</v>
      </c>
      <c r="G35" s="106"/>
      <c r="H35" s="169" t="s">
        <v>117</v>
      </c>
      <c r="I35" s="170"/>
      <c r="J35" s="113">
        <f>'Combustion Details(SI)'!N43*0.45359237</f>
        <v>58124.095005236311</v>
      </c>
      <c r="K35" s="107" t="s">
        <v>220</v>
      </c>
      <c r="M35" s="108"/>
      <c r="O35" s="109"/>
      <c r="P35" s="110" t="s">
        <v>214</v>
      </c>
      <c r="Q35" s="151">
        <f>'Flue Gas, Air Enth (SI)'!M33</f>
        <v>5806.6889423320081</v>
      </c>
      <c r="R35" s="112" t="s">
        <v>221</v>
      </c>
    </row>
    <row r="36" spans="1:18" ht="21.95" customHeight="1" x14ac:dyDescent="0.25">
      <c r="A36" s="76"/>
      <c r="B36" s="52" t="s">
        <v>122</v>
      </c>
      <c r="C36" s="114" t="s">
        <v>168</v>
      </c>
      <c r="D36" s="114" t="s">
        <v>168</v>
      </c>
      <c r="E36" s="104">
        <f>'Combustion Details(SI)'!K46</f>
        <v>0.21175205020178928</v>
      </c>
      <c r="F36" s="105">
        <f>'Combustion Details(SI)'!I46</f>
        <v>0.13965305228035577</v>
      </c>
      <c r="G36" s="106"/>
      <c r="H36" s="169" t="s">
        <v>169</v>
      </c>
      <c r="I36" s="170"/>
      <c r="J36" s="113">
        <f>Q36</f>
        <v>34090.451992826587</v>
      </c>
      <c r="K36" s="115" t="s">
        <v>221</v>
      </c>
      <c r="M36" s="108"/>
      <c r="O36" s="116"/>
      <c r="P36" s="117" t="s">
        <v>169</v>
      </c>
      <c r="Q36" s="152">
        <f>Q33-Q34-Q35</f>
        <v>34090.451992826587</v>
      </c>
      <c r="R36" s="119" t="s">
        <v>221</v>
      </c>
    </row>
    <row r="37" spans="1:18" ht="21.95" customHeight="1" x14ac:dyDescent="0.25">
      <c r="A37" s="76"/>
      <c r="B37" s="52" t="s">
        <v>123</v>
      </c>
      <c r="C37" s="104">
        <f>E37/(E33+E34+E35+E37)</f>
        <v>1.1506497323023439E-3</v>
      </c>
      <c r="D37" s="104">
        <f>F37/(F33+F34+F35+F37)</f>
        <v>2.4720807082491687E-3</v>
      </c>
      <c r="E37" s="104">
        <f>'Combustion Details(SI)'!K43</f>
        <v>9.0699729242318245E-4</v>
      </c>
      <c r="F37" s="105">
        <f>'Combustion Details(SI)'!I43</f>
        <v>2.1268470918587891E-3</v>
      </c>
      <c r="G37" s="106"/>
      <c r="H37" s="169" t="s">
        <v>127</v>
      </c>
      <c r="I37" s="170"/>
      <c r="J37" s="120">
        <f>J36/(K27*J33/3600)*100</f>
        <v>85.8481188717994</v>
      </c>
      <c r="K37" s="107" t="s">
        <v>159</v>
      </c>
      <c r="M37" s="108"/>
      <c r="O37" s="121"/>
      <c r="P37" s="121"/>
      <c r="Q37" s="121"/>
    </row>
    <row r="38" spans="1:18" ht="21.95" customHeight="1" x14ac:dyDescent="0.25">
      <c r="A38" s="76"/>
      <c r="B38" s="61"/>
      <c r="C38" s="122"/>
      <c r="D38" s="123"/>
      <c r="E38" s="123"/>
      <c r="F38" s="123"/>
      <c r="G38" s="88"/>
      <c r="H38" s="62"/>
      <c r="I38" s="62"/>
      <c r="J38" s="124"/>
      <c r="K38" s="125"/>
    </row>
    <row r="39" spans="1:18" x14ac:dyDescent="0.25">
      <c r="A39" s="76"/>
      <c r="B39" s="49"/>
      <c r="C39" s="49"/>
      <c r="D39" s="88"/>
      <c r="E39" s="88"/>
      <c r="F39" s="88"/>
      <c r="G39" s="88"/>
      <c r="H39" s="88"/>
      <c r="I39" s="88"/>
      <c r="J39" s="88"/>
      <c r="K39" s="89"/>
    </row>
    <row r="40" spans="1:18" x14ac:dyDescent="0.25">
      <c r="A40" s="76"/>
      <c r="B40" s="88"/>
      <c r="C40" s="88"/>
      <c r="D40" s="88"/>
      <c r="E40" s="88"/>
      <c r="F40" s="88"/>
      <c r="G40" s="88"/>
      <c r="H40" s="88"/>
      <c r="I40" s="88"/>
      <c r="J40" s="88"/>
      <c r="K40" s="89"/>
    </row>
    <row r="41" spans="1:18" x14ac:dyDescent="0.25">
      <c r="A41" s="76"/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8" x14ac:dyDescent="0.25">
      <c r="A42" s="76"/>
      <c r="B42" s="88"/>
      <c r="C42" s="88"/>
      <c r="D42" s="88"/>
      <c r="E42" s="88"/>
      <c r="F42" s="88"/>
      <c r="G42" s="88"/>
      <c r="H42" s="88"/>
      <c r="I42" s="88"/>
      <c r="J42" s="88"/>
      <c r="K42" s="89"/>
    </row>
    <row r="43" spans="1:18" x14ac:dyDescent="0.25">
      <c r="A43" s="76"/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8" x14ac:dyDescent="0.25">
      <c r="A44" s="76"/>
      <c r="B44" s="88"/>
      <c r="C44" s="88"/>
      <c r="D44" s="88"/>
      <c r="E44" s="88"/>
      <c r="F44" s="88"/>
      <c r="G44" s="88"/>
      <c r="H44" s="88"/>
      <c r="I44" s="88"/>
      <c r="J44" s="88"/>
      <c r="K44" s="89"/>
    </row>
    <row r="45" spans="1:18" x14ac:dyDescent="0.25">
      <c r="A45" s="126"/>
      <c r="B45" s="91"/>
      <c r="C45" s="91"/>
      <c r="D45" s="91"/>
      <c r="E45" s="91"/>
      <c r="F45" s="91"/>
      <c r="G45" s="91"/>
      <c r="H45" s="91"/>
      <c r="I45" s="91"/>
      <c r="J45" s="91"/>
      <c r="K45" s="92"/>
    </row>
  </sheetData>
  <sheetProtection algorithmName="SHA-512" hashValue="/bZb8/RLNxse3ZBm0xjJT4RqahnA9sH6i1KRBqEwqpQxNPnQ2Ic8yY/u3lrJtjfo/malRbEAK7ZFJ7kxY5IRvA==" saltValue="tqSaTQ3B8o3/jjHE9S6Pjw==" spinCount="100000" sheet="1" objects="1" scenarios="1"/>
  <mergeCells count="57">
    <mergeCell ref="H35:I35"/>
    <mergeCell ref="H36:I36"/>
    <mergeCell ref="H37:I37"/>
    <mergeCell ref="H28:I28"/>
    <mergeCell ref="H29:I29"/>
    <mergeCell ref="H32:I32"/>
    <mergeCell ref="O32:R32"/>
    <mergeCell ref="H33:I33"/>
    <mergeCell ref="H34:I34"/>
    <mergeCell ref="C24:D24"/>
    <mergeCell ref="E24:F24"/>
    <mergeCell ref="B25:D25"/>
    <mergeCell ref="E25:F25"/>
    <mergeCell ref="H26:I26"/>
    <mergeCell ref="H27:I27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I2:K2"/>
    <mergeCell ref="C4:D4"/>
    <mergeCell ref="E4:F4"/>
    <mergeCell ref="C5:D5"/>
    <mergeCell ref="E5:F5"/>
    <mergeCell ref="D1:K1"/>
  </mergeCells>
  <conditionalFormatting sqref="E25:F25">
    <cfRule type="cellIs" dxfId="0" priority="1" operator="notEqual">
      <formula>100</formula>
    </cfRule>
  </conditionalFormatting>
  <pageMargins left="0.47" right="0.31" top="0.44" bottom="0.33" header="0.3" footer="0.16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R52"/>
  <sheetViews>
    <sheetView topLeftCell="A37" zoomScaleNormal="100" workbookViewId="0">
      <pane xSplit="1" topLeftCell="B1" activePane="topRight" state="frozen"/>
      <selection activeCell="C18" sqref="C18:D18"/>
      <selection pane="topRight" activeCell="C18" sqref="C18:D18"/>
    </sheetView>
  </sheetViews>
  <sheetFormatPr defaultColWidth="9" defaultRowHeight="15" x14ac:dyDescent="0.25"/>
  <cols>
    <col min="1" max="1" width="20.28515625" style="11" customWidth="1"/>
    <col min="2" max="2" width="14.85546875" style="11" customWidth="1"/>
    <col min="3" max="3" width="13.5703125" style="11" customWidth="1"/>
    <col min="4" max="4" width="14.28515625" style="11" customWidth="1"/>
    <col min="5" max="5" width="16.42578125" style="11" customWidth="1"/>
    <col min="6" max="6" width="15.5703125" style="11" customWidth="1"/>
    <col min="7" max="8" width="14.5703125" style="11" customWidth="1"/>
    <col min="9" max="9" width="14.42578125" style="11" customWidth="1"/>
    <col min="10" max="10" width="14.5703125" style="11" customWidth="1"/>
    <col min="11" max="11" width="14.85546875" style="11" customWidth="1"/>
    <col min="12" max="12" width="15.85546875" style="11" customWidth="1"/>
    <col min="13" max="13" width="12.28515625" style="11" customWidth="1"/>
    <col min="14" max="14" width="15.5703125" style="11" customWidth="1"/>
    <col min="15" max="16" width="14.140625" style="11" customWidth="1"/>
    <col min="17" max="17" width="14.7109375" style="11" customWidth="1"/>
    <col min="18" max="18" width="13.85546875" style="11" customWidth="1"/>
    <col min="19" max="19" width="10.140625" style="11" bestFit="1" customWidth="1"/>
    <col min="20" max="16384" width="9" style="11"/>
  </cols>
  <sheetData>
    <row r="1" spans="1:18" s="16" customFormat="1" ht="31.5" customHeight="1" x14ac:dyDescent="0.25">
      <c r="A1" s="176" t="s">
        <v>0</v>
      </c>
      <c r="B1" s="12" t="s">
        <v>1</v>
      </c>
      <c r="C1" s="12" t="s">
        <v>2</v>
      </c>
      <c r="D1" s="12" t="s">
        <v>15</v>
      </c>
      <c r="E1" s="12" t="s">
        <v>3</v>
      </c>
      <c r="F1" s="12" t="s">
        <v>16</v>
      </c>
      <c r="G1" s="12" t="s">
        <v>4</v>
      </c>
      <c r="H1" s="12" t="s">
        <v>17</v>
      </c>
      <c r="I1" s="12" t="s">
        <v>5</v>
      </c>
      <c r="J1" s="12" t="s">
        <v>18</v>
      </c>
      <c r="K1" s="12" t="s">
        <v>6</v>
      </c>
      <c r="L1" s="12" t="s">
        <v>19</v>
      </c>
      <c r="M1" s="12" t="s">
        <v>7</v>
      </c>
      <c r="N1" s="13" t="s">
        <v>20</v>
      </c>
      <c r="O1" s="12" t="s">
        <v>49</v>
      </c>
      <c r="P1" s="14" t="s">
        <v>50</v>
      </c>
      <c r="Q1" s="15" t="s">
        <v>51</v>
      </c>
      <c r="R1" s="15" t="s">
        <v>52</v>
      </c>
    </row>
    <row r="2" spans="1:18" s="16" customFormat="1" ht="33" customHeight="1" x14ac:dyDescent="0.25">
      <c r="A2" s="177"/>
      <c r="B2" s="15" t="s">
        <v>21</v>
      </c>
      <c r="C2" s="15" t="s">
        <v>8</v>
      </c>
      <c r="D2" s="15" t="s">
        <v>42</v>
      </c>
      <c r="E2" s="15" t="s">
        <v>39</v>
      </c>
      <c r="F2" s="15" t="s">
        <v>9</v>
      </c>
      <c r="G2" s="15" t="s">
        <v>10</v>
      </c>
      <c r="H2" s="15" t="s">
        <v>11</v>
      </c>
      <c r="I2" s="15" t="s">
        <v>43</v>
      </c>
      <c r="J2" s="15" t="s">
        <v>40</v>
      </c>
      <c r="K2" s="15" t="s">
        <v>41</v>
      </c>
      <c r="L2" s="15" t="s">
        <v>12</v>
      </c>
      <c r="M2" s="15" t="s">
        <v>13</v>
      </c>
      <c r="N2" s="17" t="s">
        <v>14</v>
      </c>
      <c r="O2" s="15" t="s">
        <v>53</v>
      </c>
      <c r="P2" s="18" t="s">
        <v>54</v>
      </c>
      <c r="Q2" s="15" t="s">
        <v>55</v>
      </c>
      <c r="R2" s="15" t="s">
        <v>56</v>
      </c>
    </row>
    <row r="3" spans="1:18" s="16" customFormat="1" ht="18.75" customHeight="1" x14ac:dyDescent="0.25">
      <c r="A3" s="19" t="s">
        <v>22</v>
      </c>
      <c r="B3" s="4">
        <v>0</v>
      </c>
      <c r="C3" s="20">
        <v>12.01</v>
      </c>
      <c r="D3" s="8">
        <f>B3*C3</f>
        <v>0</v>
      </c>
      <c r="E3" s="20">
        <v>14093</v>
      </c>
      <c r="F3" s="8">
        <f>E3*D3</f>
        <v>0</v>
      </c>
      <c r="G3" s="20">
        <v>11.526999999999999</v>
      </c>
      <c r="H3" s="8">
        <f>G3*D3</f>
        <v>0</v>
      </c>
      <c r="I3" s="20">
        <v>3.6640000000000001</v>
      </c>
      <c r="J3" s="8">
        <f>D3*I3</f>
        <v>0</v>
      </c>
      <c r="K3" s="20">
        <v>0</v>
      </c>
      <c r="L3" s="8">
        <f>K3*D3</f>
        <v>0</v>
      </c>
      <c r="M3" s="20">
        <v>8.8629999999999995</v>
      </c>
      <c r="N3" s="21">
        <f>M3*D3</f>
        <v>0</v>
      </c>
      <c r="O3" s="20">
        <v>0</v>
      </c>
      <c r="P3" s="21">
        <f>O3*D3</f>
        <v>0</v>
      </c>
      <c r="Q3" s="20">
        <v>2.6640000000000001</v>
      </c>
      <c r="R3" s="8">
        <f>Q3*D3</f>
        <v>0</v>
      </c>
    </row>
    <row r="4" spans="1:18" s="16" customFormat="1" ht="18.75" customHeight="1" x14ac:dyDescent="0.25">
      <c r="A4" s="19" t="s">
        <v>23</v>
      </c>
      <c r="B4" s="4">
        <f>SI!E5/100</f>
        <v>8.5999999999999993E-2</v>
      </c>
      <c r="C4" s="20">
        <v>2.016</v>
      </c>
      <c r="D4" s="8">
        <f t="shared" ref="D4:D36" si="0">B4*C4</f>
        <v>0.17337599999999997</v>
      </c>
      <c r="E4" s="20">
        <v>51623</v>
      </c>
      <c r="F4" s="8">
        <f t="shared" ref="F4:F36" si="1">E4*D4</f>
        <v>8950.1892479999988</v>
      </c>
      <c r="G4" s="20">
        <v>34.344000000000001</v>
      </c>
      <c r="H4" s="8">
        <f t="shared" ref="H4:H36" si="2">G4*D4</f>
        <v>5.9544253439999997</v>
      </c>
      <c r="I4" s="20">
        <v>0</v>
      </c>
      <c r="J4" s="8">
        <f t="shared" ref="J4:J36" si="3">D4*I4</f>
        <v>0</v>
      </c>
      <c r="K4" s="20">
        <v>8.9369999999999994</v>
      </c>
      <c r="L4" s="8">
        <f t="shared" ref="L4:L36" si="4">K4*D4</f>
        <v>1.5494613119999996</v>
      </c>
      <c r="M4" s="20">
        <v>26.1111</v>
      </c>
      <c r="N4" s="21">
        <f t="shared" ref="N4:N36" si="5">M4*D4</f>
        <v>4.5270380735999991</v>
      </c>
      <c r="O4" s="20">
        <v>0</v>
      </c>
      <c r="P4" s="21">
        <f t="shared" ref="P4:P36" si="6">O4*D4</f>
        <v>0</v>
      </c>
      <c r="Q4" s="20">
        <v>7.9370000000000003</v>
      </c>
      <c r="R4" s="8">
        <f t="shared" ref="R4:R36" si="7">Q4*D4</f>
        <v>1.3760853119999998</v>
      </c>
    </row>
    <row r="5" spans="1:18" s="16" customFormat="1" ht="18.75" customHeight="1" x14ac:dyDescent="0.25">
      <c r="A5" s="19" t="s">
        <v>24</v>
      </c>
      <c r="B5" s="4">
        <v>0</v>
      </c>
      <c r="C5" s="20">
        <v>32</v>
      </c>
      <c r="D5" s="8">
        <f t="shared" si="0"/>
        <v>0</v>
      </c>
      <c r="E5" s="20">
        <v>0</v>
      </c>
      <c r="F5" s="8">
        <f t="shared" si="1"/>
        <v>0</v>
      </c>
      <c r="G5" s="20">
        <v>-4.3150000000000004</v>
      </c>
      <c r="H5" s="8">
        <f t="shared" si="2"/>
        <v>0</v>
      </c>
      <c r="I5" s="20">
        <v>0</v>
      </c>
      <c r="J5" s="8">
        <f t="shared" si="3"/>
        <v>0</v>
      </c>
      <c r="K5" s="20">
        <v>0</v>
      </c>
      <c r="L5" s="8">
        <f t="shared" si="4"/>
        <v>0</v>
      </c>
      <c r="M5" s="20">
        <v>-3.3170000000000002</v>
      </c>
      <c r="N5" s="21">
        <f t="shared" si="5"/>
        <v>0</v>
      </c>
      <c r="O5" s="20">
        <v>0</v>
      </c>
      <c r="P5" s="21">
        <f t="shared" si="6"/>
        <v>0</v>
      </c>
      <c r="Q5" s="20">
        <v>-1</v>
      </c>
      <c r="R5" s="8">
        <f t="shared" si="7"/>
        <v>0</v>
      </c>
    </row>
    <row r="6" spans="1:18" s="16" customFormat="1" ht="18.75" customHeight="1" x14ac:dyDescent="0.25">
      <c r="A6" s="19" t="s">
        <v>25</v>
      </c>
      <c r="B6" s="4">
        <f>SI!E6/100</f>
        <v>1.2E-2</v>
      </c>
      <c r="C6" s="20">
        <v>28.015999999999998</v>
      </c>
      <c r="D6" s="8">
        <f t="shared" si="0"/>
        <v>0.33619199999999999</v>
      </c>
      <c r="E6" s="20">
        <v>0</v>
      </c>
      <c r="F6" s="8">
        <f t="shared" si="1"/>
        <v>0</v>
      </c>
      <c r="G6" s="20">
        <v>0</v>
      </c>
      <c r="H6" s="8">
        <f t="shared" si="2"/>
        <v>0</v>
      </c>
      <c r="I6" s="20">
        <v>0</v>
      </c>
      <c r="J6" s="8">
        <f t="shared" si="3"/>
        <v>0</v>
      </c>
      <c r="K6" s="20">
        <v>0</v>
      </c>
      <c r="L6" s="8">
        <f t="shared" si="4"/>
        <v>0</v>
      </c>
      <c r="M6" s="20">
        <v>1</v>
      </c>
      <c r="N6" s="21">
        <f>M6*D6</f>
        <v>0.33619199999999999</v>
      </c>
      <c r="O6" s="20">
        <v>0</v>
      </c>
      <c r="P6" s="21">
        <f t="shared" si="6"/>
        <v>0</v>
      </c>
      <c r="Q6" s="20">
        <v>0</v>
      </c>
      <c r="R6" s="8">
        <f t="shared" si="7"/>
        <v>0</v>
      </c>
    </row>
    <row r="7" spans="1:18" s="16" customFormat="1" ht="18.75" customHeight="1" x14ac:dyDescent="0.25">
      <c r="A7" s="19" t="s">
        <v>26</v>
      </c>
      <c r="B7" s="4">
        <f>SI!E7/100</f>
        <v>0</v>
      </c>
      <c r="C7" s="20">
        <v>28.01</v>
      </c>
      <c r="D7" s="8">
        <f t="shared" si="0"/>
        <v>0</v>
      </c>
      <c r="E7" s="20">
        <v>4347</v>
      </c>
      <c r="F7" s="8">
        <f t="shared" si="1"/>
        <v>0</v>
      </c>
      <c r="G7" s="20">
        <v>2.4710000000000001</v>
      </c>
      <c r="H7" s="8">
        <f t="shared" si="2"/>
        <v>0</v>
      </c>
      <c r="I7" s="20">
        <v>1.571</v>
      </c>
      <c r="J7" s="8">
        <f t="shared" si="3"/>
        <v>0</v>
      </c>
      <c r="K7" s="20">
        <v>0</v>
      </c>
      <c r="L7" s="8">
        <f t="shared" si="4"/>
        <v>0</v>
      </c>
      <c r="M7" s="20">
        <v>1.8793</v>
      </c>
      <c r="N7" s="21">
        <f t="shared" si="5"/>
        <v>0</v>
      </c>
      <c r="O7" s="20">
        <v>0</v>
      </c>
      <c r="P7" s="21">
        <f t="shared" si="6"/>
        <v>0</v>
      </c>
      <c r="Q7" s="20">
        <v>0.57099999999999995</v>
      </c>
      <c r="R7" s="8">
        <f t="shared" si="7"/>
        <v>0</v>
      </c>
    </row>
    <row r="8" spans="1:18" s="16" customFormat="1" ht="18.75" customHeight="1" x14ac:dyDescent="0.25">
      <c r="A8" s="19" t="s">
        <v>57</v>
      </c>
      <c r="B8" s="4">
        <f>SI!E8/100</f>
        <v>2.5000000000000001E-3</v>
      </c>
      <c r="C8" s="20">
        <v>44.01</v>
      </c>
      <c r="D8" s="8">
        <f t="shared" si="0"/>
        <v>0.110025</v>
      </c>
      <c r="E8" s="20">
        <v>0</v>
      </c>
      <c r="F8" s="8">
        <f t="shared" si="1"/>
        <v>0</v>
      </c>
      <c r="G8" s="20">
        <v>0</v>
      </c>
      <c r="H8" s="8">
        <f t="shared" si="2"/>
        <v>0</v>
      </c>
      <c r="I8" s="20">
        <v>1</v>
      </c>
      <c r="J8" s="8">
        <f t="shared" si="3"/>
        <v>0.110025</v>
      </c>
      <c r="K8" s="20">
        <v>0</v>
      </c>
      <c r="L8" s="8">
        <f t="shared" si="4"/>
        <v>0</v>
      </c>
      <c r="M8" s="20">
        <v>0</v>
      </c>
      <c r="N8" s="21">
        <f t="shared" si="5"/>
        <v>0</v>
      </c>
      <c r="O8" s="20">
        <v>0</v>
      </c>
      <c r="P8" s="21">
        <f t="shared" si="6"/>
        <v>0</v>
      </c>
      <c r="Q8" s="20">
        <v>0</v>
      </c>
      <c r="R8" s="8">
        <f t="shared" si="7"/>
        <v>0</v>
      </c>
    </row>
    <row r="9" spans="1:18" s="16" customFormat="1" ht="18.75" customHeight="1" x14ac:dyDescent="0.25">
      <c r="A9" s="19" t="s">
        <v>58</v>
      </c>
      <c r="B9" s="4">
        <f>SI!E9/100</f>
        <v>0.77879999999999994</v>
      </c>
      <c r="C9" s="20">
        <v>16.041</v>
      </c>
      <c r="D9" s="8">
        <f t="shared" si="0"/>
        <v>12.492730799999999</v>
      </c>
      <c r="E9" s="20">
        <v>21520</v>
      </c>
      <c r="F9" s="8">
        <f t="shared" si="1"/>
        <v>268843.56681599998</v>
      </c>
      <c r="G9" s="20">
        <v>17.265000000000001</v>
      </c>
      <c r="H9" s="8">
        <f t="shared" si="2"/>
        <v>215.68699726199998</v>
      </c>
      <c r="I9" s="20">
        <v>2.7440000000000002</v>
      </c>
      <c r="J9" s="8">
        <f t="shared" si="3"/>
        <v>34.2800533152</v>
      </c>
      <c r="K9" s="20">
        <v>2.246</v>
      </c>
      <c r="L9" s="8">
        <f t="shared" si="4"/>
        <v>28.058673376799998</v>
      </c>
      <c r="M9" s="20">
        <v>13.1272</v>
      </c>
      <c r="N9" s="21">
        <f t="shared" si="5"/>
        <v>163.99457575775997</v>
      </c>
      <c r="O9" s="20">
        <v>0</v>
      </c>
      <c r="P9" s="21">
        <f t="shared" si="6"/>
        <v>0</v>
      </c>
      <c r="Q9" s="20">
        <v>3.99</v>
      </c>
      <c r="R9" s="8">
        <f t="shared" si="7"/>
        <v>49.845995891999998</v>
      </c>
    </row>
    <row r="10" spans="1:18" s="16" customFormat="1" ht="18.75" customHeight="1" x14ac:dyDescent="0.25">
      <c r="A10" s="19" t="s">
        <v>59</v>
      </c>
      <c r="B10" s="4">
        <f>SI!E10/100</f>
        <v>5.5999999999999994E-2</v>
      </c>
      <c r="C10" s="20">
        <v>30.067</v>
      </c>
      <c r="D10" s="8">
        <f t="shared" si="0"/>
        <v>1.6837519999999999</v>
      </c>
      <c r="E10" s="20">
        <v>20432</v>
      </c>
      <c r="F10" s="8">
        <f t="shared" si="1"/>
        <v>34402.420864</v>
      </c>
      <c r="G10" s="20">
        <v>16.011900000000001</v>
      </c>
      <c r="H10" s="8">
        <f t="shared" si="2"/>
        <v>26.9600686488</v>
      </c>
      <c r="I10" s="20">
        <v>2.927</v>
      </c>
      <c r="J10" s="8">
        <f t="shared" si="3"/>
        <v>4.9283421039999995</v>
      </c>
      <c r="K10" s="20">
        <v>1.798</v>
      </c>
      <c r="L10" s="8">
        <f t="shared" si="4"/>
        <v>3.0273860959999999</v>
      </c>
      <c r="M10" s="20">
        <v>12.254099999999999</v>
      </c>
      <c r="N10" s="21">
        <f t="shared" si="5"/>
        <v>20.632865383199999</v>
      </c>
      <c r="O10" s="20">
        <v>0</v>
      </c>
      <c r="P10" s="21">
        <f t="shared" si="6"/>
        <v>0</v>
      </c>
      <c r="Q10" s="20">
        <v>3.7250000000000001</v>
      </c>
      <c r="R10" s="8">
        <f t="shared" si="7"/>
        <v>6.2719762000000001</v>
      </c>
    </row>
    <row r="11" spans="1:18" s="16" customFormat="1" ht="18.75" customHeight="1" x14ac:dyDescent="0.25">
      <c r="A11" s="19" t="s">
        <v>138</v>
      </c>
      <c r="B11" s="4">
        <f>SI!E11/100</f>
        <v>2E-3</v>
      </c>
      <c r="C11" s="20">
        <v>28.050999999999998</v>
      </c>
      <c r="D11" s="8">
        <f t="shared" si="0"/>
        <v>5.6101999999999999E-2</v>
      </c>
      <c r="E11" s="20">
        <v>20295</v>
      </c>
      <c r="F11" s="8">
        <f t="shared" si="1"/>
        <v>1138.5900899999999</v>
      </c>
      <c r="G11" s="20">
        <v>14.807</v>
      </c>
      <c r="H11" s="8">
        <f t="shared" si="2"/>
        <v>0.83070231400000005</v>
      </c>
      <c r="I11" s="20">
        <v>3.1379999999999999</v>
      </c>
      <c r="J11" s="8">
        <f t="shared" si="3"/>
        <v>0.176048076</v>
      </c>
      <c r="K11" s="20">
        <v>1.2849999999999999</v>
      </c>
      <c r="L11" s="8">
        <f t="shared" si="4"/>
        <v>7.2091069999999993E-2</v>
      </c>
      <c r="M11" s="20">
        <v>11.2599</v>
      </c>
      <c r="N11" s="21">
        <f t="shared" si="5"/>
        <v>0.63170290979999999</v>
      </c>
      <c r="O11" s="20">
        <v>0</v>
      </c>
      <c r="P11" s="21">
        <f t="shared" si="6"/>
        <v>0</v>
      </c>
      <c r="Q11" s="20">
        <v>3.4220000000000002</v>
      </c>
      <c r="R11" s="8">
        <f t="shared" si="7"/>
        <v>0.19198104400000002</v>
      </c>
    </row>
    <row r="12" spans="1:18" s="16" customFormat="1" ht="18.75" customHeight="1" x14ac:dyDescent="0.25">
      <c r="A12" s="19" t="s">
        <v>28</v>
      </c>
      <c r="B12" s="4">
        <f>SI!E12/100</f>
        <v>2.0000000000000001E-4</v>
      </c>
      <c r="C12" s="20">
        <v>26.036000000000001</v>
      </c>
      <c r="D12" s="8">
        <f t="shared" si="0"/>
        <v>5.2072000000000004E-3</v>
      </c>
      <c r="E12" s="20">
        <v>20776</v>
      </c>
      <c r="F12" s="8">
        <f t="shared" si="1"/>
        <v>108.1847872</v>
      </c>
      <c r="G12" s="20">
        <v>13.297000000000001</v>
      </c>
      <c r="H12" s="8">
        <f t="shared" si="2"/>
        <v>6.9240138400000012E-2</v>
      </c>
      <c r="I12" s="20">
        <v>3.3809999999999998</v>
      </c>
      <c r="J12" s="8">
        <f t="shared" si="3"/>
        <v>1.76055432E-2</v>
      </c>
      <c r="K12" s="20">
        <v>0.69199999999999995</v>
      </c>
      <c r="L12" s="8">
        <f t="shared" si="4"/>
        <v>3.6033824000000002E-3</v>
      </c>
      <c r="M12" s="20">
        <v>10.1075</v>
      </c>
      <c r="N12" s="21">
        <f t="shared" si="5"/>
        <v>5.2631774000000006E-2</v>
      </c>
      <c r="O12" s="20">
        <v>0</v>
      </c>
      <c r="P12" s="21">
        <f t="shared" si="6"/>
        <v>0</v>
      </c>
      <c r="Q12" s="20">
        <v>3.073</v>
      </c>
      <c r="R12" s="8">
        <f t="shared" si="7"/>
        <v>1.6001725600000002E-2</v>
      </c>
    </row>
    <row r="13" spans="1:18" s="16" customFormat="1" ht="18.75" customHeight="1" x14ac:dyDescent="0.25">
      <c r="A13" s="19" t="s">
        <v>60</v>
      </c>
      <c r="B13" s="4">
        <f>SI!E13/100</f>
        <v>3.2000000000000001E-2</v>
      </c>
      <c r="C13" s="20">
        <v>44.091999999999999</v>
      </c>
      <c r="D13" s="8">
        <f t="shared" si="0"/>
        <v>1.410944</v>
      </c>
      <c r="E13" s="20">
        <v>19944</v>
      </c>
      <c r="F13" s="8">
        <f t="shared" si="1"/>
        <v>28139.867136000001</v>
      </c>
      <c r="G13" s="20">
        <v>15.702999999999999</v>
      </c>
      <c r="H13" s="8">
        <f t="shared" si="2"/>
        <v>22.156053631999999</v>
      </c>
      <c r="I13" s="20">
        <v>2.9940000000000002</v>
      </c>
      <c r="J13" s="8">
        <f t="shared" si="3"/>
        <v>4.2243663360000001</v>
      </c>
      <c r="K13" s="20">
        <v>1.6339999999999999</v>
      </c>
      <c r="L13" s="8">
        <f t="shared" si="4"/>
        <v>2.3054824959999998</v>
      </c>
      <c r="M13" s="20">
        <v>11.936500000000001</v>
      </c>
      <c r="N13" s="21">
        <f t="shared" si="5"/>
        <v>16.841733055999999</v>
      </c>
      <c r="O13" s="20">
        <v>0</v>
      </c>
      <c r="P13" s="21">
        <f t="shared" si="6"/>
        <v>0</v>
      </c>
      <c r="Q13" s="20">
        <v>3.629</v>
      </c>
      <c r="R13" s="8">
        <f t="shared" si="7"/>
        <v>5.120315776</v>
      </c>
    </row>
    <row r="14" spans="1:18" s="16" customFormat="1" ht="18.75" customHeight="1" x14ac:dyDescent="0.25">
      <c r="A14" s="19" t="s">
        <v>29</v>
      </c>
      <c r="B14" s="4">
        <f>SI!E14/100</f>
        <v>0</v>
      </c>
      <c r="C14" s="20">
        <v>42.076999999999998</v>
      </c>
      <c r="D14" s="8">
        <f t="shared" si="0"/>
        <v>0</v>
      </c>
      <c r="E14" s="20">
        <v>19691</v>
      </c>
      <c r="F14" s="8">
        <f t="shared" si="1"/>
        <v>0</v>
      </c>
      <c r="G14" s="20">
        <v>14.807</v>
      </c>
      <c r="H14" s="8">
        <f t="shared" si="2"/>
        <v>0</v>
      </c>
      <c r="I14" s="20">
        <v>3.1379999999999999</v>
      </c>
      <c r="J14" s="8">
        <f t="shared" si="3"/>
        <v>0</v>
      </c>
      <c r="K14" s="20">
        <v>1.2849999999999999</v>
      </c>
      <c r="L14" s="8">
        <f t="shared" si="4"/>
        <v>0</v>
      </c>
      <c r="M14" s="20">
        <v>11.258599999999999</v>
      </c>
      <c r="N14" s="21">
        <f t="shared" si="5"/>
        <v>0</v>
      </c>
      <c r="O14" s="20">
        <v>0</v>
      </c>
      <c r="P14" s="21">
        <f t="shared" si="6"/>
        <v>0</v>
      </c>
      <c r="Q14" s="20">
        <v>3.4220000000000002</v>
      </c>
      <c r="R14" s="8">
        <f t="shared" si="7"/>
        <v>0</v>
      </c>
    </row>
    <row r="15" spans="1:18" s="16" customFormat="1" ht="18.75" customHeight="1" x14ac:dyDescent="0.25">
      <c r="A15" s="19" t="s">
        <v>61</v>
      </c>
      <c r="B15" s="4">
        <f>SI!E15/100</f>
        <v>8.0000000000000002E-3</v>
      </c>
      <c r="C15" s="20">
        <v>58.118000000000002</v>
      </c>
      <c r="D15" s="8">
        <f t="shared" si="0"/>
        <v>0.46494400000000002</v>
      </c>
      <c r="E15" s="20">
        <v>19680</v>
      </c>
      <c r="F15" s="8">
        <f t="shared" si="1"/>
        <v>9150.0979200000002</v>
      </c>
      <c r="G15" s="20">
        <v>15.487</v>
      </c>
      <c r="H15" s="8">
        <f t="shared" si="2"/>
        <v>7.2005877280000004</v>
      </c>
      <c r="I15" s="20">
        <v>3.0289999999999999</v>
      </c>
      <c r="J15" s="8">
        <f t="shared" si="3"/>
        <v>1.408315376</v>
      </c>
      <c r="K15" s="20">
        <v>1.55</v>
      </c>
      <c r="L15" s="8">
        <f t="shared" si="4"/>
        <v>0.72066320000000006</v>
      </c>
      <c r="M15" s="20">
        <v>11.7743</v>
      </c>
      <c r="N15" s="21">
        <f t="shared" si="5"/>
        <v>5.4743901392000005</v>
      </c>
      <c r="O15" s="20">
        <v>0</v>
      </c>
      <c r="P15" s="21">
        <f t="shared" si="6"/>
        <v>0</v>
      </c>
      <c r="Q15" s="20">
        <v>3.5790000000000002</v>
      </c>
      <c r="R15" s="8">
        <f t="shared" si="7"/>
        <v>1.6640345760000002</v>
      </c>
    </row>
    <row r="16" spans="1:18" s="16" customFormat="1" ht="18.75" customHeight="1" x14ac:dyDescent="0.25">
      <c r="A16" s="19" t="s">
        <v>62</v>
      </c>
      <c r="B16" s="4">
        <v>0</v>
      </c>
      <c r="C16" s="20">
        <v>58.118000000000002</v>
      </c>
      <c r="D16" s="8">
        <f t="shared" si="0"/>
        <v>0</v>
      </c>
      <c r="E16" s="20">
        <v>19629</v>
      </c>
      <c r="F16" s="8">
        <f t="shared" si="1"/>
        <v>0</v>
      </c>
      <c r="G16" s="20">
        <v>15.487</v>
      </c>
      <c r="H16" s="8">
        <f t="shared" si="2"/>
        <v>0</v>
      </c>
      <c r="I16" s="20">
        <v>3.0289999999999999</v>
      </c>
      <c r="J16" s="8">
        <f t="shared" si="3"/>
        <v>0</v>
      </c>
      <c r="K16" s="20">
        <v>1.55</v>
      </c>
      <c r="L16" s="8">
        <f t="shared" si="4"/>
        <v>0</v>
      </c>
      <c r="M16" s="20">
        <v>11.7743</v>
      </c>
      <c r="N16" s="21">
        <f t="shared" si="5"/>
        <v>0</v>
      </c>
      <c r="O16" s="20">
        <v>0</v>
      </c>
      <c r="P16" s="21">
        <f t="shared" si="6"/>
        <v>0</v>
      </c>
      <c r="Q16" s="20">
        <v>3.5790000000000002</v>
      </c>
      <c r="R16" s="8">
        <f t="shared" si="7"/>
        <v>0</v>
      </c>
    </row>
    <row r="17" spans="1:18" s="16" customFormat="1" ht="18.75" customHeight="1" x14ac:dyDescent="0.25">
      <c r="A17" s="19" t="s">
        <v>30</v>
      </c>
      <c r="B17" s="4">
        <f>SI!E16/100</f>
        <v>0</v>
      </c>
      <c r="C17" s="20">
        <v>56.101999999999997</v>
      </c>
      <c r="D17" s="8">
        <f t="shared" si="0"/>
        <v>0</v>
      </c>
      <c r="E17" s="20">
        <v>19496</v>
      </c>
      <c r="F17" s="8">
        <f t="shared" si="1"/>
        <v>0</v>
      </c>
      <c r="G17" s="20">
        <v>14.807</v>
      </c>
      <c r="H17" s="8">
        <f t="shared" si="2"/>
        <v>0</v>
      </c>
      <c r="I17" s="20">
        <v>3.1379999999999999</v>
      </c>
      <c r="J17" s="8">
        <f t="shared" si="3"/>
        <v>0</v>
      </c>
      <c r="K17" s="20">
        <v>1.2849999999999999</v>
      </c>
      <c r="L17" s="8">
        <f t="shared" si="4"/>
        <v>0</v>
      </c>
      <c r="M17" s="20">
        <v>11.257899999999999</v>
      </c>
      <c r="N17" s="21">
        <f t="shared" si="5"/>
        <v>0</v>
      </c>
      <c r="O17" s="20">
        <v>0</v>
      </c>
      <c r="P17" s="21">
        <f t="shared" si="6"/>
        <v>0</v>
      </c>
      <c r="Q17" s="20">
        <v>3.4220000000000002</v>
      </c>
      <c r="R17" s="8">
        <f t="shared" si="7"/>
        <v>0</v>
      </c>
    </row>
    <row r="18" spans="1:18" s="16" customFormat="1" ht="18.75" customHeight="1" x14ac:dyDescent="0.25">
      <c r="A18" s="19" t="s">
        <v>63</v>
      </c>
      <c r="B18" s="4">
        <v>0</v>
      </c>
      <c r="C18" s="20">
        <v>56.101999999999997</v>
      </c>
      <c r="D18" s="8">
        <f t="shared" si="0"/>
        <v>0</v>
      </c>
      <c r="E18" s="20">
        <v>19382</v>
      </c>
      <c r="F18" s="8">
        <f t="shared" si="1"/>
        <v>0</v>
      </c>
      <c r="G18" s="20">
        <v>14.807</v>
      </c>
      <c r="H18" s="8">
        <f t="shared" si="2"/>
        <v>0</v>
      </c>
      <c r="I18" s="20">
        <v>3.1379999999999999</v>
      </c>
      <c r="J18" s="8">
        <f t="shared" si="3"/>
        <v>0</v>
      </c>
      <c r="K18" s="20">
        <v>1.2849999999999999</v>
      </c>
      <c r="L18" s="8">
        <f t="shared" si="4"/>
        <v>0</v>
      </c>
      <c r="M18" s="20">
        <v>11.385</v>
      </c>
      <c r="N18" s="21">
        <f t="shared" si="5"/>
        <v>0</v>
      </c>
      <c r="O18" s="20">
        <v>0</v>
      </c>
      <c r="P18" s="21">
        <f t="shared" si="6"/>
        <v>0</v>
      </c>
      <c r="Q18" s="20">
        <v>3.4220000000000002</v>
      </c>
      <c r="R18" s="8">
        <f t="shared" si="7"/>
        <v>0</v>
      </c>
    </row>
    <row r="19" spans="1:18" s="16" customFormat="1" ht="18.75" customHeight="1" x14ac:dyDescent="0.25">
      <c r="A19" s="19" t="s">
        <v>64</v>
      </c>
      <c r="B19" s="4">
        <f>SI!E17/100</f>
        <v>0</v>
      </c>
      <c r="C19" s="20">
        <v>72.144000000000005</v>
      </c>
      <c r="D19" s="8">
        <f t="shared" si="0"/>
        <v>0</v>
      </c>
      <c r="E19" s="20">
        <v>19517</v>
      </c>
      <c r="F19" s="8">
        <f t="shared" si="1"/>
        <v>0</v>
      </c>
      <c r="G19" s="20">
        <v>15.353</v>
      </c>
      <c r="H19" s="8">
        <f t="shared" si="2"/>
        <v>0</v>
      </c>
      <c r="I19" s="20">
        <v>3.05</v>
      </c>
      <c r="J19" s="8">
        <f t="shared" si="3"/>
        <v>0</v>
      </c>
      <c r="K19" s="20">
        <v>1.498</v>
      </c>
      <c r="L19" s="8">
        <f t="shared" si="4"/>
        <v>0</v>
      </c>
      <c r="M19" s="20">
        <v>11.673500000000001</v>
      </c>
      <c r="N19" s="21">
        <f t="shared" si="5"/>
        <v>0</v>
      </c>
      <c r="O19" s="20">
        <v>0</v>
      </c>
      <c r="P19" s="21">
        <f t="shared" si="6"/>
        <v>0</v>
      </c>
      <c r="Q19" s="20">
        <v>3.548</v>
      </c>
      <c r="R19" s="8">
        <f t="shared" si="7"/>
        <v>0</v>
      </c>
    </row>
    <row r="20" spans="1:18" s="16" customFormat="1" ht="18.75" customHeight="1" x14ac:dyDescent="0.25">
      <c r="A20" s="19" t="s">
        <v>65</v>
      </c>
      <c r="B20" s="4">
        <v>0</v>
      </c>
      <c r="C20" s="20">
        <v>72.144000000000005</v>
      </c>
      <c r="D20" s="8">
        <f t="shared" si="0"/>
        <v>0</v>
      </c>
      <c r="E20" s="20">
        <v>19478</v>
      </c>
      <c r="F20" s="8">
        <f t="shared" si="1"/>
        <v>0</v>
      </c>
      <c r="G20" s="20">
        <v>15.353</v>
      </c>
      <c r="H20" s="8">
        <f t="shared" si="2"/>
        <v>0</v>
      </c>
      <c r="I20" s="20">
        <v>3.05</v>
      </c>
      <c r="J20" s="8">
        <f t="shared" si="3"/>
        <v>0</v>
      </c>
      <c r="K20" s="20">
        <v>1.498</v>
      </c>
      <c r="L20" s="8">
        <f t="shared" si="4"/>
        <v>0</v>
      </c>
      <c r="M20" s="20">
        <v>11.673500000000001</v>
      </c>
      <c r="N20" s="21">
        <f t="shared" si="5"/>
        <v>0</v>
      </c>
      <c r="O20" s="20">
        <v>0</v>
      </c>
      <c r="P20" s="21">
        <f t="shared" si="6"/>
        <v>0</v>
      </c>
      <c r="Q20" s="20">
        <v>3.548</v>
      </c>
      <c r="R20" s="8">
        <f t="shared" si="7"/>
        <v>0</v>
      </c>
    </row>
    <row r="21" spans="1:18" s="16" customFormat="1" ht="18.75" customHeight="1" x14ac:dyDescent="0.25">
      <c r="A21" s="19" t="s">
        <v>66</v>
      </c>
      <c r="B21" s="4">
        <v>0</v>
      </c>
      <c r="C21" s="20">
        <v>72.144000000000005</v>
      </c>
      <c r="D21" s="8">
        <f t="shared" si="0"/>
        <v>0</v>
      </c>
      <c r="E21" s="20">
        <v>19396</v>
      </c>
      <c r="F21" s="8">
        <f t="shared" si="1"/>
        <v>0</v>
      </c>
      <c r="G21" s="20">
        <v>15.353</v>
      </c>
      <c r="H21" s="8">
        <f t="shared" si="2"/>
        <v>0</v>
      </c>
      <c r="I21" s="20">
        <v>3.05</v>
      </c>
      <c r="J21" s="8">
        <f t="shared" si="3"/>
        <v>0</v>
      </c>
      <c r="K21" s="20">
        <v>1.498</v>
      </c>
      <c r="L21" s="8">
        <f t="shared" si="4"/>
        <v>0</v>
      </c>
      <c r="M21" s="20">
        <v>11.805</v>
      </c>
      <c r="N21" s="21">
        <f t="shared" si="5"/>
        <v>0</v>
      </c>
      <c r="O21" s="20">
        <v>0</v>
      </c>
      <c r="P21" s="21">
        <f t="shared" si="6"/>
        <v>0</v>
      </c>
      <c r="Q21" s="20">
        <v>3.548</v>
      </c>
      <c r="R21" s="8">
        <f t="shared" si="7"/>
        <v>0</v>
      </c>
    </row>
    <row r="22" spans="1:18" s="16" customFormat="1" ht="18.75" customHeight="1" x14ac:dyDescent="0.25">
      <c r="A22" s="19" t="s">
        <v>67</v>
      </c>
      <c r="B22" s="4">
        <v>0</v>
      </c>
      <c r="C22" s="20">
        <v>70.128</v>
      </c>
      <c r="D22" s="8">
        <f t="shared" si="0"/>
        <v>0</v>
      </c>
      <c r="E22" s="20">
        <v>19363</v>
      </c>
      <c r="F22" s="8">
        <f t="shared" si="1"/>
        <v>0</v>
      </c>
      <c r="G22" s="20">
        <v>14.807</v>
      </c>
      <c r="H22" s="8">
        <f t="shared" si="2"/>
        <v>0</v>
      </c>
      <c r="I22" s="20">
        <v>3.1379999999999999</v>
      </c>
      <c r="J22" s="8">
        <f t="shared" si="3"/>
        <v>0</v>
      </c>
      <c r="K22" s="20">
        <v>1.2849999999999999</v>
      </c>
      <c r="L22" s="8">
        <f t="shared" si="4"/>
        <v>0</v>
      </c>
      <c r="M22" s="20">
        <v>11.385</v>
      </c>
      <c r="N22" s="21">
        <f t="shared" si="5"/>
        <v>0</v>
      </c>
      <c r="O22" s="20">
        <v>0</v>
      </c>
      <c r="P22" s="21">
        <f t="shared" si="6"/>
        <v>0</v>
      </c>
      <c r="Q22" s="20">
        <v>3.4220000000000002</v>
      </c>
      <c r="R22" s="8">
        <f t="shared" si="7"/>
        <v>0</v>
      </c>
    </row>
    <row r="23" spans="1:18" s="16" customFormat="1" ht="18.75" customHeight="1" x14ac:dyDescent="0.25">
      <c r="A23" s="19" t="s">
        <v>68</v>
      </c>
      <c r="B23" s="4">
        <f>SI!E18/100</f>
        <v>6.0000000000000001E-3</v>
      </c>
      <c r="C23" s="20">
        <v>86.168999999999997</v>
      </c>
      <c r="D23" s="8">
        <f t="shared" si="0"/>
        <v>0.51701399999999997</v>
      </c>
      <c r="E23" s="20">
        <v>19403</v>
      </c>
      <c r="F23" s="8">
        <f t="shared" si="1"/>
        <v>10031.622642</v>
      </c>
      <c r="G23" s="20">
        <v>15.266</v>
      </c>
      <c r="H23" s="8">
        <f t="shared" si="2"/>
        <v>7.8927357239999996</v>
      </c>
      <c r="I23" s="20">
        <v>3.0640000000000001</v>
      </c>
      <c r="J23" s="8">
        <f t="shared" si="3"/>
        <v>1.584130896</v>
      </c>
      <c r="K23" s="20">
        <v>1.464</v>
      </c>
      <c r="L23" s="8">
        <f t="shared" si="4"/>
        <v>0.75690849599999999</v>
      </c>
      <c r="M23" s="20">
        <v>11.605499999999999</v>
      </c>
      <c r="N23" s="21">
        <f t="shared" si="5"/>
        <v>6.0002059769999994</v>
      </c>
      <c r="O23" s="20">
        <v>0</v>
      </c>
      <c r="P23" s="21">
        <f t="shared" si="6"/>
        <v>0</v>
      </c>
      <c r="Q23" s="20">
        <v>3.528</v>
      </c>
      <c r="R23" s="8">
        <f t="shared" si="7"/>
        <v>1.824025392</v>
      </c>
    </row>
    <row r="24" spans="1:18" s="16" customFormat="1" ht="18.75" customHeight="1" x14ac:dyDescent="0.25">
      <c r="A24" s="19" t="s">
        <v>31</v>
      </c>
      <c r="B24" s="4">
        <f>SI!E19/100</f>
        <v>0</v>
      </c>
      <c r="C24" s="20">
        <v>78.106999999999999</v>
      </c>
      <c r="D24" s="8">
        <f t="shared" si="0"/>
        <v>0</v>
      </c>
      <c r="E24" s="20">
        <v>17480</v>
      </c>
      <c r="F24" s="8">
        <f t="shared" si="1"/>
        <v>0</v>
      </c>
      <c r="G24" s="20">
        <v>13.297000000000001</v>
      </c>
      <c r="H24" s="8">
        <f t="shared" si="2"/>
        <v>0</v>
      </c>
      <c r="I24" s="20">
        <v>3.3809999999999998</v>
      </c>
      <c r="J24" s="8">
        <f t="shared" si="3"/>
        <v>0</v>
      </c>
      <c r="K24" s="20">
        <v>0.69199999999999995</v>
      </c>
      <c r="L24" s="8">
        <f t="shared" si="4"/>
        <v>0</v>
      </c>
      <c r="M24" s="20">
        <v>10.1088</v>
      </c>
      <c r="N24" s="21">
        <f t="shared" si="5"/>
        <v>0</v>
      </c>
      <c r="O24" s="20">
        <v>0</v>
      </c>
      <c r="P24" s="21">
        <f t="shared" si="6"/>
        <v>0</v>
      </c>
      <c r="Q24" s="20">
        <v>3.073</v>
      </c>
      <c r="R24" s="8">
        <f t="shared" si="7"/>
        <v>0</v>
      </c>
    </row>
    <row r="25" spans="1:18" s="16" customFormat="1" ht="18.75" customHeight="1" x14ac:dyDescent="0.25">
      <c r="A25" s="19" t="s">
        <v>69</v>
      </c>
      <c r="B25" s="4">
        <f>SI!E20/100</f>
        <v>0</v>
      </c>
      <c r="C25" s="20">
        <v>92.132000000000005</v>
      </c>
      <c r="D25" s="8">
        <f t="shared" si="0"/>
        <v>0</v>
      </c>
      <c r="E25" s="20">
        <v>17620</v>
      </c>
      <c r="F25" s="8">
        <f t="shared" si="1"/>
        <v>0</v>
      </c>
      <c r="G25" s="20">
        <v>13.526999999999999</v>
      </c>
      <c r="H25" s="8">
        <f t="shared" si="2"/>
        <v>0</v>
      </c>
      <c r="I25" s="20">
        <v>3.3439999999999999</v>
      </c>
      <c r="J25" s="8">
        <f t="shared" si="3"/>
        <v>0</v>
      </c>
      <c r="K25" s="20">
        <v>0.78200000000000003</v>
      </c>
      <c r="L25" s="8">
        <f t="shared" si="4"/>
        <v>0</v>
      </c>
      <c r="M25" s="20">
        <v>10.2835</v>
      </c>
      <c r="N25" s="21">
        <f t="shared" si="5"/>
        <v>0</v>
      </c>
      <c r="O25" s="20">
        <v>0</v>
      </c>
      <c r="P25" s="21">
        <f t="shared" si="6"/>
        <v>0</v>
      </c>
      <c r="Q25" s="20">
        <v>3.1259999999999999</v>
      </c>
      <c r="R25" s="8">
        <f t="shared" si="7"/>
        <v>0</v>
      </c>
    </row>
    <row r="26" spans="1:18" s="16" customFormat="1" ht="18.75" customHeight="1" x14ac:dyDescent="0.25">
      <c r="A26" s="19" t="s">
        <v>70</v>
      </c>
      <c r="B26" s="4">
        <f>SI!E21/100</f>
        <v>0</v>
      </c>
      <c r="C26" s="20">
        <v>106.158</v>
      </c>
      <c r="D26" s="8">
        <f t="shared" si="0"/>
        <v>0</v>
      </c>
      <c r="E26" s="20">
        <v>17760</v>
      </c>
      <c r="F26" s="8">
        <f t="shared" si="1"/>
        <v>0</v>
      </c>
      <c r="G26" s="20">
        <v>13.695</v>
      </c>
      <c r="H26" s="8">
        <f t="shared" si="2"/>
        <v>0</v>
      </c>
      <c r="I26" s="20">
        <v>3.3170000000000002</v>
      </c>
      <c r="J26" s="8">
        <f t="shared" si="3"/>
        <v>0</v>
      </c>
      <c r="K26" s="20">
        <v>0.84899999999999998</v>
      </c>
      <c r="L26" s="8">
        <f t="shared" si="4"/>
        <v>0</v>
      </c>
      <c r="M26" s="20">
        <v>10.412000000000001</v>
      </c>
      <c r="N26" s="21">
        <f t="shared" si="5"/>
        <v>0</v>
      </c>
      <c r="O26" s="20">
        <v>0</v>
      </c>
      <c r="P26" s="21">
        <f t="shared" si="6"/>
        <v>0</v>
      </c>
      <c r="Q26" s="20">
        <v>3.165</v>
      </c>
      <c r="R26" s="8">
        <f t="shared" si="7"/>
        <v>0</v>
      </c>
    </row>
    <row r="27" spans="1:18" s="16" customFormat="1" ht="18.75" customHeight="1" x14ac:dyDescent="0.25">
      <c r="A27" s="19" t="s">
        <v>32</v>
      </c>
      <c r="B27" s="4">
        <v>0</v>
      </c>
      <c r="C27" s="20">
        <v>32</v>
      </c>
      <c r="D27" s="8">
        <f t="shared" si="0"/>
        <v>0</v>
      </c>
      <c r="E27" s="20">
        <v>8580</v>
      </c>
      <c r="F27" s="8">
        <f t="shared" si="1"/>
        <v>0</v>
      </c>
      <c r="G27" s="20">
        <v>6.48</v>
      </c>
      <c r="H27" s="8">
        <f t="shared" si="2"/>
        <v>0</v>
      </c>
      <c r="I27" s="20">
        <v>1.38</v>
      </c>
      <c r="J27" s="8">
        <f t="shared" si="3"/>
        <v>0</v>
      </c>
      <c r="K27" s="20">
        <v>1.1299999999999999</v>
      </c>
      <c r="L27" s="8">
        <f t="shared" si="4"/>
        <v>0</v>
      </c>
      <c r="M27" s="20">
        <v>4.9800000000000004</v>
      </c>
      <c r="N27" s="21">
        <f t="shared" si="5"/>
        <v>0</v>
      </c>
      <c r="O27" s="20">
        <v>0</v>
      </c>
      <c r="P27" s="21">
        <f t="shared" si="6"/>
        <v>0</v>
      </c>
      <c r="Q27" s="20">
        <v>1.5</v>
      </c>
      <c r="R27" s="8">
        <f t="shared" si="7"/>
        <v>0</v>
      </c>
    </row>
    <row r="28" spans="1:18" s="16" customFormat="1" ht="18.75" customHeight="1" x14ac:dyDescent="0.25">
      <c r="A28" s="19" t="s">
        <v>33</v>
      </c>
      <c r="B28" s="4">
        <v>0</v>
      </c>
      <c r="C28" s="20">
        <v>17.030999999999999</v>
      </c>
      <c r="D28" s="8">
        <f t="shared" si="0"/>
        <v>0</v>
      </c>
      <c r="E28" s="20">
        <v>8001</v>
      </c>
      <c r="F28" s="8">
        <f t="shared" si="1"/>
        <v>0</v>
      </c>
      <c r="G28" s="20">
        <v>6.0970000000000004</v>
      </c>
      <c r="H28" s="8">
        <f t="shared" si="2"/>
        <v>0</v>
      </c>
      <c r="I28" s="20">
        <v>0</v>
      </c>
      <c r="J28" s="8">
        <f t="shared" si="3"/>
        <v>0</v>
      </c>
      <c r="K28" s="20">
        <v>1.587</v>
      </c>
      <c r="L28" s="8">
        <f t="shared" si="4"/>
        <v>0</v>
      </c>
      <c r="M28" s="20">
        <v>5.5110000000000001</v>
      </c>
      <c r="N28" s="21">
        <f t="shared" si="5"/>
        <v>0</v>
      </c>
      <c r="O28" s="20">
        <v>0</v>
      </c>
      <c r="P28" s="21">
        <f t="shared" si="6"/>
        <v>0</v>
      </c>
      <c r="Q28" s="20">
        <v>1.409</v>
      </c>
      <c r="R28" s="8">
        <f t="shared" si="7"/>
        <v>0</v>
      </c>
    </row>
    <row r="29" spans="1:18" s="16" customFormat="1" ht="18.75" customHeight="1" x14ac:dyDescent="0.25">
      <c r="A29" s="19" t="s">
        <v>71</v>
      </c>
      <c r="B29" s="4">
        <v>0</v>
      </c>
      <c r="C29" s="20">
        <v>128.16200000000001</v>
      </c>
      <c r="D29" s="8">
        <f t="shared" si="0"/>
        <v>0</v>
      </c>
      <c r="E29" s="20">
        <v>16708</v>
      </c>
      <c r="F29" s="8">
        <f t="shared" si="1"/>
        <v>0</v>
      </c>
      <c r="G29" s="20">
        <v>12.964</v>
      </c>
      <c r="H29" s="8">
        <f t="shared" si="2"/>
        <v>0</v>
      </c>
      <c r="I29" s="20">
        <v>3.4340000000000002</v>
      </c>
      <c r="J29" s="8">
        <f t="shared" si="3"/>
        <v>0</v>
      </c>
      <c r="K29" s="20">
        <v>0.56200000000000006</v>
      </c>
      <c r="L29" s="8">
        <f t="shared" si="4"/>
        <v>0</v>
      </c>
      <c r="M29" s="20">
        <v>9.968</v>
      </c>
      <c r="N29" s="21">
        <f t="shared" si="5"/>
        <v>0</v>
      </c>
      <c r="O29" s="20">
        <v>0</v>
      </c>
      <c r="P29" s="21">
        <f t="shared" si="6"/>
        <v>0</v>
      </c>
      <c r="Q29" s="20">
        <v>2.996</v>
      </c>
      <c r="R29" s="8">
        <f t="shared" si="7"/>
        <v>0</v>
      </c>
    </row>
    <row r="30" spans="1:18" s="16" customFormat="1" ht="18.75" customHeight="1" x14ac:dyDescent="0.25">
      <c r="A30" s="19" t="s">
        <v>72</v>
      </c>
      <c r="B30" s="4">
        <f>SI!E22/100</f>
        <v>0</v>
      </c>
      <c r="C30" s="20">
        <v>32.040999999999997</v>
      </c>
      <c r="D30" s="8">
        <f t="shared" si="0"/>
        <v>0</v>
      </c>
      <c r="E30" s="20">
        <v>9078</v>
      </c>
      <c r="F30" s="8">
        <f t="shared" si="1"/>
        <v>0</v>
      </c>
      <c r="G30" s="20">
        <v>6.4820000000000002</v>
      </c>
      <c r="H30" s="8">
        <f t="shared" si="2"/>
        <v>0</v>
      </c>
      <c r="I30" s="20">
        <v>1.3740000000000001</v>
      </c>
      <c r="J30" s="8">
        <f t="shared" si="3"/>
        <v>0</v>
      </c>
      <c r="K30" s="20">
        <v>1.125</v>
      </c>
      <c r="L30" s="8">
        <f t="shared" si="4"/>
        <v>0</v>
      </c>
      <c r="M30" s="20">
        <v>4.9287999999999998</v>
      </c>
      <c r="N30" s="21">
        <f t="shared" si="5"/>
        <v>0</v>
      </c>
      <c r="O30" s="20">
        <v>0</v>
      </c>
      <c r="P30" s="21">
        <f t="shared" si="6"/>
        <v>0</v>
      </c>
      <c r="Q30" s="20">
        <v>1.498</v>
      </c>
      <c r="R30" s="8">
        <f t="shared" si="7"/>
        <v>0</v>
      </c>
    </row>
    <row r="31" spans="1:18" s="16" customFormat="1" ht="18.75" customHeight="1" x14ac:dyDescent="0.25">
      <c r="A31" s="19" t="s">
        <v>73</v>
      </c>
      <c r="B31" s="4">
        <v>0</v>
      </c>
      <c r="C31" s="20">
        <v>46.067</v>
      </c>
      <c r="D31" s="8">
        <f t="shared" si="0"/>
        <v>0</v>
      </c>
      <c r="E31" s="20">
        <v>11929</v>
      </c>
      <c r="F31" s="8">
        <f t="shared" si="1"/>
        <v>0</v>
      </c>
      <c r="G31" s="20">
        <v>9.0180000000000007</v>
      </c>
      <c r="H31" s="8">
        <f t="shared" si="2"/>
        <v>0</v>
      </c>
      <c r="I31" s="20">
        <v>1.9219999999999999</v>
      </c>
      <c r="J31" s="8">
        <f t="shared" si="3"/>
        <v>0</v>
      </c>
      <c r="K31" s="20">
        <v>1.17</v>
      </c>
      <c r="L31" s="8">
        <f t="shared" si="4"/>
        <v>0</v>
      </c>
      <c r="M31" s="20">
        <v>6.9340000000000002</v>
      </c>
      <c r="N31" s="21">
        <f t="shared" si="5"/>
        <v>0</v>
      </c>
      <c r="O31" s="20">
        <v>0</v>
      </c>
      <c r="P31" s="21">
        <f t="shared" si="6"/>
        <v>0</v>
      </c>
      <c r="Q31" s="20">
        <v>2.0840000000000001</v>
      </c>
      <c r="R31" s="8">
        <f t="shared" si="7"/>
        <v>0</v>
      </c>
    </row>
    <row r="32" spans="1:18" s="16" customFormat="1" ht="18.75" customHeight="1" x14ac:dyDescent="0.25">
      <c r="A32" s="19" t="s">
        <v>34</v>
      </c>
      <c r="B32" s="4">
        <v>0</v>
      </c>
      <c r="C32" s="20">
        <v>32.06</v>
      </c>
      <c r="D32" s="8">
        <f t="shared" si="0"/>
        <v>0</v>
      </c>
      <c r="E32" s="20">
        <v>3983</v>
      </c>
      <c r="F32" s="8">
        <f t="shared" si="1"/>
        <v>0</v>
      </c>
      <c r="G32" s="20">
        <v>4.2850000000000001</v>
      </c>
      <c r="H32" s="8">
        <f t="shared" si="2"/>
        <v>0</v>
      </c>
      <c r="I32" s="20">
        <v>0</v>
      </c>
      <c r="J32" s="8">
        <f t="shared" si="3"/>
        <v>0</v>
      </c>
      <c r="K32" s="20">
        <v>0</v>
      </c>
      <c r="L32" s="8">
        <f t="shared" si="4"/>
        <v>0</v>
      </c>
      <c r="M32" s="20">
        <v>3.2946</v>
      </c>
      <c r="N32" s="21">
        <f t="shared" si="5"/>
        <v>0</v>
      </c>
      <c r="O32" s="20">
        <v>1.998</v>
      </c>
      <c r="P32" s="21">
        <f t="shared" si="6"/>
        <v>0</v>
      </c>
      <c r="Q32" s="20">
        <v>0.998</v>
      </c>
      <c r="R32" s="8">
        <f t="shared" si="7"/>
        <v>0</v>
      </c>
    </row>
    <row r="33" spans="1:18" s="16" customFormat="1" ht="18.75" customHeight="1" x14ac:dyDescent="0.25">
      <c r="A33" s="19" t="s">
        <v>35</v>
      </c>
      <c r="B33" s="4">
        <f>SI!E23/100</f>
        <v>1.2E-2</v>
      </c>
      <c r="C33" s="20">
        <v>34.076000000000001</v>
      </c>
      <c r="D33" s="8">
        <f t="shared" si="0"/>
        <v>0.408912</v>
      </c>
      <c r="E33" s="20">
        <v>6545</v>
      </c>
      <c r="F33" s="8">
        <f t="shared" si="1"/>
        <v>2676.3290400000001</v>
      </c>
      <c r="G33" s="20">
        <v>6.0970000000000004</v>
      </c>
      <c r="H33" s="8">
        <f t="shared" si="2"/>
        <v>2.493136464</v>
      </c>
      <c r="I33" s="20">
        <v>0</v>
      </c>
      <c r="J33" s="8">
        <f t="shared" si="3"/>
        <v>0</v>
      </c>
      <c r="K33" s="20">
        <v>0.52900000000000003</v>
      </c>
      <c r="L33" s="8">
        <f t="shared" si="4"/>
        <v>0.21631444800000002</v>
      </c>
      <c r="M33" s="20">
        <v>4.6337999999999999</v>
      </c>
      <c r="N33" s="21">
        <f t="shared" si="5"/>
        <v>1.8948164256</v>
      </c>
      <c r="O33" s="20">
        <v>1.88</v>
      </c>
      <c r="P33" s="21">
        <f t="shared" si="6"/>
        <v>0.76875455999999998</v>
      </c>
      <c r="Q33" s="20">
        <v>1.409</v>
      </c>
      <c r="R33" s="8">
        <f t="shared" si="7"/>
        <v>0.57615700800000003</v>
      </c>
    </row>
    <row r="34" spans="1:18" s="16" customFormat="1" ht="18.75" customHeight="1" x14ac:dyDescent="0.25">
      <c r="A34" s="19" t="s">
        <v>74</v>
      </c>
      <c r="B34" s="4">
        <v>0</v>
      </c>
      <c r="C34" s="20">
        <v>64.06</v>
      </c>
      <c r="D34" s="8">
        <f t="shared" si="0"/>
        <v>0</v>
      </c>
      <c r="E34" s="20">
        <v>0</v>
      </c>
      <c r="F34" s="8">
        <f t="shared" si="1"/>
        <v>0</v>
      </c>
      <c r="G34" s="20">
        <v>0</v>
      </c>
      <c r="H34" s="8">
        <f t="shared" si="2"/>
        <v>0</v>
      </c>
      <c r="I34" s="20">
        <v>0</v>
      </c>
      <c r="J34" s="8">
        <f t="shared" si="3"/>
        <v>0</v>
      </c>
      <c r="K34" s="20">
        <v>0</v>
      </c>
      <c r="L34" s="8">
        <f t="shared" si="4"/>
        <v>0</v>
      </c>
      <c r="M34" s="20">
        <v>0</v>
      </c>
      <c r="N34" s="21">
        <f t="shared" si="5"/>
        <v>0</v>
      </c>
      <c r="O34" s="20">
        <v>1</v>
      </c>
      <c r="P34" s="21">
        <f t="shared" si="6"/>
        <v>0</v>
      </c>
      <c r="Q34" s="20">
        <v>0</v>
      </c>
      <c r="R34" s="8">
        <f t="shared" si="7"/>
        <v>0</v>
      </c>
    </row>
    <row r="35" spans="1:18" s="16" customFormat="1" ht="18.75" customHeight="1" x14ac:dyDescent="0.25">
      <c r="A35" s="19" t="s">
        <v>36</v>
      </c>
      <c r="B35" s="4">
        <f>SI!E24/100</f>
        <v>4.5000000000000005E-3</v>
      </c>
      <c r="C35" s="20">
        <v>18.015999999999998</v>
      </c>
      <c r="D35" s="8">
        <f t="shared" si="0"/>
        <v>8.1072000000000005E-2</v>
      </c>
      <c r="E35" s="20">
        <v>0</v>
      </c>
      <c r="F35" s="8">
        <f t="shared" si="1"/>
        <v>0</v>
      </c>
      <c r="G35" s="20">
        <v>0</v>
      </c>
      <c r="H35" s="8">
        <f t="shared" si="2"/>
        <v>0</v>
      </c>
      <c r="I35" s="20">
        <v>0</v>
      </c>
      <c r="J35" s="8">
        <f t="shared" si="3"/>
        <v>0</v>
      </c>
      <c r="K35" s="20">
        <v>1</v>
      </c>
      <c r="L35" s="8">
        <f t="shared" si="4"/>
        <v>8.1072000000000005E-2</v>
      </c>
      <c r="M35" s="20">
        <v>0</v>
      </c>
      <c r="N35" s="21">
        <f t="shared" si="5"/>
        <v>0</v>
      </c>
      <c r="O35" s="20">
        <v>0</v>
      </c>
      <c r="P35" s="21">
        <f t="shared" si="6"/>
        <v>0</v>
      </c>
      <c r="Q35" s="20">
        <v>0</v>
      </c>
      <c r="R35" s="8">
        <f t="shared" si="7"/>
        <v>0</v>
      </c>
    </row>
    <row r="36" spans="1:18" s="16" customFormat="1" ht="18.75" customHeight="1" x14ac:dyDescent="0.25">
      <c r="A36" s="19" t="s">
        <v>75</v>
      </c>
      <c r="B36" s="4">
        <v>0</v>
      </c>
      <c r="C36" s="4">
        <v>200</v>
      </c>
      <c r="D36" s="8">
        <f t="shared" si="0"/>
        <v>0</v>
      </c>
      <c r="E36" s="20">
        <v>0</v>
      </c>
      <c r="F36" s="8">
        <f t="shared" si="1"/>
        <v>0</v>
      </c>
      <c r="G36" s="20">
        <v>0</v>
      </c>
      <c r="H36" s="8">
        <f t="shared" si="2"/>
        <v>0</v>
      </c>
      <c r="I36" s="20">
        <v>0</v>
      </c>
      <c r="J36" s="8">
        <f t="shared" si="3"/>
        <v>0</v>
      </c>
      <c r="K36" s="20">
        <v>0</v>
      </c>
      <c r="L36" s="8">
        <f t="shared" si="4"/>
        <v>0</v>
      </c>
      <c r="M36" s="20">
        <v>0</v>
      </c>
      <c r="N36" s="21">
        <f t="shared" si="5"/>
        <v>0</v>
      </c>
      <c r="O36" s="20">
        <v>0</v>
      </c>
      <c r="P36" s="21">
        <f t="shared" si="6"/>
        <v>0</v>
      </c>
      <c r="Q36" s="20">
        <v>0</v>
      </c>
      <c r="R36" s="8">
        <f t="shared" si="7"/>
        <v>0</v>
      </c>
    </row>
    <row r="37" spans="1:18" s="16" customFormat="1" ht="18.75" customHeight="1" x14ac:dyDescent="0.25">
      <c r="A37" s="19" t="s">
        <v>37</v>
      </c>
      <c r="B37" s="8">
        <f>SUM(B3:B36)</f>
        <v>1</v>
      </c>
      <c r="C37" s="8"/>
      <c r="D37" s="8">
        <f>SUM(D3:D36)</f>
        <v>17.740270999999996</v>
      </c>
      <c r="E37" s="8"/>
      <c r="F37" s="22">
        <f>SUM(F3:F36)</f>
        <v>363440.86854319996</v>
      </c>
      <c r="G37" s="22"/>
      <c r="H37" s="22">
        <f>SUM(H3:H36)</f>
        <v>289.24394725519994</v>
      </c>
      <c r="I37" s="22"/>
      <c r="J37" s="22">
        <f>SUM(J3:J36)</f>
        <v>46.728886646399999</v>
      </c>
      <c r="K37" s="22"/>
      <c r="L37" s="22">
        <f>SUM(L3:L36)</f>
        <v>36.791655877199986</v>
      </c>
      <c r="M37" s="22"/>
      <c r="N37" s="23">
        <f>SUM(N3:N36)</f>
        <v>220.38615149615998</v>
      </c>
      <c r="O37" s="8"/>
      <c r="P37" s="23">
        <f>SUM(P3:P36)</f>
        <v>0.76875455999999998</v>
      </c>
      <c r="Q37" s="8"/>
      <c r="R37" s="23">
        <f>SUM(R3:R36)</f>
        <v>66.886572925599992</v>
      </c>
    </row>
    <row r="38" spans="1:18" s="25" customFormat="1" ht="36" customHeight="1" thickBot="1" x14ac:dyDescent="0.3">
      <c r="A38" s="24" t="s">
        <v>38</v>
      </c>
      <c r="B38" s="9">
        <f>SUM(B3:B36)</f>
        <v>1</v>
      </c>
      <c r="C38" s="9">
        <f>(B3/B38*C3)+(B4/B38*C4)+(B5/B38*C5)+(B6/B38*C6)+(B7/B38*C7)+(B8/B38*C8)+(B9/B38*C9)+(B10/B38*C10)+(B11/B38*C11)+(B12/B38*C12)+(B13/B38*C13)+(B14/B38*C14)+(B15/B38*C15)+(B16/B38*C16)+(B17/B38*C17)+(B18/B38*C18)+(B19/B38*C19)+(B20/B38*C20)+(B21/B38*C21)+(B22/B38*C22)+(B23/B38*C23)+(B24/B38*C24)+(B25/B38*C25)+(B26/B38*C26)+(B27/B38*C27)+(B28/B38*C28)+(B29/B38*C29)+(B30/B38*C30)+(B31/B38*C31)+(B32/B38*C32)+(B33/B38*C33)+(B34/B38*C34)+(B35/B38*C35)</f>
        <v>17.740270999999996</v>
      </c>
      <c r="D38" s="9">
        <f>SUM(D3:D36)</f>
        <v>17.740270999999996</v>
      </c>
      <c r="E38" s="9"/>
      <c r="F38" s="9">
        <f>F37/D$38</f>
        <v>20486.770948606143</v>
      </c>
      <c r="G38" s="9"/>
      <c r="H38" s="9">
        <f>H37/D38</f>
        <v>16.30437028020598</v>
      </c>
      <c r="I38" s="9"/>
      <c r="J38" s="9">
        <f>J37/D38</f>
        <v>2.6340570922732809</v>
      </c>
      <c r="K38" s="9"/>
      <c r="L38" s="9">
        <f>L37/D38</f>
        <v>2.0739060794054383</v>
      </c>
      <c r="M38" s="9"/>
      <c r="N38" s="9">
        <f>N37/D38</f>
        <v>12.422930376664484</v>
      </c>
      <c r="O38" s="9"/>
      <c r="P38" s="9">
        <f>P37/D38</f>
        <v>4.3333867898635831E-2</v>
      </c>
      <c r="Q38" s="9"/>
      <c r="R38" s="9">
        <f>R37/D38</f>
        <v>3.7703241920937964</v>
      </c>
    </row>
    <row r="39" spans="1:18" s="16" customFormat="1" ht="13.5" thickBot="1" x14ac:dyDescent="0.3"/>
    <row r="40" spans="1:18" s="16" customFormat="1" ht="48.75" customHeight="1" thickBot="1" x14ac:dyDescent="0.3">
      <c r="A40" s="178" t="s">
        <v>76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8" s="16" customFormat="1" ht="32.25" customHeight="1" x14ac:dyDescent="0.25">
      <c r="A41" s="26" t="s">
        <v>77</v>
      </c>
      <c r="B41" s="5">
        <f>SI!D26+273.15</f>
        <v>308.14999999999998</v>
      </c>
      <c r="C41" s="27"/>
      <c r="D41" s="28" t="s">
        <v>78</v>
      </c>
      <c r="E41" s="29">
        <f>(EXP(A48+(A49/B41)+(A50*LN(B41))+(A51*B41^A52)))/101325*14.696</f>
        <v>0.81661274790709437</v>
      </c>
      <c r="G41" s="28"/>
      <c r="H41" s="26" t="s">
        <v>79</v>
      </c>
      <c r="I41" s="28" t="s">
        <v>80</v>
      </c>
      <c r="J41" s="30" t="s">
        <v>81</v>
      </c>
      <c r="K41" s="28" t="s">
        <v>82</v>
      </c>
      <c r="L41" s="27"/>
      <c r="M41" s="31" t="s">
        <v>83</v>
      </c>
      <c r="N41" s="60">
        <f>H47*B45</f>
        <v>134755.56258903141</v>
      </c>
    </row>
    <row r="42" spans="1:18" ht="41.25" customHeight="1" x14ac:dyDescent="0.25">
      <c r="A42" s="32" t="s">
        <v>84</v>
      </c>
      <c r="B42" s="6">
        <f>100+SI!D28</f>
        <v>115</v>
      </c>
      <c r="C42" s="33"/>
      <c r="D42" s="7" t="s">
        <v>46</v>
      </c>
      <c r="E42" s="34">
        <f>E41/((14.696*B46/101325))*(B43/100)*(18/28.85)</f>
        <v>3.9519626776952192E-2</v>
      </c>
      <c r="G42" s="32" t="s">
        <v>85</v>
      </c>
      <c r="H42" s="34">
        <f>J38</f>
        <v>2.6340570922732809</v>
      </c>
      <c r="I42" s="34">
        <f>H42/H$47</f>
        <v>0.12928078978769875</v>
      </c>
      <c r="J42" s="35">
        <f>H42/44</f>
        <v>5.9864933915301836E-2</v>
      </c>
      <c r="K42" s="35">
        <f>J42/J$47</f>
        <v>8.0191994823863216E-2</v>
      </c>
      <c r="M42" s="36" t="s">
        <v>86</v>
      </c>
      <c r="N42" s="37">
        <f>K42*C8+K43*C34+K44*C5+K45*C6+K46*C35</f>
        <v>27.308080775448531</v>
      </c>
    </row>
    <row r="43" spans="1:18" ht="38.25" customHeight="1" x14ac:dyDescent="0.25">
      <c r="A43" s="32" t="s">
        <v>45</v>
      </c>
      <c r="B43" s="6">
        <f>SI!D29</f>
        <v>90</v>
      </c>
      <c r="C43" s="38"/>
      <c r="D43" s="7" t="s">
        <v>87</v>
      </c>
      <c r="E43" s="34">
        <f>(H38/(1-E42)-H38)*(B42/100)</f>
        <v>0.77148273219419694</v>
      </c>
      <c r="G43" s="32" t="s">
        <v>88</v>
      </c>
      <c r="H43" s="34">
        <f>P38</f>
        <v>4.3333867898635831E-2</v>
      </c>
      <c r="I43" s="34">
        <f t="shared" ref="I43:I46" si="8">H43/H$47</f>
        <v>2.1268470918587891E-3</v>
      </c>
      <c r="J43" s="35">
        <f>H43/64</f>
        <v>6.7709168591618485E-4</v>
      </c>
      <c r="K43" s="35">
        <f t="shared" ref="K43:K47" si="9">J43/J$47</f>
        <v>9.0699729242318245E-4</v>
      </c>
      <c r="M43" s="39" t="s">
        <v>109</v>
      </c>
      <c r="N43" s="40">
        <f>N41-B45</f>
        <v>128141.69472303141</v>
      </c>
    </row>
    <row r="44" spans="1:18" ht="36" customHeight="1" x14ac:dyDescent="0.25">
      <c r="A44" s="32" t="s">
        <v>89</v>
      </c>
      <c r="B44" s="6">
        <v>0</v>
      </c>
      <c r="D44" s="15" t="s">
        <v>106</v>
      </c>
      <c r="E44" s="41">
        <f>(N41-B45)/B45</f>
        <v>19.374698333749777</v>
      </c>
      <c r="G44" s="32" t="s">
        <v>90</v>
      </c>
      <c r="H44" s="34">
        <f>R38*(B42-100)/100</f>
        <v>0.56554862881406942</v>
      </c>
      <c r="I44" s="34">
        <f t="shared" si="8"/>
        <v>2.7757398885129181E-2</v>
      </c>
      <c r="J44" s="35">
        <f>H44/32</f>
        <v>1.7673394650439669E-2</v>
      </c>
      <c r="K44" s="35">
        <f t="shared" si="9"/>
        <v>2.3674372953176991E-2</v>
      </c>
      <c r="M44" s="39" t="s">
        <v>108</v>
      </c>
      <c r="N44" s="42">
        <f>(H47-H46)*B45</f>
        <v>115936.53696171666</v>
      </c>
    </row>
    <row r="45" spans="1:18" ht="44.25" customHeight="1" x14ac:dyDescent="0.25">
      <c r="A45" s="32" t="s">
        <v>91</v>
      </c>
      <c r="B45" s="6">
        <f>SI!K27*2.204622622</f>
        <v>6613.8678660000005</v>
      </c>
      <c r="D45" s="32" t="s">
        <v>107</v>
      </c>
      <c r="E45" s="43">
        <f>E44-H38</f>
        <v>3.0703280535437969</v>
      </c>
      <c r="G45" s="32" t="s">
        <v>92</v>
      </c>
      <c r="H45" s="34">
        <f>N38*B42/100</f>
        <v>14.286369933164156</v>
      </c>
      <c r="I45" s="34">
        <f>H45/H$47</f>
        <v>0.7011819119549576</v>
      </c>
      <c r="J45" s="35">
        <f>H45/28</f>
        <v>0.51022749761300557</v>
      </c>
      <c r="K45" s="35">
        <f t="shared" si="9"/>
        <v>0.68347458472874723</v>
      </c>
    </row>
    <row r="46" spans="1:18" ht="31.5" customHeight="1" x14ac:dyDescent="0.25">
      <c r="A46" s="32" t="s">
        <v>166</v>
      </c>
      <c r="B46" s="6">
        <f>SI!D27*1000</f>
        <v>80000</v>
      </c>
      <c r="G46" s="32" t="s">
        <v>93</v>
      </c>
      <c r="H46" s="34">
        <f>L38+E43+B44</f>
        <v>2.8453888115996353</v>
      </c>
      <c r="I46" s="34">
        <f t="shared" si="8"/>
        <v>0.13965305228035577</v>
      </c>
      <c r="J46" s="35">
        <f>H46/18</f>
        <v>0.15807715619997975</v>
      </c>
      <c r="K46" s="35">
        <f t="shared" si="9"/>
        <v>0.21175205020178928</v>
      </c>
    </row>
    <row r="47" spans="1:18" ht="45" customHeight="1" x14ac:dyDescent="0.25">
      <c r="A47" s="44"/>
      <c r="G47" s="45" t="s">
        <v>94</v>
      </c>
      <c r="H47" s="34">
        <f>SUM(H42:H46)</f>
        <v>20.374698333749777</v>
      </c>
      <c r="I47" s="34">
        <f>H47/H$47</f>
        <v>1</v>
      </c>
      <c r="J47" s="35">
        <f>SUM(J42:J46)</f>
        <v>0.74652007406464305</v>
      </c>
      <c r="K47" s="35">
        <f t="shared" si="9"/>
        <v>1</v>
      </c>
    </row>
    <row r="48" spans="1:18" x14ac:dyDescent="0.25">
      <c r="A48" s="136">
        <v>73.649000000000001</v>
      </c>
      <c r="B48" s="137" t="s">
        <v>222</v>
      </c>
      <c r="G48" s="46"/>
    </row>
    <row r="49" spans="1:7" ht="21" customHeight="1" x14ac:dyDescent="0.25">
      <c r="A49" s="136">
        <v>-7258.2</v>
      </c>
      <c r="B49" s="137" t="s">
        <v>223</v>
      </c>
      <c r="G49" s="46"/>
    </row>
    <row r="50" spans="1:7" ht="21" customHeight="1" x14ac:dyDescent="0.25">
      <c r="A50" s="136">
        <v>-7.3037000000000001</v>
      </c>
      <c r="B50" s="137" t="s">
        <v>224</v>
      </c>
    </row>
    <row r="51" spans="1:7" ht="21" customHeight="1" x14ac:dyDescent="0.25">
      <c r="A51" s="136">
        <v>4.1652999999999997E-6</v>
      </c>
      <c r="B51" s="137" t="s">
        <v>225</v>
      </c>
    </row>
    <row r="52" spans="1:7" ht="21" customHeight="1" x14ac:dyDescent="0.25">
      <c r="A52" s="136">
        <v>2</v>
      </c>
      <c r="B52" s="137" t="s">
        <v>226</v>
      </c>
    </row>
  </sheetData>
  <mergeCells count="2">
    <mergeCell ref="A1:A2"/>
    <mergeCell ref="A40:N40"/>
  </mergeCells>
  <pageMargins left="0.23622047244094491" right="0.23622047244094491" top="0.47244094488188981" bottom="0.47244094488188981" header="0.31496062992125984" footer="0.31496062992125984"/>
  <pageSetup paperSize="9" scale="65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51"/>
  <sheetViews>
    <sheetView topLeftCell="A13" workbookViewId="0">
      <selection activeCell="C18" sqref="C18:D18"/>
    </sheetView>
  </sheetViews>
  <sheetFormatPr defaultRowHeight="15" x14ac:dyDescent="0.25"/>
  <cols>
    <col min="1" max="1" width="17.42578125" style="58" customWidth="1"/>
    <col min="2" max="8" width="9.140625" style="58"/>
    <col min="9" max="9" width="14" style="58" bestFit="1" customWidth="1"/>
    <col min="10" max="10" width="9.140625" style="58"/>
    <col min="11" max="11" width="11.85546875" style="58" customWidth="1"/>
    <col min="12" max="12" width="12" style="58" customWidth="1"/>
    <col min="13" max="13" width="16.28515625" style="58" customWidth="1"/>
    <col min="14" max="16384" width="9.140625" style="58"/>
  </cols>
  <sheetData>
    <row r="1" spans="1:14" x14ac:dyDescent="0.25">
      <c r="A1" s="138" t="s">
        <v>195</v>
      </c>
      <c r="B1" s="138">
        <f>SI!K29+273.15</f>
        <v>583.15</v>
      </c>
      <c r="I1" s="142" t="s">
        <v>183</v>
      </c>
      <c r="J1" s="142" t="s">
        <v>184</v>
      </c>
      <c r="K1" s="142" t="s">
        <v>185</v>
      </c>
      <c r="L1" s="142" t="s">
        <v>186</v>
      </c>
      <c r="M1" s="142" t="s">
        <v>191</v>
      </c>
    </row>
    <row r="2" spans="1:14" x14ac:dyDescent="0.25">
      <c r="A2" s="139" t="s">
        <v>171</v>
      </c>
      <c r="B2" s="56">
        <v>49436.505400000002</v>
      </c>
      <c r="C2" s="56">
        <v>-626.41160100000002</v>
      </c>
      <c r="D2" s="56">
        <v>5.3017252399999997</v>
      </c>
      <c r="E2" s="56">
        <v>2.5038138159999999E-3</v>
      </c>
      <c r="F2" s="57">
        <v>-2.127308728E-7</v>
      </c>
      <c r="G2" s="57">
        <v>-7.6899887800000002E-10</v>
      </c>
      <c r="H2" s="57">
        <v>2.8496778010000001E-13</v>
      </c>
      <c r="I2" s="141">
        <f>(B2* $B$1^ -2 +C2*$B$1^ -1 +D2+E2* $B$1+F2* $B$1^ 2 +G2* $B$1^ 3 +H2* $B$1^ 4) * 8.314</f>
        <v>46.900322294792822</v>
      </c>
      <c r="J2" s="141">
        <v>44</v>
      </c>
      <c r="K2" s="141">
        <f>I2*1000/J2</f>
        <v>1065.916415790746</v>
      </c>
      <c r="L2" s="141">
        <f>SI!F33</f>
        <v>0.12928078978769875</v>
      </c>
      <c r="M2" s="141">
        <f t="shared" ref="M2:M7" si="0">L2*K2</f>
        <v>137.80251608110072</v>
      </c>
    </row>
    <row r="3" spans="1:14" x14ac:dyDescent="0.25">
      <c r="A3" s="139" t="s">
        <v>173</v>
      </c>
      <c r="B3" s="56">
        <v>-53108.421399999999</v>
      </c>
      <c r="C3" s="56">
        <v>909.03116699999998</v>
      </c>
      <c r="D3" s="56">
        <v>-2.3568912439999998</v>
      </c>
      <c r="E3" s="56">
        <v>2.204449885E-2</v>
      </c>
      <c r="F3" s="56">
        <v>-2.510781471E-5</v>
      </c>
      <c r="G3" s="57">
        <v>1.4463004839999999E-8</v>
      </c>
      <c r="H3" s="57">
        <v>-3.36907094E-12</v>
      </c>
      <c r="I3" s="141">
        <f t="shared" ref="I3:I7" si="1">(B3* $B$1^ -2 +C3*$B$1^ -1 +D3+E3* $B$1+F3* $B$1^ 2 +G3* $B$1^ 3 +H3* $B$1^ 4) * 8.314</f>
        <v>48.564368584995862</v>
      </c>
      <c r="J3" s="141">
        <v>64</v>
      </c>
      <c r="K3" s="141">
        <f t="shared" ref="K3:K7" si="2">I3*1000/J3</f>
        <v>758.81825914056037</v>
      </c>
      <c r="L3" s="141">
        <f>SI!F37</f>
        <v>2.1268470918587891E-3</v>
      </c>
      <c r="M3" s="141">
        <f t="shared" si="0"/>
        <v>1.6138904077024498</v>
      </c>
    </row>
    <row r="4" spans="1:14" x14ac:dyDescent="0.25">
      <c r="A4" s="139" t="s">
        <v>175</v>
      </c>
      <c r="B4" s="56">
        <v>-34255.6342</v>
      </c>
      <c r="C4" s="56">
        <v>484.70009700000003</v>
      </c>
      <c r="D4" s="56">
        <v>1.1190109610000001</v>
      </c>
      <c r="E4" s="56">
        <v>4.2938892400000003E-3</v>
      </c>
      <c r="F4" s="56">
        <v>-6.8363005199999996E-7</v>
      </c>
      <c r="G4" s="57">
        <v>-2.0233726999999998E-9</v>
      </c>
      <c r="H4" s="57">
        <v>1.039040018E-12</v>
      </c>
      <c r="I4" s="141">
        <f>(B4* $B$1^ -2 +C4*$B$1^ -1 +D4+E4* $B$1+F4* $B$1^ 2 +G4* $B$1^ 3 +H4* $B$1^ 4) * 8.314</f>
        <v>31.924628864416405</v>
      </c>
      <c r="J4" s="141">
        <v>32</v>
      </c>
      <c r="K4" s="141">
        <f t="shared" si="2"/>
        <v>997.64465201301266</v>
      </c>
      <c r="L4" s="141">
        <f>SI!F35</f>
        <v>2.7757398885129181E-2</v>
      </c>
      <c r="M4" s="141">
        <f t="shared" si="0"/>
        <v>27.692020551541088</v>
      </c>
    </row>
    <row r="5" spans="1:14" x14ac:dyDescent="0.25">
      <c r="A5" s="139" t="s">
        <v>177</v>
      </c>
      <c r="B5" s="56">
        <v>-39479.6083</v>
      </c>
      <c r="C5" s="56">
        <v>575.57310199999995</v>
      </c>
      <c r="D5" s="56">
        <v>0.93178265299999996</v>
      </c>
      <c r="E5" s="56">
        <v>7.2227128600000001E-3</v>
      </c>
      <c r="F5" s="56">
        <v>-7.34255737E-6</v>
      </c>
      <c r="G5" s="57">
        <v>4.9550434900000003E-9</v>
      </c>
      <c r="H5" s="57">
        <v>-1.336933246E-12</v>
      </c>
      <c r="I5" s="141">
        <f>(B5* $B$1^ -2 +C5*$B$1^ -1 +D5+E5* $B$1+F5* $B$1^ 2 +G5* $B$1^ 3 +H5* $B$1^ 4) * 8.314</f>
        <v>36.13014655292961</v>
      </c>
      <c r="J5" s="141">
        <v>18</v>
      </c>
      <c r="K5" s="141">
        <f t="shared" si="2"/>
        <v>2007.230364051645</v>
      </c>
      <c r="L5" s="141">
        <f>SI!F36</f>
        <v>0.13965305228035577</v>
      </c>
      <c r="M5" s="141">
        <f t="shared" si="0"/>
        <v>280.31584696962193</v>
      </c>
    </row>
    <row r="6" spans="1:14" x14ac:dyDescent="0.25">
      <c r="A6" s="139" t="s">
        <v>179</v>
      </c>
      <c r="B6" s="56">
        <v>0</v>
      </c>
      <c r="C6" s="56">
        <v>0</v>
      </c>
      <c r="D6" s="56">
        <v>2.5</v>
      </c>
      <c r="E6" s="56">
        <v>0</v>
      </c>
      <c r="F6" s="56">
        <v>0</v>
      </c>
      <c r="G6" s="56">
        <v>0</v>
      </c>
      <c r="H6" s="56">
        <v>0</v>
      </c>
      <c r="I6" s="141">
        <f>(B6* $B$1^ -2 +C6*$B$1^ -1 +D6+E6* $B$1+F6* $B$1^ 2 +G6* $B$1^ 3 +H6* $B$1^ 4) * 8.314</f>
        <v>20.785</v>
      </c>
      <c r="J6" s="141">
        <v>40</v>
      </c>
      <c r="K6" s="141">
        <f t="shared" si="2"/>
        <v>519.625</v>
      </c>
      <c r="L6" s="141"/>
      <c r="M6" s="141">
        <f t="shared" si="0"/>
        <v>0</v>
      </c>
    </row>
    <row r="7" spans="1:14" x14ac:dyDescent="0.25">
      <c r="A7" s="139" t="s">
        <v>181</v>
      </c>
      <c r="B7" s="56">
        <v>22103.714970000001</v>
      </c>
      <c r="C7" s="56">
        <v>-381.846182</v>
      </c>
      <c r="D7" s="56">
        <v>6.0827383599999996</v>
      </c>
      <c r="E7" s="56">
        <v>-8.5309144099999998E-3</v>
      </c>
      <c r="F7" s="56">
        <v>1.384646189E-5</v>
      </c>
      <c r="G7" s="57">
        <v>-9.6257936199999997E-9</v>
      </c>
      <c r="H7" s="57">
        <v>2.5197058090000001E-12</v>
      </c>
      <c r="I7" s="141">
        <f t="shared" si="1"/>
        <v>30.007971340275574</v>
      </c>
      <c r="J7" s="141">
        <v>28</v>
      </c>
      <c r="K7" s="141">
        <f t="shared" si="2"/>
        <v>1071.7132621526991</v>
      </c>
      <c r="L7" s="141">
        <f>SI!F34</f>
        <v>0.7011819119549576</v>
      </c>
      <c r="M7" s="141">
        <f t="shared" si="0"/>
        <v>751.46595422371433</v>
      </c>
    </row>
    <row r="8" spans="1:14" x14ac:dyDescent="0.25">
      <c r="A8" s="140"/>
      <c r="M8" s="66">
        <f>SUM(M2:M7)</f>
        <v>1198.8902282336805</v>
      </c>
      <c r="N8" s="67" t="s">
        <v>187</v>
      </c>
    </row>
    <row r="9" spans="1:14" x14ac:dyDescent="0.25">
      <c r="A9" s="140"/>
    </row>
    <row r="10" spans="1:14" x14ac:dyDescent="0.25">
      <c r="A10" s="139" t="s">
        <v>172</v>
      </c>
      <c r="B10" s="56">
        <v>117696.24189999999</v>
      </c>
      <c r="C10" s="56">
        <v>-1788.791477</v>
      </c>
      <c r="D10" s="56">
        <v>8.2915231899999995</v>
      </c>
      <c r="E10" s="56">
        <v>-9.2231567800000002E-5</v>
      </c>
      <c r="F10" s="57">
        <v>4.8636768799999996E-9</v>
      </c>
      <c r="G10" s="57">
        <v>-1.891053312E-12</v>
      </c>
      <c r="H10" s="57">
        <v>6.3300365900000004E-16</v>
      </c>
      <c r="I10" s="141">
        <f>(B10* $B$1^ -2 +C10*$B$1^ -1 +D10+E10* $B$1+F10* $B$1^ 2 +G10* $B$1^ 3 +H10* $B$1^ 4) * 8.314</f>
        <v>45.874383246973515</v>
      </c>
      <c r="J10" s="141">
        <v>44</v>
      </c>
      <c r="K10" s="141">
        <f t="shared" ref="K10:K15" si="3">I10*1000/J10</f>
        <v>1042.5996192493981</v>
      </c>
      <c r="L10" s="141">
        <f>SI!F33</f>
        <v>0.12928078978769875</v>
      </c>
      <c r="M10" s="141">
        <f t="shared" ref="M10:M15" si="4">L10*K10</f>
        <v>134.78810220891617</v>
      </c>
    </row>
    <row r="11" spans="1:14" x14ac:dyDescent="0.25">
      <c r="A11" s="139" t="s">
        <v>174</v>
      </c>
      <c r="B11" s="56">
        <v>-112764.0116</v>
      </c>
      <c r="C11" s="56">
        <v>-825.22613799999999</v>
      </c>
      <c r="D11" s="56">
        <v>7.6161786300000003</v>
      </c>
      <c r="E11" s="56">
        <v>-1.9993276099999999E-4</v>
      </c>
      <c r="F11" s="57">
        <v>5.65563143E-8</v>
      </c>
      <c r="G11" s="57">
        <v>-5.4543166099999999E-12</v>
      </c>
      <c r="H11" s="57">
        <v>2.9182941020000001E-16</v>
      </c>
      <c r="I11" s="141">
        <f>(B11* $B$1^ -2 +C11*$B$1^ -1 +D11+E11* $B$1+F11* $B$1^ 2 +G11* $B$1^ 3 +H11* $B$1^ 4) * 8.314</f>
        <v>47.98057678268011</v>
      </c>
      <c r="J11" s="141">
        <v>64</v>
      </c>
      <c r="K11" s="141">
        <f t="shared" si="3"/>
        <v>749.69651222937671</v>
      </c>
      <c r="L11" s="141">
        <f>SI!F37</f>
        <v>2.1268470918587891E-3</v>
      </c>
      <c r="M11" s="141">
        <f t="shared" si="4"/>
        <v>1.594489846811727</v>
      </c>
    </row>
    <row r="12" spans="1:14" x14ac:dyDescent="0.25">
      <c r="A12" s="139" t="s">
        <v>176</v>
      </c>
      <c r="B12" s="56">
        <v>-1037939.022</v>
      </c>
      <c r="C12" s="56">
        <v>2344.8302819999999</v>
      </c>
      <c r="D12" s="56">
        <v>1.819732036</v>
      </c>
      <c r="E12" s="56">
        <v>1.267847582E-3</v>
      </c>
      <c r="F12" s="57">
        <v>-2.188067988E-7</v>
      </c>
      <c r="G12" s="57">
        <v>2.053719572E-11</v>
      </c>
      <c r="H12" s="57">
        <v>-8.1934670499999999E-16</v>
      </c>
      <c r="I12" s="141">
        <f t="shared" ref="I12:I14" si="5">(B12* $B$1^ -2 +C12*$B$1^ -1 +D12+E12* $B$1+F12* $B$1^ 2 +G12* $B$1^ 3 +H12* $B$1^ 4) * 8.314</f>
        <v>28.74508792282997</v>
      </c>
      <c r="J12" s="141">
        <v>32</v>
      </c>
      <c r="K12" s="141">
        <f t="shared" si="3"/>
        <v>898.28399758843659</v>
      </c>
      <c r="L12" s="141">
        <f>SI!F35</f>
        <v>2.7757398885129181E-2</v>
      </c>
      <c r="M12" s="141">
        <f t="shared" si="4"/>
        <v>24.934027233190655</v>
      </c>
    </row>
    <row r="13" spans="1:14" x14ac:dyDescent="0.25">
      <c r="A13" s="139" t="s">
        <v>178</v>
      </c>
      <c r="B13" s="56">
        <v>1034972.096</v>
      </c>
      <c r="C13" s="56">
        <v>-2412.698562</v>
      </c>
      <c r="D13" s="56">
        <v>4.6461107799999999</v>
      </c>
      <c r="E13" s="56">
        <v>2.291998307E-3</v>
      </c>
      <c r="F13" s="56">
        <v>-6.8368304800000004E-7</v>
      </c>
      <c r="G13" s="57">
        <v>9.4264689299999995E-11</v>
      </c>
      <c r="H13" s="57">
        <v>-4.82238053E-15</v>
      </c>
      <c r="I13" s="141">
        <f t="shared" si="5"/>
        <v>38.863276190182205</v>
      </c>
      <c r="J13" s="141">
        <v>18</v>
      </c>
      <c r="K13" s="141">
        <f t="shared" si="3"/>
        <v>2159.0708994545671</v>
      </c>
      <c r="L13" s="141">
        <f>SI!F36</f>
        <v>0.13965305228035577</v>
      </c>
      <c r="M13" s="141">
        <f t="shared" si="4"/>
        <v>301.52084119852339</v>
      </c>
    </row>
    <row r="14" spans="1:14" x14ac:dyDescent="0.25">
      <c r="A14" s="139" t="s">
        <v>180</v>
      </c>
      <c r="B14" s="56">
        <v>20.105384749999999</v>
      </c>
      <c r="C14" s="56">
        <v>-5.9926610700000001E-2</v>
      </c>
      <c r="D14" s="56">
        <v>2.5000694010000002</v>
      </c>
      <c r="E14" s="57">
        <v>-3.9921411600000003E-8</v>
      </c>
      <c r="F14" s="57">
        <v>1.20527214E-11</v>
      </c>
      <c r="G14" s="57">
        <v>-1.8190155760000001E-15</v>
      </c>
      <c r="H14" s="57">
        <v>1.078576636E-19</v>
      </c>
      <c r="I14" s="141">
        <f t="shared" si="5"/>
        <v>20.785051796312139</v>
      </c>
      <c r="J14" s="141">
        <v>40</v>
      </c>
      <c r="K14" s="141">
        <f t="shared" si="3"/>
        <v>519.62629490780341</v>
      </c>
      <c r="L14" s="141"/>
      <c r="M14" s="141">
        <f t="shared" si="4"/>
        <v>0</v>
      </c>
    </row>
    <row r="15" spans="1:14" x14ac:dyDescent="0.25">
      <c r="A15" s="139" t="s">
        <v>182</v>
      </c>
      <c r="B15" s="56">
        <v>587712.40599999996</v>
      </c>
      <c r="C15" s="56">
        <v>-2239.249073</v>
      </c>
      <c r="D15" s="56">
        <v>6.0669492199999997</v>
      </c>
      <c r="E15" s="56">
        <v>-6.1396854999999997E-4</v>
      </c>
      <c r="F15" s="57">
        <v>1.4918066790000001E-7</v>
      </c>
      <c r="G15" s="57">
        <v>-1.9231054850000001E-11</v>
      </c>
      <c r="H15" s="57">
        <v>1.0619543859999999E-15</v>
      </c>
      <c r="I15" s="141">
        <f>(B15* $B$1^ -2 +C15*$B$1^ -1 +D15+E15* $B$1+F15* $B$1^ 2 +G15* $B$1^ 3 +H15* $B$1^ 4) * 8.314</f>
        <v>30.298502378856966</v>
      </c>
      <c r="J15" s="141">
        <v>28</v>
      </c>
      <c r="K15" s="141">
        <f t="shared" si="3"/>
        <v>1082.089370673463</v>
      </c>
      <c r="L15" s="141">
        <f>SI!F34</f>
        <v>0.7011819119549576</v>
      </c>
      <c r="M15" s="141">
        <f t="shared" si="4"/>
        <v>758.74149383495558</v>
      </c>
    </row>
    <row r="16" spans="1:14" x14ac:dyDescent="0.25">
      <c r="M16" s="66">
        <f>SUM(M10:M15)</f>
        <v>1221.5789543223975</v>
      </c>
      <c r="N16" s="67" t="s">
        <v>188</v>
      </c>
    </row>
    <row r="18" spans="1:14" x14ac:dyDescent="0.25">
      <c r="M18" s="66">
        <f>IF(B1&lt;=1000,M8,M16)</f>
        <v>1198.8902282336805</v>
      </c>
      <c r="N18" s="67" t="s">
        <v>227</v>
      </c>
    </row>
    <row r="20" spans="1:14" x14ac:dyDescent="0.25">
      <c r="A20" s="138" t="s">
        <v>196</v>
      </c>
      <c r="B20" s="138">
        <v>288.7</v>
      </c>
      <c r="C20" s="59" t="s">
        <v>190</v>
      </c>
      <c r="I20" s="142" t="s">
        <v>183</v>
      </c>
      <c r="J20" s="142" t="s">
        <v>184</v>
      </c>
      <c r="K20" s="142" t="s">
        <v>185</v>
      </c>
      <c r="L20" s="142" t="s">
        <v>186</v>
      </c>
      <c r="M20" s="142" t="s">
        <v>191</v>
      </c>
    </row>
    <row r="21" spans="1:14" x14ac:dyDescent="0.25">
      <c r="A21" s="139" t="s">
        <v>171</v>
      </c>
      <c r="B21" s="56">
        <v>49436.505400000002</v>
      </c>
      <c r="C21" s="56">
        <v>-626.41160100000002</v>
      </c>
      <c r="D21" s="56">
        <v>5.3017252399999997</v>
      </c>
      <c r="E21" s="56">
        <v>2.5038138159999999E-3</v>
      </c>
      <c r="F21" s="57">
        <v>-2.127308728E-7</v>
      </c>
      <c r="G21" s="57">
        <v>-7.6899887800000002E-10</v>
      </c>
      <c r="H21" s="57">
        <v>2.8496778010000001E-13</v>
      </c>
      <c r="I21" s="141">
        <f t="shared" ref="I21:I26" si="6">(B21* $B$20^ -2 +C21*$B$20^ -1 +D21+E21* $B$20+F21* $B$20^ 2 +G21* $B$20^ 3 +H21* $B$20^ 4) * 8.314</f>
        <v>36.6954236836809</v>
      </c>
      <c r="J21" s="141">
        <v>44</v>
      </c>
      <c r="K21" s="141">
        <f>I21*1000/J21</f>
        <v>833.98690190183868</v>
      </c>
      <c r="L21" s="141">
        <f>SI!F33</f>
        <v>0.12928078978769875</v>
      </c>
      <c r="M21" s="141">
        <f t="shared" ref="M21:M26" si="7">L21*K21</f>
        <v>107.81848535046574</v>
      </c>
    </row>
    <row r="22" spans="1:14" x14ac:dyDescent="0.25">
      <c r="A22" s="139" t="s">
        <v>173</v>
      </c>
      <c r="B22" s="56">
        <v>-53108.421399999999</v>
      </c>
      <c r="C22" s="56">
        <v>909.03116699999998</v>
      </c>
      <c r="D22" s="56">
        <v>-2.3568912439999998</v>
      </c>
      <c r="E22" s="56">
        <v>2.204449885E-2</v>
      </c>
      <c r="F22" s="56">
        <v>-2.510781471E-5</v>
      </c>
      <c r="G22" s="57">
        <v>1.4463004839999999E-8</v>
      </c>
      <c r="H22" s="57">
        <v>-3.36907094E-12</v>
      </c>
      <c r="I22" s="141">
        <f t="shared" si="6"/>
        <v>39.498171159263791</v>
      </c>
      <c r="J22" s="141">
        <v>64</v>
      </c>
      <c r="K22" s="141">
        <f t="shared" ref="K22:K26" si="8">I22*1000/J22</f>
        <v>617.15892436349668</v>
      </c>
      <c r="L22" s="141">
        <f>SI!F37</f>
        <v>2.1268470918587891E-3</v>
      </c>
      <c r="M22" s="141">
        <f t="shared" si="7"/>
        <v>1.3126026634972012</v>
      </c>
    </row>
    <row r="23" spans="1:14" x14ac:dyDescent="0.25">
      <c r="A23" s="139" t="s">
        <v>175</v>
      </c>
      <c r="B23" s="56">
        <v>-34255.6342</v>
      </c>
      <c r="C23" s="56">
        <v>484.70009700000003</v>
      </c>
      <c r="D23" s="56">
        <v>1.1190109610000001</v>
      </c>
      <c r="E23" s="56">
        <v>4.2938892400000003E-3</v>
      </c>
      <c r="F23" s="56">
        <v>-6.8363005199999996E-7</v>
      </c>
      <c r="G23" s="57">
        <v>-2.0233726999999998E-9</v>
      </c>
      <c r="H23" s="57">
        <v>1.039040018E-12</v>
      </c>
      <c r="I23" s="141">
        <f t="shared" si="6"/>
        <v>29.332768479526493</v>
      </c>
      <c r="J23" s="141">
        <v>32</v>
      </c>
      <c r="K23" s="141">
        <f t="shared" si="8"/>
        <v>916.64901498520294</v>
      </c>
      <c r="L23" s="141">
        <f>SI!F35</f>
        <v>2.7757398885129181E-2</v>
      </c>
      <c r="M23" s="141">
        <f t="shared" si="7"/>
        <v>25.443792346605033</v>
      </c>
    </row>
    <row r="24" spans="1:14" x14ac:dyDescent="0.25">
      <c r="A24" s="139" t="s">
        <v>177</v>
      </c>
      <c r="B24" s="56">
        <v>-39479.6083</v>
      </c>
      <c r="C24" s="56">
        <v>575.57310199999995</v>
      </c>
      <c r="D24" s="56">
        <v>0.93178265299999996</v>
      </c>
      <c r="E24" s="56">
        <v>7.2227128600000001E-3</v>
      </c>
      <c r="F24" s="56">
        <v>-7.34255737E-6</v>
      </c>
      <c r="G24" s="57">
        <v>4.9550434900000003E-9</v>
      </c>
      <c r="H24" s="57">
        <v>-1.336933246E-12</v>
      </c>
      <c r="I24" s="141">
        <f t="shared" si="6"/>
        <v>33.546458880300705</v>
      </c>
      <c r="J24" s="141">
        <v>18</v>
      </c>
      <c r="K24" s="141">
        <f t="shared" si="8"/>
        <v>1863.6921600167059</v>
      </c>
      <c r="L24" s="141">
        <f>SI!F36</f>
        <v>0.13965305228035577</v>
      </c>
      <c r="M24" s="141">
        <f t="shared" si="7"/>
        <v>260.27029865730219</v>
      </c>
    </row>
    <row r="25" spans="1:14" x14ac:dyDescent="0.25">
      <c r="A25" s="139" t="s">
        <v>179</v>
      </c>
      <c r="B25" s="56">
        <v>0</v>
      </c>
      <c r="C25" s="56">
        <v>0</v>
      </c>
      <c r="D25" s="56">
        <v>2.5</v>
      </c>
      <c r="E25" s="56">
        <v>0</v>
      </c>
      <c r="F25" s="56">
        <v>0</v>
      </c>
      <c r="G25" s="56">
        <v>0</v>
      </c>
      <c r="H25" s="56">
        <v>0</v>
      </c>
      <c r="I25" s="141">
        <f t="shared" si="6"/>
        <v>20.785</v>
      </c>
      <c r="J25" s="141">
        <v>40</v>
      </c>
      <c r="K25" s="141">
        <f t="shared" si="8"/>
        <v>519.625</v>
      </c>
      <c r="L25" s="141"/>
      <c r="M25" s="141">
        <f t="shared" si="7"/>
        <v>0</v>
      </c>
    </row>
    <row r="26" spans="1:14" x14ac:dyDescent="0.25">
      <c r="A26" s="139" t="s">
        <v>181</v>
      </c>
      <c r="B26" s="56">
        <v>22103.714970000001</v>
      </c>
      <c r="C26" s="56">
        <v>-381.846182</v>
      </c>
      <c r="D26" s="56">
        <v>6.0827383599999996</v>
      </c>
      <c r="E26" s="56">
        <v>-8.5309144099999998E-3</v>
      </c>
      <c r="F26" s="56">
        <v>1.384646189E-5</v>
      </c>
      <c r="G26" s="57">
        <v>-9.6257936199999997E-9</v>
      </c>
      <c r="H26" s="57">
        <v>2.5197058090000001E-12</v>
      </c>
      <c r="I26" s="141">
        <f t="shared" si="6"/>
        <v>29.11875709143025</v>
      </c>
      <c r="J26" s="141">
        <v>28</v>
      </c>
      <c r="K26" s="141">
        <f t="shared" si="8"/>
        <v>1039.9556104082233</v>
      </c>
      <c r="L26" s="141">
        <f>SI!F34</f>
        <v>0.7011819119549576</v>
      </c>
      <c r="M26" s="141">
        <f t="shared" si="7"/>
        <v>729.19806325432296</v>
      </c>
    </row>
    <row r="27" spans="1:14" x14ac:dyDescent="0.25">
      <c r="M27" s="66">
        <f>SUM(M21:M26)</f>
        <v>1124.0432422721931</v>
      </c>
      <c r="N27" s="67" t="s">
        <v>189</v>
      </c>
    </row>
    <row r="29" spans="1:14" x14ac:dyDescent="0.25">
      <c r="M29" s="66">
        <f>AVERAGE(M18,M27)</f>
        <v>1161.4667352529368</v>
      </c>
      <c r="N29" s="67" t="s">
        <v>203</v>
      </c>
    </row>
    <row r="30" spans="1:14" x14ac:dyDescent="0.25">
      <c r="K30" s="181" t="s">
        <v>206</v>
      </c>
      <c r="L30" s="181"/>
      <c r="M30" s="66">
        <f>M29*(B1-B20)</f>
        <v>341993.88019522722</v>
      </c>
      <c r="N30" s="67" t="s">
        <v>204</v>
      </c>
    </row>
    <row r="31" spans="1:14" x14ac:dyDescent="0.25">
      <c r="K31" s="144"/>
      <c r="L31" s="144"/>
      <c r="M31" s="66">
        <f>M30* 0.000429923</f>
        <v>147.03103495517269</v>
      </c>
      <c r="N31" s="67" t="s">
        <v>205</v>
      </c>
    </row>
    <row r="32" spans="1:14" x14ac:dyDescent="0.25">
      <c r="K32" s="181" t="s">
        <v>207</v>
      </c>
      <c r="L32" s="181"/>
      <c r="M32" s="66">
        <f>M31*(SI!J34*2.204622622)</f>
        <v>19813249.834790915</v>
      </c>
      <c r="N32" s="67" t="s">
        <v>192</v>
      </c>
    </row>
    <row r="33" spans="1:15" x14ac:dyDescent="0.25">
      <c r="M33" s="66">
        <f>M32*0.000293071</f>
        <v>5806.6889423320081</v>
      </c>
      <c r="N33" s="67" t="s">
        <v>233</v>
      </c>
    </row>
    <row r="34" spans="1:15" ht="15.75" thickBot="1" x14ac:dyDescent="0.3">
      <c r="A34" s="14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ht="19.5" thickBot="1" x14ac:dyDescent="0.35">
      <c r="A35" s="147" t="s">
        <v>194</v>
      </c>
    </row>
    <row r="36" spans="1:15" x14ac:dyDescent="0.25">
      <c r="A36" s="146" t="s">
        <v>197</v>
      </c>
      <c r="B36" s="138">
        <f>SI!D26+273.15</f>
        <v>308.14999999999998</v>
      </c>
      <c r="C36" s="59"/>
      <c r="I36" s="142" t="s">
        <v>183</v>
      </c>
      <c r="J36" s="142" t="s">
        <v>184</v>
      </c>
      <c r="K36" s="142" t="s">
        <v>185</v>
      </c>
      <c r="L36" s="142" t="s">
        <v>186</v>
      </c>
      <c r="M36" s="142" t="s">
        <v>191</v>
      </c>
    </row>
    <row r="37" spans="1:15" x14ac:dyDescent="0.25">
      <c r="A37" s="139" t="s">
        <v>175</v>
      </c>
      <c r="B37" s="56">
        <v>-34255.6342</v>
      </c>
      <c r="C37" s="56">
        <v>484.70009700000003</v>
      </c>
      <c r="D37" s="56">
        <v>1.1190109610000001</v>
      </c>
      <c r="E37" s="56">
        <v>4.2938892400000003E-3</v>
      </c>
      <c r="F37" s="56">
        <v>-6.8363005199999996E-7</v>
      </c>
      <c r="G37" s="57">
        <v>-2.0233726999999998E-9</v>
      </c>
      <c r="H37" s="57">
        <v>1.039040018E-12</v>
      </c>
      <c r="I37" s="141">
        <f>(B37* $B$36^ -2 +C37*$B$36^ -1 +D37+E37* $B$36+F37* $B$36^ 2 +G37* $B$36^ 3 +H37* $B$36^ 4) * 8.314</f>
        <v>29.428280325960735</v>
      </c>
      <c r="J37" s="141">
        <v>32</v>
      </c>
      <c r="K37" s="141">
        <f t="shared" ref="K37:K38" si="9">I37*1000/J37</f>
        <v>919.63376018627298</v>
      </c>
      <c r="L37" s="141">
        <v>0.23300000000000001</v>
      </c>
      <c r="M37" s="141">
        <f>L37*K37</f>
        <v>214.27466612340163</v>
      </c>
    </row>
    <row r="38" spans="1:15" x14ac:dyDescent="0.25">
      <c r="A38" s="139" t="s">
        <v>181</v>
      </c>
      <c r="B38" s="56">
        <v>22103.714970000001</v>
      </c>
      <c r="C38" s="56">
        <v>-381.846182</v>
      </c>
      <c r="D38" s="56">
        <v>6.0827383599999996</v>
      </c>
      <c r="E38" s="56">
        <v>-8.5309144099999998E-3</v>
      </c>
      <c r="F38" s="56">
        <v>1.384646189E-5</v>
      </c>
      <c r="G38" s="57">
        <v>-9.6257936199999997E-9</v>
      </c>
      <c r="H38" s="57">
        <v>2.5197058090000001E-12</v>
      </c>
      <c r="I38" s="141">
        <f>(B38* $B$36^ -2 +C38*$B$36^ -1 +D38+E38* $B$36+F38* $B$36^ 2 +G38* $B$36^ 3 +H38* $B$36^ 4) * 8.314</f>
        <v>29.127509063672488</v>
      </c>
      <c r="J38" s="141">
        <v>28</v>
      </c>
      <c r="K38" s="141">
        <f t="shared" si="9"/>
        <v>1040.2681808454461</v>
      </c>
      <c r="L38" s="141">
        <v>0.76700000000000002</v>
      </c>
      <c r="M38" s="141">
        <f>L38*K38</f>
        <v>797.88569470845709</v>
      </c>
    </row>
    <row r="39" spans="1:15" x14ac:dyDescent="0.25">
      <c r="M39" s="66">
        <f>SUM(M37:M38)</f>
        <v>1012.1603608318587</v>
      </c>
      <c r="N39" s="67" t="s">
        <v>202</v>
      </c>
    </row>
    <row r="40" spans="1:15" x14ac:dyDescent="0.25">
      <c r="M40" s="66"/>
      <c r="N40" s="67"/>
    </row>
    <row r="41" spans="1:15" x14ac:dyDescent="0.25">
      <c r="N41" s="67"/>
    </row>
    <row r="42" spans="1:15" x14ac:dyDescent="0.25">
      <c r="A42" s="138" t="s">
        <v>196</v>
      </c>
      <c r="B42" s="138">
        <v>288.7</v>
      </c>
      <c r="C42" s="59" t="s">
        <v>190</v>
      </c>
      <c r="I42" s="142" t="s">
        <v>183</v>
      </c>
      <c r="J42" s="142" t="s">
        <v>184</v>
      </c>
      <c r="K42" s="142" t="s">
        <v>185</v>
      </c>
      <c r="L42" s="142" t="s">
        <v>186</v>
      </c>
      <c r="M42" s="142" t="s">
        <v>191</v>
      </c>
    </row>
    <row r="43" spans="1:15" x14ac:dyDescent="0.25">
      <c r="A43" s="139" t="s">
        <v>175</v>
      </c>
      <c r="B43" s="56">
        <v>-34255.6342</v>
      </c>
      <c r="C43" s="56">
        <v>484.70009700000003</v>
      </c>
      <c r="D43" s="56">
        <v>1.1190109610000001</v>
      </c>
      <c r="E43" s="56">
        <v>4.2938892400000003E-3</v>
      </c>
      <c r="F43" s="56">
        <v>-6.8363005199999996E-7</v>
      </c>
      <c r="G43" s="57">
        <v>-2.0233726999999998E-9</v>
      </c>
      <c r="H43" s="57">
        <v>1.039040018E-12</v>
      </c>
      <c r="I43" s="141">
        <f>(B43* $B$42^ -2 +C43*$B$42^ -1 +D43+E43* $B$42+F43* $B$42^ 2 +G43* $B$42^ 3 +H43* $B$42^ 4) * 8.314</f>
        <v>29.332768479526493</v>
      </c>
      <c r="J43" s="141">
        <v>32</v>
      </c>
      <c r="K43" s="141">
        <f t="shared" ref="K43:K44" si="10">I43*1000/J43</f>
        <v>916.64901498520294</v>
      </c>
      <c r="L43" s="141">
        <v>0.23300000000000001</v>
      </c>
      <c r="M43" s="141">
        <f>L43*K43</f>
        <v>213.57922049155229</v>
      </c>
    </row>
    <row r="44" spans="1:15" x14ac:dyDescent="0.25">
      <c r="A44" s="139" t="s">
        <v>181</v>
      </c>
      <c r="B44" s="56">
        <v>22103.714970000001</v>
      </c>
      <c r="C44" s="56">
        <v>-381.846182</v>
      </c>
      <c r="D44" s="56">
        <v>6.0827383599999996</v>
      </c>
      <c r="E44" s="56">
        <v>-8.5309144099999998E-3</v>
      </c>
      <c r="F44" s="56">
        <v>1.384646189E-5</v>
      </c>
      <c r="G44" s="57">
        <v>-9.6257936199999997E-9</v>
      </c>
      <c r="H44" s="57">
        <v>2.5197058090000001E-12</v>
      </c>
      <c r="I44" s="141">
        <f>(B44* $B$42^ -2 +C44*$B$42^ -1 +D44+E44* $B$42+F44* $B$42^ 2 +G44* $B$42^ 3 +H44* $B$42^ 4) * 8.314</f>
        <v>29.11875709143025</v>
      </c>
      <c r="J44" s="141">
        <v>28</v>
      </c>
      <c r="K44" s="141">
        <f t="shared" si="10"/>
        <v>1039.9556104082233</v>
      </c>
      <c r="L44" s="141">
        <v>0.76700000000000002</v>
      </c>
      <c r="M44" s="141">
        <f>L44*K44</f>
        <v>797.64595318310728</v>
      </c>
    </row>
    <row r="45" spans="1:15" x14ac:dyDescent="0.25">
      <c r="M45" s="66">
        <f>SUM(M43:M44)</f>
        <v>1011.2251736746596</v>
      </c>
      <c r="N45" s="67" t="s">
        <v>189</v>
      </c>
    </row>
    <row r="46" spans="1:15" x14ac:dyDescent="0.25">
      <c r="M46" s="66">
        <f>AVERAGE(M39,M45)</f>
        <v>1011.6927672532591</v>
      </c>
      <c r="N46" s="67" t="s">
        <v>208</v>
      </c>
    </row>
    <row r="47" spans="1:15" x14ac:dyDescent="0.25">
      <c r="K47" s="181" t="s">
        <v>206</v>
      </c>
      <c r="L47" s="181"/>
      <c r="M47" s="66">
        <f>M46*(B36-B42)</f>
        <v>19677.42432307588</v>
      </c>
      <c r="N47" s="67" t="s">
        <v>209</v>
      </c>
    </row>
    <row r="48" spans="1:15" x14ac:dyDescent="0.25">
      <c r="K48" s="143"/>
      <c r="L48" s="143"/>
      <c r="M48" s="66">
        <f>M47* 0.000429923</f>
        <v>8.4597772972497527</v>
      </c>
      <c r="N48" s="67" t="s">
        <v>210</v>
      </c>
    </row>
    <row r="49" spans="1:15" x14ac:dyDescent="0.25">
      <c r="K49" s="181" t="s">
        <v>211</v>
      </c>
      <c r="L49" s="181"/>
      <c r="M49" s="66">
        <f>SI!J35*'Flue Gas, Air Enth (SI)'!M48</f>
        <v>491716.89934848587</v>
      </c>
      <c r="N49" s="67" t="s">
        <v>192</v>
      </c>
    </row>
    <row r="50" spans="1:15" x14ac:dyDescent="0.25">
      <c r="M50" s="66">
        <f>M49*0.000293071</f>
        <v>144.1079634089601</v>
      </c>
      <c r="N50" s="67" t="s">
        <v>233</v>
      </c>
    </row>
    <row r="51" spans="1:1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</sheetData>
  <mergeCells count="4">
    <mergeCell ref="K30:L30"/>
    <mergeCell ref="K32:L32"/>
    <mergeCell ref="K47:L47"/>
    <mergeCell ref="K49:L49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39"/>
  <sheetViews>
    <sheetView topLeftCell="C22" workbookViewId="0">
      <selection activeCell="C18" sqref="C18:D18"/>
    </sheetView>
  </sheetViews>
  <sheetFormatPr defaultColWidth="9" defaultRowHeight="15" x14ac:dyDescent="0.25"/>
  <cols>
    <col min="1" max="1" width="30.42578125" style="1" bestFit="1" customWidth="1"/>
    <col min="2" max="2" width="14.140625" style="1" customWidth="1"/>
    <col min="3" max="3" width="4.140625" style="1" customWidth="1"/>
    <col min="4" max="4" width="15.28515625" style="1" customWidth="1"/>
    <col min="5" max="5" width="15.5703125" style="1" customWidth="1"/>
    <col min="6" max="6" width="16.7109375" style="1" customWidth="1"/>
    <col min="7" max="9" width="12.42578125" style="1" customWidth="1"/>
    <col min="10" max="11" width="13.42578125" style="1" customWidth="1"/>
    <col min="12" max="12" width="14" style="1" customWidth="1"/>
    <col min="13" max="13" width="16" style="1" customWidth="1"/>
    <col min="14" max="16384" width="9" style="1"/>
  </cols>
  <sheetData>
    <row r="1" spans="1:16" s="3" customFormat="1" ht="24" customHeight="1" x14ac:dyDescent="0.25">
      <c r="A1" s="149" t="s">
        <v>199</v>
      </c>
      <c r="B1" s="55">
        <f>SI!K26+273.15</f>
        <v>343.15</v>
      </c>
      <c r="C1" s="1"/>
      <c r="G1" s="3" t="s">
        <v>198</v>
      </c>
      <c r="H1" s="183" t="s">
        <v>96</v>
      </c>
      <c r="I1" s="183"/>
      <c r="J1" s="183"/>
      <c r="K1" s="183"/>
      <c r="L1" s="183"/>
      <c r="M1" s="183"/>
      <c r="N1" s="183"/>
      <c r="O1" s="183"/>
      <c r="P1" s="183"/>
    </row>
    <row r="2" spans="1:16" ht="18" x14ac:dyDescent="0.25">
      <c r="A2" s="55" t="s">
        <v>97</v>
      </c>
      <c r="B2" s="55" t="s">
        <v>98</v>
      </c>
      <c r="C2" s="184" t="s">
        <v>99</v>
      </c>
      <c r="D2" s="184"/>
      <c r="E2" s="55" t="s">
        <v>100</v>
      </c>
      <c r="F2" s="55" t="s">
        <v>47</v>
      </c>
      <c r="G2" s="55" t="s">
        <v>101</v>
      </c>
      <c r="H2" s="55" t="s">
        <v>103</v>
      </c>
      <c r="I2" s="55" t="s">
        <v>102</v>
      </c>
      <c r="J2" s="55" t="s">
        <v>104</v>
      </c>
      <c r="K2" s="55" t="s">
        <v>105</v>
      </c>
      <c r="L2" s="55" t="s">
        <v>48</v>
      </c>
      <c r="M2" s="55" t="s">
        <v>201</v>
      </c>
    </row>
    <row r="3" spans="1:16" x14ac:dyDescent="0.25">
      <c r="A3" s="54">
        <v>20733</v>
      </c>
      <c r="B3" s="54">
        <v>3680</v>
      </c>
      <c r="C3" s="182">
        <v>6582</v>
      </c>
      <c r="D3" s="182"/>
      <c r="E3" s="54">
        <v>230</v>
      </c>
      <c r="F3" s="54">
        <v>450</v>
      </c>
      <c r="G3" s="47" t="s">
        <v>22</v>
      </c>
      <c r="H3" s="48">
        <f>(A3+B3*((C3/B$1)/SINH(C3/B$1)^2)+E3*((F3/B$1)/COSH(F3/B$1)^2))</f>
        <v>20809.13579297371</v>
      </c>
      <c r="I3" s="20">
        <v>12.01</v>
      </c>
      <c r="J3" s="55">
        <f>H3/I3</f>
        <v>1732.6507737696677</v>
      </c>
      <c r="K3" s="55">
        <f>J3*0.000238846</f>
        <v>0.41383670671179007</v>
      </c>
      <c r="L3" s="55">
        <f>'Combustion Details(SI)'!D3/'Combustion Details(SI)'!D$37</f>
        <v>0</v>
      </c>
      <c r="M3" s="55">
        <f>L3*K3</f>
        <v>0</v>
      </c>
    </row>
    <row r="4" spans="1:16" x14ac:dyDescent="0.25">
      <c r="A4" s="54">
        <v>27617</v>
      </c>
      <c r="B4" s="54">
        <v>9560</v>
      </c>
      <c r="C4" s="182">
        <v>2466</v>
      </c>
      <c r="D4" s="182"/>
      <c r="E4" s="54">
        <v>3760</v>
      </c>
      <c r="F4" s="54">
        <v>568</v>
      </c>
      <c r="G4" s="47" t="s">
        <v>23</v>
      </c>
      <c r="H4" s="48">
        <f t="shared" ref="H4:H35" si="0">(A4+B4*((C4/B$1)/SINH(C4/B$1)^2)+E4*((F4/B$1)/COSH(F4/B$1)^2))</f>
        <v>28462.905745627366</v>
      </c>
      <c r="I4" s="20">
        <v>2.016</v>
      </c>
      <c r="J4" s="55">
        <f t="shared" ref="J4:J35" si="1">H4/I4</f>
        <v>14118.504834140558</v>
      </c>
      <c r="K4" s="55">
        <f t="shared" ref="K4:K35" si="2">J4*0.000238846</f>
        <v>3.3721484056151358</v>
      </c>
      <c r="L4" s="55">
        <f>'Combustion Details(SI)'!D4/'Combustion Details(SI)'!D$37</f>
        <v>9.7730186872568067E-3</v>
      </c>
      <c r="M4" s="55">
        <f t="shared" ref="M4:M35" si="3">L4*K4</f>
        <v>3.2956069384279967E-2</v>
      </c>
    </row>
    <row r="5" spans="1:16" x14ac:dyDescent="0.25">
      <c r="A5" s="54">
        <v>29103</v>
      </c>
      <c r="B5" s="54">
        <v>10040</v>
      </c>
      <c r="C5" s="182">
        <v>2526</v>
      </c>
      <c r="D5" s="182"/>
      <c r="E5" s="54">
        <v>9356</v>
      </c>
      <c r="F5" s="54">
        <v>1154</v>
      </c>
      <c r="G5" s="47" t="s">
        <v>24</v>
      </c>
      <c r="H5" s="48">
        <f t="shared" si="0"/>
        <v>29253.710773234885</v>
      </c>
      <c r="I5" s="20">
        <v>32</v>
      </c>
      <c r="J5" s="55">
        <f t="shared" si="1"/>
        <v>914.17846166359016</v>
      </c>
      <c r="K5" s="55">
        <f t="shared" si="2"/>
        <v>0.21834786885450186</v>
      </c>
      <c r="L5" s="55">
        <f>'Combustion Details(SI)'!D5/'Combustion Details(SI)'!D$37</f>
        <v>0</v>
      </c>
      <c r="M5" s="55">
        <f t="shared" si="3"/>
        <v>0</v>
      </c>
    </row>
    <row r="6" spans="1:16" x14ac:dyDescent="0.25">
      <c r="A6" s="54">
        <v>29105</v>
      </c>
      <c r="B6" s="54">
        <v>8615</v>
      </c>
      <c r="C6" s="182">
        <v>1702</v>
      </c>
      <c r="D6" s="182"/>
      <c r="E6" s="54">
        <v>103</v>
      </c>
      <c r="F6" s="54">
        <v>910</v>
      </c>
      <c r="G6" s="47" t="s">
        <v>25</v>
      </c>
      <c r="H6" s="48">
        <f t="shared" si="0"/>
        <v>29118.787405366573</v>
      </c>
      <c r="I6" s="20">
        <v>28.015999999999998</v>
      </c>
      <c r="J6" s="55">
        <f t="shared" si="1"/>
        <v>1039.3627714651118</v>
      </c>
      <c r="K6" s="55">
        <f t="shared" si="2"/>
        <v>0.2482476405133561</v>
      </c>
      <c r="L6" s="55">
        <f>'Combustion Details(SI)'!D6/'Combustion Details(SI)'!D$37</f>
        <v>1.8950781529774832E-2</v>
      </c>
      <c r="M6" s="55">
        <f t="shared" si="3"/>
        <v>4.7044868006506906E-3</v>
      </c>
    </row>
    <row r="7" spans="1:16" x14ac:dyDescent="0.25">
      <c r="A7" s="54">
        <v>29108</v>
      </c>
      <c r="B7" s="54">
        <v>8773</v>
      </c>
      <c r="C7" s="182">
        <v>3085</v>
      </c>
      <c r="D7" s="182"/>
      <c r="E7" s="54">
        <v>8455</v>
      </c>
      <c r="F7" s="54">
        <v>1538</v>
      </c>
      <c r="G7" s="47" t="s">
        <v>26</v>
      </c>
      <c r="H7" s="48">
        <f t="shared" si="0"/>
        <v>29127.392085854008</v>
      </c>
      <c r="I7" s="20">
        <v>28.01</v>
      </c>
      <c r="J7" s="55">
        <f t="shared" si="1"/>
        <v>1039.8926128473404</v>
      </c>
      <c r="K7" s="55">
        <f t="shared" si="2"/>
        <v>0.24837419100813585</v>
      </c>
      <c r="L7" s="55">
        <f>'Combustion Details(SI)'!D7/'Combustion Details(SI)'!D$37</f>
        <v>0</v>
      </c>
      <c r="M7" s="55">
        <f t="shared" si="3"/>
        <v>0</v>
      </c>
    </row>
    <row r="8" spans="1:16" x14ac:dyDescent="0.25">
      <c r="A8" s="54">
        <v>29370</v>
      </c>
      <c r="B8" s="54">
        <v>34540</v>
      </c>
      <c r="C8" s="182">
        <v>1428</v>
      </c>
      <c r="D8" s="182"/>
      <c r="E8" s="54">
        <v>26400</v>
      </c>
      <c r="F8" s="54">
        <v>588</v>
      </c>
      <c r="G8" s="47" t="s">
        <v>57</v>
      </c>
      <c r="H8" s="48">
        <f t="shared" si="0"/>
        <v>35023.296755145304</v>
      </c>
      <c r="I8" s="20">
        <v>44.01</v>
      </c>
      <c r="J8" s="55">
        <f t="shared" si="1"/>
        <v>795.80315280948207</v>
      </c>
      <c r="K8" s="55">
        <f t="shared" si="2"/>
        <v>0.19007439983593355</v>
      </c>
      <c r="L8" s="55">
        <f>'Combustion Details(SI)'!D8/'Combustion Details(SI)'!D$37</f>
        <v>6.2019909391463086E-3</v>
      </c>
      <c r="M8" s="55">
        <f t="shared" si="3"/>
        <v>1.1788397055461325E-3</v>
      </c>
    </row>
    <row r="9" spans="1:16" x14ac:dyDescent="0.25">
      <c r="A9" s="54">
        <v>33298</v>
      </c>
      <c r="B9" s="54">
        <v>79933</v>
      </c>
      <c r="C9" s="182">
        <v>2087</v>
      </c>
      <c r="D9" s="182"/>
      <c r="E9" s="54">
        <v>41602</v>
      </c>
      <c r="F9" s="54">
        <v>992</v>
      </c>
      <c r="G9" s="47" t="s">
        <v>58</v>
      </c>
      <c r="H9" s="48">
        <f t="shared" si="0"/>
        <v>34782.338890198567</v>
      </c>
      <c r="I9" s="20">
        <v>16.041</v>
      </c>
      <c r="J9" s="55">
        <f t="shared" si="1"/>
        <v>2168.3398098746065</v>
      </c>
      <c r="K9" s="55">
        <f t="shared" si="2"/>
        <v>0.51789929022931025</v>
      </c>
      <c r="L9" s="55">
        <f>'Combustion Details(SI)'!D9/'Combustion Details(SI)'!D$37</f>
        <v>0.70420180165229729</v>
      </c>
      <c r="M9" s="55">
        <f t="shared" si="3"/>
        <v>0.36470561325392631</v>
      </c>
    </row>
    <row r="10" spans="1:16" x14ac:dyDescent="0.25">
      <c r="A10" s="54">
        <v>40326</v>
      </c>
      <c r="B10" s="54">
        <v>134220</v>
      </c>
      <c r="C10" s="182">
        <v>1656</v>
      </c>
      <c r="D10" s="182"/>
      <c r="E10" s="54">
        <v>73223</v>
      </c>
      <c r="F10" s="54">
        <v>753</v>
      </c>
      <c r="G10" s="47" t="s">
        <v>59</v>
      </c>
      <c r="H10" s="48">
        <f t="shared" si="0"/>
        <v>48278.209450067741</v>
      </c>
      <c r="I10" s="20">
        <v>30.067</v>
      </c>
      <c r="J10" s="55">
        <f t="shared" si="1"/>
        <v>1605.687612667301</v>
      </c>
      <c r="K10" s="55">
        <f t="shared" si="2"/>
        <v>0.38351206353513417</v>
      </c>
      <c r="L10" s="55">
        <f>'Combustion Details(SI)'!D10/'Combustion Details(SI)'!D$37</f>
        <v>9.4911289686611902E-2</v>
      </c>
      <c r="M10" s="55">
        <f t="shared" si="3"/>
        <v>3.6399624560493428E-2</v>
      </c>
    </row>
    <row r="11" spans="1:16" x14ac:dyDescent="0.25">
      <c r="A11" s="54">
        <v>33380</v>
      </c>
      <c r="B11" s="54">
        <v>94790</v>
      </c>
      <c r="C11" s="182">
        <v>1596</v>
      </c>
      <c r="D11" s="182"/>
      <c r="E11" s="54">
        <v>55100</v>
      </c>
      <c r="F11" s="54">
        <v>741</v>
      </c>
      <c r="G11" s="47" t="s">
        <v>27</v>
      </c>
      <c r="H11" s="48">
        <f t="shared" si="0"/>
        <v>39712.845947112663</v>
      </c>
      <c r="I11" s="20">
        <v>28.050999999999998</v>
      </c>
      <c r="J11" s="55">
        <f t="shared" si="1"/>
        <v>1415.7372623832543</v>
      </c>
      <c r="K11" s="55">
        <f t="shared" si="2"/>
        <v>0.33814318217119077</v>
      </c>
      <c r="L11" s="55">
        <f>'Combustion Details(SI)'!D11/'Combustion Details(SI)'!D$37</f>
        <v>3.162409413024187E-3</v>
      </c>
      <c r="M11" s="55">
        <f t="shared" si="3"/>
        <v>1.0693471822481261E-3</v>
      </c>
    </row>
    <row r="12" spans="1:16" x14ac:dyDescent="0.25">
      <c r="A12" s="54">
        <v>31990</v>
      </c>
      <c r="B12" s="54">
        <v>54240</v>
      </c>
      <c r="C12" s="182">
        <v>1594</v>
      </c>
      <c r="D12" s="182"/>
      <c r="E12" s="54">
        <v>43250</v>
      </c>
      <c r="F12" s="54">
        <v>607</v>
      </c>
      <c r="G12" s="47" t="s">
        <v>28</v>
      </c>
      <c r="H12" s="48">
        <f t="shared" si="0"/>
        <v>40485.441555078345</v>
      </c>
      <c r="I12" s="20">
        <v>26.036000000000001</v>
      </c>
      <c r="J12" s="55">
        <f t="shared" si="1"/>
        <v>1554.9793192148695</v>
      </c>
      <c r="K12" s="55">
        <f t="shared" si="2"/>
        <v>0.3714005904771947</v>
      </c>
      <c r="L12" s="55">
        <f>'Combustion Details(SI)'!D12/'Combustion Details(SI)'!D$37</f>
        <v>2.9352426465187602E-4</v>
      </c>
      <c r="M12" s="55">
        <f t="shared" si="3"/>
        <v>1.0901508521109113E-4</v>
      </c>
    </row>
    <row r="13" spans="1:16" x14ac:dyDescent="0.25">
      <c r="A13" s="54">
        <v>51920</v>
      </c>
      <c r="B13" s="54">
        <v>192450</v>
      </c>
      <c r="C13" s="182">
        <v>1626</v>
      </c>
      <c r="D13" s="182"/>
      <c r="E13" s="54">
        <v>116800</v>
      </c>
      <c r="F13" s="54">
        <v>724</v>
      </c>
      <c r="G13" s="47" t="s">
        <v>60</v>
      </c>
      <c r="H13" s="48">
        <f t="shared" si="0"/>
        <v>66275.311930587297</v>
      </c>
      <c r="I13" s="20">
        <v>44.091999999999999</v>
      </c>
      <c r="J13" s="55">
        <f t="shared" si="1"/>
        <v>1503.1142141564751</v>
      </c>
      <c r="K13" s="55">
        <f t="shared" si="2"/>
        <v>0.35901281759441744</v>
      </c>
      <c r="L13" s="55">
        <f>'Combustion Details(SI)'!D13/'Combustion Details(SI)'!D$37</f>
        <v>7.9533396079462387E-2</v>
      </c>
      <c r="M13" s="55">
        <f t="shared" si="3"/>
        <v>2.8553508619340584E-2</v>
      </c>
    </row>
    <row r="14" spans="1:16" ht="17.25" customHeight="1" x14ac:dyDescent="0.25">
      <c r="A14" s="54">
        <v>43390</v>
      </c>
      <c r="B14" s="54">
        <v>152000</v>
      </c>
      <c r="C14" s="182">
        <v>1425</v>
      </c>
      <c r="D14" s="182"/>
      <c r="E14" s="54">
        <v>78600</v>
      </c>
      <c r="F14" s="54">
        <v>624</v>
      </c>
      <c r="G14" s="47" t="s">
        <v>29</v>
      </c>
      <c r="H14" s="48">
        <f t="shared" si="0"/>
        <v>58307.375586722745</v>
      </c>
      <c r="I14" s="20">
        <v>42.076999999999998</v>
      </c>
      <c r="J14" s="55">
        <f t="shared" si="1"/>
        <v>1385.7303416765155</v>
      </c>
      <c r="K14" s="55">
        <f t="shared" si="2"/>
        <v>0.330976149188069</v>
      </c>
      <c r="L14" s="55">
        <f>'Combustion Details(SI)'!D14/'Combustion Details(SI)'!D$37</f>
        <v>0</v>
      </c>
      <c r="M14" s="55">
        <f t="shared" si="3"/>
        <v>0</v>
      </c>
    </row>
    <row r="15" spans="1:16" ht="17.25" customHeight="1" x14ac:dyDescent="0.25">
      <c r="A15" s="54">
        <v>71340</v>
      </c>
      <c r="B15" s="54">
        <v>243000</v>
      </c>
      <c r="C15" s="182">
        <v>1630</v>
      </c>
      <c r="D15" s="182"/>
      <c r="E15" s="54">
        <v>150330</v>
      </c>
      <c r="F15" s="54">
        <v>730</v>
      </c>
      <c r="G15" s="47" t="s">
        <v>61</v>
      </c>
      <c r="H15" s="48">
        <f t="shared" si="0"/>
        <v>89342.180247021504</v>
      </c>
      <c r="I15" s="20">
        <v>58.118000000000002</v>
      </c>
      <c r="J15" s="55">
        <f t="shared" si="1"/>
        <v>1537.254899463531</v>
      </c>
      <c r="K15" s="55">
        <f t="shared" si="2"/>
        <v>0.36716718371726653</v>
      </c>
      <c r="L15" s="55">
        <f>'Combustion Details(SI)'!D15/'Combustion Details(SI)'!D$37</f>
        <v>2.6208393321612736E-2</v>
      </c>
      <c r="M15" s="55">
        <f t="shared" si="3"/>
        <v>9.6228619656509654E-3</v>
      </c>
    </row>
    <row r="16" spans="1:16" ht="17.25" customHeight="1" x14ac:dyDescent="0.25">
      <c r="A16" s="54">
        <v>65490</v>
      </c>
      <c r="B16" s="54">
        <v>247760</v>
      </c>
      <c r="C16" s="182">
        <v>1587</v>
      </c>
      <c r="D16" s="182"/>
      <c r="E16" s="54">
        <v>157500</v>
      </c>
      <c r="F16" s="54">
        <v>-707</v>
      </c>
      <c r="G16" s="47" t="s">
        <v>62</v>
      </c>
      <c r="H16" s="48">
        <f t="shared" si="0"/>
        <v>45526.824378795885</v>
      </c>
      <c r="I16" s="20">
        <v>58.118000000000002</v>
      </c>
      <c r="J16" s="55">
        <f t="shared" si="1"/>
        <v>783.35153272300977</v>
      </c>
      <c r="K16" s="55">
        <f t="shared" si="2"/>
        <v>0.18710038018476</v>
      </c>
      <c r="L16" s="55">
        <f>'Combustion Details(SI)'!D16/'Combustion Details(SI)'!D$37</f>
        <v>0</v>
      </c>
      <c r="M16" s="55">
        <f t="shared" si="3"/>
        <v>0</v>
      </c>
    </row>
    <row r="17" spans="1:13" ht="17.25" customHeight="1" x14ac:dyDescent="0.25">
      <c r="A17" s="54">
        <v>61250</v>
      </c>
      <c r="B17" s="54">
        <v>206600</v>
      </c>
      <c r="C17" s="182">
        <v>1545</v>
      </c>
      <c r="D17" s="182"/>
      <c r="E17" s="54">
        <v>120570</v>
      </c>
      <c r="F17" s="54">
        <v>676</v>
      </c>
      <c r="G17" s="47" t="s">
        <v>30</v>
      </c>
      <c r="H17" s="48">
        <f t="shared" si="0"/>
        <v>79486.803856198574</v>
      </c>
      <c r="I17" s="20">
        <v>56.101999999999997</v>
      </c>
      <c r="J17" s="55">
        <f t="shared" si="1"/>
        <v>1416.8265633346152</v>
      </c>
      <c r="K17" s="55">
        <f t="shared" si="2"/>
        <v>0.33840335734621951</v>
      </c>
      <c r="L17" s="55">
        <f>'Combustion Details(SI)'!D17/'Combustion Details(SI)'!D$37</f>
        <v>0</v>
      </c>
      <c r="M17" s="55">
        <f t="shared" si="3"/>
        <v>0</v>
      </c>
    </row>
    <row r="18" spans="1:13" ht="17.25" customHeight="1" x14ac:dyDescent="0.25">
      <c r="A18" s="54">
        <v>61250</v>
      </c>
      <c r="B18" s="54">
        <v>206600</v>
      </c>
      <c r="C18" s="182">
        <v>1545</v>
      </c>
      <c r="D18" s="182"/>
      <c r="E18" s="54">
        <v>120570</v>
      </c>
      <c r="F18" s="54">
        <v>676</v>
      </c>
      <c r="G18" s="47" t="s">
        <v>63</v>
      </c>
      <c r="H18" s="48">
        <f t="shared" si="0"/>
        <v>79486.803856198574</v>
      </c>
      <c r="I18" s="20">
        <v>56.101999999999997</v>
      </c>
      <c r="J18" s="55">
        <f t="shared" si="1"/>
        <v>1416.8265633346152</v>
      </c>
      <c r="K18" s="55">
        <f t="shared" si="2"/>
        <v>0.33840335734621951</v>
      </c>
      <c r="L18" s="55">
        <f>'Combustion Details(SI)'!D18/'Combustion Details(SI)'!D$37</f>
        <v>0</v>
      </c>
      <c r="M18" s="55">
        <f t="shared" si="3"/>
        <v>0</v>
      </c>
    </row>
    <row r="19" spans="1:13" ht="17.25" customHeight="1" x14ac:dyDescent="0.25">
      <c r="A19" s="54">
        <v>88050</v>
      </c>
      <c r="B19" s="54">
        <v>301100</v>
      </c>
      <c r="C19" s="182">
        <v>1650</v>
      </c>
      <c r="D19" s="182"/>
      <c r="E19" s="54">
        <v>189200</v>
      </c>
      <c r="F19" s="54">
        <v>748</v>
      </c>
      <c r="G19" s="47" t="s">
        <v>64</v>
      </c>
      <c r="H19" s="48">
        <f t="shared" si="0"/>
        <v>108995.19299871547</v>
      </c>
      <c r="I19" s="20">
        <v>72.144000000000005</v>
      </c>
      <c r="J19" s="55">
        <f t="shared" si="1"/>
        <v>1510.8005239342906</v>
      </c>
      <c r="K19" s="55">
        <f t="shared" si="2"/>
        <v>0.36084866193960957</v>
      </c>
      <c r="L19" s="55">
        <f>'Combustion Details(SI)'!D19/'Combustion Details(SI)'!D$37</f>
        <v>0</v>
      </c>
      <c r="M19" s="55">
        <f t="shared" si="3"/>
        <v>0</v>
      </c>
    </row>
    <row r="20" spans="1:13" ht="17.25" customHeight="1" x14ac:dyDescent="0.25">
      <c r="A20" s="54">
        <v>74600</v>
      </c>
      <c r="B20" s="54">
        <v>326500</v>
      </c>
      <c r="C20" s="182">
        <v>1545</v>
      </c>
      <c r="D20" s="182"/>
      <c r="E20" s="54">
        <v>192300</v>
      </c>
      <c r="F20" s="54">
        <v>667</v>
      </c>
      <c r="G20" s="47" t="s">
        <v>65</v>
      </c>
      <c r="H20" s="48">
        <f t="shared" si="0"/>
        <v>104748.47885197053</v>
      </c>
      <c r="I20" s="20">
        <v>72.144000000000005</v>
      </c>
      <c r="J20" s="55">
        <f t="shared" si="1"/>
        <v>1451.9361118314832</v>
      </c>
      <c r="K20" s="55">
        <f t="shared" si="2"/>
        <v>0.34678913256650246</v>
      </c>
      <c r="L20" s="55">
        <f>'Combustion Details(SI)'!D20/'Combustion Details(SI)'!D$37</f>
        <v>0</v>
      </c>
      <c r="M20" s="55">
        <f t="shared" si="3"/>
        <v>0</v>
      </c>
    </row>
    <row r="21" spans="1:13" ht="17.25" customHeight="1" x14ac:dyDescent="0.25">
      <c r="A21" s="54">
        <v>66200</v>
      </c>
      <c r="B21" s="54">
        <v>368700</v>
      </c>
      <c r="C21" s="182">
        <v>1555</v>
      </c>
      <c r="D21" s="182"/>
      <c r="E21" s="54">
        <v>212000</v>
      </c>
      <c r="F21" s="54">
        <v>-633</v>
      </c>
      <c r="G21" s="47" t="s">
        <v>66</v>
      </c>
      <c r="H21" s="48">
        <f t="shared" si="0"/>
        <v>29768.4275351549</v>
      </c>
      <c r="I21" s="20">
        <v>72.144000000000005</v>
      </c>
      <c r="J21" s="55">
        <f t="shared" si="1"/>
        <v>412.62513216837016</v>
      </c>
      <c r="K21" s="55">
        <f t="shared" si="2"/>
        <v>9.8553862317886542E-2</v>
      </c>
      <c r="L21" s="55">
        <f>'Combustion Details(SI)'!D21/'Combustion Details(SI)'!D$37</f>
        <v>0</v>
      </c>
      <c r="M21" s="55">
        <f t="shared" si="3"/>
        <v>0</v>
      </c>
    </row>
    <row r="22" spans="1:13" ht="17.25" customHeight="1" x14ac:dyDescent="0.25">
      <c r="A22" s="54">
        <v>75950</v>
      </c>
      <c r="B22" s="54">
        <v>255250</v>
      </c>
      <c r="C22" s="182">
        <v>1582</v>
      </c>
      <c r="D22" s="182"/>
      <c r="E22" s="54">
        <v>166600</v>
      </c>
      <c r="F22" s="54">
        <v>713</v>
      </c>
      <c r="G22" s="47" t="s">
        <v>67</v>
      </c>
      <c r="H22" s="48">
        <f t="shared" si="0"/>
        <v>97457.159911227791</v>
      </c>
      <c r="I22" s="20">
        <v>70.128</v>
      </c>
      <c r="J22" s="55">
        <f t="shared" si="1"/>
        <v>1389.7039686177816</v>
      </c>
      <c r="K22" s="55">
        <f t="shared" si="2"/>
        <v>0.33192523408848268</v>
      </c>
      <c r="L22" s="55">
        <f>'Combustion Details(SI)'!D22/'Combustion Details(SI)'!D$37</f>
        <v>0</v>
      </c>
      <c r="M22" s="55">
        <f t="shared" si="3"/>
        <v>0</v>
      </c>
    </row>
    <row r="23" spans="1:13" ht="17.25" customHeight="1" x14ac:dyDescent="0.25">
      <c r="A23" s="54">
        <v>104400</v>
      </c>
      <c r="B23" s="54">
        <v>352300</v>
      </c>
      <c r="C23" s="182">
        <v>1695</v>
      </c>
      <c r="D23" s="182"/>
      <c r="E23" s="54">
        <v>236900</v>
      </c>
      <c r="F23" s="54">
        <v>762</v>
      </c>
      <c r="G23" s="47" t="s">
        <v>68</v>
      </c>
      <c r="H23" s="48">
        <f t="shared" si="0"/>
        <v>128974.27071151813</v>
      </c>
      <c r="I23" s="20">
        <v>86.168999999999997</v>
      </c>
      <c r="J23" s="55">
        <f t="shared" si="1"/>
        <v>1496.7595157367282</v>
      </c>
      <c r="K23" s="55">
        <f t="shared" si="2"/>
        <v>0.35749502329565458</v>
      </c>
      <c r="L23" s="55">
        <f>'Combustion Details(SI)'!D23/'Combustion Details(SI)'!D$37</f>
        <v>2.9143523230282114E-2</v>
      </c>
      <c r="M23" s="55">
        <f t="shared" si="3"/>
        <v>1.0418664516127154E-2</v>
      </c>
    </row>
    <row r="24" spans="1:13" ht="17.25" customHeight="1" x14ac:dyDescent="0.25">
      <c r="A24" s="54">
        <v>44767</v>
      </c>
      <c r="B24" s="54">
        <v>230850</v>
      </c>
      <c r="C24" s="182">
        <v>1479</v>
      </c>
      <c r="D24" s="182"/>
      <c r="E24" s="54">
        <v>168360</v>
      </c>
      <c r="F24" s="54">
        <v>678</v>
      </c>
      <c r="G24" s="47" t="s">
        <v>31</v>
      </c>
      <c r="H24" s="48">
        <f t="shared" si="0"/>
        <v>70108.153330543049</v>
      </c>
      <c r="I24" s="20">
        <v>78.106999999999999</v>
      </c>
      <c r="J24" s="55">
        <f t="shared" si="1"/>
        <v>897.59116763597433</v>
      </c>
      <c r="K24" s="55">
        <f t="shared" si="2"/>
        <v>0.21438606002518193</v>
      </c>
      <c r="L24" s="55">
        <f>'Combustion Details(SI)'!D24/'Combustion Details(SI)'!D$37</f>
        <v>0</v>
      </c>
      <c r="M24" s="55">
        <f t="shared" si="3"/>
        <v>0</v>
      </c>
    </row>
    <row r="25" spans="1:13" ht="17.25" customHeight="1" x14ac:dyDescent="0.25">
      <c r="A25" s="54">
        <v>58140</v>
      </c>
      <c r="B25" s="54">
        <v>286300</v>
      </c>
      <c r="C25" s="182">
        <v>1441</v>
      </c>
      <c r="D25" s="182"/>
      <c r="E25" s="54">
        <v>189800</v>
      </c>
      <c r="F25" s="54">
        <v>-650</v>
      </c>
      <c r="G25" s="47" t="s">
        <v>69</v>
      </c>
      <c r="H25" s="48">
        <f t="shared" si="0"/>
        <v>28102.379538206813</v>
      </c>
      <c r="I25" s="20">
        <v>92.132000000000005</v>
      </c>
      <c r="J25" s="55">
        <f t="shared" si="1"/>
        <v>305.02300545094874</v>
      </c>
      <c r="K25" s="55">
        <f t="shared" si="2"/>
        <v>7.2853524759937296E-2</v>
      </c>
      <c r="L25" s="55">
        <f>'Combustion Details(SI)'!D25/'Combustion Details(SI)'!D$37</f>
        <v>0</v>
      </c>
      <c r="M25" s="55">
        <f t="shared" si="3"/>
        <v>0</v>
      </c>
    </row>
    <row r="26" spans="1:13" ht="17.25" customHeight="1" x14ac:dyDescent="0.25">
      <c r="A26" s="54">
        <v>85210</v>
      </c>
      <c r="B26" s="54">
        <v>329540</v>
      </c>
      <c r="C26" s="182">
        <v>1494</v>
      </c>
      <c r="D26" s="182"/>
      <c r="E26" s="54">
        <v>211500</v>
      </c>
      <c r="F26" s="54">
        <v>-676</v>
      </c>
      <c r="G26" s="47" t="s">
        <v>70</v>
      </c>
      <c r="H26" s="48">
        <f t="shared" si="0"/>
        <v>54970.546269874743</v>
      </c>
      <c r="I26" s="20">
        <v>106.158</v>
      </c>
      <c r="J26" s="55">
        <f t="shared" si="1"/>
        <v>517.8182169019268</v>
      </c>
      <c r="K26" s="55">
        <f t="shared" si="2"/>
        <v>0.1236788098341576</v>
      </c>
      <c r="L26" s="55">
        <f>'Combustion Details(SI)'!D26/'Combustion Details(SI)'!D$37</f>
        <v>0</v>
      </c>
      <c r="M26" s="55">
        <f t="shared" si="3"/>
        <v>0</v>
      </c>
    </row>
    <row r="27" spans="1:13" ht="17.25" customHeight="1" x14ac:dyDescent="0.25">
      <c r="A27" s="54">
        <v>39252</v>
      </c>
      <c r="B27" s="54">
        <v>87900</v>
      </c>
      <c r="C27" s="182">
        <v>1916</v>
      </c>
      <c r="D27" s="182"/>
      <c r="E27" s="54">
        <v>53654</v>
      </c>
      <c r="F27" s="54">
        <v>897</v>
      </c>
      <c r="G27" s="47" t="s">
        <v>32</v>
      </c>
      <c r="H27" s="48">
        <f t="shared" si="0"/>
        <v>42257.006772941371</v>
      </c>
      <c r="I27" s="20">
        <v>32</v>
      </c>
      <c r="J27" s="55">
        <f t="shared" si="1"/>
        <v>1320.5314616544179</v>
      </c>
      <c r="K27" s="55">
        <f t="shared" si="2"/>
        <v>0.31540365749031107</v>
      </c>
      <c r="L27" s="55">
        <f>'Combustion Details(SI)'!D27/'Combustion Details(SI)'!D$37</f>
        <v>0</v>
      </c>
      <c r="M27" s="55">
        <f t="shared" si="3"/>
        <v>0</v>
      </c>
    </row>
    <row r="28" spans="1:13" ht="17.25" customHeight="1" x14ac:dyDescent="0.25">
      <c r="A28" s="54">
        <v>33427</v>
      </c>
      <c r="B28" s="54">
        <v>48980</v>
      </c>
      <c r="C28" s="182">
        <v>2036</v>
      </c>
      <c r="D28" s="182"/>
      <c r="E28" s="54">
        <v>22560</v>
      </c>
      <c r="F28" s="54">
        <v>882</v>
      </c>
      <c r="G28" s="47" t="s">
        <v>33</v>
      </c>
      <c r="H28" s="48">
        <f t="shared" si="0"/>
        <v>34777.233329007489</v>
      </c>
      <c r="I28" s="20">
        <v>17.030999999999999</v>
      </c>
      <c r="J28" s="55">
        <f t="shared" si="1"/>
        <v>2041.9959678825373</v>
      </c>
      <c r="K28" s="55">
        <f t="shared" si="2"/>
        <v>0.48772256894487248</v>
      </c>
      <c r="L28" s="55">
        <f>'Combustion Details(SI)'!D28/'Combustion Details(SI)'!D$37</f>
        <v>0</v>
      </c>
      <c r="M28" s="55">
        <f t="shared" si="3"/>
        <v>0</v>
      </c>
    </row>
    <row r="29" spans="1:13" ht="17.25" customHeight="1" x14ac:dyDescent="0.25">
      <c r="A29" s="54">
        <v>68050</v>
      </c>
      <c r="B29" s="54">
        <v>354940</v>
      </c>
      <c r="C29" s="182">
        <v>1426</v>
      </c>
      <c r="D29" s="182"/>
      <c r="E29" s="54">
        <v>259840</v>
      </c>
      <c r="F29" s="54">
        <v>650</v>
      </c>
      <c r="G29" s="47" t="s">
        <v>71</v>
      </c>
      <c r="H29" s="48">
        <f t="shared" si="0"/>
        <v>112105.79729184587</v>
      </c>
      <c r="I29" s="20">
        <v>128.16200000000001</v>
      </c>
      <c r="J29" s="55">
        <f t="shared" si="1"/>
        <v>874.71947450762207</v>
      </c>
      <c r="K29" s="55">
        <f t="shared" si="2"/>
        <v>0.20892324760824749</v>
      </c>
      <c r="L29" s="55">
        <f>'Combustion Details(SI)'!D29/'Combustion Details(SI)'!D$37</f>
        <v>0</v>
      </c>
      <c r="M29" s="55">
        <f t="shared" si="3"/>
        <v>0</v>
      </c>
    </row>
    <row r="30" spans="1:13" ht="17.25" customHeight="1" x14ac:dyDescent="0.25">
      <c r="A30" s="54">
        <v>39252</v>
      </c>
      <c r="B30" s="54">
        <v>87900</v>
      </c>
      <c r="C30" s="182">
        <v>1916</v>
      </c>
      <c r="D30" s="182"/>
      <c r="E30" s="54">
        <v>53654</v>
      </c>
      <c r="F30" s="54">
        <v>897</v>
      </c>
      <c r="G30" s="47" t="s">
        <v>72</v>
      </c>
      <c r="H30" s="48">
        <f t="shared" si="0"/>
        <v>42257.006772941371</v>
      </c>
      <c r="I30" s="20">
        <v>32.040999999999997</v>
      </c>
      <c r="J30" s="55">
        <f t="shared" si="1"/>
        <v>1318.8416957317618</v>
      </c>
      <c r="K30" s="55">
        <f t="shared" si="2"/>
        <v>0.31500006365874839</v>
      </c>
      <c r="L30" s="55">
        <f>'Combustion Details(SI)'!D30/'Combustion Details(SI)'!D$37</f>
        <v>0</v>
      </c>
      <c r="M30" s="55">
        <f t="shared" si="3"/>
        <v>0</v>
      </c>
    </row>
    <row r="31" spans="1:13" ht="17.25" customHeight="1" x14ac:dyDescent="0.25">
      <c r="A31" s="54">
        <v>49200</v>
      </c>
      <c r="B31" s="54">
        <v>145770</v>
      </c>
      <c r="C31" s="182">
        <v>1663</v>
      </c>
      <c r="D31" s="182"/>
      <c r="E31" s="54">
        <v>93900</v>
      </c>
      <c r="F31" s="54">
        <v>745</v>
      </c>
      <c r="G31" s="47" t="s">
        <v>73</v>
      </c>
      <c r="H31" s="48">
        <f t="shared" si="0"/>
        <v>59711.873418241412</v>
      </c>
      <c r="I31" s="20">
        <v>46.067</v>
      </c>
      <c r="J31" s="55">
        <f t="shared" si="1"/>
        <v>1296.1962667037449</v>
      </c>
      <c r="K31" s="55">
        <f t="shared" si="2"/>
        <v>0.30959129351712267</v>
      </c>
      <c r="L31" s="55">
        <f>'Combustion Details(SI)'!D31/'Combustion Details(SI)'!D$37</f>
        <v>0</v>
      </c>
      <c r="M31" s="55">
        <f t="shared" si="3"/>
        <v>0</v>
      </c>
    </row>
    <row r="32" spans="1:13" s="135" customFormat="1" ht="17.25" customHeight="1" x14ac:dyDescent="0.25">
      <c r="A32" s="150">
        <v>25639</v>
      </c>
      <c r="B32" s="150">
        <v>-8</v>
      </c>
      <c r="C32" s="187">
        <v>0</v>
      </c>
      <c r="D32" s="187"/>
      <c r="E32" s="150">
        <v>0</v>
      </c>
      <c r="F32" s="150">
        <v>0</v>
      </c>
      <c r="G32" s="47" t="s">
        <v>34</v>
      </c>
      <c r="H32" s="48">
        <f>A32+B32*B$1+C32*(B$1^12)+E32*(B$1^3)+F32*(B$1^4)</f>
        <v>22893.8</v>
      </c>
      <c r="I32" s="20">
        <v>32.06</v>
      </c>
      <c r="J32" s="134">
        <f t="shared" si="1"/>
        <v>714.09232688708664</v>
      </c>
      <c r="K32" s="134">
        <f t="shared" si="2"/>
        <v>0.1705580959076731</v>
      </c>
      <c r="L32" s="134">
        <f>'Combustion Details(SI)'!D32/'Combustion Details(SI)'!D$37</f>
        <v>0</v>
      </c>
      <c r="M32" s="134">
        <f t="shared" si="3"/>
        <v>0</v>
      </c>
    </row>
    <row r="33" spans="1:17" ht="17.25" customHeight="1" x14ac:dyDescent="0.25">
      <c r="A33" s="54">
        <v>33288</v>
      </c>
      <c r="B33" s="54">
        <v>26086</v>
      </c>
      <c r="C33" s="182">
        <v>913</v>
      </c>
      <c r="D33" s="182"/>
      <c r="E33" s="54">
        <v>-17979</v>
      </c>
      <c r="F33" s="54">
        <v>949</v>
      </c>
      <c r="G33" s="47" t="s">
        <v>35</v>
      </c>
      <c r="H33" s="48">
        <f t="shared" si="0"/>
        <v>33876.238315736809</v>
      </c>
      <c r="I33" s="20">
        <v>34.076000000000001</v>
      </c>
      <c r="J33" s="55">
        <f t="shared" si="1"/>
        <v>994.13776017539647</v>
      </c>
      <c r="K33" s="55">
        <f t="shared" si="2"/>
        <v>0.23744582746685275</v>
      </c>
      <c r="L33" s="55">
        <f>'Combustion Details(SI)'!D33/'Combustion Details(SI)'!D$37</f>
        <v>2.3049929733316932E-2</v>
      </c>
      <c r="M33" s="55">
        <f t="shared" si="3"/>
        <v>5.4731096385802515E-3</v>
      </c>
    </row>
    <row r="34" spans="1:17" ht="17.25" customHeight="1" x14ac:dyDescent="0.25">
      <c r="A34" s="54">
        <v>33375</v>
      </c>
      <c r="B34" s="54">
        <v>25864</v>
      </c>
      <c r="C34" s="182">
        <v>933</v>
      </c>
      <c r="D34" s="182"/>
      <c r="E34" s="54">
        <v>10880</v>
      </c>
      <c r="F34" s="54">
        <v>424</v>
      </c>
      <c r="G34" s="47" t="s">
        <v>74</v>
      </c>
      <c r="H34" s="48">
        <f t="shared" si="0"/>
        <v>38471.655473495426</v>
      </c>
      <c r="I34" s="20">
        <v>64.06</v>
      </c>
      <c r="J34" s="55">
        <f t="shared" si="1"/>
        <v>600.55659496558576</v>
      </c>
      <c r="K34" s="55">
        <f t="shared" si="2"/>
        <v>0.14344054048115029</v>
      </c>
      <c r="L34" s="55">
        <f>'Combustion Details(SI)'!D34/'Combustion Details(SI)'!D$37</f>
        <v>0</v>
      </c>
      <c r="M34" s="55">
        <f t="shared" si="3"/>
        <v>0</v>
      </c>
    </row>
    <row r="35" spans="1:17" ht="17.25" customHeight="1" x14ac:dyDescent="0.25">
      <c r="A35" s="54">
        <v>33363</v>
      </c>
      <c r="B35" s="54">
        <v>26790</v>
      </c>
      <c r="C35" s="182">
        <v>2610</v>
      </c>
      <c r="D35" s="182"/>
      <c r="E35" s="54">
        <v>8896</v>
      </c>
      <c r="F35" s="54">
        <v>1169</v>
      </c>
      <c r="G35" s="47" t="s">
        <v>36</v>
      </c>
      <c r="H35" s="48">
        <f t="shared" si="0"/>
        <v>33496.134521991356</v>
      </c>
      <c r="I35" s="20">
        <v>18.015999999999998</v>
      </c>
      <c r="J35" s="55">
        <f t="shared" si="1"/>
        <v>1859.2437012650621</v>
      </c>
      <c r="K35" s="55">
        <f t="shared" si="2"/>
        <v>0.44407292107235502</v>
      </c>
      <c r="L35" s="55">
        <f>'Combustion Details(SI)'!D35/'Combustion Details(SI)'!D$37</f>
        <v>4.5699414625627773E-3</v>
      </c>
      <c r="M35" s="55">
        <f t="shared" si="3"/>
        <v>2.0293872544099229E-3</v>
      </c>
    </row>
    <row r="36" spans="1:17" ht="30" customHeight="1" x14ac:dyDescent="0.25">
      <c r="D36" s="186"/>
      <c r="E36" s="186"/>
      <c r="F36" s="186"/>
      <c r="L36" s="55" t="s">
        <v>200</v>
      </c>
      <c r="M36" s="55">
        <f>SUM(M3:M35)</f>
        <v>0.49722052796646471</v>
      </c>
    </row>
    <row r="37" spans="1:17" ht="15" customHeight="1" x14ac:dyDescent="0.25">
      <c r="M37" s="73">
        <f>SI!K26*1.8+32</f>
        <v>158</v>
      </c>
      <c r="N37" s="185" t="s">
        <v>234</v>
      </c>
      <c r="O37" s="185"/>
      <c r="P37" s="185"/>
    </row>
    <row r="38" spans="1:17" ht="15" customHeight="1" x14ac:dyDescent="0.25">
      <c r="J38" s="73"/>
      <c r="K38" s="188" t="s">
        <v>230</v>
      </c>
      <c r="L38" s="188"/>
      <c r="M38" s="73">
        <f>SI!K27*'Flue Enth (SI)'!M36*(M37-60)</f>
        <v>146182.83522214062</v>
      </c>
      <c r="N38" s="185" t="s">
        <v>231</v>
      </c>
      <c r="O38" s="185"/>
      <c r="P38" s="185"/>
      <c r="Q38" s="185"/>
    </row>
    <row r="39" spans="1:17" x14ac:dyDescent="0.25">
      <c r="M39" s="73">
        <f>M38*0.000293071</f>
        <v>42.841949701387975</v>
      </c>
      <c r="N39" s="185" t="s">
        <v>232</v>
      </c>
      <c r="O39" s="185"/>
      <c r="P39" s="185"/>
      <c r="Q39" s="185"/>
    </row>
  </sheetData>
  <mergeCells count="40">
    <mergeCell ref="K38:L38"/>
    <mergeCell ref="N38:Q38"/>
    <mergeCell ref="N39:Q39"/>
    <mergeCell ref="C31:D31"/>
    <mergeCell ref="C32:D32"/>
    <mergeCell ref="C33:D33"/>
    <mergeCell ref="C34:D34"/>
    <mergeCell ref="C35:D35"/>
    <mergeCell ref="D36:F36"/>
    <mergeCell ref="N37:P3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H1:P1"/>
    <mergeCell ref="C2:D2"/>
    <mergeCell ref="C3:D3"/>
    <mergeCell ref="C4:D4"/>
    <mergeCell ref="C5:D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US</vt:lpstr>
      <vt:lpstr>Combustion Details(US)</vt:lpstr>
      <vt:lpstr>Flue Gas, Air Enth (US)</vt:lpstr>
      <vt:lpstr>Flue Enth (US)</vt:lpstr>
      <vt:lpstr>SI</vt:lpstr>
      <vt:lpstr>Combustion Details(SI)</vt:lpstr>
      <vt:lpstr>Flue Gas, Air Enth (SI)</vt:lpstr>
      <vt:lpstr>Flue Enth (SI)</vt:lpstr>
      <vt:lpstr>'Combustion Details(SI)'!Print_Area</vt:lpstr>
      <vt:lpstr>'Combustion Details(US)'!Print_Area</vt:lpstr>
      <vt:lpstr>SI!Print_Area</vt:lpstr>
      <vt:lpstr>US!Print_Area</vt:lpstr>
      <vt:lpstr>'Combustion Details(SI)'!Print_Titles</vt:lpstr>
      <vt:lpstr>'Combustion Details(US)'!Print_Titles</vt:lpstr>
    </vt:vector>
  </TitlesOfParts>
  <Manager>A.Bakhtiari</Manager>
  <Company>TNA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Combustion Calculator</dc:title>
  <dc:subject>Fired Heaters Efficiency Module</dc:subject>
  <dc:creator>Tarahan Naftoon Arya Eng. Co.</dc:creator>
  <cp:keywords>Efficiency; Combustion</cp:keywords>
  <dc:description>Copy Right 2009-2011 Tarahan Naftoon Arya Eng Co. All Right Reserved.</dc:description>
  <cp:lastModifiedBy>hp</cp:lastModifiedBy>
  <cp:revision>1</cp:revision>
  <cp:lastPrinted>2025-10-19T08:28:13Z</cp:lastPrinted>
  <dcterms:created xsi:type="dcterms:W3CDTF">2009-03-11T07:48:06Z</dcterms:created>
  <dcterms:modified xsi:type="dcterms:W3CDTF">2026-05-18T14:59:35Z</dcterms:modified>
  <cp:category>FHinfinity Training Material</cp:category>
  <dc:language>English</dc:language>
  <cp:version>2.1.2</cp:version>
</cp:coreProperties>
</file>