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mom\OneDrive\Desktop\Firas\Online Business\Real Estate Investor Course\Marketing\"/>
    </mc:Choice>
  </mc:AlternateContent>
  <xr:revisionPtr revIDLastSave="0" documentId="13_ncr:1_{4C50C098-5BB4-4618-BC8D-17B721A9C30A}" xr6:coauthVersionLast="36" xr6:coauthVersionMax="36" xr10:uidLastSave="{00000000-0000-0000-0000-000000000000}"/>
  <bookViews>
    <workbookView xWindow="0" yWindow="0" windowWidth="27390" windowHeight="12030" activeTab="1" xr2:uid="{00000000-000D-0000-FFFF-FFFF00000000}"/>
  </bookViews>
  <sheets>
    <sheet name="Property Analysis" sheetId="1" r:id="rId1"/>
    <sheet name="Sheet1" sheetId="2" r:id="rId2"/>
  </sheets>
  <definedNames>
    <definedName name="d44_">#REF!</definedName>
  </definedNames>
  <calcPr calcId="191029"/>
</workbook>
</file>

<file path=xl/calcChain.xml><?xml version="1.0" encoding="utf-8"?>
<calcChain xmlns="http://schemas.openxmlformats.org/spreadsheetml/2006/main">
  <c r="M53" i="2" l="1"/>
  <c r="L53" i="2"/>
  <c r="M45" i="2"/>
  <c r="D45" i="2"/>
  <c r="D44" i="2"/>
  <c r="D41" i="2"/>
  <c r="G39" i="2"/>
  <c r="K33" i="2" s="1"/>
  <c r="D39" i="2"/>
  <c r="G36" i="2"/>
  <c r="G32" i="2"/>
  <c r="D46" i="2" s="1"/>
  <c r="D47" i="2" s="1"/>
  <c r="K30" i="2"/>
  <c r="M30" i="2" s="1"/>
  <c r="K29" i="2"/>
  <c r="M29" i="2" s="1"/>
  <c r="M28" i="2"/>
  <c r="K28" i="2"/>
  <c r="K27" i="2"/>
  <c r="M27" i="2" s="1"/>
  <c r="K26" i="2"/>
  <c r="M26" i="2" s="1"/>
  <c r="K25" i="2"/>
  <c r="M25" i="2" s="1"/>
  <c r="G23" i="2"/>
  <c r="D22" i="2"/>
  <c r="L33" i="2" l="1"/>
  <c r="K34" i="2"/>
  <c r="L34" i="2" s="1"/>
  <c r="K43" i="2"/>
  <c r="L43" i="2" s="1"/>
  <c r="G44" i="2"/>
  <c r="K21" i="2"/>
  <c r="M21" i="2" s="1"/>
  <c r="M53" i="1"/>
  <c r="L53" i="1"/>
  <c r="M45" i="1"/>
  <c r="D45" i="1"/>
  <c r="D44" i="1"/>
  <c r="G39" i="1"/>
  <c r="K30" i="1" s="1"/>
  <c r="M30" i="1" s="1"/>
  <c r="D39" i="1"/>
  <c r="D41" i="1" s="1"/>
  <c r="G36" i="1"/>
  <c r="G32" i="1"/>
  <c r="G44" i="1" s="1"/>
  <c r="K29" i="1"/>
  <c r="M29" i="1" s="1"/>
  <c r="K28" i="1"/>
  <c r="M28" i="1" s="1"/>
  <c r="K27" i="1"/>
  <c r="M27" i="1" s="1"/>
  <c r="K26" i="1"/>
  <c r="M26" i="1" s="1"/>
  <c r="K25" i="1"/>
  <c r="M25" i="1" s="1"/>
  <c r="G23" i="1"/>
  <c r="D22" i="1"/>
  <c r="K35" i="2" l="1"/>
  <c r="K21" i="1"/>
  <c r="M21" i="1" s="1"/>
  <c r="D46" i="1"/>
  <c r="D47" i="1" s="1"/>
  <c r="K33" i="1"/>
  <c r="K42" i="2" l="1"/>
  <c r="L42" i="2" s="1"/>
  <c r="K41" i="2"/>
  <c r="L41" i="2" s="1"/>
  <c r="K50" i="2"/>
  <c r="L50" i="2" s="1"/>
  <c r="K39" i="2"/>
  <c r="L39" i="2" s="1"/>
  <c r="K40" i="2"/>
  <c r="L40" i="2" s="1"/>
  <c r="K38" i="2"/>
  <c r="L35" i="2"/>
  <c r="K34" i="1"/>
  <c r="L34" i="1" s="1"/>
  <c r="L33" i="1"/>
  <c r="K43" i="1"/>
  <c r="L43" i="1" s="1"/>
  <c r="K45" i="2" l="1"/>
  <c r="L38" i="2"/>
  <c r="K35" i="1"/>
  <c r="L45" i="2" l="1"/>
  <c r="K60" i="2"/>
  <c r="L60" i="2" s="1"/>
  <c r="K22" i="2" s="1"/>
  <c r="M22" i="2" s="1"/>
  <c r="K56" i="2"/>
  <c r="L56" i="2" s="1"/>
  <c r="K57" i="2"/>
  <c r="K38" i="1"/>
  <c r="K50" i="1"/>
  <c r="L50" i="1" s="1"/>
  <c r="K40" i="1"/>
  <c r="L40" i="1" s="1"/>
  <c r="L35" i="1"/>
  <c r="K42" i="1"/>
  <c r="L42" i="1" s="1"/>
  <c r="K41" i="1"/>
  <c r="L41" i="1" s="1"/>
  <c r="K39" i="1"/>
  <c r="L39" i="1" s="1"/>
  <c r="L57" i="2" l="1"/>
  <c r="K24" i="2" s="1"/>
  <c r="M24" i="2" s="1"/>
  <c r="K23" i="2"/>
  <c r="M23" i="2" s="1"/>
  <c r="K45" i="1"/>
  <c r="L38" i="1"/>
  <c r="L45" i="1" l="1"/>
  <c r="K57" i="1"/>
  <c r="K56" i="1"/>
  <c r="L56" i="1" s="1"/>
  <c r="K60" i="1"/>
  <c r="L60" i="1" s="1"/>
  <c r="K22" i="1" s="1"/>
  <c r="M22" i="1" s="1"/>
  <c r="K23" i="1" l="1"/>
  <c r="M23" i="1" s="1"/>
  <c r="L57" i="1"/>
  <c r="K24" i="1" s="1"/>
  <c r="M24" i="1" s="1"/>
</calcChain>
</file>

<file path=xl/sharedStrings.xml><?xml version="1.0" encoding="utf-8"?>
<sst xmlns="http://schemas.openxmlformats.org/spreadsheetml/2006/main" count="238" uniqueCount="100">
  <si>
    <t>Property</t>
  </si>
  <si>
    <t>Street</t>
  </si>
  <si>
    <t>City</t>
  </si>
  <si>
    <t>State</t>
  </si>
  <si>
    <t>Zip</t>
  </si>
  <si>
    <t>Listing</t>
  </si>
  <si>
    <t>Offer</t>
  </si>
  <si>
    <t>Purchase Decision</t>
  </si>
  <si>
    <t>List Price</t>
  </si>
  <si>
    <t>Offer Price</t>
  </si>
  <si>
    <t>Metrics</t>
  </si>
  <si>
    <t>Proforma</t>
  </si>
  <si>
    <t>Target</t>
  </si>
  <si>
    <t>Decision</t>
  </si>
  <si>
    <t>List Date</t>
  </si>
  <si>
    <t>Max Bid</t>
  </si>
  <si>
    <t>Discount To ARV</t>
  </si>
  <si>
    <t>DOM</t>
  </si>
  <si>
    <t>% of Max Bid</t>
  </si>
  <si>
    <t>Cap Rate</t>
  </si>
  <si>
    <t>Source</t>
  </si>
  <si>
    <t>Roofstock</t>
  </si>
  <si>
    <t>% of Listing</t>
  </si>
  <si>
    <t>Monthly Cashflow</t>
  </si>
  <si>
    <t>Cash on Cash</t>
  </si>
  <si>
    <t>After Repair Value</t>
  </si>
  <si>
    <t>Neighborhood</t>
  </si>
  <si>
    <t>Bed</t>
  </si>
  <si>
    <t>Bed Count</t>
  </si>
  <si>
    <t>Bath</t>
  </si>
  <si>
    <t>Zestimate</t>
  </si>
  <si>
    <t>Bath Count</t>
  </si>
  <si>
    <t>Square footage</t>
  </si>
  <si>
    <t>Other Source</t>
  </si>
  <si>
    <t>Square Feet</t>
  </si>
  <si>
    <t>Lot</t>
  </si>
  <si>
    <t>Lender Appraisal</t>
  </si>
  <si>
    <t>Maximum Purchase Price</t>
  </si>
  <si>
    <t>Year Built</t>
  </si>
  <si>
    <t>Rent</t>
  </si>
  <si>
    <t>Capital Expenditures</t>
  </si>
  <si>
    <t>Area</t>
  </si>
  <si>
    <t>Best Guess</t>
  </si>
  <si>
    <t>Income</t>
  </si>
  <si>
    <t>Month</t>
  </si>
  <si>
    <t>Annual</t>
  </si>
  <si>
    <t>Assumption</t>
  </si>
  <si>
    <t>Pro Forma</t>
  </si>
  <si>
    <t>Cumulative School</t>
  </si>
  <si>
    <t>Budget</t>
  </si>
  <si>
    <t>Vacancy Factor</t>
  </si>
  <si>
    <t>Actual</t>
  </si>
  <si>
    <t>Expected Rent</t>
  </si>
  <si>
    <t>Lending</t>
  </si>
  <si>
    <t>Cap Ex Delta</t>
  </si>
  <si>
    <t>APR</t>
  </si>
  <si>
    <t>Expenses</t>
  </si>
  <si>
    <t>Assumption (% effective rent)</t>
  </si>
  <si>
    <t>Loan to Cost</t>
  </si>
  <si>
    <t>Prop Taxes</t>
  </si>
  <si>
    <t>Loan Amount (no fees)</t>
  </si>
  <si>
    <t>PM Fees</t>
  </si>
  <si>
    <t>Loan Fees</t>
  </si>
  <si>
    <t>Market Rent</t>
  </si>
  <si>
    <t>Leasing Fee</t>
  </si>
  <si>
    <t>Loan Amount (with loan fees)</t>
  </si>
  <si>
    <t>Rent Actual</t>
  </si>
  <si>
    <t>Prop Insurance</t>
  </si>
  <si>
    <t>Repairs &amp; Maint</t>
  </si>
  <si>
    <t>Cost To Close</t>
  </si>
  <si>
    <t>Equity</t>
  </si>
  <si>
    <t>Cap Ex Reserve</t>
  </si>
  <si>
    <t>Down Payment</t>
  </si>
  <si>
    <t>Immediate</t>
  </si>
  <si>
    <t>Other/Misc</t>
  </si>
  <si>
    <t>Closing Costs</t>
  </si>
  <si>
    <t>Value Appreciation</t>
  </si>
  <si>
    <t>Total</t>
  </si>
  <si>
    <t>Cap Ex</t>
  </si>
  <si>
    <t>Rent Growth</t>
  </si>
  <si>
    <t>Initial Investment</t>
  </si>
  <si>
    <t>Occupancy</t>
  </si>
  <si>
    <t>Links</t>
  </si>
  <si>
    <t>Status</t>
  </si>
  <si>
    <t>Vacant</t>
  </si>
  <si>
    <t>Reserves</t>
  </si>
  <si>
    <t>RS URL</t>
  </si>
  <si>
    <t>End of Lease</t>
  </si>
  <si>
    <t>Turn Reserves</t>
  </si>
  <si>
    <t>ZL URL</t>
  </si>
  <si>
    <t>Debt Servicing</t>
  </si>
  <si>
    <t>Appreciation / Equity</t>
  </si>
  <si>
    <t>Mortgage</t>
  </si>
  <si>
    <t>Cash Flow</t>
  </si>
  <si>
    <t>Assumptions</t>
  </si>
  <si>
    <t>Unlevered CF</t>
  </si>
  <si>
    <t>Income - Expenses</t>
  </si>
  <si>
    <t>Levered CF</t>
  </si>
  <si>
    <t>Income - Expenses - Debt Servicing</t>
  </si>
  <si>
    <t>Net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</si>
</sst>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;\(\$#,##0\)"/>
    <numFmt numFmtId="165" formatCode="&quot;$&quot;#,##0"/>
    <numFmt numFmtId="166" formatCode="m/d/yyyy"/>
    <numFmt numFmtId="167" formatCode="0.0%"/>
    <numFmt numFmtId="168" formatCode="\$#,##0.00"/>
    <numFmt numFmtId="169" formatCode="0.0"/>
    <numFmt numFmtId="170" formatCode="&quot;$&quot;#,##0.00"/>
    <numFmt numFmtId="171" formatCode="\$#,##0"/>
    <numFmt numFmtId="172" formatCode="\$#,##0.00;\(\$#,##0.00\)"/>
  </numFmts>
  <fonts count="3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10"/>
      <color rgb="FFFF7B0F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FFFF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FF7B0F"/>
      <name val="Arial"/>
      <family val="2"/>
    </font>
    <font>
      <sz val="10"/>
      <color rgb="FF30C28A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i/>
      <sz val="10"/>
      <name val="Arial"/>
      <family val="2"/>
    </font>
    <font>
      <sz val="10"/>
      <color rgb="FF00800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0C28A"/>
        <bgColor rgb="FF30C28A"/>
      </patternFill>
    </fill>
    <fill>
      <patternFill patternType="solid">
        <fgColor rgb="FF172948"/>
        <bgColor rgb="FF17294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D5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4" tint="0.79998168889431442"/>
        <bgColor rgb="FFFCE5CD"/>
      </patternFill>
    </fill>
    <fill>
      <patternFill patternType="solid">
        <fgColor theme="8" tint="0.79998168889431442"/>
        <bgColor rgb="FFD9EAD3"/>
      </patternFill>
    </fill>
    <fill>
      <patternFill patternType="solid">
        <fgColor theme="8" tint="0.79998168889431442"/>
        <bgColor rgb="FFFCE5CD"/>
      </patternFill>
    </fill>
    <fill>
      <patternFill patternType="solid">
        <fgColor rgb="FF00B050"/>
        <bgColor rgb="FFFF7B0F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ck">
        <color rgb="FF172948"/>
      </left>
      <right/>
      <top style="thick">
        <color rgb="FF172948"/>
      </top>
      <bottom/>
      <diagonal/>
    </border>
    <border>
      <left/>
      <right/>
      <top style="thick">
        <color rgb="FF172948"/>
      </top>
      <bottom/>
      <diagonal/>
    </border>
    <border>
      <left/>
      <right style="thick">
        <color rgb="FF172948"/>
      </right>
      <top style="thick">
        <color rgb="FF172948"/>
      </top>
      <bottom/>
      <diagonal/>
    </border>
    <border>
      <left style="thick">
        <color rgb="FF172948"/>
      </left>
      <right/>
      <top/>
      <bottom/>
      <diagonal/>
    </border>
    <border>
      <left/>
      <right style="thick">
        <color rgb="FF172948"/>
      </right>
      <top/>
      <bottom/>
      <diagonal/>
    </border>
    <border>
      <left style="thick">
        <color rgb="FF172948"/>
      </left>
      <right/>
      <top/>
      <bottom style="thick">
        <color rgb="FF172948"/>
      </bottom>
      <diagonal/>
    </border>
    <border>
      <left/>
      <right/>
      <top/>
      <bottom style="thick">
        <color rgb="FF172948"/>
      </bottom>
      <diagonal/>
    </border>
    <border>
      <left/>
      <right style="thick">
        <color rgb="FF172948"/>
      </right>
      <top/>
      <bottom style="thick">
        <color rgb="FF172948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172948"/>
      </left>
      <right style="thin">
        <color rgb="FF000000"/>
      </right>
      <top style="thick">
        <color rgb="FF172948"/>
      </top>
      <bottom style="thin">
        <color rgb="FF000000"/>
      </bottom>
      <diagonal/>
    </border>
    <border>
      <left style="thin">
        <color rgb="FF000000"/>
      </left>
      <right style="thick">
        <color rgb="FF172948"/>
      </right>
      <top style="thick">
        <color rgb="FF172948"/>
      </top>
      <bottom style="thin">
        <color rgb="FF000000"/>
      </bottom>
      <diagonal/>
    </border>
    <border>
      <left style="thick">
        <color rgb="FF172948"/>
      </left>
      <right/>
      <top style="thick">
        <color rgb="FF172948"/>
      </top>
      <bottom style="thin">
        <color rgb="FF000000"/>
      </bottom>
      <diagonal/>
    </border>
    <border>
      <left style="thick">
        <color rgb="FF30C28A"/>
      </left>
      <right style="thick">
        <color rgb="FF30C28A"/>
      </right>
      <top style="thick">
        <color rgb="FF30C28A"/>
      </top>
      <bottom style="thick">
        <color rgb="FF30C28A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17294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17294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172948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72948"/>
      </left>
      <right style="thin">
        <color rgb="FF000000"/>
      </right>
      <top style="thin">
        <color rgb="FF000000"/>
      </top>
      <bottom style="thick">
        <color rgb="FF172948"/>
      </bottom>
      <diagonal/>
    </border>
    <border>
      <left style="thin">
        <color rgb="FF000000"/>
      </left>
      <right style="thick">
        <color rgb="FF172948"/>
      </right>
      <top style="thin">
        <color rgb="FF000000"/>
      </top>
      <bottom style="thick">
        <color rgb="FF172948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17294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172948"/>
      </bottom>
      <diagonal/>
    </border>
    <border>
      <left style="thick">
        <color rgb="FF30C28A"/>
      </left>
      <right style="thick">
        <color rgb="FF30C28A"/>
      </right>
      <top style="thick">
        <color rgb="FF30C28A"/>
      </top>
      <bottom/>
      <diagonal/>
    </border>
    <border>
      <left style="thick">
        <color rgb="FF172948"/>
      </left>
      <right/>
      <top style="thin">
        <color rgb="FF000000"/>
      </top>
      <bottom style="thin">
        <color rgb="FF000000"/>
      </bottom>
      <diagonal/>
    </border>
    <border>
      <left style="thick">
        <color rgb="FF172948"/>
      </left>
      <right style="thin">
        <color rgb="FF000000"/>
      </right>
      <top style="thick">
        <color rgb="FF172948"/>
      </top>
      <bottom/>
      <diagonal/>
    </border>
    <border>
      <left style="thin">
        <color rgb="FF000000"/>
      </left>
      <right style="thick">
        <color rgb="FF172948"/>
      </right>
      <top style="thick">
        <color rgb="FF172948"/>
      </top>
      <bottom/>
      <diagonal/>
    </border>
    <border>
      <left/>
      <right style="thin">
        <color rgb="FF000000"/>
      </right>
      <top style="thick">
        <color rgb="FF172948"/>
      </top>
      <bottom/>
      <diagonal/>
    </border>
    <border>
      <left style="thin">
        <color rgb="FF000000"/>
      </left>
      <right style="thin">
        <color rgb="FF000000"/>
      </right>
      <top style="thick">
        <color rgb="FF172948"/>
      </top>
      <bottom/>
      <diagonal/>
    </border>
    <border>
      <left style="thin">
        <color rgb="FF000000"/>
      </left>
      <right/>
      <top style="thick">
        <color rgb="FF172948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 applyFont="1" applyAlignment="1">
      <alignment wrapText="1"/>
    </xf>
    <xf numFmtId="0" fontId="1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0" fillId="0" borderId="0" xfId="0" applyFont="1" applyFill="1" applyAlignment="1" applyProtection="1">
      <alignment wrapText="1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49" fontId="6" fillId="6" borderId="9" xfId="0" applyNumberFormat="1" applyFont="1" applyFill="1" applyBorder="1" applyAlignment="1" applyProtection="1">
      <alignment horizontal="center" wrapText="1"/>
    </xf>
    <xf numFmtId="49" fontId="7" fillId="6" borderId="9" xfId="0" applyNumberFormat="1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13" xfId="0" applyFont="1" applyBorder="1" applyAlignment="1" applyProtection="1">
      <alignment horizontal="left"/>
    </xf>
    <xf numFmtId="0" fontId="16" fillId="0" borderId="15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0" borderId="17" xfId="0" applyFont="1" applyBorder="1" applyAlignment="1" applyProtection="1">
      <alignment horizontal="left" wrapText="1"/>
    </xf>
    <xf numFmtId="0" fontId="18" fillId="0" borderId="17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1" fillId="0" borderId="18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right" wrapText="1"/>
    </xf>
    <xf numFmtId="0" fontId="18" fillId="0" borderId="21" xfId="0" applyFont="1" applyBorder="1" applyAlignment="1" applyProtection="1">
      <alignment horizontal="left" wrapText="1"/>
    </xf>
    <xf numFmtId="167" fontId="2" fillId="0" borderId="22" xfId="0" applyNumberFormat="1" applyFont="1" applyBorder="1" applyAlignment="1" applyProtection="1">
      <alignment horizontal="center" vertical="center" wrapText="1"/>
    </xf>
    <xf numFmtId="168" fontId="3" fillId="2" borderId="23" xfId="0" applyNumberFormat="1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left"/>
    </xf>
    <xf numFmtId="0" fontId="18" fillId="0" borderId="24" xfId="0" applyFont="1" applyBorder="1" applyAlignment="1" applyProtection="1">
      <alignment horizontal="left" wrapText="1"/>
    </xf>
    <xf numFmtId="167" fontId="2" fillId="0" borderId="25" xfId="0" applyNumberFormat="1" applyFont="1" applyBorder="1" applyAlignment="1" applyProtection="1">
      <alignment horizontal="center" vertical="center" wrapText="1"/>
    </xf>
    <xf numFmtId="168" fontId="3" fillId="2" borderId="26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wrapText="1"/>
    </xf>
    <xf numFmtId="0" fontId="2" fillId="0" borderId="27" xfId="0" applyFont="1" applyBorder="1" applyAlignment="1" applyProtection="1">
      <alignment horizontal="left" wrapText="1"/>
    </xf>
    <xf numFmtId="9" fontId="2" fillId="0" borderId="28" xfId="0" applyNumberFormat="1" applyFont="1" applyBorder="1" applyAlignment="1" applyProtection="1">
      <alignment horizontal="left" wrapText="1"/>
    </xf>
    <xf numFmtId="164" fontId="2" fillId="0" borderId="25" xfId="0" applyNumberFormat="1" applyFont="1" applyBorder="1" applyAlignment="1" applyProtection="1">
      <alignment horizontal="center" vertical="center" wrapText="1"/>
    </xf>
    <xf numFmtId="165" fontId="2" fillId="0" borderId="25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169" fontId="2" fillId="0" borderId="25" xfId="0" applyNumberFormat="1" applyFont="1" applyBorder="1" applyAlignment="1" applyProtection="1">
      <alignment horizontal="center" vertical="center" wrapText="1"/>
    </xf>
    <xf numFmtId="168" fontId="3" fillId="0" borderId="26" xfId="0" applyNumberFormat="1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left"/>
    </xf>
    <xf numFmtId="1" fontId="2" fillId="0" borderId="25" xfId="0" applyNumberFormat="1" applyFont="1" applyBorder="1" applyAlignment="1" applyProtection="1">
      <alignment horizontal="center" vertical="center" wrapText="1"/>
    </xf>
    <xf numFmtId="0" fontId="2" fillId="10" borderId="28" xfId="0" applyFont="1" applyFill="1" applyBorder="1" applyAlignment="1" applyProtection="1">
      <alignment horizontal="left" wrapText="1"/>
    </xf>
    <xf numFmtId="0" fontId="15" fillId="0" borderId="27" xfId="0" applyFont="1" applyBorder="1" applyAlignment="1" applyProtection="1">
      <alignment horizontal="left"/>
    </xf>
    <xf numFmtId="0" fontId="18" fillId="0" borderId="29" xfId="0" applyFont="1" applyBorder="1" applyAlignment="1" applyProtection="1">
      <alignment horizontal="left" wrapText="1"/>
    </xf>
    <xf numFmtId="165" fontId="2" fillId="0" borderId="30" xfId="0" applyNumberFormat="1" applyFont="1" applyBorder="1" applyAlignment="1" applyProtection="1">
      <alignment horizontal="center" vertical="center" wrapText="1"/>
    </xf>
    <xf numFmtId="168" fontId="3" fillId="0" borderId="31" xfId="0" applyNumberFormat="1" applyFont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left"/>
    </xf>
    <xf numFmtId="0" fontId="19" fillId="0" borderId="0" xfId="0" applyFont="1" applyAlignment="1" applyProtection="1">
      <alignment horizontal="center" wrapText="1"/>
    </xf>
    <xf numFmtId="0" fontId="30" fillId="0" borderId="0" xfId="0" applyFont="1" applyAlignment="1" applyProtection="1">
      <alignment horizontal="center" vertical="center"/>
    </xf>
    <xf numFmtId="171" fontId="30" fillId="0" borderId="0" xfId="0" applyNumberFormat="1" applyFont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68" fontId="20" fillId="0" borderId="32" xfId="0" applyNumberFormat="1" applyFont="1" applyBorder="1" applyAlignment="1" applyProtection="1">
      <alignment horizontal="center" vertical="center"/>
    </xf>
    <xf numFmtId="171" fontId="2" fillId="0" borderId="32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left"/>
    </xf>
    <xf numFmtId="165" fontId="17" fillId="10" borderId="19" xfId="0" applyNumberFormat="1" applyFont="1" applyFill="1" applyBorder="1" applyAlignment="1" applyProtection="1">
      <alignment horizontal="left"/>
    </xf>
    <xf numFmtId="172" fontId="1" fillId="0" borderId="25" xfId="0" applyNumberFormat="1" applyFont="1" applyBorder="1" applyAlignment="1" applyProtection="1">
      <alignment horizontal="center" vertical="center"/>
    </xf>
    <xf numFmtId="171" fontId="1" fillId="0" borderId="25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wrapText="1"/>
    </xf>
    <xf numFmtId="0" fontId="21" fillId="12" borderId="27" xfId="0" applyFont="1" applyFill="1" applyBorder="1" applyAlignment="1" applyProtection="1">
      <alignment horizontal="left" wrapText="1"/>
    </xf>
    <xf numFmtId="168" fontId="18" fillId="0" borderId="33" xfId="0" applyNumberFormat="1" applyFont="1" applyBorder="1" applyAlignment="1" applyProtection="1">
      <alignment horizontal="center" vertical="center" wrapText="1"/>
    </xf>
    <xf numFmtId="171" fontId="5" fillId="0" borderId="33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left"/>
    </xf>
    <xf numFmtId="165" fontId="1" fillId="0" borderId="28" xfId="0" applyNumberFormat="1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22" fillId="5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/>
    </xf>
    <xf numFmtId="171" fontId="30" fillId="0" borderId="0" xfId="0" applyNumberFormat="1" applyFont="1" applyAlignment="1" applyProtection="1">
      <alignment horizontal="center" vertical="center"/>
    </xf>
    <xf numFmtId="0" fontId="1" fillId="0" borderId="35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172" fontId="1" fillId="0" borderId="22" xfId="0" applyNumberFormat="1" applyFont="1" applyBorder="1" applyAlignment="1" applyProtection="1">
      <alignment horizontal="center" vertical="center"/>
    </xf>
    <xf numFmtId="171" fontId="1" fillId="0" borderId="22" xfId="0" applyNumberFormat="1" applyFont="1" applyBorder="1" applyAlignment="1" applyProtection="1">
      <alignment horizontal="center" vertical="center"/>
    </xf>
    <xf numFmtId="168" fontId="5" fillId="0" borderId="0" xfId="0" applyNumberFormat="1" applyFont="1" applyAlignment="1" applyProtection="1"/>
    <xf numFmtId="164" fontId="1" fillId="0" borderId="20" xfId="0" applyNumberFormat="1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8" fillId="0" borderId="0" xfId="0" applyFont="1" applyAlignment="1" applyProtection="1"/>
    <xf numFmtId="171" fontId="16" fillId="11" borderId="20" xfId="0" applyNumberFormat="1" applyFont="1" applyFill="1" applyBorder="1" applyAlignment="1" applyProtection="1">
      <alignment horizontal="left"/>
    </xf>
    <xf numFmtId="0" fontId="2" fillId="0" borderId="24" xfId="0" applyFont="1" applyBorder="1" applyAlignment="1" applyProtection="1">
      <alignment horizontal="left" wrapText="1"/>
    </xf>
    <xf numFmtId="164" fontId="1" fillId="0" borderId="28" xfId="0" applyNumberFormat="1" applyFont="1" applyBorder="1" applyAlignment="1" applyProtection="1">
      <alignment horizontal="left"/>
    </xf>
    <xf numFmtId="171" fontId="17" fillId="11" borderId="28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2" fillId="0" borderId="24" xfId="0" applyFont="1" applyBorder="1" applyAlignment="1" applyProtection="1">
      <alignment wrapText="1"/>
    </xf>
    <xf numFmtId="170" fontId="2" fillId="0" borderId="25" xfId="0" applyNumberFormat="1" applyFont="1" applyBorder="1" applyAlignment="1" applyProtection="1">
      <alignment horizontal="center" wrapText="1"/>
    </xf>
    <xf numFmtId="165" fontId="2" fillId="0" borderId="25" xfId="0" applyNumberFormat="1" applyFont="1" applyBorder="1" applyAlignment="1" applyProtection="1">
      <alignment horizontal="center" wrapText="1"/>
    </xf>
    <xf numFmtId="164" fontId="1" fillId="0" borderId="14" xfId="0" applyNumberFormat="1" applyFont="1" applyBorder="1" applyAlignment="1" applyProtection="1">
      <alignment horizontal="left"/>
    </xf>
    <xf numFmtId="165" fontId="16" fillId="0" borderId="14" xfId="0" applyNumberFormat="1" applyFont="1" applyBorder="1" applyAlignment="1" applyProtection="1">
      <alignment horizontal="left"/>
    </xf>
    <xf numFmtId="170" fontId="2" fillId="0" borderId="25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164" fontId="16" fillId="0" borderId="19" xfId="0" applyNumberFormat="1" applyFont="1" applyBorder="1" applyAlignment="1" applyProtection="1">
      <alignment horizontal="left"/>
    </xf>
    <xf numFmtId="0" fontId="18" fillId="0" borderId="0" xfId="0" applyFont="1" applyAlignment="1" applyProtection="1">
      <alignment horizontal="center" wrapText="1"/>
    </xf>
    <xf numFmtId="0" fontId="23" fillId="12" borderId="29" xfId="0" applyFont="1" applyFill="1" applyBorder="1" applyAlignment="1" applyProtection="1">
      <alignment horizontal="left"/>
    </xf>
    <xf numFmtId="172" fontId="5" fillId="0" borderId="30" xfId="0" applyNumberFormat="1" applyFont="1" applyBorder="1" applyAlignment="1" applyProtection="1">
      <alignment horizontal="center" vertical="center"/>
    </xf>
    <xf numFmtId="171" fontId="5" fillId="0" borderId="30" xfId="0" applyNumberFormat="1" applyFont="1" applyBorder="1" applyAlignment="1" applyProtection="1">
      <alignment horizontal="center" vertical="center"/>
    </xf>
    <xf numFmtId="10" fontId="24" fillId="0" borderId="31" xfId="0" applyNumberFormat="1" applyFont="1" applyBorder="1" applyAlignment="1" applyProtection="1">
      <alignment horizontal="center" vertical="center"/>
    </xf>
    <xf numFmtId="164" fontId="2" fillId="0" borderId="19" xfId="0" applyNumberFormat="1" applyFont="1" applyBorder="1" applyAlignment="1" applyProtection="1">
      <alignment horizontal="left" wrapText="1"/>
    </xf>
    <xf numFmtId="0" fontId="21" fillId="12" borderId="27" xfId="0" applyFont="1" applyFill="1" applyBorder="1" applyAlignment="1" applyProtection="1">
      <alignment wrapText="1"/>
    </xf>
    <xf numFmtId="164" fontId="18" fillId="0" borderId="28" xfId="0" applyNumberFormat="1" applyFont="1" applyBorder="1" applyAlignment="1" applyProtection="1">
      <alignment horizontal="left" wrapText="1"/>
    </xf>
    <xf numFmtId="0" fontId="19" fillId="0" borderId="0" xfId="0" applyFont="1" applyAlignment="1" applyProtection="1">
      <alignment wrapText="1"/>
    </xf>
    <xf numFmtId="0" fontId="1" fillId="0" borderId="36" xfId="0" applyFont="1" applyBorder="1" applyAlignment="1" applyProtection="1">
      <alignment horizontal="left"/>
    </xf>
    <xf numFmtId="165" fontId="16" fillId="0" borderId="37" xfId="0" applyNumberFormat="1" applyFont="1" applyBorder="1" applyAlignment="1" applyProtection="1">
      <alignment horizontal="left"/>
    </xf>
    <xf numFmtId="0" fontId="2" fillId="0" borderId="38" xfId="0" applyFont="1" applyBorder="1" applyAlignment="1" applyProtection="1">
      <alignment horizontal="left" wrapText="1"/>
    </xf>
    <xf numFmtId="168" fontId="2" fillId="0" borderId="39" xfId="0" applyNumberFormat="1" applyFont="1" applyBorder="1" applyAlignment="1" applyProtection="1">
      <alignment horizontal="center" vertical="center" wrapText="1"/>
    </xf>
    <xf numFmtId="171" fontId="1" fillId="0" borderId="4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25" fillId="0" borderId="41" xfId="0" applyFont="1" applyBorder="1" applyAlignment="1" applyProtection="1"/>
    <xf numFmtId="0" fontId="26" fillId="0" borderId="9" xfId="0" applyFont="1" applyBorder="1" applyAlignment="1" applyProtection="1">
      <alignment wrapText="1"/>
    </xf>
    <xf numFmtId="172" fontId="30" fillId="0" borderId="9" xfId="0" applyNumberFormat="1" applyFont="1" applyBorder="1" applyAlignment="1" applyProtection="1">
      <alignment horizontal="center" wrapText="1"/>
    </xf>
    <xf numFmtId="171" fontId="30" fillId="0" borderId="9" xfId="0" applyNumberFormat="1" applyFont="1" applyBorder="1" applyAlignment="1" applyProtection="1">
      <alignment horizontal="center" wrapText="1"/>
    </xf>
    <xf numFmtId="0" fontId="26" fillId="0" borderId="0" xfId="0" applyFont="1" applyAlignment="1" applyProtection="1">
      <alignment wrapText="1"/>
    </xf>
    <xf numFmtId="0" fontId="22" fillId="0" borderId="0" xfId="0" applyFont="1" applyAlignment="1" applyProtection="1">
      <alignment wrapText="1"/>
    </xf>
    <xf numFmtId="171" fontId="25" fillId="0" borderId="0" xfId="0" applyNumberFormat="1" applyFont="1" applyAlignment="1" applyProtection="1">
      <alignment horizontal="center" wrapText="1"/>
    </xf>
    <xf numFmtId="0" fontId="2" fillId="0" borderId="13" xfId="0" applyFont="1" applyBorder="1" applyAlignment="1" applyProtection="1">
      <alignment horizontal="left" wrapText="1"/>
    </xf>
    <xf numFmtId="171" fontId="26" fillId="0" borderId="0" xfId="0" applyNumberFormat="1" applyFont="1" applyAlignment="1" applyProtection="1">
      <alignment wrapText="1"/>
    </xf>
    <xf numFmtId="0" fontId="25" fillId="0" borderId="0" xfId="0" applyFont="1" applyAlignment="1" applyProtection="1"/>
    <xf numFmtId="0" fontId="30" fillId="0" borderId="0" xfId="0" applyFont="1" applyAlignment="1" applyProtection="1">
      <alignment horizontal="center" wrapText="1"/>
    </xf>
    <xf numFmtId="0" fontId="6" fillId="0" borderId="43" xfId="0" applyFont="1" applyBorder="1" applyAlignment="1" applyProtection="1">
      <alignment wrapText="1"/>
    </xf>
    <xf numFmtId="172" fontId="6" fillId="0" borderId="44" xfId="0" applyNumberFormat="1" applyFont="1" applyBorder="1" applyAlignment="1" applyProtection="1">
      <alignment horizontal="center" wrapText="1"/>
    </xf>
    <xf numFmtId="171" fontId="26" fillId="0" borderId="45" xfId="0" applyNumberFormat="1" applyFont="1" applyBorder="1" applyAlignment="1" applyProtection="1">
      <alignment horizontal="center" wrapText="1"/>
    </xf>
    <xf numFmtId="0" fontId="28" fillId="0" borderId="0" xfId="0" applyFont="1" applyAlignment="1" applyProtection="1">
      <alignment horizontal="center"/>
    </xf>
    <xf numFmtId="0" fontId="6" fillId="0" borderId="46" xfId="0" applyFont="1" applyBorder="1" applyAlignment="1" applyProtection="1">
      <alignment wrapText="1"/>
    </xf>
    <xf numFmtId="172" fontId="6" fillId="0" borderId="30" xfId="0" applyNumberFormat="1" applyFont="1" applyBorder="1" applyAlignment="1" applyProtection="1">
      <alignment horizontal="center" wrapText="1"/>
    </xf>
    <xf numFmtId="171" fontId="26" fillId="0" borderId="47" xfId="0" applyNumberFormat="1" applyFont="1" applyBorder="1" applyAlignment="1" applyProtection="1">
      <alignment horizontal="center" wrapText="1"/>
    </xf>
    <xf numFmtId="172" fontId="5" fillId="0" borderId="0" xfId="0" applyNumberFormat="1" applyFont="1" applyAlignment="1" applyProtection="1">
      <alignment horizontal="center"/>
    </xf>
    <xf numFmtId="164" fontId="29" fillId="0" borderId="0" xfId="0" applyNumberFormat="1" applyFont="1" applyAlignment="1" applyProtection="1">
      <alignment horizontal="center"/>
    </xf>
    <xf numFmtId="172" fontId="1" fillId="0" borderId="0" xfId="0" applyNumberFormat="1" applyFont="1" applyAlignment="1" applyProtection="1">
      <alignment horizontal="center"/>
    </xf>
    <xf numFmtId="172" fontId="17" fillId="5" borderId="0" xfId="0" applyNumberFormat="1" applyFont="1" applyFill="1" applyAlignment="1" applyProtection="1">
      <alignment horizontal="center"/>
    </xf>
    <xf numFmtId="167" fontId="1" fillId="0" borderId="0" xfId="0" applyNumberFormat="1" applyFont="1" applyAlignment="1" applyProtection="1">
      <alignment horizontal="center" vertical="center"/>
    </xf>
    <xf numFmtId="167" fontId="2" fillId="0" borderId="0" xfId="0" applyNumberFormat="1" applyFont="1" applyAlignment="1" applyProtection="1">
      <alignment horizontal="center" vertical="center" wrapText="1"/>
    </xf>
    <xf numFmtId="168" fontId="1" fillId="0" borderId="0" xfId="0" applyNumberFormat="1" applyFont="1" applyAlignment="1" applyProtection="1">
      <alignment horizontal="center" vertical="center"/>
    </xf>
    <xf numFmtId="164" fontId="15" fillId="8" borderId="14" xfId="0" applyNumberFormat="1" applyFont="1" applyFill="1" applyBorder="1" applyAlignment="1" applyProtection="1">
      <alignment horizontal="left"/>
      <protection locked="0"/>
    </xf>
    <xf numFmtId="165" fontId="16" fillId="8" borderId="16" xfId="0" applyNumberFormat="1" applyFont="1" applyFill="1" applyBorder="1" applyAlignment="1" applyProtection="1">
      <alignment horizontal="left"/>
      <protection locked="0"/>
    </xf>
    <xf numFmtId="166" fontId="16" fillId="8" borderId="19" xfId="0" applyNumberFormat="1" applyFont="1" applyFill="1" applyBorder="1" applyAlignment="1" applyProtection="1">
      <alignment horizontal="left"/>
      <protection locked="0"/>
    </xf>
    <xf numFmtId="165" fontId="2" fillId="8" borderId="20" xfId="0" applyNumberFormat="1" applyFont="1" applyFill="1" applyBorder="1" applyAlignment="1" applyProtection="1">
      <alignment horizontal="left" wrapText="1"/>
      <protection locked="0"/>
    </xf>
    <xf numFmtId="0" fontId="2" fillId="8" borderId="28" xfId="0" applyFont="1" applyFill="1" applyBorder="1" applyAlignment="1" applyProtection="1">
      <alignment wrapText="1"/>
      <protection locked="0"/>
    </xf>
    <xf numFmtId="0" fontId="16" fillId="8" borderId="14" xfId="0" applyFont="1" applyFill="1" applyBorder="1" applyAlignment="1" applyProtection="1">
      <alignment horizontal="left"/>
      <protection locked="0"/>
    </xf>
    <xf numFmtId="164" fontId="15" fillId="8" borderId="16" xfId="0" applyNumberFormat="1" applyFont="1" applyFill="1" applyBorder="1" applyAlignment="1" applyProtection="1">
      <alignment horizontal="left"/>
      <protection locked="0"/>
    </xf>
    <xf numFmtId="0" fontId="16" fillId="8" borderId="19" xfId="0" applyFont="1" applyFill="1" applyBorder="1" applyAlignment="1" applyProtection="1">
      <alignment horizontal="left"/>
      <protection locked="0"/>
    </xf>
    <xf numFmtId="0" fontId="2" fillId="8" borderId="20" xfId="0" applyFont="1" applyFill="1" applyBorder="1" applyAlignment="1" applyProtection="1">
      <alignment horizontal="left" wrapText="1"/>
      <protection locked="0"/>
    </xf>
    <xf numFmtId="3" fontId="16" fillId="8" borderId="19" xfId="0" applyNumberFormat="1" applyFont="1" applyFill="1" applyBorder="1" applyAlignment="1" applyProtection="1">
      <alignment horizontal="left"/>
      <protection locked="0"/>
    </xf>
    <xf numFmtId="0" fontId="2" fillId="8" borderId="19" xfId="0" applyFont="1" applyFill="1" applyBorder="1" applyAlignment="1" applyProtection="1">
      <alignment horizontal="left" wrapText="1"/>
      <protection locked="0"/>
    </xf>
    <xf numFmtId="0" fontId="16" fillId="8" borderId="28" xfId="0" applyFont="1" applyFill="1" applyBorder="1" applyAlignment="1" applyProtection="1">
      <alignment horizontal="left"/>
      <protection locked="0"/>
    </xf>
    <xf numFmtId="165" fontId="16" fillId="8" borderId="20" xfId="0" applyNumberFormat="1" applyFont="1" applyFill="1" applyBorder="1" applyAlignment="1" applyProtection="1">
      <alignment horizontal="left"/>
      <protection locked="0"/>
    </xf>
    <xf numFmtId="167" fontId="2" fillId="8" borderId="19" xfId="0" applyNumberFormat="1" applyFont="1" applyFill="1" applyBorder="1" applyAlignment="1" applyProtection="1">
      <alignment horizontal="center" vertical="center" wrapText="1"/>
      <protection locked="0"/>
    </xf>
    <xf numFmtId="10" fontId="16" fillId="8" borderId="34" xfId="0" applyNumberFormat="1" applyFont="1" applyFill="1" applyBorder="1" applyAlignment="1" applyProtection="1">
      <alignment horizontal="left"/>
      <protection locked="0"/>
    </xf>
    <xf numFmtId="9" fontId="16" fillId="8" borderId="16" xfId="0" applyNumberFormat="1" applyFont="1" applyFill="1" applyBorder="1" applyAlignment="1" applyProtection="1">
      <alignment horizontal="left"/>
      <protection locked="0"/>
    </xf>
    <xf numFmtId="167" fontId="2" fillId="8" borderId="23" xfId="0" applyNumberFormat="1" applyFont="1" applyFill="1" applyBorder="1" applyAlignment="1" applyProtection="1">
      <alignment horizontal="center" vertical="center" wrapText="1"/>
      <protection locked="0"/>
    </xf>
    <xf numFmtId="167" fontId="2" fillId="8" borderId="26" xfId="0" applyNumberFormat="1" applyFont="1" applyFill="1" applyBorder="1" applyAlignment="1" applyProtection="1">
      <alignment horizontal="center" vertical="center" wrapText="1"/>
      <protection locked="0"/>
    </xf>
    <xf numFmtId="167" fontId="16" fillId="8" borderId="26" xfId="0" applyNumberFormat="1" applyFont="1" applyFill="1" applyBorder="1" applyAlignment="1" applyProtection="1">
      <alignment horizontal="center" vertical="center"/>
      <protection locked="0"/>
    </xf>
    <xf numFmtId="167" fontId="2" fillId="8" borderId="26" xfId="0" applyNumberFormat="1" applyFont="1" applyFill="1" applyBorder="1" applyAlignment="1" applyProtection="1">
      <alignment horizontal="center" wrapText="1"/>
      <protection locked="0"/>
    </xf>
    <xf numFmtId="0" fontId="2" fillId="9" borderId="0" xfId="0" applyFont="1" applyFill="1" applyAlignment="1" applyProtection="1">
      <alignment horizontal="left" wrapText="1"/>
      <protection locked="0"/>
    </xf>
    <xf numFmtId="167" fontId="2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Alignment="1" applyProtection="1">
      <alignment wrapText="1"/>
      <protection locked="0"/>
    </xf>
    <xf numFmtId="0" fontId="27" fillId="0" borderId="0" xfId="0" applyFont="1" applyAlignment="1" applyProtection="1">
      <alignment horizontal="center" wrapText="1"/>
      <protection locked="0"/>
    </xf>
    <xf numFmtId="164" fontId="1" fillId="13" borderId="19" xfId="0" applyNumberFormat="1" applyFont="1" applyFill="1" applyBorder="1" applyAlignment="1" applyProtection="1">
      <alignment horizontal="left"/>
      <protection locked="0"/>
    </xf>
    <xf numFmtId="167" fontId="16" fillId="13" borderId="19" xfId="0" applyNumberFormat="1" applyFont="1" applyFill="1" applyBorder="1" applyAlignment="1" applyProtection="1">
      <alignment horizontal="left"/>
      <protection locked="0"/>
    </xf>
    <xf numFmtId="167" fontId="2" fillId="13" borderId="28" xfId="0" applyNumberFormat="1" applyFont="1" applyFill="1" applyBorder="1" applyAlignment="1" applyProtection="1">
      <alignment horizontal="left" wrapText="1"/>
      <protection locked="0"/>
    </xf>
    <xf numFmtId="0" fontId="2" fillId="13" borderId="28" xfId="0" applyFont="1" applyFill="1" applyBorder="1" applyAlignment="1" applyProtection="1">
      <alignment wrapText="1"/>
      <protection locked="0"/>
    </xf>
    <xf numFmtId="167" fontId="16" fillId="13" borderId="14" xfId="0" applyNumberFormat="1" applyFont="1" applyFill="1" applyBorder="1" applyAlignment="1" applyProtection="1">
      <alignment horizontal="left"/>
      <protection locked="0"/>
    </xf>
    <xf numFmtId="165" fontId="5" fillId="0" borderId="16" xfId="0" applyNumberFormat="1" applyFont="1" applyFill="1" applyBorder="1" applyAlignment="1" applyProtection="1">
      <alignment horizontal="left"/>
    </xf>
    <xf numFmtId="0" fontId="30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30" fillId="0" borderId="0" xfId="0" applyFont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wrapText="1"/>
    </xf>
    <xf numFmtId="0" fontId="2" fillId="7" borderId="9" xfId="0" applyFont="1" applyFill="1" applyBorder="1" applyAlignment="1" applyProtection="1">
      <alignment wrapText="1"/>
    </xf>
    <xf numFmtId="0" fontId="11" fillId="0" borderId="0" xfId="0" applyFont="1" applyAlignment="1" applyProtection="1">
      <alignment horizontal="center" vertical="top" wrapText="1"/>
    </xf>
    <xf numFmtId="49" fontId="6" fillId="6" borderId="9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 vertical="top"/>
    </xf>
    <xf numFmtId="0" fontId="14" fillId="3" borderId="10" xfId="0" applyFont="1" applyFill="1" applyBorder="1" applyAlignment="1" applyProtection="1">
      <alignment horizontal="center" wrapText="1"/>
    </xf>
    <xf numFmtId="0" fontId="2" fillId="0" borderId="11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65" fontId="5" fillId="0" borderId="16" xfId="0" applyNumberFormat="1" applyFont="1" applyFill="1" applyBorder="1" applyAlignment="1" applyProtection="1">
      <alignment horizontal="left"/>
      <protection locked="0"/>
    </xf>
    <xf numFmtId="172" fontId="18" fillId="13" borderId="42" xfId="0" applyNumberFormat="1" applyFont="1" applyFill="1" applyBorder="1" applyAlignment="1" applyProtection="1">
      <alignment horizontal="center" wrapText="1"/>
    </xf>
    <xf numFmtId="10" fontId="2" fillId="13" borderId="22" xfId="0" applyNumberFormat="1" applyFont="1" applyFill="1" applyBorder="1" applyAlignment="1" applyProtection="1">
      <alignment horizontal="center" vertical="center" wrapText="1"/>
    </xf>
    <xf numFmtId="167" fontId="2" fillId="13" borderId="25" xfId="0" applyNumberFormat="1" applyFont="1" applyFill="1" applyBorder="1" applyAlignment="1" applyProtection="1">
      <alignment horizontal="center" vertical="center" wrapText="1"/>
    </xf>
    <xf numFmtId="165" fontId="2" fillId="13" borderId="25" xfId="0" applyNumberFormat="1" applyFont="1" applyFill="1" applyBorder="1" applyAlignment="1" applyProtection="1">
      <alignment horizontal="center" vertical="center" wrapText="1"/>
    </xf>
    <xf numFmtId="169" fontId="2" fillId="13" borderId="25" xfId="0" applyNumberFormat="1" applyFont="1" applyFill="1" applyBorder="1" applyAlignment="1" applyProtection="1">
      <alignment horizontal="center" vertical="center" wrapText="1"/>
    </xf>
    <xf numFmtId="0" fontId="2" fillId="13" borderId="25" xfId="0" applyFont="1" applyFill="1" applyBorder="1" applyAlignment="1" applyProtection="1">
      <alignment horizontal="center" vertical="center" wrapText="1"/>
    </xf>
    <xf numFmtId="1" fontId="2" fillId="13" borderId="25" xfId="0" applyNumberFormat="1" applyFont="1" applyFill="1" applyBorder="1" applyAlignment="1" applyProtection="1">
      <alignment horizontal="center" vertical="center" wrapText="1"/>
    </xf>
    <xf numFmtId="170" fontId="2" fillId="13" borderId="30" xfId="0" applyNumberFormat="1" applyFont="1" applyFill="1" applyBorder="1" applyAlignment="1" applyProtection="1">
      <alignment horizontal="center" vertical="center" wrapText="1"/>
    </xf>
    <xf numFmtId="10" fontId="2" fillId="13" borderId="22" xfId="0" applyNumberFormat="1" applyFont="1" applyFill="1" applyBorder="1" applyAlignment="1" applyProtection="1">
      <alignment horizontal="center" vertical="center" wrapText="1"/>
      <protection locked="0"/>
    </xf>
    <xf numFmtId="167" fontId="2" fillId="13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13" borderId="25" xfId="0" applyNumberFormat="1" applyFont="1" applyFill="1" applyBorder="1" applyAlignment="1" applyProtection="1">
      <alignment horizontal="center" vertical="center" wrapText="1"/>
      <protection locked="0"/>
    </xf>
    <xf numFmtId="169" fontId="2" fillId="13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25" xfId="0" applyFont="1" applyFill="1" applyBorder="1" applyAlignment="1" applyProtection="1">
      <alignment horizontal="center" vertical="center" wrapText="1"/>
      <protection locked="0"/>
    </xf>
    <xf numFmtId="1" fontId="2" fillId="13" borderId="25" xfId="0" applyNumberFormat="1" applyFont="1" applyFill="1" applyBorder="1" applyAlignment="1" applyProtection="1">
      <alignment horizontal="center" vertical="center" wrapText="1"/>
      <protection locked="0"/>
    </xf>
    <xf numFmtId="170" fontId="2" fillId="13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9" xfId="0" applyNumberFormat="1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wrapText="1"/>
      <protection locked="0"/>
    </xf>
    <xf numFmtId="49" fontId="6" fillId="6" borderId="9" xfId="0" applyNumberFormat="1" applyFont="1" applyFill="1" applyBorder="1" applyAlignment="1" applyProtection="1">
      <alignment horizontal="center" wrapText="1"/>
      <protection locked="0"/>
    </xf>
    <xf numFmtId="49" fontId="7" fillId="6" borderId="9" xfId="0" applyNumberFormat="1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 wrapText="1"/>
      <protection locked="0"/>
    </xf>
    <xf numFmtId="0" fontId="8" fillId="6" borderId="9" xfId="0" applyFont="1" applyFill="1" applyBorder="1" applyAlignment="1" applyProtection="1">
      <alignment horizontal="center" wrapText="1"/>
      <protection locked="0"/>
    </xf>
    <xf numFmtId="165" fontId="17" fillId="10" borderId="19" xfId="0" applyNumberFormat="1" applyFont="1" applyFill="1" applyBorder="1" applyAlignment="1" applyProtection="1">
      <alignment horizontal="left"/>
      <protection locked="0"/>
    </xf>
    <xf numFmtId="172" fontId="18" fillId="13" borderId="4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</xf>
    <xf numFmtId="171" fontId="16" fillId="11" borderId="20" xfId="0" applyNumberFormat="1" applyFont="1" applyFill="1" applyBorder="1" applyAlignment="1" applyProtection="1">
      <alignment horizontal="left"/>
      <protection locked="0"/>
    </xf>
    <xf numFmtId="171" fontId="17" fillId="11" borderId="28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30C28A"/>
          <bgColor rgb="FF30C28A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0C28A"/>
          <bgColor rgb="FF30C28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505557</xdr:colOff>
      <xdr:row>2</xdr:row>
      <xdr:rowOff>29307</xdr:rowOff>
    </xdr:from>
    <xdr:to>
      <xdr:col>9</xdr:col>
      <xdr:colOff>1033097</xdr:colOff>
      <xdr:row>12</xdr:row>
      <xdr:rowOff>36081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9059E5-43FA-49A7-B92C-A2F4767BC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00" t="20000" r="15600" b="24000"/>
        <a:stretch/>
      </xdr:blipFill>
      <xdr:spPr>
        <a:xfrm>
          <a:off x="4513384" y="366345"/>
          <a:ext cx="2000251" cy="1618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505557</xdr:colOff>
      <xdr:row>2</xdr:row>
      <xdr:rowOff>29307</xdr:rowOff>
    </xdr:from>
    <xdr:to>
      <xdr:col>9</xdr:col>
      <xdr:colOff>1495425</xdr:colOff>
      <xdr:row>12</xdr:row>
      <xdr:rowOff>36081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0A938-0F70-48F3-9AD8-BCE3135FB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00" t="20000" r="15600" b="24000"/>
        <a:stretch/>
      </xdr:blipFill>
      <xdr:spPr>
        <a:xfrm>
          <a:off x="4515582" y="372207"/>
          <a:ext cx="2466243" cy="162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75"/>
  <sheetViews>
    <sheetView showGridLines="0" zoomScaleNormal="100" workbookViewId="0">
      <selection activeCell="L22" sqref="L22"/>
    </sheetView>
  </sheetViews>
  <sheetFormatPr defaultColWidth="14.42578125" defaultRowHeight="12.75" customHeight="1" x14ac:dyDescent="0.2"/>
  <cols>
    <col min="1" max="1" width="4.42578125" style="2" customWidth="1"/>
    <col min="2" max="2" width="3.28515625" style="2" customWidth="1"/>
    <col min="3" max="3" width="17" style="2" customWidth="1"/>
    <col min="4" max="4" width="15.140625" style="2" customWidth="1"/>
    <col min="5" max="5" width="3" style="2" customWidth="1"/>
    <col min="6" max="6" width="17.28515625" style="2" customWidth="1"/>
    <col min="7" max="7" width="14" style="2" customWidth="1"/>
    <col min="8" max="8" width="6.140625" style="2" customWidth="1"/>
    <col min="9" max="9" width="2" style="2" customWidth="1"/>
    <col min="10" max="10" width="24.140625" style="2" customWidth="1"/>
    <col min="11" max="11" width="12" style="2" customWidth="1"/>
    <col min="12" max="12" width="9.7109375" style="2" customWidth="1"/>
    <col min="13" max="13" width="32.140625" style="2" customWidth="1"/>
    <col min="14" max="14" width="19.42578125" style="2" customWidth="1"/>
    <col min="15" max="15" width="41.28515625" style="2" customWidth="1"/>
    <col min="16" max="16384" width="14.42578125" style="2"/>
  </cols>
  <sheetData>
    <row r="1" spans="1:13" ht="13.5" thickBot="1" x14ac:dyDescent="0.25">
      <c r="A1" s="1"/>
      <c r="B1" s="1"/>
      <c r="C1" s="1"/>
      <c r="K1" s="3"/>
      <c r="L1" s="3"/>
      <c r="M1" s="3"/>
    </row>
    <row r="2" spans="1:13" s="5" customFormat="1" ht="13.5" thickTop="1" x14ac:dyDescent="0.2">
      <c r="A2" s="4"/>
      <c r="B2" s="4"/>
      <c r="C2" s="181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1:13" s="5" customFormat="1" x14ac:dyDescent="0.2">
      <c r="A3" s="4"/>
      <c r="B3" s="4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6"/>
    </row>
    <row r="4" spans="1:13" s="5" customFormat="1" x14ac:dyDescent="0.2">
      <c r="A4" s="4"/>
      <c r="B4" s="4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s="5" customFormat="1" x14ac:dyDescent="0.2">
      <c r="A5" s="4"/>
      <c r="B5" s="4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13" s="5" customFormat="1" x14ac:dyDescent="0.2">
      <c r="A6" s="4"/>
      <c r="B6" s="4"/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6"/>
    </row>
    <row r="7" spans="1:13" s="5" customFormat="1" x14ac:dyDescent="0.2">
      <c r="A7" s="4"/>
      <c r="B7" s="4"/>
      <c r="C7" s="184"/>
      <c r="D7" s="185"/>
      <c r="E7" s="185"/>
      <c r="F7" s="185"/>
      <c r="G7" s="185"/>
      <c r="H7" s="185"/>
      <c r="I7" s="185"/>
      <c r="J7" s="185"/>
      <c r="K7" s="185"/>
      <c r="L7" s="185"/>
      <c r="M7" s="186"/>
    </row>
    <row r="8" spans="1:13" s="5" customFormat="1" x14ac:dyDescent="0.2">
      <c r="A8" s="4"/>
      <c r="B8" s="4"/>
      <c r="C8" s="184"/>
      <c r="D8" s="185"/>
      <c r="E8" s="185"/>
      <c r="F8" s="185"/>
      <c r="G8" s="185"/>
      <c r="H8" s="185"/>
      <c r="I8" s="185"/>
      <c r="J8" s="185"/>
      <c r="K8" s="185"/>
      <c r="L8" s="185"/>
      <c r="M8" s="186"/>
    </row>
    <row r="9" spans="1:13" s="5" customFormat="1" x14ac:dyDescent="0.2">
      <c r="A9" s="4"/>
      <c r="B9" s="4"/>
      <c r="C9" s="184"/>
      <c r="D9" s="185"/>
      <c r="E9" s="185"/>
      <c r="F9" s="185"/>
      <c r="G9" s="185"/>
      <c r="H9" s="185"/>
      <c r="I9" s="185"/>
      <c r="J9" s="185"/>
      <c r="K9" s="185"/>
      <c r="L9" s="185"/>
      <c r="M9" s="186"/>
    </row>
    <row r="10" spans="1:13" s="5" customFormat="1" x14ac:dyDescent="0.2">
      <c r="A10" s="4"/>
      <c r="B10" s="4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6"/>
    </row>
    <row r="11" spans="1:13" s="5" customFormat="1" x14ac:dyDescent="0.2">
      <c r="A11" s="4"/>
      <c r="B11" s="4"/>
      <c r="C11" s="184"/>
      <c r="D11" s="185"/>
      <c r="E11" s="185"/>
      <c r="F11" s="185"/>
      <c r="G11" s="185"/>
      <c r="H11" s="185"/>
      <c r="I11" s="185"/>
      <c r="J11" s="185"/>
      <c r="K11" s="185"/>
      <c r="L11" s="185"/>
      <c r="M11" s="186"/>
    </row>
    <row r="12" spans="1:13" s="5" customFormat="1" x14ac:dyDescent="0.2">
      <c r="A12" s="4"/>
      <c r="B12" s="4"/>
      <c r="C12" s="184"/>
      <c r="D12" s="185"/>
      <c r="E12" s="185"/>
      <c r="F12" s="185"/>
      <c r="G12" s="185"/>
      <c r="H12" s="185"/>
      <c r="I12" s="185"/>
      <c r="J12" s="185"/>
      <c r="K12" s="185"/>
      <c r="L12" s="185"/>
      <c r="M12" s="186"/>
    </row>
    <row r="13" spans="1:13" s="5" customFormat="1" ht="13.5" thickBot="1" x14ac:dyDescent="0.25">
      <c r="A13" s="4"/>
      <c r="B13" s="4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9"/>
    </row>
    <row r="14" spans="1:13" ht="13.5" thickTop="1" x14ac:dyDescent="0.2">
      <c r="A14" s="1"/>
      <c r="B14" s="1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13" x14ac:dyDescent="0.2">
      <c r="A15" s="1"/>
      <c r="B15" s="1"/>
      <c r="D15" s="6"/>
      <c r="K15" s="3"/>
      <c r="L15" s="3"/>
      <c r="M15" s="3"/>
    </row>
    <row r="16" spans="1:13" x14ac:dyDescent="0.2">
      <c r="A16" s="7"/>
      <c r="B16" s="7"/>
      <c r="C16" s="7" t="s">
        <v>0</v>
      </c>
      <c r="D16" s="175"/>
      <c r="E16" s="173"/>
      <c r="F16" s="173"/>
      <c r="G16" s="8"/>
      <c r="H16" s="9"/>
      <c r="I16" s="10"/>
      <c r="J16" s="172"/>
      <c r="K16" s="173"/>
      <c r="L16" s="173"/>
      <c r="M16" s="3"/>
    </row>
    <row r="17" spans="1:15" x14ac:dyDescent="0.2">
      <c r="A17" s="7"/>
      <c r="B17" s="7"/>
      <c r="C17" s="7"/>
      <c r="D17" s="176" t="s">
        <v>1</v>
      </c>
      <c r="E17" s="170"/>
      <c r="F17" s="170"/>
      <c r="G17" s="12" t="s">
        <v>2</v>
      </c>
      <c r="H17" s="12" t="s">
        <v>3</v>
      </c>
      <c r="I17" s="13"/>
      <c r="J17" s="174" t="s">
        <v>4</v>
      </c>
      <c r="K17" s="170"/>
      <c r="L17" s="170"/>
      <c r="M17" s="3"/>
    </row>
    <row r="18" spans="1:15" ht="6.75" customHeight="1" x14ac:dyDescent="0.2">
      <c r="A18" s="7"/>
      <c r="B18" s="7"/>
      <c r="C18" s="7"/>
      <c r="D18" s="15"/>
      <c r="E18" s="15"/>
      <c r="F18" s="15"/>
      <c r="K18" s="3"/>
      <c r="L18" s="3"/>
      <c r="M18" s="3"/>
    </row>
    <row r="19" spans="1:15" x14ac:dyDescent="0.2">
      <c r="A19" s="7"/>
      <c r="B19" s="16"/>
      <c r="C19" s="171" t="s">
        <v>5</v>
      </c>
      <c r="D19" s="169"/>
      <c r="F19" s="168" t="s">
        <v>6</v>
      </c>
      <c r="G19" s="169"/>
      <c r="H19" s="17"/>
      <c r="J19" s="177" t="s">
        <v>7</v>
      </c>
      <c r="K19" s="178"/>
      <c r="L19" s="178"/>
      <c r="M19" s="179"/>
    </row>
    <row r="20" spans="1:15" x14ac:dyDescent="0.2">
      <c r="A20" s="18"/>
      <c r="B20" s="18"/>
      <c r="C20" s="19" t="s">
        <v>8</v>
      </c>
      <c r="D20" s="138">
        <v>120000</v>
      </c>
      <c r="F20" s="20" t="s">
        <v>9</v>
      </c>
      <c r="G20" s="139">
        <v>113000</v>
      </c>
      <c r="H20" s="21"/>
      <c r="J20" s="22" t="s">
        <v>10</v>
      </c>
      <c r="K20" s="23" t="s">
        <v>11</v>
      </c>
      <c r="L20" s="23" t="s">
        <v>12</v>
      </c>
      <c r="M20" s="23" t="s">
        <v>13</v>
      </c>
    </row>
    <row r="21" spans="1:15" x14ac:dyDescent="0.2">
      <c r="A21" s="24"/>
      <c r="B21" s="24"/>
      <c r="C21" s="25" t="s">
        <v>14</v>
      </c>
      <c r="D21" s="140">
        <v>43922</v>
      </c>
      <c r="F21" s="26" t="s">
        <v>15</v>
      </c>
      <c r="G21" s="141"/>
      <c r="H21" s="27"/>
      <c r="J21" s="28" t="s">
        <v>16</v>
      </c>
      <c r="K21" s="29">
        <f>(G20+G32)/G26</f>
        <v>0.91</v>
      </c>
      <c r="L21" s="192">
        <v>0.93</v>
      </c>
      <c r="M21" s="30" t="str">
        <f>IF(K21&lt;L21,"Y","N")</f>
        <v>Y</v>
      </c>
    </row>
    <row r="22" spans="1:15" x14ac:dyDescent="0.2">
      <c r="A22" s="24"/>
      <c r="C22" s="25" t="s">
        <v>17</v>
      </c>
      <c r="D22" s="31">
        <f ca="1">TODAY()-D21</f>
        <v>1729</v>
      </c>
      <c r="F22" s="26" t="s">
        <v>18</v>
      </c>
      <c r="G22" s="141"/>
      <c r="H22" s="27"/>
      <c r="J22" s="32" t="s">
        <v>19</v>
      </c>
      <c r="K22" s="33">
        <f>(L60)/(G20+D46+D45)</f>
        <v>8.021689982242626E-2</v>
      </c>
      <c r="L22" s="193">
        <v>7.0000000000000007E-2</v>
      </c>
      <c r="M22" s="34" t="str">
        <f t="shared" ref="M22:M24" si="0">IF(K22&gt;L22,"Y","N")</f>
        <v>Y</v>
      </c>
    </row>
    <row r="23" spans="1:15" x14ac:dyDescent="0.2">
      <c r="A23" s="24"/>
      <c r="B23" s="24"/>
      <c r="C23" s="35" t="s">
        <v>20</v>
      </c>
      <c r="D23" s="142" t="s">
        <v>21</v>
      </c>
      <c r="F23" s="36" t="s">
        <v>22</v>
      </c>
      <c r="G23" s="37">
        <f>G20/D20</f>
        <v>0.94166666666666665</v>
      </c>
      <c r="J23" s="32" t="s">
        <v>23</v>
      </c>
      <c r="K23" s="38">
        <f>K57</f>
        <v>252.62</v>
      </c>
      <c r="L23" s="194">
        <v>100</v>
      </c>
      <c r="M23" s="34" t="str">
        <f t="shared" si="0"/>
        <v>Y</v>
      </c>
    </row>
    <row r="24" spans="1:15" x14ac:dyDescent="0.2">
      <c r="A24" s="40"/>
      <c r="B24" s="40"/>
      <c r="E24" s="40"/>
      <c r="J24" s="32" t="s">
        <v>24</v>
      </c>
      <c r="K24" s="33">
        <f>L57/D47</f>
        <v>0.12103972848872033</v>
      </c>
      <c r="L24" s="193">
        <v>0.1</v>
      </c>
      <c r="M24" s="34" t="str">
        <f t="shared" si="0"/>
        <v>Y</v>
      </c>
    </row>
    <row r="25" spans="1:15" x14ac:dyDescent="0.2">
      <c r="A25" s="40"/>
      <c r="C25" s="168" t="s">
        <v>0</v>
      </c>
      <c r="D25" s="169"/>
      <c r="E25" s="1"/>
      <c r="F25" s="171" t="s">
        <v>25</v>
      </c>
      <c r="G25" s="169"/>
      <c r="J25" s="32" t="s">
        <v>26</v>
      </c>
      <c r="K25" s="41">
        <f>D33</f>
        <v>3</v>
      </c>
      <c r="L25" s="195">
        <v>3</v>
      </c>
      <c r="M25" s="42" t="str">
        <f t="shared" ref="M25:M28" si="1">IF(K25&gt;=L25,"Y","N")</f>
        <v>Y</v>
      </c>
    </row>
    <row r="26" spans="1:15" ht="14.25" thickTop="1" thickBot="1" x14ac:dyDescent="0.25">
      <c r="A26" s="40"/>
      <c r="C26" s="43" t="s">
        <v>27</v>
      </c>
      <c r="D26" s="143">
        <v>3</v>
      </c>
      <c r="E26" s="1"/>
      <c r="F26" s="20" t="s">
        <v>25</v>
      </c>
      <c r="G26" s="144">
        <v>125000</v>
      </c>
      <c r="J26" s="32" t="s">
        <v>28</v>
      </c>
      <c r="K26" s="44">
        <f t="shared" ref="K26:K28" si="2">D26</f>
        <v>3</v>
      </c>
      <c r="L26" s="196">
        <v>4</v>
      </c>
      <c r="M26" s="42" t="str">
        <f t="shared" si="1"/>
        <v>N</v>
      </c>
    </row>
    <row r="27" spans="1:15" ht="13.5" thickTop="1" x14ac:dyDescent="0.2">
      <c r="A27" s="40"/>
      <c r="C27" s="45" t="s">
        <v>29</v>
      </c>
      <c r="D27" s="145">
        <v>3</v>
      </c>
      <c r="E27" s="1"/>
      <c r="F27" s="26" t="s">
        <v>30</v>
      </c>
      <c r="G27" s="146"/>
      <c r="J27" s="32" t="s">
        <v>31</v>
      </c>
      <c r="K27" s="41">
        <f t="shared" si="2"/>
        <v>3</v>
      </c>
      <c r="L27" s="195">
        <v>2</v>
      </c>
      <c r="M27" s="42" t="str">
        <f t="shared" si="1"/>
        <v>Y</v>
      </c>
      <c r="O27" s="1"/>
    </row>
    <row r="28" spans="1:15" x14ac:dyDescent="0.2">
      <c r="A28" s="40"/>
      <c r="B28" s="1"/>
      <c r="C28" s="45" t="s">
        <v>32</v>
      </c>
      <c r="D28" s="147">
        <v>2650</v>
      </c>
      <c r="F28" s="26" t="s">
        <v>33</v>
      </c>
      <c r="G28" s="148"/>
      <c r="J28" s="32" t="s">
        <v>34</v>
      </c>
      <c r="K28" s="46">
        <f t="shared" si="2"/>
        <v>2650</v>
      </c>
      <c r="L28" s="197">
        <v>1500</v>
      </c>
      <c r="M28" s="42" t="str">
        <f t="shared" si="1"/>
        <v>Y</v>
      </c>
    </row>
    <row r="29" spans="1:15" ht="25.5" x14ac:dyDescent="0.2">
      <c r="A29" s="40"/>
      <c r="B29" s="1"/>
      <c r="C29" s="45" t="s">
        <v>35</v>
      </c>
      <c r="D29" s="145">
        <v>1875</v>
      </c>
      <c r="F29" s="36" t="s">
        <v>36</v>
      </c>
      <c r="G29" s="47"/>
      <c r="J29" s="32" t="s">
        <v>37</v>
      </c>
      <c r="K29" s="39">
        <f>G20</f>
        <v>113000</v>
      </c>
      <c r="L29" s="194">
        <v>125000</v>
      </c>
      <c r="M29" s="42" t="str">
        <f>IF(K29&lt;=L29,"Y","N")</f>
        <v>Y</v>
      </c>
    </row>
    <row r="30" spans="1:15" x14ac:dyDescent="0.2">
      <c r="A30" s="40"/>
      <c r="B30" s="1"/>
      <c r="C30" s="48" t="s">
        <v>38</v>
      </c>
      <c r="D30" s="149">
        <v>1964</v>
      </c>
      <c r="J30" s="49" t="s">
        <v>39</v>
      </c>
      <c r="K30" s="50">
        <f>G39</f>
        <v>1200</v>
      </c>
      <c r="L30" s="198">
        <v>1000</v>
      </c>
      <c r="M30" s="51" t="str">
        <f>IF(K30&gt;=L30,"Y","N")</f>
        <v>Y</v>
      </c>
    </row>
    <row r="31" spans="1:15" x14ac:dyDescent="0.2">
      <c r="A31" s="40"/>
      <c r="F31" s="171" t="s">
        <v>40</v>
      </c>
      <c r="G31" s="169"/>
      <c r="K31" s="3"/>
      <c r="L31" s="3"/>
      <c r="M31" s="3"/>
    </row>
    <row r="32" spans="1:15" x14ac:dyDescent="0.2">
      <c r="B32" s="40"/>
      <c r="C32" s="171" t="s">
        <v>41</v>
      </c>
      <c r="D32" s="169"/>
      <c r="F32" s="52" t="s">
        <v>42</v>
      </c>
      <c r="G32" s="190">
        <f>IF(G35&lt;&gt;0,G35,IF(G34&lt;&gt;0,G34,G33))</f>
        <v>750</v>
      </c>
      <c r="H32" s="18"/>
      <c r="I32" s="16" t="s">
        <v>43</v>
      </c>
      <c r="J32" s="53"/>
      <c r="K32" s="54" t="s">
        <v>44</v>
      </c>
      <c r="L32" s="55" t="s">
        <v>45</v>
      </c>
      <c r="M32" s="54" t="s">
        <v>46</v>
      </c>
    </row>
    <row r="33" spans="1:15" x14ac:dyDescent="0.2">
      <c r="A33" s="40"/>
      <c r="B33" s="40"/>
      <c r="C33" s="56" t="s">
        <v>26</v>
      </c>
      <c r="D33" s="143">
        <v>3</v>
      </c>
      <c r="F33" s="25" t="s">
        <v>47</v>
      </c>
      <c r="G33" s="150">
        <v>500</v>
      </c>
      <c r="I33" s="57"/>
      <c r="J33" s="19" t="s">
        <v>39</v>
      </c>
      <c r="K33" s="58">
        <f>G39</f>
        <v>1200</v>
      </c>
      <c r="L33" s="59">
        <f t="shared" ref="L33:L35" si="3">K33*12</f>
        <v>14400</v>
      </c>
      <c r="M33" s="60"/>
    </row>
    <row r="34" spans="1:15" x14ac:dyDescent="0.2">
      <c r="A34" s="1"/>
      <c r="B34" s="40"/>
      <c r="C34" s="61" t="s">
        <v>48</v>
      </c>
      <c r="D34" s="149">
        <v>7</v>
      </c>
      <c r="F34" s="25" t="s">
        <v>49</v>
      </c>
      <c r="G34" s="62">
        <v>200</v>
      </c>
      <c r="H34" s="1"/>
      <c r="I34" s="57"/>
      <c r="J34" s="25" t="s">
        <v>50</v>
      </c>
      <c r="K34" s="63">
        <f>K33*M34</f>
        <v>60</v>
      </c>
      <c r="L34" s="64">
        <f t="shared" si="3"/>
        <v>720</v>
      </c>
      <c r="M34" s="151">
        <v>0.05</v>
      </c>
    </row>
    <row r="35" spans="1:15" x14ac:dyDescent="0.2">
      <c r="A35" s="1"/>
      <c r="F35" s="25" t="s">
        <v>51</v>
      </c>
      <c r="G35" s="62">
        <v>750</v>
      </c>
      <c r="I35" s="65"/>
      <c r="J35" s="66" t="s">
        <v>52</v>
      </c>
      <c r="K35" s="67">
        <f>K33-K34</f>
        <v>1140</v>
      </c>
      <c r="L35" s="68">
        <f t="shared" si="3"/>
        <v>13680</v>
      </c>
      <c r="M35" s="69"/>
    </row>
    <row r="36" spans="1:15" x14ac:dyDescent="0.2">
      <c r="A36" s="1"/>
      <c r="C36" s="171" t="s">
        <v>53</v>
      </c>
      <c r="D36" s="169"/>
      <c r="F36" s="70" t="s">
        <v>54</v>
      </c>
      <c r="G36" s="71">
        <f>G34-G35</f>
        <v>-550</v>
      </c>
      <c r="K36" s="3"/>
      <c r="L36" s="3"/>
      <c r="M36" s="3"/>
    </row>
    <row r="37" spans="1:15" x14ac:dyDescent="0.2">
      <c r="A37" s="1"/>
      <c r="C37" s="72" t="s">
        <v>55</v>
      </c>
      <c r="D37" s="152">
        <v>4.2500000000000003E-2</v>
      </c>
      <c r="I37" s="73" t="s">
        <v>56</v>
      </c>
      <c r="J37" s="74"/>
      <c r="K37" s="54" t="s">
        <v>44</v>
      </c>
      <c r="L37" s="75" t="s">
        <v>45</v>
      </c>
      <c r="M37" s="54" t="s">
        <v>57</v>
      </c>
    </row>
    <row r="38" spans="1:15" x14ac:dyDescent="0.2">
      <c r="A38" s="1"/>
      <c r="C38" s="76" t="s">
        <v>58</v>
      </c>
      <c r="D38" s="153">
        <v>0.8</v>
      </c>
      <c r="F38" s="171" t="s">
        <v>39</v>
      </c>
      <c r="G38" s="169"/>
      <c r="I38" s="57"/>
      <c r="J38" s="77" t="s">
        <v>59</v>
      </c>
      <c r="K38" s="78">
        <f t="shared" ref="K38:K42" si="4">$K$35*M38</f>
        <v>82.08</v>
      </c>
      <c r="L38" s="79">
        <f t="shared" ref="L38:L43" si="5">K38*12</f>
        <v>984.96</v>
      </c>
      <c r="M38" s="154">
        <v>7.1999999999999995E-2</v>
      </c>
      <c r="N38" s="80"/>
    </row>
    <row r="39" spans="1:15" x14ac:dyDescent="0.2">
      <c r="A39" s="1"/>
      <c r="C39" s="25" t="s">
        <v>60</v>
      </c>
      <c r="D39" s="81">
        <f>D38*G20</f>
        <v>90400</v>
      </c>
      <c r="F39" s="52" t="s">
        <v>42</v>
      </c>
      <c r="G39" s="167">
        <f>IF(G41&lt;&gt;0,G41,G40)</f>
        <v>1200</v>
      </c>
      <c r="I39" s="57"/>
      <c r="J39" s="82" t="s">
        <v>61</v>
      </c>
      <c r="K39" s="63">
        <f t="shared" si="4"/>
        <v>91.2</v>
      </c>
      <c r="L39" s="64">
        <f t="shared" si="5"/>
        <v>1094.4000000000001</v>
      </c>
      <c r="M39" s="155">
        <v>0.08</v>
      </c>
      <c r="N39" s="83"/>
    </row>
    <row r="40" spans="1:15" x14ac:dyDescent="0.2">
      <c r="A40" s="1"/>
      <c r="B40" s="1"/>
      <c r="C40" s="25" t="s">
        <v>62</v>
      </c>
      <c r="D40" s="162">
        <v>0</v>
      </c>
      <c r="F40" s="25" t="s">
        <v>63</v>
      </c>
      <c r="G40" s="84">
        <v>1200</v>
      </c>
      <c r="I40" s="57"/>
      <c r="J40" s="85" t="s">
        <v>64</v>
      </c>
      <c r="K40" s="63">
        <f t="shared" si="4"/>
        <v>28.5</v>
      </c>
      <c r="L40" s="64">
        <f t="shared" si="5"/>
        <v>342</v>
      </c>
      <c r="M40" s="155">
        <v>2.5000000000000001E-2</v>
      </c>
    </row>
    <row r="41" spans="1:15" x14ac:dyDescent="0.2">
      <c r="A41" s="1"/>
      <c r="C41" s="70" t="s">
        <v>65</v>
      </c>
      <c r="D41" s="86">
        <f>D39+D40</f>
        <v>90400</v>
      </c>
      <c r="F41" s="70" t="s">
        <v>66</v>
      </c>
      <c r="G41" s="87"/>
      <c r="H41" s="7"/>
      <c r="I41" s="57"/>
      <c r="J41" s="82" t="s">
        <v>67</v>
      </c>
      <c r="K41" s="63">
        <f t="shared" si="4"/>
        <v>79.800000000000011</v>
      </c>
      <c r="L41" s="64">
        <f t="shared" si="5"/>
        <v>957.60000000000014</v>
      </c>
      <c r="M41" s="156">
        <v>7.0000000000000007E-2</v>
      </c>
    </row>
    <row r="42" spans="1:15" x14ac:dyDescent="0.2">
      <c r="H42" s="57"/>
      <c r="I42" s="88"/>
      <c r="J42" s="82" t="s">
        <v>68</v>
      </c>
      <c r="K42" s="63">
        <f t="shared" si="4"/>
        <v>62.7</v>
      </c>
      <c r="L42" s="64">
        <f t="shared" si="5"/>
        <v>752.40000000000009</v>
      </c>
      <c r="M42" s="156">
        <v>5.5E-2</v>
      </c>
    </row>
    <row r="43" spans="1:15" x14ac:dyDescent="0.2">
      <c r="A43" s="1"/>
      <c r="C43" s="171" t="s">
        <v>69</v>
      </c>
      <c r="D43" s="169"/>
      <c r="F43" s="168" t="s">
        <v>70</v>
      </c>
      <c r="G43" s="169"/>
      <c r="H43" s="57"/>
      <c r="I43" s="88"/>
      <c r="J43" s="89" t="s">
        <v>71</v>
      </c>
      <c r="K43" s="90">
        <f>M43*K33</f>
        <v>24</v>
      </c>
      <c r="L43" s="91">
        <f t="shared" si="5"/>
        <v>288</v>
      </c>
      <c r="M43" s="157">
        <v>0.02</v>
      </c>
    </row>
    <row r="44" spans="1:15" x14ac:dyDescent="0.2">
      <c r="A44" s="1"/>
      <c r="C44" s="19" t="s">
        <v>72</v>
      </c>
      <c r="D44" s="92">
        <f>G20*(1-D38)</f>
        <v>22599.999999999996</v>
      </c>
      <c r="F44" s="19" t="s">
        <v>73</v>
      </c>
      <c r="G44" s="93">
        <f>G26-G20-G32</f>
        <v>11250</v>
      </c>
      <c r="H44" s="57"/>
      <c r="J44" s="89" t="s">
        <v>74</v>
      </c>
      <c r="K44" s="94"/>
      <c r="L44" s="94"/>
      <c r="M44" s="95"/>
    </row>
    <row r="45" spans="1:15" x14ac:dyDescent="0.2">
      <c r="A45" s="1"/>
      <c r="C45" s="25" t="s">
        <v>75</v>
      </c>
      <c r="D45" s="96">
        <f>G20*0.015</f>
        <v>1695</v>
      </c>
      <c r="E45" s="97"/>
      <c r="F45" s="26" t="s">
        <v>76</v>
      </c>
      <c r="G45" s="163">
        <v>2.5000000000000001E-2</v>
      </c>
      <c r="H45" s="88"/>
      <c r="J45" s="98" t="s">
        <v>77</v>
      </c>
      <c r="K45" s="99">
        <f>SUM(K38:K44)</f>
        <v>368.28000000000003</v>
      </c>
      <c r="L45" s="100">
        <f>K45*12</f>
        <v>4419.3600000000006</v>
      </c>
      <c r="M45" s="101">
        <f>SUM(M38:M42)</f>
        <v>0.30199999999999999</v>
      </c>
    </row>
    <row r="46" spans="1:15" x14ac:dyDescent="0.2">
      <c r="A46" s="1"/>
      <c r="B46" s="1"/>
      <c r="C46" s="26" t="s">
        <v>78</v>
      </c>
      <c r="D46" s="102">
        <f>G32</f>
        <v>750</v>
      </c>
      <c r="F46" s="36" t="s">
        <v>79</v>
      </c>
      <c r="G46" s="164">
        <v>2.5000000000000001E-2</v>
      </c>
    </row>
    <row r="47" spans="1:15" x14ac:dyDescent="0.2">
      <c r="A47" s="1"/>
      <c r="B47" s="1"/>
      <c r="C47" s="103" t="s">
        <v>80</v>
      </c>
      <c r="D47" s="104">
        <f>D44+D45+D46</f>
        <v>25044.999999999996</v>
      </c>
    </row>
    <row r="48" spans="1:15" x14ac:dyDescent="0.2">
      <c r="A48" s="1"/>
      <c r="F48" s="168" t="s">
        <v>81</v>
      </c>
      <c r="G48" s="169"/>
      <c r="H48" s="7"/>
      <c r="N48" s="105"/>
      <c r="O48" s="80"/>
    </row>
    <row r="49" spans="1:15" x14ac:dyDescent="0.2">
      <c r="A49" s="1"/>
      <c r="B49" s="1"/>
      <c r="C49" s="171" t="s">
        <v>82</v>
      </c>
      <c r="D49" s="169"/>
      <c r="F49" s="106" t="s">
        <v>83</v>
      </c>
      <c r="G49" s="107" t="s">
        <v>84</v>
      </c>
      <c r="H49" s="57"/>
      <c r="I49" s="73" t="s">
        <v>85</v>
      </c>
      <c r="J49" s="105"/>
      <c r="K49" s="54" t="s">
        <v>44</v>
      </c>
      <c r="L49" s="75" t="s">
        <v>45</v>
      </c>
      <c r="M49" s="54" t="s">
        <v>57</v>
      </c>
      <c r="O49" s="83"/>
    </row>
    <row r="50" spans="1:15" x14ac:dyDescent="0.2">
      <c r="A50" s="1"/>
      <c r="B50" s="1"/>
      <c r="C50" s="88" t="s">
        <v>86</v>
      </c>
      <c r="D50" s="158"/>
      <c r="F50" s="35" t="s">
        <v>87</v>
      </c>
      <c r="G50" s="165"/>
      <c r="H50" s="57"/>
      <c r="J50" s="108" t="s">
        <v>88</v>
      </c>
      <c r="K50" s="109">
        <f>$K$35*M50</f>
        <v>74.100000000000009</v>
      </c>
      <c r="L50" s="110">
        <f>K50*12</f>
        <v>889.2</v>
      </c>
      <c r="M50" s="159">
        <v>6.5000000000000002E-2</v>
      </c>
    </row>
    <row r="51" spans="1:15" x14ac:dyDescent="0.2">
      <c r="B51" s="1"/>
      <c r="C51" s="111" t="s">
        <v>89</v>
      </c>
      <c r="D51" s="160"/>
    </row>
    <row r="52" spans="1:15" x14ac:dyDescent="0.2">
      <c r="A52" s="112"/>
      <c r="B52" s="1"/>
      <c r="I52" s="113" t="s">
        <v>90</v>
      </c>
      <c r="J52" s="114"/>
      <c r="K52" s="115" t="s">
        <v>44</v>
      </c>
      <c r="L52" s="116" t="s">
        <v>45</v>
      </c>
      <c r="M52" s="117"/>
    </row>
    <row r="53" spans="1:15" x14ac:dyDescent="0.2">
      <c r="A53" s="1"/>
      <c r="B53" s="1"/>
      <c r="F53" s="168" t="s">
        <v>91</v>
      </c>
      <c r="G53" s="169"/>
      <c r="H53" s="88"/>
      <c r="I53" s="117"/>
      <c r="J53" s="118" t="s">
        <v>92</v>
      </c>
      <c r="K53" s="191">
        <v>445</v>
      </c>
      <c r="L53" s="119">
        <f>K53*12</f>
        <v>5340</v>
      </c>
      <c r="M53" s="161" t="str">
        <f>HYPERLINK("https://www.google.com/search?q=mortgage+calculator","(Link to mortgage calculator)")</f>
        <v>(Link to mortgage calculator)</v>
      </c>
    </row>
    <row r="54" spans="1:15" x14ac:dyDescent="0.2">
      <c r="A54" s="1"/>
      <c r="E54" s="6"/>
      <c r="F54" s="120" t="s">
        <v>76</v>
      </c>
      <c r="G54" s="166"/>
      <c r="I54" s="117"/>
      <c r="J54" s="117"/>
      <c r="K54" s="117"/>
      <c r="L54" s="121"/>
      <c r="M54" s="117"/>
    </row>
    <row r="55" spans="1:15" x14ac:dyDescent="0.2">
      <c r="A55" s="1"/>
      <c r="B55" s="112"/>
      <c r="F55" s="36" t="s">
        <v>79</v>
      </c>
      <c r="G55" s="164"/>
      <c r="I55" s="122" t="s">
        <v>93</v>
      </c>
      <c r="J55" s="114"/>
      <c r="K55" s="115" t="s">
        <v>44</v>
      </c>
      <c r="L55" s="116" t="s">
        <v>45</v>
      </c>
      <c r="M55" s="123" t="s">
        <v>94</v>
      </c>
    </row>
    <row r="56" spans="1:15" x14ac:dyDescent="0.2">
      <c r="A56" s="1"/>
      <c r="B56" s="1"/>
      <c r="E56" s="6"/>
      <c r="I56" s="117"/>
      <c r="J56" s="124" t="s">
        <v>95</v>
      </c>
      <c r="K56" s="125">
        <f>K35-K45-K50</f>
        <v>697.62</v>
      </c>
      <c r="L56" s="126">
        <f t="shared" ref="L56:L57" si="6">K56*12</f>
        <v>8371.44</v>
      </c>
      <c r="M56" s="127" t="s">
        <v>96</v>
      </c>
    </row>
    <row r="57" spans="1:15" x14ac:dyDescent="0.2">
      <c r="A57" s="1"/>
      <c r="B57" s="1"/>
      <c r="I57" s="117"/>
      <c r="J57" s="128" t="s">
        <v>97</v>
      </c>
      <c r="K57" s="129">
        <f>K35-K45-K50-K53</f>
        <v>252.62</v>
      </c>
      <c r="L57" s="130">
        <f t="shared" si="6"/>
        <v>3031.44</v>
      </c>
      <c r="M57" s="127" t="s">
        <v>98</v>
      </c>
    </row>
    <row r="58" spans="1:15" x14ac:dyDescent="0.2">
      <c r="A58" s="1"/>
      <c r="B58" s="1"/>
      <c r="K58" s="3"/>
      <c r="L58" s="3"/>
      <c r="M58" s="3"/>
    </row>
    <row r="59" spans="1:15" x14ac:dyDescent="0.2">
      <c r="A59" s="1"/>
      <c r="B59" s="1"/>
      <c r="C59" s="112"/>
      <c r="D59" s="131"/>
      <c r="F59" s="1"/>
      <c r="G59" s="132"/>
      <c r="I59" s="73" t="s">
        <v>99</v>
      </c>
      <c r="J59" s="105"/>
      <c r="K59" s="54" t="s">
        <v>44</v>
      </c>
      <c r="L59" s="75" t="s">
        <v>45</v>
      </c>
      <c r="M59" s="3"/>
    </row>
    <row r="60" spans="1:15" x14ac:dyDescent="0.2">
      <c r="A60" s="1"/>
      <c r="B60" s="1"/>
      <c r="C60" s="1"/>
      <c r="D60" s="133"/>
      <c r="J60" s="108"/>
      <c r="K60" s="109">
        <f>K35-K45</f>
        <v>771.72</v>
      </c>
      <c r="L60" s="110">
        <f>K60*12</f>
        <v>9260.64</v>
      </c>
      <c r="M60" s="3"/>
    </row>
    <row r="61" spans="1:15" x14ac:dyDescent="0.2">
      <c r="A61" s="1"/>
      <c r="B61" s="1"/>
      <c r="C61" s="1"/>
      <c r="D61" s="134"/>
    </row>
    <row r="62" spans="1:15" x14ac:dyDescent="0.2">
      <c r="A62" s="1"/>
      <c r="B62" s="1"/>
      <c r="C62" s="1"/>
      <c r="D62" s="134"/>
    </row>
    <row r="63" spans="1:15" x14ac:dyDescent="0.2">
      <c r="A63" s="1"/>
      <c r="B63" s="1"/>
      <c r="C63" s="1"/>
      <c r="D63" s="134"/>
    </row>
    <row r="64" spans="1:15" x14ac:dyDescent="0.2">
      <c r="A64" s="1"/>
      <c r="B64" s="1"/>
      <c r="H64" s="170"/>
      <c r="I64" s="170"/>
      <c r="K64" s="3"/>
      <c r="L64" s="3"/>
      <c r="M64" s="3"/>
    </row>
    <row r="65" spans="1:15" x14ac:dyDescent="0.2">
      <c r="I65" s="18"/>
      <c r="J65" s="57"/>
      <c r="K65" s="135"/>
      <c r="L65" s="136"/>
      <c r="M65" s="137"/>
      <c r="O65" s="111"/>
    </row>
    <row r="66" spans="1:15" x14ac:dyDescent="0.2">
      <c r="A66" s="112"/>
      <c r="B66" s="112"/>
      <c r="F66" s="16"/>
      <c r="I66" s="27"/>
      <c r="J66" s="57"/>
      <c r="K66" s="135"/>
      <c r="L66" s="135"/>
      <c r="M66" s="137"/>
      <c r="O66" s="111"/>
    </row>
    <row r="67" spans="1:15" x14ac:dyDescent="0.2">
      <c r="A67" s="112"/>
      <c r="B67" s="112"/>
      <c r="F67" s="16"/>
      <c r="I67" s="27"/>
      <c r="J67" s="88"/>
      <c r="K67" s="3"/>
      <c r="L67" s="3"/>
      <c r="M67" s="137"/>
    </row>
    <row r="68" spans="1:15" x14ac:dyDescent="0.2">
      <c r="A68" s="112"/>
      <c r="B68" s="112"/>
      <c r="F68" s="16"/>
      <c r="I68" s="27"/>
      <c r="J68" s="88"/>
      <c r="K68" s="136"/>
      <c r="L68" s="3"/>
      <c r="M68" s="3"/>
    </row>
    <row r="69" spans="1:15" x14ac:dyDescent="0.2">
      <c r="A69" s="112"/>
      <c r="B69" s="112"/>
      <c r="F69" s="16"/>
      <c r="K69" s="3"/>
      <c r="L69" s="3"/>
      <c r="M69" s="3"/>
    </row>
    <row r="70" spans="1:15" x14ac:dyDescent="0.2">
      <c r="A70" s="112"/>
      <c r="B70" s="112"/>
      <c r="F70" s="16"/>
      <c r="J70" s="88"/>
      <c r="K70" s="136"/>
      <c r="L70" s="3"/>
      <c r="M70" s="137"/>
      <c r="O70" s="111"/>
    </row>
    <row r="71" spans="1:15" x14ac:dyDescent="0.2">
      <c r="A71" s="112"/>
      <c r="B71" s="112"/>
      <c r="F71" s="16"/>
      <c r="K71" s="136"/>
      <c r="L71" s="3"/>
      <c r="M71" s="3"/>
      <c r="O71" s="111"/>
    </row>
    <row r="72" spans="1:15" x14ac:dyDescent="0.2">
      <c r="A72" s="112"/>
      <c r="B72" s="112"/>
      <c r="F72" s="16"/>
      <c r="J72" s="88"/>
      <c r="K72" s="3"/>
      <c r="L72" s="3"/>
      <c r="M72" s="137"/>
    </row>
    <row r="73" spans="1:15" x14ac:dyDescent="0.2">
      <c r="A73" s="112"/>
      <c r="B73" s="112"/>
      <c r="F73" s="16"/>
      <c r="J73" s="88"/>
      <c r="K73" s="3"/>
      <c r="L73" s="3"/>
      <c r="M73" s="137"/>
    </row>
    <row r="74" spans="1:15" x14ac:dyDescent="0.2">
      <c r="A74" s="112"/>
      <c r="B74" s="112"/>
      <c r="F74" s="16"/>
      <c r="J74" s="88"/>
      <c r="K74" s="3"/>
      <c r="L74" s="3"/>
      <c r="M74" s="137"/>
    </row>
    <row r="75" spans="1:15" x14ac:dyDescent="0.2">
      <c r="A75" s="112"/>
      <c r="B75" s="112"/>
      <c r="F75" s="16"/>
      <c r="J75" s="88"/>
      <c r="K75" s="3"/>
      <c r="L75" s="3"/>
      <c r="M75" s="137"/>
    </row>
  </sheetData>
  <sheetProtection selectLockedCells="1"/>
  <mergeCells count="24">
    <mergeCell ref="K14:M14"/>
    <mergeCell ref="G14:J14"/>
    <mergeCell ref="E14:F14"/>
    <mergeCell ref="C14:D14"/>
    <mergeCell ref="C2:M13"/>
    <mergeCell ref="J16:L16"/>
    <mergeCell ref="J17:L17"/>
    <mergeCell ref="D16:F16"/>
    <mergeCell ref="D17:F17"/>
    <mergeCell ref="C49:D49"/>
    <mergeCell ref="J19:M19"/>
    <mergeCell ref="F53:G53"/>
    <mergeCell ref="H64:I64"/>
    <mergeCell ref="C19:D19"/>
    <mergeCell ref="F19:G19"/>
    <mergeCell ref="C36:D36"/>
    <mergeCell ref="F38:G38"/>
    <mergeCell ref="C43:D43"/>
    <mergeCell ref="F43:G43"/>
    <mergeCell ref="F48:G48"/>
    <mergeCell ref="C25:D25"/>
    <mergeCell ref="F25:G25"/>
    <mergeCell ref="F31:G31"/>
    <mergeCell ref="C32:D32"/>
  </mergeCells>
  <conditionalFormatting sqref="M21:M30">
    <cfRule type="containsText" dxfId="3" priority="1" operator="containsText" text="Y">
      <formula>NOT(ISERROR(SEARCH(("Y"),(M21))))</formula>
    </cfRule>
  </conditionalFormatting>
  <conditionalFormatting sqref="M21:M30 M65:M76 M79 M81">
    <cfRule type="containsText" dxfId="2" priority="2" operator="containsText" text="N">
      <formula>NOT(ISERROR(SEARCH(("N"),(M21))))</formula>
    </cfRule>
  </conditionalFormatting>
  <dataValidations disablePrompts="1" count="1">
    <dataValidation type="list" allowBlank="1" sqref="D33" xr:uid="{00000000-0002-0000-0000-000000000000}">
      <formula1>"1,2,3,4,5"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C837-7DAF-492B-A5E7-2B9217078249}">
  <dimension ref="A1:O75"/>
  <sheetViews>
    <sheetView showGridLines="0" tabSelected="1" workbookViewId="0">
      <selection activeCell="D40" sqref="D40"/>
    </sheetView>
  </sheetViews>
  <sheetFormatPr defaultColWidth="14.42578125" defaultRowHeight="12.75" x14ac:dyDescent="0.2"/>
  <cols>
    <col min="1" max="1" width="4.42578125" style="11" customWidth="1"/>
    <col min="2" max="2" width="3.28515625" style="11" customWidth="1"/>
    <col min="3" max="3" width="17" style="11" customWidth="1"/>
    <col min="4" max="4" width="15.140625" style="11" customWidth="1"/>
    <col min="5" max="5" width="3" style="11" customWidth="1"/>
    <col min="6" max="6" width="17.28515625" style="11" customWidth="1"/>
    <col min="7" max="7" width="14" style="11" customWidth="1"/>
    <col min="8" max="8" width="6.140625" style="11" customWidth="1"/>
    <col min="9" max="9" width="2" style="11" customWidth="1"/>
    <col min="10" max="10" width="24.140625" style="11" customWidth="1"/>
    <col min="11" max="11" width="12" style="11" customWidth="1"/>
    <col min="12" max="12" width="9.7109375" style="11" customWidth="1"/>
    <col min="13" max="13" width="32.140625" style="11" customWidth="1"/>
    <col min="14" max="14" width="19.42578125" style="11" customWidth="1"/>
    <col min="15" max="15" width="41.28515625" style="11" customWidth="1"/>
    <col min="16" max="16384" width="14.42578125" style="11"/>
  </cols>
  <sheetData>
    <row r="1" spans="1:15" ht="13.5" thickBot="1" x14ac:dyDescent="0.25">
      <c r="A1" s="1"/>
      <c r="B1" s="1"/>
      <c r="C1" s="1"/>
      <c r="K1" s="3"/>
      <c r="L1" s="3"/>
      <c r="M1" s="3"/>
    </row>
    <row r="2" spans="1:15" s="5" customFormat="1" ht="13.5" thickTop="1" x14ac:dyDescent="0.2">
      <c r="A2" s="4"/>
      <c r="B2" s="4"/>
      <c r="C2" s="181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1:15" s="5" customFormat="1" x14ac:dyDescent="0.2">
      <c r="A3" s="4"/>
      <c r="B3" s="4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6"/>
    </row>
    <row r="4" spans="1:15" s="5" customFormat="1" x14ac:dyDescent="0.2">
      <c r="A4" s="4"/>
      <c r="B4" s="4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5" s="5" customFormat="1" x14ac:dyDescent="0.2">
      <c r="A5" s="4"/>
      <c r="B5" s="4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15" s="5" customFormat="1" x14ac:dyDescent="0.2">
      <c r="A6" s="4"/>
      <c r="B6" s="4"/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6"/>
    </row>
    <row r="7" spans="1:15" s="5" customFormat="1" x14ac:dyDescent="0.2">
      <c r="A7" s="4"/>
      <c r="B7" s="4"/>
      <c r="C7" s="184"/>
      <c r="D7" s="185"/>
      <c r="E7" s="185"/>
      <c r="F7" s="185"/>
      <c r="G7" s="185"/>
      <c r="H7" s="185"/>
      <c r="I7" s="185"/>
      <c r="J7" s="185"/>
      <c r="K7" s="185"/>
      <c r="L7" s="185"/>
      <c r="M7" s="186"/>
    </row>
    <row r="8" spans="1:15" s="5" customFormat="1" x14ac:dyDescent="0.2">
      <c r="A8" s="4"/>
      <c r="B8" s="4"/>
      <c r="C8" s="184"/>
      <c r="D8" s="185"/>
      <c r="E8" s="185"/>
      <c r="F8" s="185"/>
      <c r="G8" s="185"/>
      <c r="H8" s="185"/>
      <c r="I8" s="185"/>
      <c r="J8" s="185"/>
      <c r="K8" s="185"/>
      <c r="L8" s="185"/>
      <c r="M8" s="186"/>
    </row>
    <row r="9" spans="1:15" s="5" customFormat="1" x14ac:dyDescent="0.2">
      <c r="A9" s="4"/>
      <c r="B9" s="4"/>
      <c r="C9" s="184"/>
      <c r="D9" s="185"/>
      <c r="E9" s="185"/>
      <c r="F9" s="185"/>
      <c r="G9" s="185"/>
      <c r="H9" s="185"/>
      <c r="I9" s="185"/>
      <c r="J9" s="185"/>
      <c r="K9" s="185"/>
      <c r="L9" s="185"/>
      <c r="M9" s="186"/>
    </row>
    <row r="10" spans="1:15" s="5" customFormat="1" x14ac:dyDescent="0.2">
      <c r="A10" s="4"/>
      <c r="B10" s="4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6"/>
    </row>
    <row r="11" spans="1:15" s="5" customFormat="1" x14ac:dyDescent="0.2">
      <c r="A11" s="4"/>
      <c r="B11" s="4"/>
      <c r="C11" s="184"/>
      <c r="D11" s="185"/>
      <c r="E11" s="185"/>
      <c r="F11" s="185"/>
      <c r="G11" s="185"/>
      <c r="H11" s="185"/>
      <c r="I11" s="185"/>
      <c r="J11" s="185"/>
      <c r="K11" s="185"/>
      <c r="L11" s="185"/>
      <c r="M11" s="186"/>
    </row>
    <row r="12" spans="1:15" s="5" customFormat="1" x14ac:dyDescent="0.2">
      <c r="A12" s="4"/>
      <c r="B12" s="4"/>
      <c r="C12" s="184"/>
      <c r="D12" s="185"/>
      <c r="E12" s="185"/>
      <c r="F12" s="185"/>
      <c r="G12" s="185"/>
      <c r="H12" s="185"/>
      <c r="I12" s="185"/>
      <c r="J12" s="185"/>
      <c r="K12" s="185"/>
      <c r="L12" s="185"/>
      <c r="M12" s="186"/>
    </row>
    <row r="13" spans="1:15" s="5" customFormat="1" ht="13.5" thickBot="1" x14ac:dyDescent="0.25">
      <c r="A13" s="4"/>
      <c r="B13" s="4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9"/>
    </row>
    <row r="14" spans="1:15" ht="13.5" thickTop="1" x14ac:dyDescent="0.2">
      <c r="A14" s="1"/>
      <c r="B14" s="1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15" x14ac:dyDescent="0.2">
      <c r="A15" s="1"/>
      <c r="B15" s="1"/>
      <c r="D15" s="6"/>
      <c r="K15" s="3"/>
      <c r="L15" s="3"/>
      <c r="M15" s="3"/>
      <c r="O15" s="214"/>
    </row>
    <row r="16" spans="1:15" ht="13.5" thickBot="1" x14ac:dyDescent="0.25">
      <c r="A16" s="7"/>
      <c r="B16" s="7"/>
      <c r="C16" s="7" t="s">
        <v>0</v>
      </c>
      <c r="D16" s="206"/>
      <c r="E16" s="207"/>
      <c r="F16" s="207"/>
      <c r="G16" s="208"/>
      <c r="H16" s="209"/>
      <c r="I16" s="210"/>
      <c r="J16" s="211"/>
      <c r="K16" s="207"/>
      <c r="L16" s="207"/>
      <c r="M16" s="3"/>
    </row>
    <row r="17" spans="1:15" ht="13.5" thickTop="1" x14ac:dyDescent="0.2">
      <c r="A17" s="7"/>
      <c r="B17" s="7"/>
      <c r="C17" s="7"/>
      <c r="D17" s="176" t="s">
        <v>1</v>
      </c>
      <c r="E17" s="170"/>
      <c r="F17" s="170"/>
      <c r="G17" s="12" t="s">
        <v>2</v>
      </c>
      <c r="H17" s="12" t="s">
        <v>3</v>
      </c>
      <c r="I17" s="14"/>
      <c r="J17" s="174" t="s">
        <v>4</v>
      </c>
      <c r="K17" s="170"/>
      <c r="L17" s="170"/>
      <c r="M17" s="3"/>
    </row>
    <row r="18" spans="1:15" ht="6.75" customHeight="1" thickBot="1" x14ac:dyDescent="0.25">
      <c r="A18" s="7"/>
      <c r="B18" s="7"/>
      <c r="C18" s="7"/>
      <c r="D18" s="15"/>
      <c r="E18" s="15"/>
      <c r="F18" s="15"/>
      <c r="K18" s="3"/>
      <c r="L18" s="3"/>
      <c r="M18" s="3"/>
    </row>
    <row r="19" spans="1:15" ht="14.25" thickTop="1" thickBot="1" x14ac:dyDescent="0.25">
      <c r="A19" s="7"/>
      <c r="B19" s="16"/>
      <c r="C19" s="171" t="s">
        <v>5</v>
      </c>
      <c r="D19" s="169"/>
      <c r="F19" s="168" t="s">
        <v>6</v>
      </c>
      <c r="G19" s="169"/>
      <c r="H19" s="17"/>
      <c r="J19" s="177" t="s">
        <v>7</v>
      </c>
      <c r="K19" s="178"/>
      <c r="L19" s="178"/>
      <c r="M19" s="179"/>
    </row>
    <row r="20" spans="1:15" ht="14.25" thickTop="1" thickBot="1" x14ac:dyDescent="0.25">
      <c r="A20" s="18"/>
      <c r="B20" s="18"/>
      <c r="C20" s="19" t="s">
        <v>8</v>
      </c>
      <c r="D20" s="138">
        <v>120000</v>
      </c>
      <c r="F20" s="20" t="s">
        <v>9</v>
      </c>
      <c r="G20" s="139">
        <v>113000</v>
      </c>
      <c r="H20" s="21"/>
      <c r="J20" s="22" t="s">
        <v>10</v>
      </c>
      <c r="K20" s="23" t="s">
        <v>11</v>
      </c>
      <c r="L20" s="23" t="s">
        <v>12</v>
      </c>
      <c r="M20" s="23" t="s">
        <v>13</v>
      </c>
    </row>
    <row r="21" spans="1:15" ht="13.5" thickTop="1" x14ac:dyDescent="0.2">
      <c r="A21" s="24"/>
      <c r="B21" s="24"/>
      <c r="C21" s="25" t="s">
        <v>14</v>
      </c>
      <c r="D21" s="140">
        <v>43922</v>
      </c>
      <c r="F21" s="26" t="s">
        <v>15</v>
      </c>
      <c r="G21" s="141"/>
      <c r="H21" s="27"/>
      <c r="J21" s="28" t="s">
        <v>16</v>
      </c>
      <c r="K21" s="29">
        <f>(G20+G32)/G26</f>
        <v>0.91</v>
      </c>
      <c r="L21" s="199">
        <v>0.93</v>
      </c>
      <c r="M21" s="30" t="str">
        <f>IF(K21&lt;L21,"Y","N")</f>
        <v>Y</v>
      </c>
    </row>
    <row r="22" spans="1:15" x14ac:dyDescent="0.2">
      <c r="A22" s="24"/>
      <c r="C22" s="25" t="s">
        <v>17</v>
      </c>
      <c r="D22" s="31">
        <f ca="1">TODAY()-D21</f>
        <v>1729</v>
      </c>
      <c r="F22" s="26" t="s">
        <v>18</v>
      </c>
      <c r="G22" s="141"/>
      <c r="H22" s="27"/>
      <c r="J22" s="32" t="s">
        <v>19</v>
      </c>
      <c r="K22" s="33">
        <f>(L60)/(G20+D46+D45)</f>
        <v>8.021689982242626E-2</v>
      </c>
      <c r="L22" s="200">
        <v>7.0000000000000007E-2</v>
      </c>
      <c r="M22" s="34" t="str">
        <f t="shared" ref="M22:M24" si="0">IF(K22&gt;L22,"Y","N")</f>
        <v>Y</v>
      </c>
    </row>
    <row r="23" spans="1:15" ht="13.5" thickBot="1" x14ac:dyDescent="0.25">
      <c r="A23" s="24"/>
      <c r="B23" s="24"/>
      <c r="C23" s="35" t="s">
        <v>20</v>
      </c>
      <c r="D23" s="142" t="s">
        <v>21</v>
      </c>
      <c r="F23" s="36" t="s">
        <v>22</v>
      </c>
      <c r="G23" s="37">
        <f>G20/D20</f>
        <v>0.94166666666666665</v>
      </c>
      <c r="J23" s="32" t="s">
        <v>23</v>
      </c>
      <c r="K23" s="38">
        <f>K57</f>
        <v>252.62</v>
      </c>
      <c r="L23" s="201">
        <v>100</v>
      </c>
      <c r="M23" s="34" t="str">
        <f t="shared" si="0"/>
        <v>Y</v>
      </c>
    </row>
    <row r="24" spans="1:15" ht="13.5" thickTop="1" x14ac:dyDescent="0.2">
      <c r="A24" s="40"/>
      <c r="B24" s="40"/>
      <c r="E24" s="40"/>
      <c r="J24" s="32" t="s">
        <v>24</v>
      </c>
      <c r="K24" s="33">
        <f>L57/D47</f>
        <v>0.12103972848872033</v>
      </c>
      <c r="L24" s="200">
        <v>0.1</v>
      </c>
      <c r="M24" s="34" t="str">
        <f t="shared" si="0"/>
        <v>Y</v>
      </c>
    </row>
    <row r="25" spans="1:15" ht="13.5" thickBot="1" x14ac:dyDescent="0.25">
      <c r="A25" s="40"/>
      <c r="C25" s="168" t="s">
        <v>0</v>
      </c>
      <c r="D25" s="169"/>
      <c r="E25" s="1"/>
      <c r="F25" s="171" t="s">
        <v>25</v>
      </c>
      <c r="G25" s="169"/>
      <c r="J25" s="32" t="s">
        <v>26</v>
      </c>
      <c r="K25" s="41">
        <f>D33</f>
        <v>3</v>
      </c>
      <c r="L25" s="202">
        <v>3</v>
      </c>
      <c r="M25" s="42" t="str">
        <f t="shared" ref="M25:M28" si="1">IF(K25&gt;=L25,"Y","N")</f>
        <v>Y</v>
      </c>
    </row>
    <row r="26" spans="1:15" ht="14.25" thickTop="1" thickBot="1" x14ac:dyDescent="0.25">
      <c r="A26" s="40"/>
      <c r="C26" s="43" t="s">
        <v>27</v>
      </c>
      <c r="D26" s="143">
        <v>3</v>
      </c>
      <c r="E26" s="1"/>
      <c r="F26" s="20" t="s">
        <v>25</v>
      </c>
      <c r="G26" s="144">
        <v>125000</v>
      </c>
      <c r="J26" s="32" t="s">
        <v>28</v>
      </c>
      <c r="K26" s="44">
        <f t="shared" ref="K26:K28" si="2">D26</f>
        <v>3</v>
      </c>
      <c r="L26" s="203">
        <v>4</v>
      </c>
      <c r="M26" s="42" t="str">
        <f t="shared" si="1"/>
        <v>N</v>
      </c>
    </row>
    <row r="27" spans="1:15" ht="13.5" thickTop="1" x14ac:dyDescent="0.2">
      <c r="A27" s="40"/>
      <c r="C27" s="45" t="s">
        <v>29</v>
      </c>
      <c r="D27" s="145">
        <v>3</v>
      </c>
      <c r="E27" s="1"/>
      <c r="F27" s="26" t="s">
        <v>30</v>
      </c>
      <c r="G27" s="146"/>
      <c r="J27" s="32" t="s">
        <v>31</v>
      </c>
      <c r="K27" s="41">
        <f t="shared" si="2"/>
        <v>3</v>
      </c>
      <c r="L27" s="202">
        <v>2</v>
      </c>
      <c r="M27" s="42" t="str">
        <f t="shared" si="1"/>
        <v>Y</v>
      </c>
      <c r="O27" s="1"/>
    </row>
    <row r="28" spans="1:15" x14ac:dyDescent="0.2">
      <c r="A28" s="40"/>
      <c r="B28" s="1"/>
      <c r="C28" s="45" t="s">
        <v>32</v>
      </c>
      <c r="D28" s="147">
        <v>2650</v>
      </c>
      <c r="F28" s="26" t="s">
        <v>33</v>
      </c>
      <c r="G28" s="148"/>
      <c r="J28" s="32" t="s">
        <v>34</v>
      </c>
      <c r="K28" s="46">
        <f t="shared" si="2"/>
        <v>2650</v>
      </c>
      <c r="L28" s="204">
        <v>1500</v>
      </c>
      <c r="M28" s="42" t="str">
        <f t="shared" si="1"/>
        <v>Y</v>
      </c>
    </row>
    <row r="29" spans="1:15" ht="26.25" thickBot="1" x14ac:dyDescent="0.25">
      <c r="A29" s="40"/>
      <c r="B29" s="1"/>
      <c r="C29" s="45" t="s">
        <v>35</v>
      </c>
      <c r="D29" s="145">
        <v>1875</v>
      </c>
      <c r="F29" s="36" t="s">
        <v>36</v>
      </c>
      <c r="G29" s="47"/>
      <c r="J29" s="32" t="s">
        <v>37</v>
      </c>
      <c r="K29" s="39">
        <f>G20</f>
        <v>113000</v>
      </c>
      <c r="L29" s="201">
        <v>125000</v>
      </c>
      <c r="M29" s="42" t="str">
        <f>IF(K29&lt;=L29,"Y","N")</f>
        <v>Y</v>
      </c>
    </row>
    <row r="30" spans="1:15" ht="14.25" thickTop="1" thickBot="1" x14ac:dyDescent="0.25">
      <c r="A30" s="40"/>
      <c r="B30" s="1"/>
      <c r="C30" s="48" t="s">
        <v>38</v>
      </c>
      <c r="D30" s="149">
        <v>1964</v>
      </c>
      <c r="J30" s="49" t="s">
        <v>39</v>
      </c>
      <c r="K30" s="50">
        <f>G39</f>
        <v>1200</v>
      </c>
      <c r="L30" s="205">
        <v>1000</v>
      </c>
      <c r="M30" s="51" t="str">
        <f>IF(K30&gt;=L30,"Y","N")</f>
        <v>Y</v>
      </c>
    </row>
    <row r="31" spans="1:15" ht="14.25" thickTop="1" thickBot="1" x14ac:dyDescent="0.25">
      <c r="A31" s="40"/>
      <c r="F31" s="171" t="s">
        <v>40</v>
      </c>
      <c r="G31" s="169"/>
      <c r="K31" s="3"/>
      <c r="L31" s="3"/>
      <c r="M31" s="3"/>
    </row>
    <row r="32" spans="1:15" ht="14.25" thickTop="1" thickBot="1" x14ac:dyDescent="0.25">
      <c r="B32" s="40"/>
      <c r="C32" s="171" t="s">
        <v>41</v>
      </c>
      <c r="D32" s="169"/>
      <c r="F32" s="52" t="s">
        <v>42</v>
      </c>
      <c r="G32" s="167">
        <f>IF(G35&lt;&gt;0,G35,IF(G34&lt;&gt;0,G34,G33))</f>
        <v>750</v>
      </c>
      <c r="H32" s="18"/>
      <c r="I32" s="16" t="s">
        <v>43</v>
      </c>
      <c r="J32" s="53"/>
      <c r="K32" s="54" t="s">
        <v>44</v>
      </c>
      <c r="L32" s="55" t="s">
        <v>45</v>
      </c>
      <c r="M32" s="54" t="s">
        <v>46</v>
      </c>
    </row>
    <row r="33" spans="1:15" ht="13.5" thickTop="1" x14ac:dyDescent="0.2">
      <c r="A33" s="40"/>
      <c r="B33" s="40"/>
      <c r="C33" s="56" t="s">
        <v>26</v>
      </c>
      <c r="D33" s="143">
        <v>3</v>
      </c>
      <c r="F33" s="25" t="s">
        <v>47</v>
      </c>
      <c r="G33" s="150">
        <v>500</v>
      </c>
      <c r="I33" s="57"/>
      <c r="J33" s="19" t="s">
        <v>39</v>
      </c>
      <c r="K33" s="58">
        <f>G39</f>
        <v>1200</v>
      </c>
      <c r="L33" s="59">
        <f t="shared" ref="L33:L35" si="3">K33*12</f>
        <v>14400</v>
      </c>
      <c r="M33" s="60"/>
    </row>
    <row r="34" spans="1:15" ht="13.5" thickBot="1" x14ac:dyDescent="0.25">
      <c r="A34" s="1"/>
      <c r="B34" s="40"/>
      <c r="C34" s="61" t="s">
        <v>48</v>
      </c>
      <c r="D34" s="149">
        <v>7</v>
      </c>
      <c r="F34" s="25" t="s">
        <v>49</v>
      </c>
      <c r="G34" s="212">
        <v>200</v>
      </c>
      <c r="H34" s="1"/>
      <c r="I34" s="57"/>
      <c r="J34" s="25" t="s">
        <v>50</v>
      </c>
      <c r="K34" s="63">
        <f>K33*M34</f>
        <v>60</v>
      </c>
      <c r="L34" s="64">
        <f t="shared" si="3"/>
        <v>720</v>
      </c>
      <c r="M34" s="151">
        <v>0.05</v>
      </c>
    </row>
    <row r="35" spans="1:15" ht="14.25" thickTop="1" thickBot="1" x14ac:dyDescent="0.25">
      <c r="A35" s="1"/>
      <c r="F35" s="25" t="s">
        <v>51</v>
      </c>
      <c r="G35" s="212">
        <v>750</v>
      </c>
      <c r="I35" s="65"/>
      <c r="J35" s="66" t="s">
        <v>52</v>
      </c>
      <c r="K35" s="67">
        <f>K33-K34</f>
        <v>1140</v>
      </c>
      <c r="L35" s="68">
        <f t="shared" si="3"/>
        <v>13680</v>
      </c>
      <c r="M35" s="69"/>
    </row>
    <row r="36" spans="1:15" ht="14.25" thickTop="1" thickBot="1" x14ac:dyDescent="0.25">
      <c r="A36" s="1"/>
      <c r="C36" s="171" t="s">
        <v>53</v>
      </c>
      <c r="D36" s="169"/>
      <c r="F36" s="70" t="s">
        <v>54</v>
      </c>
      <c r="G36" s="71">
        <f>G34-G35</f>
        <v>-550</v>
      </c>
      <c r="K36" s="3"/>
      <c r="L36" s="3"/>
      <c r="M36" s="3"/>
    </row>
    <row r="37" spans="1:15" ht="14.25" thickTop="1" thickBot="1" x14ac:dyDescent="0.25">
      <c r="A37" s="1"/>
      <c r="C37" s="72" t="s">
        <v>55</v>
      </c>
      <c r="D37" s="152">
        <v>4.2500000000000003E-2</v>
      </c>
      <c r="I37" s="73" t="s">
        <v>56</v>
      </c>
      <c r="J37" s="74"/>
      <c r="K37" s="54" t="s">
        <v>44</v>
      </c>
      <c r="L37" s="75" t="s">
        <v>45</v>
      </c>
      <c r="M37" s="54" t="s">
        <v>57</v>
      </c>
    </row>
    <row r="38" spans="1:15" ht="14.25" thickTop="1" thickBot="1" x14ac:dyDescent="0.25">
      <c r="A38" s="1"/>
      <c r="C38" s="76" t="s">
        <v>58</v>
      </c>
      <c r="D38" s="153">
        <v>0.8</v>
      </c>
      <c r="F38" s="171" t="s">
        <v>39</v>
      </c>
      <c r="G38" s="169"/>
      <c r="I38" s="57"/>
      <c r="J38" s="77" t="s">
        <v>59</v>
      </c>
      <c r="K38" s="78">
        <f t="shared" ref="K38:K42" si="4">$K$35*M38</f>
        <v>82.08</v>
      </c>
      <c r="L38" s="79">
        <f t="shared" ref="L38:L43" si="5">K38*12</f>
        <v>984.96</v>
      </c>
      <c r="M38" s="154">
        <v>7.1999999999999995E-2</v>
      </c>
      <c r="N38" s="80"/>
    </row>
    <row r="39" spans="1:15" ht="14.25" thickTop="1" thickBot="1" x14ac:dyDescent="0.25">
      <c r="A39" s="1"/>
      <c r="C39" s="25" t="s">
        <v>60</v>
      </c>
      <c r="D39" s="81">
        <f>D38*G20</f>
        <v>90400</v>
      </c>
      <c r="F39" s="52" t="s">
        <v>42</v>
      </c>
      <c r="G39" s="167">
        <f>IF(G41&lt;&gt;0,G41,G40)</f>
        <v>1200</v>
      </c>
      <c r="I39" s="57"/>
      <c r="J39" s="82" t="s">
        <v>61</v>
      </c>
      <c r="K39" s="63">
        <f t="shared" si="4"/>
        <v>91.2</v>
      </c>
      <c r="L39" s="64">
        <f t="shared" si="5"/>
        <v>1094.4000000000001</v>
      </c>
      <c r="M39" s="155">
        <v>0.08</v>
      </c>
      <c r="N39" s="83"/>
    </row>
    <row r="40" spans="1:15" ht="13.5" thickTop="1" x14ac:dyDescent="0.2">
      <c r="A40" s="1"/>
      <c r="B40" s="1"/>
      <c r="C40" s="25" t="s">
        <v>62</v>
      </c>
      <c r="D40" s="162">
        <v>0</v>
      </c>
      <c r="F40" s="25" t="s">
        <v>63</v>
      </c>
      <c r="G40" s="215">
        <v>1200</v>
      </c>
      <c r="I40" s="57"/>
      <c r="J40" s="85" t="s">
        <v>64</v>
      </c>
      <c r="K40" s="63">
        <f t="shared" si="4"/>
        <v>28.5</v>
      </c>
      <c r="L40" s="64">
        <f t="shared" si="5"/>
        <v>342</v>
      </c>
      <c r="M40" s="155">
        <v>2.5000000000000001E-2</v>
      </c>
    </row>
    <row r="41" spans="1:15" ht="13.5" thickBot="1" x14ac:dyDescent="0.25">
      <c r="A41" s="1"/>
      <c r="C41" s="70" t="s">
        <v>65</v>
      </c>
      <c r="D41" s="86">
        <f>D39+D40</f>
        <v>90400</v>
      </c>
      <c r="F41" s="70" t="s">
        <v>66</v>
      </c>
      <c r="G41" s="216"/>
      <c r="H41" s="7"/>
      <c r="I41" s="57"/>
      <c r="J41" s="82" t="s">
        <v>67</v>
      </c>
      <c r="K41" s="63">
        <f t="shared" si="4"/>
        <v>79.800000000000011</v>
      </c>
      <c r="L41" s="64">
        <f t="shared" si="5"/>
        <v>957.60000000000014</v>
      </c>
      <c r="M41" s="156">
        <v>7.0000000000000007E-2</v>
      </c>
    </row>
    <row r="42" spans="1:15" ht="13.5" thickTop="1" x14ac:dyDescent="0.2">
      <c r="H42" s="57"/>
      <c r="I42" s="88"/>
      <c r="J42" s="82" t="s">
        <v>68</v>
      </c>
      <c r="K42" s="63">
        <f t="shared" si="4"/>
        <v>62.7</v>
      </c>
      <c r="L42" s="64">
        <f t="shared" si="5"/>
        <v>752.40000000000009</v>
      </c>
      <c r="M42" s="156">
        <v>5.5E-2</v>
      </c>
    </row>
    <row r="43" spans="1:15" ht="13.5" thickBot="1" x14ac:dyDescent="0.25">
      <c r="A43" s="1"/>
      <c r="C43" s="171" t="s">
        <v>69</v>
      </c>
      <c r="D43" s="169"/>
      <c r="F43" s="168" t="s">
        <v>70</v>
      </c>
      <c r="G43" s="169"/>
      <c r="H43" s="57"/>
      <c r="I43" s="88"/>
      <c r="J43" s="89" t="s">
        <v>71</v>
      </c>
      <c r="K43" s="90">
        <f>M43*K33</f>
        <v>24</v>
      </c>
      <c r="L43" s="91">
        <f t="shared" si="5"/>
        <v>288</v>
      </c>
      <c r="M43" s="157">
        <v>0.02</v>
      </c>
    </row>
    <row r="44" spans="1:15" ht="13.5" thickTop="1" x14ac:dyDescent="0.2">
      <c r="A44" s="1"/>
      <c r="C44" s="19" t="s">
        <v>72</v>
      </c>
      <c r="D44" s="92">
        <f>G20*(1-D38)</f>
        <v>22599.999999999996</v>
      </c>
      <c r="F44" s="19" t="s">
        <v>73</v>
      </c>
      <c r="G44" s="93">
        <f>G26-G20-G32</f>
        <v>11250</v>
      </c>
      <c r="H44" s="57"/>
      <c r="J44" s="89" t="s">
        <v>74</v>
      </c>
      <c r="K44" s="94"/>
      <c r="L44" s="94"/>
      <c r="M44" s="95"/>
    </row>
    <row r="45" spans="1:15" ht="13.5" thickBot="1" x14ac:dyDescent="0.25">
      <c r="A45" s="1"/>
      <c r="C45" s="25" t="s">
        <v>75</v>
      </c>
      <c r="D45" s="96">
        <f>G20*0.015</f>
        <v>1695</v>
      </c>
      <c r="E45" s="97"/>
      <c r="F45" s="26" t="s">
        <v>76</v>
      </c>
      <c r="G45" s="163">
        <v>2.5000000000000001E-2</v>
      </c>
      <c r="H45" s="88"/>
      <c r="J45" s="98" t="s">
        <v>77</v>
      </c>
      <c r="K45" s="99">
        <f>SUM(K38:K44)</f>
        <v>368.28000000000003</v>
      </c>
      <c r="L45" s="100">
        <f>K45*12</f>
        <v>4419.3600000000006</v>
      </c>
      <c r="M45" s="101">
        <f>SUM(M38:M42)</f>
        <v>0.30199999999999999</v>
      </c>
    </row>
    <row r="46" spans="1:15" ht="14.25" thickTop="1" thickBot="1" x14ac:dyDescent="0.25">
      <c r="A46" s="1"/>
      <c r="B46" s="1"/>
      <c r="C46" s="26" t="s">
        <v>78</v>
      </c>
      <c r="D46" s="102">
        <f>G32</f>
        <v>750</v>
      </c>
      <c r="F46" s="36" t="s">
        <v>79</v>
      </c>
      <c r="G46" s="164">
        <v>2.5000000000000001E-2</v>
      </c>
    </row>
    <row r="47" spans="1:15" ht="14.25" thickTop="1" thickBot="1" x14ac:dyDescent="0.25">
      <c r="A47" s="1"/>
      <c r="B47" s="1"/>
      <c r="C47" s="103" t="s">
        <v>80</v>
      </c>
      <c r="D47" s="104">
        <f>D44+D45+D46</f>
        <v>25044.999999999996</v>
      </c>
    </row>
    <row r="48" spans="1:15" ht="14.25" thickTop="1" thickBot="1" x14ac:dyDescent="0.25">
      <c r="A48" s="1"/>
      <c r="F48" s="168" t="s">
        <v>81</v>
      </c>
      <c r="G48" s="169"/>
      <c r="H48" s="7"/>
      <c r="N48" s="105"/>
      <c r="O48" s="80"/>
    </row>
    <row r="49" spans="1:15" ht="14.25" thickTop="1" thickBot="1" x14ac:dyDescent="0.25">
      <c r="A49" s="1"/>
      <c r="B49" s="1"/>
      <c r="C49" s="171" t="s">
        <v>82</v>
      </c>
      <c r="D49" s="169"/>
      <c r="F49" s="106" t="s">
        <v>83</v>
      </c>
      <c r="G49" s="107" t="s">
        <v>84</v>
      </c>
      <c r="H49" s="57"/>
      <c r="I49" s="73" t="s">
        <v>85</v>
      </c>
      <c r="J49" s="105"/>
      <c r="K49" s="54" t="s">
        <v>44</v>
      </c>
      <c r="L49" s="75" t="s">
        <v>45</v>
      </c>
      <c r="M49" s="54" t="s">
        <v>57</v>
      </c>
      <c r="O49" s="83"/>
    </row>
    <row r="50" spans="1:15" ht="14.25" thickTop="1" thickBot="1" x14ac:dyDescent="0.25">
      <c r="A50" s="1"/>
      <c r="B50" s="1"/>
      <c r="C50" s="88" t="s">
        <v>86</v>
      </c>
      <c r="D50" s="158"/>
      <c r="F50" s="35" t="s">
        <v>87</v>
      </c>
      <c r="G50" s="165"/>
      <c r="H50" s="57"/>
      <c r="J50" s="108" t="s">
        <v>88</v>
      </c>
      <c r="K50" s="109">
        <f>$K$35*M50</f>
        <v>74.100000000000009</v>
      </c>
      <c r="L50" s="110">
        <f>K50*12</f>
        <v>889.2</v>
      </c>
      <c r="M50" s="159">
        <v>6.5000000000000002E-2</v>
      </c>
    </row>
    <row r="51" spans="1:15" ht="13.5" thickTop="1" x14ac:dyDescent="0.2">
      <c r="B51" s="1"/>
      <c r="C51" s="111" t="s">
        <v>89</v>
      </c>
      <c r="D51" s="160"/>
    </row>
    <row r="52" spans="1:15" ht="13.5" thickBot="1" x14ac:dyDescent="0.25">
      <c r="A52" s="112"/>
      <c r="B52" s="1"/>
      <c r="I52" s="113" t="s">
        <v>90</v>
      </c>
      <c r="J52" s="114"/>
      <c r="K52" s="115" t="s">
        <v>44</v>
      </c>
      <c r="L52" s="116" t="s">
        <v>45</v>
      </c>
      <c r="M52" s="117"/>
    </row>
    <row r="53" spans="1:15" ht="14.25" thickTop="1" thickBot="1" x14ac:dyDescent="0.25">
      <c r="A53" s="1"/>
      <c r="B53" s="1"/>
      <c r="F53" s="168" t="s">
        <v>91</v>
      </c>
      <c r="G53" s="169"/>
      <c r="H53" s="88"/>
      <c r="I53" s="117"/>
      <c r="J53" s="118" t="s">
        <v>92</v>
      </c>
      <c r="K53" s="213">
        <v>445</v>
      </c>
      <c r="L53" s="119">
        <f>K53*12</f>
        <v>5340</v>
      </c>
      <c r="M53" s="161" t="str">
        <f>HYPERLINK("https://www.google.com/search?q=mortgage+calculator","(Link to mortgage calculator)")</f>
        <v>(Link to mortgage calculator)</v>
      </c>
    </row>
    <row r="54" spans="1:15" ht="13.5" thickTop="1" x14ac:dyDescent="0.2">
      <c r="A54" s="1"/>
      <c r="E54" s="6"/>
      <c r="F54" s="120" t="s">
        <v>76</v>
      </c>
      <c r="G54" s="166"/>
      <c r="I54" s="117"/>
      <c r="J54" s="117"/>
      <c r="K54" s="117"/>
      <c r="L54" s="121"/>
      <c r="M54" s="117"/>
    </row>
    <row r="55" spans="1:15" ht="13.5" thickBot="1" x14ac:dyDescent="0.25">
      <c r="A55" s="1"/>
      <c r="B55" s="112"/>
      <c r="F55" s="36" t="s">
        <v>79</v>
      </c>
      <c r="G55" s="164"/>
      <c r="I55" s="122" t="s">
        <v>93</v>
      </c>
      <c r="J55" s="114"/>
      <c r="K55" s="115" t="s">
        <v>44</v>
      </c>
      <c r="L55" s="116" t="s">
        <v>45</v>
      </c>
      <c r="M55" s="123" t="s">
        <v>94</v>
      </c>
    </row>
    <row r="56" spans="1:15" ht="13.5" thickTop="1" x14ac:dyDescent="0.2">
      <c r="A56" s="1"/>
      <c r="B56" s="1"/>
      <c r="E56" s="6"/>
      <c r="I56" s="117"/>
      <c r="J56" s="124" t="s">
        <v>95</v>
      </c>
      <c r="K56" s="125">
        <f>K35-K45-K50</f>
        <v>697.62</v>
      </c>
      <c r="L56" s="126">
        <f t="shared" ref="L56:L57" si="6">K56*12</f>
        <v>8371.44</v>
      </c>
      <c r="M56" s="127" t="s">
        <v>96</v>
      </c>
    </row>
    <row r="57" spans="1:15" ht="13.5" thickBot="1" x14ac:dyDescent="0.25">
      <c r="A57" s="1"/>
      <c r="B57" s="1"/>
      <c r="I57" s="117"/>
      <c r="J57" s="128" t="s">
        <v>97</v>
      </c>
      <c r="K57" s="129">
        <f>K35-K45-K50-K53</f>
        <v>252.62</v>
      </c>
      <c r="L57" s="130">
        <f t="shared" si="6"/>
        <v>3031.44</v>
      </c>
      <c r="M57" s="127" t="s">
        <v>98</v>
      </c>
    </row>
    <row r="58" spans="1:15" ht="13.5" thickTop="1" x14ac:dyDescent="0.2">
      <c r="A58" s="1"/>
      <c r="B58" s="1"/>
      <c r="K58" s="3"/>
      <c r="L58" s="3"/>
      <c r="M58" s="3"/>
    </row>
    <row r="59" spans="1:15" ht="13.5" thickBot="1" x14ac:dyDescent="0.25">
      <c r="A59" s="1"/>
      <c r="B59" s="1"/>
      <c r="C59" s="112"/>
      <c r="D59" s="131"/>
      <c r="F59" s="1"/>
      <c r="G59" s="132"/>
      <c r="I59" s="73" t="s">
        <v>99</v>
      </c>
      <c r="J59" s="105"/>
      <c r="K59" s="54" t="s">
        <v>44</v>
      </c>
      <c r="L59" s="75" t="s">
        <v>45</v>
      </c>
      <c r="M59" s="3"/>
    </row>
    <row r="60" spans="1:15" ht="13.5" thickTop="1" x14ac:dyDescent="0.2">
      <c r="A60" s="1"/>
      <c r="B60" s="1"/>
      <c r="C60" s="1"/>
      <c r="D60" s="133"/>
      <c r="J60" s="108"/>
      <c r="K60" s="109">
        <f>K35-K45</f>
        <v>771.72</v>
      </c>
      <c r="L60" s="110">
        <f>K60*12</f>
        <v>9260.64</v>
      </c>
      <c r="M60" s="3"/>
    </row>
    <row r="61" spans="1:15" x14ac:dyDescent="0.2">
      <c r="A61" s="1"/>
      <c r="B61" s="1"/>
      <c r="C61" s="1"/>
      <c r="D61" s="134"/>
    </row>
    <row r="62" spans="1:15" x14ac:dyDescent="0.2">
      <c r="A62" s="1"/>
      <c r="B62" s="1"/>
      <c r="C62" s="1"/>
      <c r="D62" s="134"/>
    </row>
    <row r="63" spans="1:15" x14ac:dyDescent="0.2">
      <c r="A63" s="1"/>
      <c r="B63" s="1"/>
      <c r="C63" s="1"/>
      <c r="D63" s="134"/>
    </row>
    <row r="64" spans="1:15" x14ac:dyDescent="0.2">
      <c r="A64" s="1"/>
      <c r="B64" s="1"/>
      <c r="H64" s="170"/>
      <c r="I64" s="170"/>
      <c r="K64" s="3"/>
      <c r="L64" s="3"/>
      <c r="M64" s="3"/>
    </row>
    <row r="65" spans="1:15" x14ac:dyDescent="0.2">
      <c r="I65" s="18"/>
      <c r="J65" s="57"/>
      <c r="K65" s="135"/>
      <c r="L65" s="136"/>
      <c r="M65" s="137"/>
      <c r="O65" s="111"/>
    </row>
    <row r="66" spans="1:15" x14ac:dyDescent="0.2">
      <c r="A66" s="112"/>
      <c r="B66" s="112"/>
      <c r="F66" s="16"/>
      <c r="I66" s="27"/>
      <c r="J66" s="57"/>
      <c r="K66" s="135"/>
      <c r="L66" s="135"/>
      <c r="M66" s="137"/>
      <c r="O66" s="111"/>
    </row>
    <row r="67" spans="1:15" x14ac:dyDescent="0.2">
      <c r="A67" s="112"/>
      <c r="B67" s="112"/>
      <c r="F67" s="16"/>
      <c r="I67" s="27"/>
      <c r="J67" s="88"/>
      <c r="K67" s="3"/>
      <c r="L67" s="3"/>
      <c r="M67" s="137"/>
    </row>
    <row r="68" spans="1:15" x14ac:dyDescent="0.2">
      <c r="A68" s="112"/>
      <c r="B68" s="112"/>
      <c r="F68" s="16"/>
      <c r="I68" s="27"/>
      <c r="J68" s="88"/>
      <c r="K68" s="136"/>
      <c r="L68" s="3"/>
      <c r="M68" s="3"/>
    </row>
    <row r="69" spans="1:15" x14ac:dyDescent="0.2">
      <c r="A69" s="112"/>
      <c r="B69" s="112"/>
      <c r="F69" s="16"/>
      <c r="K69" s="3"/>
      <c r="L69" s="3"/>
      <c r="M69" s="3"/>
    </row>
    <row r="70" spans="1:15" x14ac:dyDescent="0.2">
      <c r="A70" s="112"/>
      <c r="B70" s="112"/>
      <c r="F70" s="16"/>
      <c r="J70" s="88"/>
      <c r="K70" s="136"/>
      <c r="L70" s="3"/>
      <c r="M70" s="137"/>
      <c r="O70" s="111"/>
    </row>
    <row r="71" spans="1:15" x14ac:dyDescent="0.2">
      <c r="A71" s="112"/>
      <c r="B71" s="112"/>
      <c r="F71" s="16"/>
      <c r="K71" s="136"/>
      <c r="L71" s="3"/>
      <c r="M71" s="3"/>
      <c r="O71" s="111"/>
    </row>
    <row r="72" spans="1:15" x14ac:dyDescent="0.2">
      <c r="A72" s="112"/>
      <c r="B72" s="112"/>
      <c r="F72" s="16"/>
      <c r="J72" s="88"/>
      <c r="K72" s="3"/>
      <c r="L72" s="3"/>
      <c r="M72" s="137"/>
    </row>
    <row r="73" spans="1:15" x14ac:dyDescent="0.2">
      <c r="A73" s="112"/>
      <c r="B73" s="112"/>
      <c r="F73" s="16"/>
      <c r="J73" s="88"/>
      <c r="K73" s="3"/>
      <c r="L73" s="3"/>
      <c r="M73" s="137"/>
    </row>
    <row r="74" spans="1:15" x14ac:dyDescent="0.2">
      <c r="A74" s="112"/>
      <c r="B74" s="112"/>
      <c r="F74" s="16"/>
      <c r="J74" s="88"/>
      <c r="K74" s="3"/>
      <c r="L74" s="3"/>
      <c r="M74" s="137"/>
    </row>
    <row r="75" spans="1:15" x14ac:dyDescent="0.2">
      <c r="A75" s="112"/>
      <c r="B75" s="112"/>
      <c r="F75" s="16"/>
      <c r="J75" s="88"/>
      <c r="K75" s="3"/>
      <c r="L75" s="3"/>
      <c r="M75" s="137"/>
    </row>
  </sheetData>
  <sheetProtection algorithmName="SHA-512" hashValue="y5kCkf6dBnQ4iRH8OmSR05t4fpmhckwSAPzUeC2ZPQUa8Bk1tmVc5Ss66C797U6Bo+vsf9aBUf/fiqbCsYUW7Q==" saltValue="3ZMkBZRaZFnq+l2e78PoMA==" spinCount="100000" sheet="1" objects="1" scenarios="1" selectLockedCells="1"/>
  <mergeCells count="24">
    <mergeCell ref="F48:G48"/>
    <mergeCell ref="C49:D49"/>
    <mergeCell ref="F53:G53"/>
    <mergeCell ref="H64:I64"/>
    <mergeCell ref="F31:G31"/>
    <mergeCell ref="C32:D32"/>
    <mergeCell ref="C36:D36"/>
    <mergeCell ref="F38:G38"/>
    <mergeCell ref="C43:D43"/>
    <mergeCell ref="F43:G43"/>
    <mergeCell ref="D17:F17"/>
    <mergeCell ref="J17:L17"/>
    <mergeCell ref="C19:D19"/>
    <mergeCell ref="F19:G19"/>
    <mergeCell ref="J19:M19"/>
    <mergeCell ref="C25:D25"/>
    <mergeCell ref="F25:G25"/>
    <mergeCell ref="C2:M13"/>
    <mergeCell ref="C14:D14"/>
    <mergeCell ref="E14:F14"/>
    <mergeCell ref="G14:J14"/>
    <mergeCell ref="K14:M14"/>
    <mergeCell ref="D16:F16"/>
    <mergeCell ref="J16:L16"/>
  </mergeCells>
  <conditionalFormatting sqref="M21:M30">
    <cfRule type="containsText" dxfId="1" priority="1" operator="containsText" text="Y">
      <formula>NOT(ISERROR(SEARCH(("Y"),(M21))))</formula>
    </cfRule>
  </conditionalFormatting>
  <conditionalFormatting sqref="M21:M30 M65:M76 M79 M81">
    <cfRule type="containsText" dxfId="0" priority="2" operator="containsText" text="N">
      <formula>NOT(ISERROR(SEARCH(("N"),(M21))))</formula>
    </cfRule>
  </conditionalFormatting>
  <dataValidations count="1">
    <dataValidation type="list" allowBlank="1" sqref="D33" xr:uid="{4895E242-5E49-42C6-BCC5-397FFB116DF9}">
      <formula1>"1,2,3,4,5"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Property Analysis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Firas Momani</dc:creator>
  <cp:lastModifiedBy>Firas Momani</cp:lastModifiedBy>
  <dcterms:created xsi:type="dcterms:W3CDTF">2022-06-14T00:07:58Z</dcterms:created>
  <dcterms:modified xsi:type="dcterms:W3CDTF">2024-12-25T19:26:31Z</dcterms:modified>
</cp:coreProperties>
</file>