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r:id="rId1" name="Tableau de bord" sheetId="1"/>
    <sheet r:id="rId2" name="Entrées hebdo" sheetId="2"/>
    <sheet r:id="rId3" name="Sorties hebdo" sheetId="3"/>
    <sheet r:id="rId4" name="Caisse Sport" sheetId="4"/>
    <sheet r:id="rId5" name="Caisse Ration" sheetId="5"/>
    <sheet r:id="rId6" name="Caisse Assurance" sheetId="6"/>
    <sheet r:id="rId7" name="Caisse Secours" sheetId="7"/>
    <sheet r:id="rId8" name="Caisse Développement" sheetId="8"/>
    <sheet r:id="rId9" name="Remboursements" sheetId="9"/>
    <sheet r:id="rId10" name="Membres cotisants" sheetId="10"/>
    <sheet r:id="rId11" name="Plan trésorerie" sheetId="11"/>
    <sheet r:id="rId12" name="Historique décisions" sheetId="12"/>
    <sheet r:id="rId13" name="Paramètres" sheetId="13"/>
  </sheets>
  <calcPr calcId="0" iterateCount="100" iterateDelta="0.00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<sst xmlns="http://schemas.openxmlformats.org/spreadsheetml/2006/main" count="344" uniqueCount="344">
  <si>
    <t>📊 TABLEAU DE BORD - ASSOCIATION COMMUNAUTAIRE</t>
  </si>
  <si>
    <t>💼 Gestion Durable des Caisses Thématiques</t>
  </si>
  <si>
    <t>Date:</t>
  </si>
  <si>
    <t>💰 SOLDES DES CAISSES</t>
  </si>
  <si>
    <t>📈 INDICATEURS CLÉS</t>
  </si>
  <si>
    <t>Caisse</t>
  </si>
  <si>
    <t>Solde Actuel</t>
  </si>
  <si>
    <t>Entrées Mois</t>
  </si>
  <si>
    <t>Sorties Mois</t>
  </si>
  <si>
    <t>👥 Membres actifs</t>
  </si>
  <si>
    <t>📥 Entrées hebdo moy</t>
  </si>
  <si>
    <t>⚽ Caisse Sport</t>
  </si>
  <si>
    <t>🚀 Projets en cours</t>
  </si>
  <si>
    <t>📤 Sorties hebdo moy</t>
  </si>
  <si>
    <t>🍚 Caisse Ration</t>
  </si>
  <si>
    <t>✅ Taux remboursement</t>
  </si>
  <si>
    <t>⚖️ Ratio E/S</t>
  </si>
  <si>
    <t>🏥 Caisse Assurance</t>
  </si>
  <si>
    <t>🆘 Caisse Secours</t>
  </si>
  <si>
    <t>🌱 Caisse Développement</t>
  </si>
  <si>
    <t>💎 TOTAL GLOBAL</t>
  </si>
  <si>
    <t>🚨 ALERTES AUTOMATIQUES</t>
  </si>
  <si>
    <t>Type</t>
  </si>
  <si>
    <t>Message</t>
  </si>
  <si>
    <t>Statut</t>
  </si>
  <si>
    <t>💸 Solde bas</t>
  </si>
  <si>
    <t>⚠️ Solde critique détecté</t>
  </si>
  <si>
    <t>ATTENTION</t>
  </si>
  <si>
    <t>⏰ Retards paiement</t>
  </si>
  <si>
    <t>⚠ 6 projets en retard</t>
  </si>
  <si>
    <t>URGENT</t>
  </si>
  <si>
    <t>👤 Membres inactifs</t>
  </si>
  <si>
    <t>✓ Cotisations à jour</t>
  </si>
  <si>
    <t>OK</t>
  </si>
  <si>
    <t>📌 NOTE:</t>
  </si>
  <si>
    <t>Système entièrement automatisé - Toute modification dans les feuilles de détail met à jour automatiquement le tableau de bord</t>
  </si>
  <si>
    <t>💵 SUIVI HEBDOMADAIRE DES ENTRÉES</t>
  </si>
  <si>
    <t>Date</t>
  </si>
  <si>
    <t>Montant</t>
  </si>
  <si>
    <t>Source</t>
  </si>
  <si>
    <t>Contributeur</t>
  </si>
  <si>
    <t>Justificatif</t>
  </si>
  <si>
    <t>Validé par</t>
  </si>
  <si>
    <t>Observations</t>
  </si>
  <si>
    <t>15/01/2025</t>
  </si>
  <si>
    <t>Cotisation membre</t>
  </si>
  <si>
    <t>Sport</t>
  </si>
  <si>
    <t>Jean Dupont</t>
  </si>
  <si>
    <t>Oui</t>
  </si>
  <si>
    <t>Président</t>
  </si>
  <si>
    <t>Cotisation mensuelle</t>
  </si>
  <si>
    <t>16/01/2025</t>
  </si>
  <si>
    <t>Don</t>
  </si>
  <si>
    <t>Secours</t>
  </si>
  <si>
    <t>Marie Martin</t>
  </si>
  <si>
    <t>Trésorier</t>
  </si>
  <si>
    <t>Don exceptionnel</t>
  </si>
  <si>
    <t>17/01/2025</t>
  </si>
  <si>
    <t>Assurance</t>
  </si>
  <si>
    <t>Pierre Durand</t>
  </si>
  <si>
    <t>Non</t>
  </si>
  <si>
    <t>Secrétaire</t>
  </si>
  <si>
    <t>À régulariser</t>
  </si>
  <si>
    <t>18/01/2025</t>
  </si>
  <si>
    <t>Sponsoring</t>
  </si>
  <si>
    <t>Développement</t>
  </si>
  <si>
    <t>Entreprise ABC</t>
  </si>
  <si>
    <t>Partenariat annuel</t>
  </si>
  <si>
    <t>19/01/2025</t>
  </si>
  <si>
    <t>Ration</t>
  </si>
  <si>
    <t>Sophie Bernard</t>
  </si>
  <si>
    <t>TOTAL</t>
  </si>
  <si>
    <t>📊 RÉPARTITION PAR CAISSE</t>
  </si>
  <si>
    <t>Total</t>
  </si>
  <si>
    <t>Nombre</t>
  </si>
  <si>
    <t>%</t>
  </si>
  <si>
    <t>💸 SUIVI HEBDOMADAIRE DES SORTIES</t>
  </si>
  <si>
    <t>Motif</t>
  </si>
  <si>
    <t>Bénéficiaire</t>
  </si>
  <si>
    <t>Mode paiement</t>
  </si>
  <si>
    <t>Achat ballons</t>
  </si>
  <si>
    <t>Magasin Sport+</t>
  </si>
  <si>
    <t>Virement</t>
  </si>
  <si>
    <t>Payé</t>
  </si>
  <si>
    <t>Aide urgence médicale</t>
  </si>
  <si>
    <t>Paul Martin</t>
  </si>
  <si>
    <t>Espèces</t>
  </si>
  <si>
    <t>Achat denrées</t>
  </si>
  <si>
    <t>Supermarché ABC</t>
  </si>
  <si>
    <t>Chèque</t>
  </si>
  <si>
    <t>Prime assurance</t>
  </si>
  <si>
    <t>Assureur XYZ</t>
  </si>
  <si>
    <t>En attente</t>
  </si>
  <si>
    <t>Financement projet</t>
  </si>
  <si>
    <t>Groupe Jeunes</t>
  </si>
  <si>
    <t>Approuvé</t>
  </si>
  <si>
    <t>⚽ CAISSE SPORT</t>
  </si>
  <si>
    <t>Budget initial:</t>
  </si>
  <si>
    <t>Solde actuel:</t>
  </si>
  <si>
    <t>🏃 ACTIVITÉS ET ÉQUIPEMENTS</t>
  </si>
  <si>
    <t>Description</t>
  </si>
  <si>
    <t>Entrées</t>
  </si>
  <si>
    <t>Sorties</t>
  </si>
  <si>
    <t>Solde</t>
  </si>
  <si>
    <t>Responsable</t>
  </si>
  <si>
    <t>Achat ballons football</t>
  </si>
  <si>
    <t>Équipement</t>
  </si>
  <si>
    <t>Cotisation équipe A</t>
  </si>
  <si>
    <t>Cotisation</t>
  </si>
  <si>
    <t>Reçu</t>
  </si>
  <si>
    <t>Location terrain</t>
  </si>
  <si>
    <t>Location</t>
  </si>
  <si>
    <t>Tournoi - frais inscription</t>
  </si>
  <si>
    <t>Événement</t>
  </si>
  <si>
    <t>Coach</t>
  </si>
  <si>
    <t>Don sponsor local</t>
  </si>
  <si>
    <t>20/01/2025</t>
  </si>
  <si>
    <t>Maillots équipe</t>
  </si>
  <si>
    <t>Commandé</t>
  </si>
  <si>
    <t>TOTAUX</t>
  </si>
  <si>
    <t>📊 INDICATEURS</t>
  </si>
  <si>
    <t>Taux utilisation:</t>
  </si>
  <si>
    <t>Solde disponible:</t>
  </si>
  <si>
    <t>Caisse Ration</t>
  </si>
  <si>
    <t>🥘 DISTRIBUTIONS ET ACHATS</t>
  </si>
  <si>
    <t>Type ration</t>
  </si>
  <si>
    <t>Quantité</t>
  </si>
  <si>
    <t>Coût unitaire</t>
  </si>
  <si>
    <t>Montant total</t>
  </si>
  <si>
    <t>Bénéficiaires</t>
  </si>
  <si>
    <t>Nb personnes</t>
  </si>
  <si>
    <t>Riz</t>
  </si>
  <si>
    <t>Famille Dupont (5)</t>
  </si>
  <si>
    <t>Distribution mensuelle</t>
  </si>
  <si>
    <t>Huile</t>
  </si>
  <si>
    <t>Famille Martin (4)</t>
  </si>
  <si>
    <t>Sucre</t>
  </si>
  <si>
    <t>Famille Bernard (6)</t>
  </si>
  <si>
    <t>Farine</t>
  </si>
  <si>
    <t>Veuve Diallo</t>
  </si>
  <si>
    <t>Aide spéciale</t>
  </si>
  <si>
    <t>Conserves</t>
  </si>
  <si>
    <t>Famille Koné (3)</t>
  </si>
  <si>
    <t>Lait en poudre</t>
  </si>
  <si>
    <t>Orphelinat</t>
  </si>
  <si>
    <t>Don collectif</t>
  </si>
  <si>
    <t>Familles aidées:</t>
  </si>
  <si>
    <t>Coût moyen/famille:</t>
  </si>
  <si>
    <t>🏥 CAISSE ASSURANCE MEMBRES</t>
  </si>
  <si>
    <t>👨‍⚕️ MEMBRES ASSURÉS ET COTISATIONS</t>
  </si>
  <si>
    <t>N°</t>
  </si>
  <si>
    <t>Nom membre</t>
  </si>
  <si>
    <t>Type assurance</t>
  </si>
  <si>
    <t>Dernier paiement</t>
  </si>
  <si>
    <t>Statut paiement</t>
  </si>
  <si>
    <t>Couverture</t>
  </si>
  <si>
    <t>Dépenses prises</t>
  </si>
  <si>
    <t>Solde dû</t>
  </si>
  <si>
    <t>Santé complète</t>
  </si>
  <si>
    <t>Annuelle</t>
  </si>
  <si>
    <t>Actif</t>
  </si>
  <si>
    <t>Santé de base</t>
  </si>
  <si>
    <t>10/01/2025</t>
  </si>
  <si>
    <t>Mensuelle</t>
  </si>
  <si>
    <t>Accident</t>
  </si>
  <si>
    <t>20/12/2024</t>
  </si>
  <si>
    <t>En retard</t>
  </si>
  <si>
    <t>Trimestrielle</t>
  </si>
  <si>
    <t>Suspendu</t>
  </si>
  <si>
    <t>Paul Robert</t>
  </si>
  <si>
    <t>05/01/2025</t>
  </si>
  <si>
    <t>Membres assurés:</t>
  </si>
  <si>
    <t>Taux couverture:</t>
  </si>
  <si>
    <t>🆘 CAISSE SECOURS / AIDE D'URGENCE</t>
  </si>
  <si>
    <t>🤝 AIDES ACCORDÉES</t>
  </si>
  <si>
    <t>Motif aide</t>
  </si>
  <si>
    <t>Montant accordé</t>
  </si>
  <si>
    <t>Remboursable</t>
  </si>
  <si>
    <t>Date remb.</t>
  </si>
  <si>
    <t>Montant remb.</t>
  </si>
  <si>
    <t>Approuvé par</t>
  </si>
  <si>
    <t>Urgence médicale</t>
  </si>
  <si>
    <t>Complété</t>
  </si>
  <si>
    <t>Hospitalisation</t>
  </si>
  <si>
    <t>Famille Traoré</t>
  </si>
  <si>
    <t>Incendie maison</t>
  </si>
  <si>
    <t>Bureau</t>
  </si>
  <si>
    <t>Sinistre</t>
  </si>
  <si>
    <t>Veuve Coulibaly</t>
  </si>
  <si>
    <t>Décès conjoint</t>
  </si>
  <si>
    <t>Frais funéraires</t>
  </si>
  <si>
    <t>Jean Konaté</t>
  </si>
  <si>
    <t>Accident travail</t>
  </si>
  <si>
    <t>19/04/2025</t>
  </si>
  <si>
    <t>En cours</t>
  </si>
  <si>
    <t>Remb. 3 mois</t>
  </si>
  <si>
    <t>Marie Diop</t>
  </si>
  <si>
    <t>Maladie enfant</t>
  </si>
  <si>
    <t>Traitement</t>
  </si>
  <si>
    <t>Aides accordées:</t>
  </si>
  <si>
    <t>Montant moyen:</t>
  </si>
  <si>
    <t>🌱 CAISSE DÉVELOPPEMENT / PROJETS</t>
  </si>
  <si>
    <t>🚀 PROJETS FINANCÉS</t>
  </si>
  <si>
    <t>Nom projet</t>
  </si>
  <si>
    <t>Taux intérêt</t>
  </si>
  <si>
    <t>Durée (mois)</t>
  </si>
  <si>
    <t>Début</t>
  </si>
  <si>
    <t>Fin prévue</t>
  </si>
  <si>
    <t>Montant à rembourser</t>
  </si>
  <si>
    <t>Projet Maraîchage</t>
  </si>
  <si>
    <t>Groupe Agriculture</t>
  </si>
  <si>
    <t>01/01/2025</t>
  </si>
  <si>
    <t>01/07/2025</t>
  </si>
  <si>
    <t>Culture tomates</t>
  </si>
  <si>
    <t>Artisanat local</t>
  </si>
  <si>
    <t>Coopérative Femmes</t>
  </si>
  <si>
    <t>15/12/2024</t>
  </si>
  <si>
    <t>15/04/2025</t>
  </si>
  <si>
    <t>Tissage, couture</t>
  </si>
  <si>
    <t>Commerce détail</t>
  </si>
  <si>
    <t>Jeunes Entrepreneurs</t>
  </si>
  <si>
    <t>01/11/2024</t>
  </si>
  <si>
    <t>Boutique quartier</t>
  </si>
  <si>
    <t>Élevage poulets</t>
  </si>
  <si>
    <t>Ferme collective</t>
  </si>
  <si>
    <t>10/06/2025</t>
  </si>
  <si>
    <t>Démarré</t>
  </si>
  <si>
    <t>500 poulets</t>
  </si>
  <si>
    <t>Cyber café</t>
  </si>
  <si>
    <t>Association Tech</t>
  </si>
  <si>
    <t>20/07/2025</t>
  </si>
  <si>
    <t>10 ordinateurs</t>
  </si>
  <si>
    <t>Projets actifs:</t>
  </si>
  <si>
    <t>Rentabilité prévue:</t>
  </si>
  <si>
    <t>💳 SYSTÈME DE REMBOURSEMENTS - APPUI AUX PROJETS</t>
  </si>
  <si>
    <t>Taux d'intérêt standard:</t>
  </si>
  <si>
    <t>Date début</t>
  </si>
  <si>
    <t>Date fin</t>
  </si>
  <si>
    <t>Montant total dû</t>
  </si>
  <si>
    <t>Restant</t>
  </si>
  <si>
    <t>Retard</t>
  </si>
  <si>
    <t>📅 ÉCHÉANCIER DE REMBOURSEMENT</t>
  </si>
  <si>
    <t>Projet N°:</t>
  </si>
  <si>
    <t>Échéance</t>
  </si>
  <si>
    <t>Montant mensuel</t>
  </si>
  <si>
    <t>Capital</t>
  </si>
  <si>
    <t>Intérêt</t>
  </si>
  <si>
    <t>Solde restant</t>
  </si>
  <si>
    <t>👥 ÉTAT DES MEMBRES COTISANTS</t>
  </si>
  <si>
    <t>Nombre total membres:</t>
  </si>
  <si>
    <t>Membres à jour:</t>
  </si>
  <si>
    <t>En retard:</t>
  </si>
  <si>
    <t>Nom</t>
  </si>
  <si>
    <t>N° Adhérent</t>
  </si>
  <si>
    <t>Date adhésion</t>
  </si>
  <si>
    <t>Cotisation hebdo</t>
  </si>
  <si>
    <t>Dernière cotis.</t>
  </si>
  <si>
    <t>Total cotisé</t>
  </si>
  <si>
    <t>ADH001</t>
  </si>
  <si>
    <t>01/06/2024</t>
  </si>
  <si>
    <t>À jour</t>
  </si>
  <si>
    <t>Membre fondateur</t>
  </si>
  <si>
    <t>ADH002</t>
  </si>
  <si>
    <t>15/07/2024</t>
  </si>
  <si>
    <t>12/01/2025</t>
  </si>
  <si>
    <t>ADH003</t>
  </si>
  <si>
    <t>01/09/2024</t>
  </si>
  <si>
    <t>3 semaines retard</t>
  </si>
  <si>
    <t>ADH004</t>
  </si>
  <si>
    <t>01/10/2024</t>
  </si>
  <si>
    <t>ADH005</t>
  </si>
  <si>
    <t>15/11/2024</t>
  </si>
  <si>
    <t>14/01/2025</t>
  </si>
  <si>
    <t>Nouveau membre</t>
  </si>
  <si>
    <t>💰 TOTAL COTISATIONS</t>
  </si>
  <si>
    <t>📈 PLAN DE TRÉSORERIE MENSUEL</t>
  </si>
  <si>
    <t>Année:</t>
  </si>
  <si>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</si>
  <si>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</si>
  <si>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</si>
  <si>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</si>
  <si>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</si>
  <si>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</si>
  <si>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</si>
  <si>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</si>
  <si>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</si>
  <si>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</si>
  <si>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</si>
  <si>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</si>
  <si>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</si>
  <si>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📋 PRÉVISIONS</t>
  </si>
  <si>
    <t>Entrées prévues</t>
  </si>
  <si>
    <t>Sorties prévues</t>
  </si>
  <si>
    <t>Solde prévu</t>
  </si>
  <si>
    <t>✅ RÉEL</t>
  </si>
  <si>
    <t>Entrées réelles</t>
  </si>
  <si>
    <t>Sorties réelles</t>
  </si>
  <si>
    <t>Solde réel</t>
  </si>
  <si>
    <t>⚖️ ÉCART (Réel - Prévu)</t>
  </si>
  <si>
    <t>Écart entrées</t>
  </si>
  <si>
    <t>Écart sorties</t>
  </si>
  <si>
    <t>Écart solde</t>
  </si>
  <si>
    <t>📚 HISTORIQUE DES DÉCISIONS ET RÉUNIONS</t>
  </si>
  <si>
    <t>Date réunion</t>
  </si>
  <si>
    <t>Décisions prises</t>
  </si>
  <si>
    <t>Montants alloués</t>
  </si>
  <si>
    <t>Caisse concernée</t>
  </si>
  <si>
    <t>Membres présents</t>
  </si>
  <si>
    <t>Nb présents</t>
  </si>
  <si>
    <t>Actions effectuées</t>
  </si>
  <si>
    <t>PV disponible</t>
  </si>
  <si>
    <t>AG Ordinaire</t>
  </si>
  <si>
    <t>Budget annuel approuvé</t>
  </si>
  <si>
    <t>Toutes</t>
  </si>
  <si>
    <t>Bureau exécutif</t>
  </si>
  <si>
    <t>Budget réparti</t>
  </si>
  <si>
    <t>Exécuté</t>
  </si>
  <si>
    <t>Aide urgence membre malade</t>
  </si>
  <si>
    <t>Bureau restreint</t>
  </si>
  <si>
    <t>Versement effectué</t>
  </si>
  <si>
    <t>Commission Sport</t>
  </si>
  <si>
    <t>Achat équipements</t>
  </si>
  <si>
    <t>Commission sport</t>
  </si>
  <si>
    <t>Commande passée</t>
  </si>
  <si>
    <t>AG Extraordinaire</t>
  </si>
  <si>
    <t>Nouveau projet agriculture</t>
  </si>
  <si>
    <t>Tous membres</t>
  </si>
  <si>
    <t>Projet lancé</t>
  </si>
  <si>
    <t>💎 TOTAL DÉCISIONS FINANCIÈRES</t>
  </si>
  <si>
    <t>⚙️ PARAMÈTRES GÉNÉRAUX</t>
  </si>
  <si>
    <t>💰 BUDGETS INITIAUX</t>
  </si>
  <si>
    <t>Caisse Sport:</t>
  </si>
  <si>
    <t>Caisse Ration:</t>
  </si>
  <si>
    <t>Caisse Assurance:</t>
  </si>
  <si>
    <t>Caisse Secours:</t>
  </si>
  <si>
    <t>Caisse Développement:</t>
  </si>
  <si>
    <t>💎 TOTAL BUDGETS:</t>
  </si>
  <si>
    <t>📊 PRÉVISIONS MENSUELLES</t>
  </si>
  <si>
    <t>Entrées prévues:</t>
  </si>
  <si>
    <t>Sorties prévues:</t>
  </si>
  <si>
    <t>📐 TAUX ET SEUILS</t>
  </si>
  <si>
    <t>Taux intérêt standard:</t>
  </si>
  <si>
    <t>Seuil alerte solde:</t>
  </si>
  <si>
    <t>Mois par année: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</si>
</sst>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93" formatCode="dd/mm/yyyy"/>
    <numFmt numFmtId="18094" formatCode="#,##0 &quot; FCFA&quot;"/>
  </numFmts>
  <fonts count="11">
    <font>
      <b val="0"/>
      <i val="0"/>
      <sz val="12"/>
      <color theme="1"/>
      <name val="Aptos Narrow"/>
      <scheme val="minor"/>
    </font>
    <font>
      <b/>
      <sz val="14"/>
      <color rgb="FFFFFFFF"/>
      <name val="Aptos Narrow"/>
    </font>
    <font>
      <i/>
      <sz val="11"/>
      <color rgb="FF003366"/>
      <name val="Aptos Narrow"/>
    </font>
    <font>
      <name val="Calibri"/>
      <scheme val="minor"/>
    </font>
    <font>
      <b/>
      <sz val="11"/>
      <color rgb="FFFFFFFF"/>
      <name val="Aptos Narrow"/>
    </font>
    <font>
      <b/>
      <sz val="10"/>
      <name val="Aptos Narrow"/>
    </font>
    <font>
      <b/>
      <sz val="11"/>
      <name val="Aptos Narrow"/>
    </font>
    <font>
      <color rgb="FF1B5E20"/>
      <name val="Calibri"/>
      <scheme val="minor"/>
    </font>
    <font>
      <i/>
      <sz val="10"/>
      <color rgb="FF666666"/>
      <name val="Aptos Narrow"/>
    </font>
    <font>
      <b/>
      <sz val="12"/>
      <color rgb="FFFFFFFF"/>
      <name val="Aptos Narrow"/>
    </font>
    <font>
      <b/>
      <sz val="10"/>
      <color rgb="FFFFFFFF"/>
      <name val="Aptos Narrow"/>
    </font>
  </fonts>
  <fills count="28">
    <fill>
      <patternFill patternType="none"/>
    </fill>
    <fill>
      <patternFill patternType="gray125"/>
    </fill>
    <fill>
      <patternFill patternType="solid">
        <fgColor rgb="FF003366"/>
      </patternFill>
    </fill>
    <fill>
      <patternFill patternType="solid">
        <fgColor rgb="FF4472C4"/>
      </patternFill>
    </fill>
    <fill>
      <patternFill patternType="solid">
        <fgColor rgb="FFE7E6E6"/>
      </patternFill>
    </fill>
    <fill>
      <patternFill patternType="solid">
        <fgColor rgb="FFC00000"/>
      </patternFill>
    </fill>
    <fill>
      <patternFill patternType="solid">
        <fgColor rgb="FFC8E6C9"/>
      </patternFill>
    </fill>
    <fill>
      <patternFill patternType="solid">
        <fgColor rgb="FF2E7D32"/>
      </patternFill>
    </fill>
    <fill>
      <patternFill patternType="solid">
        <fgColor rgb="FFC5E1A5"/>
      </patternFill>
    </fill>
    <fill>
      <patternFill patternType="solid">
        <fgColor rgb="FF4CAF50"/>
      </patternFill>
    </fill>
    <fill>
      <patternFill patternType="solid">
        <fgColor rgb="FFB71C1C"/>
      </patternFill>
    </fill>
    <fill>
      <patternFill patternType="solid">
        <fgColor rgb="FFFFCDD2"/>
      </patternFill>
    </fill>
    <fill>
      <patternFill patternType="solid">
        <fgColor rgb="FFC62828"/>
      </patternFill>
    </fill>
    <fill>
      <patternFill patternType="solid">
        <fgColor rgb="FF1565C0"/>
      </patternFill>
    </fill>
    <fill>
      <patternFill patternType="solid">
        <fgColor rgb="FFE3F2FD"/>
      </patternFill>
    </fill>
    <fill>
      <patternFill patternType="solid">
        <fgColor rgb="FFFF6F00"/>
      </patternFill>
    </fill>
    <fill>
      <patternFill patternType="solid">
        <fgColor rgb="FFFFE0B2"/>
      </patternFill>
    </fill>
    <fill>
      <patternFill patternType="solid">
        <fgColor rgb="FFE65100"/>
      </patternFill>
    </fill>
    <fill>
      <patternFill patternType="solid">
        <fgColor rgb="FF6A1B9A"/>
      </patternFill>
    </fill>
    <fill>
      <patternFill patternType="solid">
        <fgColor rgb="FFE1BEE7"/>
      </patternFill>
    </fill>
    <fill>
      <patternFill patternType="solid">
        <fgColor rgb="FF00695C"/>
      </patternFill>
    </fill>
    <fill>
      <patternFill patternType="solid">
        <fgColor rgb="FFB2DFDB"/>
      </patternFill>
    </fill>
    <fill>
      <patternFill patternType="solid">
        <fgColor rgb="FF004D40"/>
      </patternFill>
    </fill>
    <fill>
      <patternFill patternType="solid">
        <fgColor rgb="FFBF360C"/>
      </patternFill>
    </fill>
    <fill>
      <patternFill patternType="solid">
        <fgColor rgb="FF424242"/>
      </patternFill>
    </fill>
    <fill>
      <patternFill patternType="solid">
        <fgColor rgb="FFE0E0E0"/>
      </patternFill>
    </fill>
    <fill>
      <patternFill patternType="solid">
        <fgColor rgb="FF263238"/>
      </patternFill>
    </fill>
    <fill>
      <patternFill patternType="solid">
        <fgColor rgb="FF37474F"/>
      </patternFill>
    </fill>
  </fills>
  <borders count="5">
    <border>
      <left/>
      <right/>
      <top/>
      <bottom/>
    </border>
    <border>
      <left/>
      <right/>
      <top/>
      <bottom/>
      <diagonal/>
    </border>
    <border>
      <top style="thin">
        <color rgb="FF000000"/>
      </top>
    </border>
    <border>
      <bottom style="thin">
        <color rgb="FF000000"/>
      </bottom>
    </border>
    <border>
      <top style="medium">
        <color rgb="FF000000"/>
      </top>
    </border>
  </borders>
  <cellStyleXfs count="1">
    <xf numFmtId="0" fontId="0" fillId="0" borderId="1"/>
  </cellStyleXfs>
  <cellXfs count="46">
    <xf numFmtId="0" fontId="0" fillId="0" borderId="1" xfId="0"/>
    <xf numFmtId="0" fontId="1" fillId="2" borderId="0" xfId="0">
      <alignment horizontal="center" vertical="top"/>
    </xf>
    <xf numFmtId="0" fontId="2" fillId="0" borderId="0" xfId="0">
      <alignment horizontal="center" vertical="top"/>
    </xf>
    <xf numFmtId="18093" fontId="3" fillId="0" borderId="0" xfId="0">
      <alignment vertical="top"/>
    </xf>
    <xf numFmtId="0" fontId="4" fillId="3" borderId="0" xfId="0">
      <alignment horizontal="center" vertical="top"/>
    </xf>
    <xf numFmtId="0" fontId="5" fillId="4" borderId="0" xfId="0">
      <alignment vertical="top"/>
    </xf>
    <xf numFmtId="3" fontId="3" fillId="0" borderId="0" xfId="0">
      <alignment vertical="top"/>
    </xf>
    <xf numFmtId="18094" fontId="3" fillId="0" borderId="0" xfId="0">
      <alignment vertical="top"/>
    </xf>
    <xf numFmtId="10" fontId="3" fillId="0" borderId="0" xfId="0">
      <alignment vertical="top"/>
    </xf>
    <xf numFmtId="4" fontId="3" fillId="0" borderId="0" xfId="0">
      <alignment vertical="top"/>
    </xf>
    <xf numFmtId="0" fontId="6" fillId="0" borderId="2" xfId="0">
      <alignment vertical="top"/>
    </xf>
    <xf numFmtId="18094" fontId="6" fillId="0" borderId="2" xfId="0">
      <alignment vertical="top"/>
    </xf>
    <xf numFmtId="0" fontId="4" fillId="5" borderId="0" xfId="0">
      <alignment horizontal="center" vertical="top"/>
    </xf>
    <xf numFmtId="0" fontId="7" fillId="6" borderId="0" xfId="0">
      <alignment vertical="top"/>
    </xf>
    <xf numFmtId="0" fontId="8" fillId="0" borderId="0" xfId="0">
      <alignment vertical="top"/>
    </xf>
    <xf numFmtId="0" fontId="9" fillId="7" borderId="0" xfId="0">
      <alignment horizontal="center" vertical="top"/>
    </xf>
    <xf numFmtId="0" fontId="5" fillId="8" borderId="3" xfId="0">
      <alignment horizontal="center" vertical="top"/>
    </xf>
    <xf numFmtId="0" fontId="6" fillId="0" borderId="4" xfId="0">
      <alignment vertical="top"/>
    </xf>
    <xf numFmtId="18094" fontId="6" fillId="0" borderId="4" xfId="0">
      <alignment vertical="top"/>
    </xf>
    <xf numFmtId="0" fontId="10" fillId="9" borderId="0" xfId="0">
      <alignment vertical="top"/>
    </xf>
    <xf numFmtId="0" fontId="9" fillId="10" borderId="0" xfId="0">
      <alignment horizontal="center" vertical="top"/>
    </xf>
    <xf numFmtId="0" fontId="5" fillId="11" borderId="3" xfId="0">
      <alignment horizontal="center" vertical="top"/>
    </xf>
    <xf numFmtId="0" fontId="10" fillId="12" borderId="0" xfId="0">
      <alignment vertical="top"/>
    </xf>
    <xf numFmtId="0" fontId="4" fillId="13" borderId="0" xfId="0">
      <alignment horizontal="center" vertical="top"/>
    </xf>
    <xf numFmtId="0" fontId="5" fillId="14" borderId="3" xfId="0">
      <alignment vertical="top"/>
    </xf>
    <xf numFmtId="0" fontId="4" fillId="13" borderId="0" xfId="0">
      <alignment horizontal="center" vertical="top"/>
    </xf>
    <xf numFmtId="3" fontId="6" fillId="0" borderId="4" xfId="0">
      <alignment vertical="top"/>
    </xf>
    <xf numFmtId="0" fontId="4" fillId="12" borderId="0" xfId="0">
      <alignment horizontal="center" vertical="top"/>
    </xf>
    <xf numFmtId="0" fontId="4" fillId="7" borderId="0" xfId="0">
      <alignment horizontal="center" vertical="top"/>
    </xf>
    <xf numFmtId="0" fontId="9" fillId="15" borderId="0" xfId="0">
      <alignment horizontal="center" vertical="top"/>
    </xf>
    <xf numFmtId="0" fontId="5" fillId="16" borderId="3" xfId="0">
      <alignment horizontal="center" vertical="top"/>
    </xf>
    <xf numFmtId="0" fontId="4" fillId="17" borderId="0" xfId="0">
      <alignment vertical="top"/>
    </xf>
    <xf numFmtId="0" fontId="9" fillId="18" borderId="0" xfId="0">
      <alignment horizontal="center" vertical="top"/>
    </xf>
    <xf numFmtId="0" fontId="5" fillId="19" borderId="0" xfId="0">
      <alignment horizontal="center" vertical="top"/>
    </xf>
    <xf numFmtId="0" fontId="9" fillId="20" borderId="0" xfId="0">
      <alignment horizontal="center" vertical="top"/>
    </xf>
    <xf numFmtId="0" fontId="5" fillId="21" borderId="0" xfId="0">
      <alignment horizontal="center" vertical="top"/>
    </xf>
    <xf numFmtId="0" fontId="10" fillId="22" borderId="0" xfId="0">
      <alignment vertical="top"/>
    </xf>
    <xf numFmtId="18094" fontId="10" fillId="22" borderId="0" xfId="0">
      <alignment vertical="top"/>
    </xf>
    <xf numFmtId="0" fontId="10" fillId="23" borderId="0" xfId="0">
      <alignment vertical="top"/>
    </xf>
    <xf numFmtId="18094" fontId="10" fillId="23" borderId="0" xfId="0">
      <alignment vertical="top"/>
    </xf>
    <xf numFmtId="0" fontId="9" fillId="24" borderId="0" xfId="0">
      <alignment horizontal="center" vertical="top"/>
    </xf>
    <xf numFmtId="0" fontId="5" fillId="25" borderId="0" xfId="0">
      <alignment horizontal="center" vertical="top"/>
    </xf>
    <xf numFmtId="0" fontId="9" fillId="26" borderId="0" xfId="0">
      <alignment horizontal="center" vertical="top"/>
    </xf>
    <xf numFmtId="0" fontId="10" fillId="27" borderId="0" xfId="0">
      <alignment vertical="top"/>
    </xf>
    <xf numFmtId="0" fontId="5" fillId="0" borderId="4" xfId="0">
      <alignment vertical="top"/>
    </xf>
    <xf numFmtId="18094" fontId="5" fillId="0" borderId="4" xfId="0">
      <alignment vertical="top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sharedStrings" Target="sharedStrings.xml"/><Relationship Id="rId15" Type="http://schemas.openxmlformats.org/officeDocument/2006/relationships/styles" Target="styles.xml"/><Relationship Id="rId16" Type="http://schemas.openxmlformats.org/officeDocument/2006/relationships/theme" Target="theme/theme1.xml"/><Relationship Id="rId1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Répartition des Soldes par Caisse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doughnutChart chartType="12">
        <c:ser seriesType="3">
          <c:dPt>
            <c:idx val="0"/>
            <c:invertIfNegative val="0"/>
            <c:spPr>
              <a:solidFill>
                <a:schemeClr val="accent1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1"/>
            <c:invertIfNegative val="0"/>
            <c:spPr>
              <a:solidFill>
                <a:schemeClr val="accent2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2"/>
            <c:invertIfNegative val="0"/>
            <c:spPr>
              <a:solidFill>
                <a:schemeClr val="accent3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3"/>
            <c:invertIfNegative val="0"/>
            <c:spPr>
              <a:solidFill>
                <a:schemeClr val="accent4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dPt>
            <c:idx val="4"/>
            <c:invertIfNegative val="0"/>
            <c:spPr>
              <a:solidFill>
                <a:schemeClr val="accent5"/>
              </a:solidFill>
              <a:ln w="19050">
                <a:solidFill>
                  <a:srgbClr val="ffffff"/>
                </a:solidFill>
                <a:prstDash val="solid"/>
              </a:ln>
            </c:spPr>
            <c:marker>
              <c:spPr/>
              <c:size val="5"/>
              <c:symbol val="none"/>
            </c:marker>
          </c:dPt>
          <c:idx val="0"/>
          <c:order val="0"/>
          <c:spPr>
            <a:ln w="19050">
              <a:solidFill>
                <a:srgbClr val="ffffff"/>
              </a:solidFill>
            </a:ln>
          </c:spPr>
          <c:cat>
            <c:strRef>
              <c:f>'Tableau de bord'!$B$9:$B$13</c:f>
            </c:strRef>
          </c:cat>
          <c:val>
            <c:numRef>
              <c:f>'Tableau de bord'!$C$9:$C$13</c:f>
              <c:numCache>
                <c:formatCode>#,##0 " FCFA"</c:formatCode>
              </c:numCache>
            </c:numRef>
          </c:val>
          <c:dLbls>
            <c:spPr>
              <a:noFill/>
              <a:ln>
                <a:noFill/>
              </a:ln>
            </c:spPr>
            <c:showLeaderLines val="0"/>
            <c:showBubbleSize val="0"/>
            <c:showLegendKey val="0"/>
            <c:showPercent val="0"/>
            <c:showCatName val="0"/>
            <c:showSerName val="0"/>
            <c:showVal val="0"/>
            <c:separator>, 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xtLst/>
          <c:explosion val="0"/>
        </c:ser>
        <c:varyColors val="1"/>
        <c:firstSliceAng val="0"/>
        <c:holeSize val="75"/>
      </c:doughnutChart>
      <c:spPr>
        <a:noFill/>
        <a:ln>
          <a:noFill/>
        </a:ln>
      </c:spPr>
    </c:plotArea>
    <c:legend>
      <c:legendPos val="r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hart2.xml><?xml version="1.0" encoding="utf-8"?>
<c:chartSpace xmlns:a="http://schemas.openxmlformats.org/drawingml/2006/main" xmlns:r="http://schemas.openxmlformats.org/officeDocument/2006/relationships" xmlns:c="http://schemas.openxmlformats.org/drawingml/2006/chart" xmlns:c16r2="http://schemas.microsoft.com/office/drawing/2015/06/chart">
  <c:roundedCorners val="0"/>
  <c:chart>
    <c:title>
      <c:tx>
        <c:rich>
          <a:bodyPr/>
          <a:p>
            <a:pPr>
              <a:defRPr sz="1050" b="0">
                <a:solidFill>
                  <a:srgbClr val="333333"/>
                </a:solidFill>
                <a:latin typeface="Arial"/>
              </a:defRPr>
            </a:pPr>
            <a:r>
              <a:rPr sz="1050" b="0">
                <a:solidFill>
                  <a:srgbClr val="333333"/>
                </a:solidFill>
                <a:latin typeface="Arial"/>
              </a:rPr>
              <a:t>Entrées vs Sorties par Caisse</a:t>
            </a:r>
            <a:endParaRPr/>
          </a:p>
        </c:rich>
      </c:tx>
      <c:overlay val="0"/>
      <c:spPr>
        <a:noFill/>
        <a:ln>
          <a:noFill/>
        </a:ln>
      </c:spPr>
    </c:title>
    <c:autoTitleDeleted val="0"/>
    <c:plotArea>
      <c:barChart chartType="6">
        <c:ser seriesType="0">
          <c:idx val="0"/>
          <c:order val="0"/>
          <c:tx>
            <c:strRef>
              <c:f>'Tableau de bord'!$C$8</c:f>
            </c:strRef>
          </c:tx>
          <c:spPr>
            <a:solidFill>
              <a:schemeClr val="accent1"/>
            </a:solidFill>
          </c:spPr>
          <c:cat>
            <c:strRef>
              <c:f>'Tableau de bord'!$B$9:$B$13</c:f>
            </c:strRef>
          </c:cat>
          <c:val>
            <c:numRef>
              <c:f>'Tableau de bord'!$C$9:$C$13</c:f>
              <c:numCache>
                <c:formatCode>#,##0 " FCFA"</c:formatCode>
              </c:numCache>
            </c:numRef>
          </c:val>
          <c:extLst/>
          <c:invertIfNegative val="0"/>
        </c:ser>
        <c:ser seriesType="0">
          <c:idx val="1"/>
          <c:order val="1"/>
          <c:tx>
            <c:strRef>
              <c:f>'Tableau de bord'!$D$8</c:f>
            </c:strRef>
          </c:tx>
          <c:spPr>
            <a:solidFill>
              <a:schemeClr val="accent2"/>
            </a:solidFill>
          </c:spPr>
          <c:cat>
            <c:strRef>
              <c:f>'Tableau de bord'!$B$9:$B$13</c:f>
            </c:strRef>
          </c:cat>
          <c:val>
            <c:numRef>
              <c:f>'Tableau de bord'!$D$9:$D$13</c:f>
              <c:numCache>
                <c:formatCode>#,##0 " FCFA"</c:formatCode>
              </c:numCache>
            </c:numRef>
          </c:val>
          <c:extLst/>
          <c:invertIfNegative val="0"/>
        </c:ser>
        <c:ser seriesType="0">
          <c:idx val="2"/>
          <c:order val="2"/>
          <c:tx>
            <c:strRef>
              <c:f>'Tableau de bord'!$E$8</c:f>
            </c:strRef>
          </c:tx>
          <c:spPr>
            <a:solidFill>
              <a:schemeClr val="accent3"/>
            </a:solidFill>
          </c:spPr>
          <c:cat>
            <c:strRef>
              <c:f>'Tableau de bord'!$B$9:$B$13</c:f>
            </c:strRef>
          </c:cat>
          <c:val>
            <c:numRef>
              <c:f>'Tableau de bord'!$E$9:$E$13</c:f>
              <c:numCache>
                <c:formatCode>#,##0 " FCFA"</c:formatCode>
              </c:numCache>
            </c:numRef>
          </c:val>
          <c:extLst/>
          <c:invertIfNegative val="0"/>
        </c:ser>
        <c:axId val="91598998"/>
        <c:axId val="32437184"/>
        <c:barDir val="col"/>
        <c:grouping val="clustered"/>
        <c:gapWidth val="150"/>
        <c:varyColors val="0"/>
        <c:overlap val="-27"/>
      </c:barChart>
      <c:catAx axisType="0">
        <c:axId val="91598998"/>
        <c:delete val="0"/>
        <c:majorTickMark val="none"/>
        <c:minorTickMark val="none"/>
        <c:tickLblPos val="nextTo"/>
        <c:axPos val="b"/>
        <c:scaling>
          <c:orientation val="minMax"/>
        </c:scaling>
        <c:spPr>
          <a:ln>
            <a:solidFill>
              <a:schemeClr val="tx1">
                <a:lumMod val="15000"/>
                <a:lumOff val="85000"/>
              </a:schemeClr>
            </a:solidFill>
          </a:ln>
        </c:spPr>
        <c:numFmt formatCode="General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auto val="1"/>
        <c:lblOffset val="0"/>
        <c:tickMarkSkip val="1"/>
        <c:noMultiLvlLbl val="1"/>
        <c:crosses val="autoZero"/>
        <c:crossAx val="32437184"/>
      </c:catAx>
      <c:valAx axisType="3">
        <c:axId val="32437184"/>
        <c:delete val="0"/>
        <c:majorTickMark val="none"/>
        <c:minorTickMark val="none"/>
        <c:tickLblPos val="nextTo"/>
        <c:axPos val="l"/>
        <c:scaling>
          <c:orientation val="minMax"/>
        </c:scaling>
        <c:spPr>
          <a:ln>
            <a:solidFill>
              <a:schemeClr val="tx1">
                <a:lumMod val="15000"/>
                <a:lumOff val="85000"/>
              </a:schemeClr>
            </a:solidFill>
          </a:ln>
        </c:spPr>
        <c:numFmt formatCode="#,##0 &quot; FCFA&quot;"/>
        <c:txPr>
          <a:bodyPr/>
          <a:p>
            <a:pPr>
              <a:def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defRPr>
            </a:pPr>
            <a:r>
              <a:rPr sz="900" b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</a:rPr>
              <a:t/>
            </a:r>
            <a:endParaRPr/>
          </a:p>
        </c:txPr>
        <c:majorGridlines>
          <c:spPr>
            <a:ln w="9525">
              <a:solidFill>
                <a:srgbClr val="d9d9d9"/>
              </a:solidFill>
            </a:ln>
          </c:spPr>
        </c:majorGridlines>
        <c:crosses val="autoZero"/>
        <c:crossBetween val="between"/>
        <c:crossAx val="91598998"/>
      </c:valAx>
      <c:spPr>
        <a:noFill/>
        <a:ln>
          <a:noFill/>
        </a:ln>
      </c:spPr>
    </c:plotArea>
    <c:legend>
      <c:legendPos val="b"/>
      <c:overlay val="0"/>
      <c:spPr>
        <a:noFill/>
      </c:spPr>
      <c:txPr>
        <a:bodyPr/>
        <a:p>
          <a:pPr>
            <a:def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defRPr>
          </a:pPr>
          <a:r>
            <a:rPr sz="750" b="0">
              <a:solidFill>
                <a:schemeClr val="tx1">
                  <a:lumMod val="65000"/>
                  <a:lumOff val="35000"/>
                </a:schemeClr>
              </a:solidFill>
              <a:latin typeface="Arial"/>
            </a:rPr>
            <a:t/>
          </a:r>
          <a:endParaRPr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0"/>
        </c16r3:dataDisplayOptions16>
      </c:ext>
    </c:extLst>
  </c:chart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4"/>
    </mc:Fallback>
  </mc:AlternateContent>
  <c:spPr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txPr>
    <a:bodyPr/>
    <a:p>
      <a:pPr>
        <a:defRPr b="0">
          <a:solidFill>
            <a:schemeClr val="tx1">
              <a:lumMod val="65000"/>
              <a:lumOff val="35000"/>
            </a:schemeClr>
          </a:solidFill>
          <a:latin typeface="+mn-lt"/>
        </a:defRPr>
      </a:pPr>
      <a:r>
        <a:rPr b="0">
          <a:solidFill>
            <a:schemeClr val="tx1">
              <a:lumMod val="65000"/>
              <a:lumOff val="35000"/>
            </a:schemeClr>
          </a:solidFill>
          <a:latin typeface="+mn-lt"/>
        </a:rPr>
        <a:t/>
      </a:r>
      <a:endParaRPr/>
    </a:p>
  </c:txPr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colors2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a:schemeClr val="accent1">
    <a:lumMod val="60000"/>
  </a:schemeClr>
  <a:schemeClr val="accent2">
    <a:lumMod val="60000"/>
  </a:schemeClr>
  <a:schemeClr val="accent3">
    <a:lumMod val="60000"/>
  </a:schemeClr>
  <a:schemeClr val="accent4">
    <a:lumMod val="60000"/>
  </a:schemeClr>
  <a:schemeClr val="accent5">
    <a:lumMod val="60000"/>
  </a:schemeClr>
  <a:schemeClr val="accent6">
    <a:lumMod val="60000"/>
  </a:schemeClr>
  <a:schemeClr val="accent1">
    <a:lumMod val="80000"/>
    <a:lumOff val="20000"/>
  </a:schemeClr>
  <a:schemeClr val="accent2">
    <a:lumMod val="80000"/>
    <a:lumOff val="20000"/>
  </a:schemeClr>
  <a:schemeClr val="accent3">
    <a:lumMod val="80000"/>
    <a:lumOff val="20000"/>
  </a:schemeClr>
  <a:schemeClr val="accent4">
    <a:lumMod val="80000"/>
    <a:lumOff val="20000"/>
  </a:schemeClr>
  <a:schemeClr val="accent5">
    <a:lumMod val="80000"/>
    <a:lumOff val="20000"/>
  </a:schemeClr>
  <a:schemeClr val="accent6">
    <a:lumMod val="80000"/>
    <a:lumOff val="20000"/>
  </a:schemeClr>
  <a:schemeClr val="accent1">
    <a:lumMod val="80000"/>
  </a:schemeClr>
  <a:schemeClr val="accent2">
    <a:lumMod val="80000"/>
  </a:schemeClr>
  <a:schemeClr val="accent3">
    <a:lumMod val="80000"/>
  </a:schemeClr>
  <a:schemeClr val="accent4">
    <a:lumMod val="80000"/>
  </a:schemeClr>
  <a:schemeClr val="accent5">
    <a:lumMod val="80000"/>
  </a:schemeClr>
  <a:schemeClr val="accent6">
    <a:lumMod val="80000"/>
  </a:schemeClr>
  <a:schemeClr val="accent1">
    <a:lumMod val="60000"/>
    <a:lumOff val="40000"/>
  </a:schemeClr>
  <a:schemeClr val="accent2">
    <a:lumMod val="60000"/>
    <a:lumOff val="40000"/>
  </a:schemeClr>
  <a:schemeClr val="accent3">
    <a:lumMod val="60000"/>
    <a:lumOff val="40000"/>
  </a:schemeClr>
  <a:schemeClr val="accent4">
    <a:lumMod val="60000"/>
    <a:lumOff val="40000"/>
  </a:schemeClr>
  <a:schemeClr val="accent5">
    <a:lumMod val="60000"/>
    <a:lumOff val="40000"/>
  </a:schemeClr>
  <a:schemeClr val="accent6">
    <a:lumMod val="60000"/>
    <a:lumOff val="40000"/>
  </a:schemeClr>
  <a:schemeClr val="accent1">
    <a:lumMod val="50000"/>
  </a:schemeClr>
  <a:schemeClr val="accent2">
    <a:lumMod val="50000"/>
  </a:schemeClr>
  <a:schemeClr val="accent3">
    <a:lumMod val="50000"/>
  </a:schemeClr>
  <a:schemeClr val="accent4">
    <a:lumMod val="50000"/>
  </a:schemeClr>
  <a:schemeClr val="accent5">
    <a:lumMod val="50000"/>
  </a:schemeClr>
  <a:schemeClr val="accent6">
    <a:lumMod val="50000"/>
  </a:schemeClr>
  <a:schemeClr val="accent1">
    <a:lumMod val="70000"/>
    <a:lumOff val="30000"/>
  </a:schemeClr>
  <a:schemeClr val="accent2">
    <a:lumMod val="70000"/>
    <a:lumOff val="30000"/>
  </a:schemeClr>
  <a:schemeClr val="accent3">
    <a:lumMod val="70000"/>
    <a:lumOff val="30000"/>
  </a:schemeClr>
  <a:schemeClr val="accent4">
    <a:lumMod val="70000"/>
    <a:lumOff val="30000"/>
  </a:schemeClr>
  <a:schemeClr val="accent5">
    <a:lumMod val="70000"/>
    <a:lumOff val="30000"/>
  </a:schemeClr>
  <a:schemeClr val="accent6">
    <a:lumMod val="70000"/>
    <a:lumOff val="30000"/>
  </a:schemeClr>
  <a:schemeClr val="accent1">
    <a:lumMod val="70000"/>
  </a:schemeClr>
  <a:schemeClr val="accent2">
    <a:lumMod val="70000"/>
  </a:schemeClr>
  <a:schemeClr val="accent3">
    <a:lumMod val="70000"/>
  </a:schemeClr>
  <a:schemeClr val="accent4">
    <a:lumMod val="70000"/>
  </a:schemeClr>
  <a:schemeClr val="accent5">
    <a:lumMod val="70000"/>
  </a:schemeClr>
  <a:schemeClr val="accent6">
    <a:lumMod val="70000"/>
  </a:schemeClr>
  <a:schemeClr val="accent1">
    <a:lumMod val="50000"/>
    <a:lumOff val="50000"/>
  </a:schemeClr>
  <a:schemeClr val="accent2">
    <a:lumMod val="50000"/>
    <a:lumOff val="50000"/>
  </a:schemeClr>
  <a:schemeClr val="accent3">
    <a:lumMod val="50000"/>
    <a:lumOff val="50000"/>
  </a:schemeClr>
  <a:schemeClr val="accent4">
    <a:lumMod val="50000"/>
    <a:lumOff val="50000"/>
  </a:schemeClr>
  <a:schemeClr val="accent5">
    <a:lumMod val="50000"/>
    <a:lumOff val="50000"/>
  </a:schemeClr>
  <a:schemeClr val="accent6">
    <a:lumMod val="50000"/>
    <a:lumOff val="50000"/>
  </a:schemeClr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57150</xdr:rowOff>
    </xdr:from>
    <xdr:to>
      <xdr:col>4</xdr:col>
      <xdr:colOff>666750</xdr:colOff>
      <xdr:row>34</xdr:row>
      <xdr:rowOff>133350</xdr:rowOff>
    </xdr:to>
    <xdr:graphicFrame>
      <xdr:nvGraphicFramePr>
        <xdr:cNvPr id="2" name="Repartition_Caisses"/>
        <xdr:cNvGraphicFramePr>
          <a:graphicFrameLocks noChangeAspect="0"/>
        </xdr:cNvGraphicFramePr>
      </xdr:nvGraphicFramePr>
      <xdr:xfrm>
        <a:off x="0" y="4000500"/>
        <a:ext cx="45720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857250</xdr:colOff>
      <xdr:row>20</xdr:row>
      <xdr:rowOff>57150</xdr:rowOff>
    </xdr:from>
    <xdr:to>
      <xdr:col>10</xdr:col>
      <xdr:colOff>95250</xdr:colOff>
      <xdr:row>34</xdr:row>
      <xdr:rowOff>133350</xdr:rowOff>
    </xdr:to>
    <xdr:graphicFrame>
      <xdr:nvGraphicFramePr>
        <xdr:cNvPr id="3" name="Entrees_Sorties"/>
        <xdr:cNvGraphicFramePr>
          <a:graphicFrameLocks noChangeAspect="0"/>
        </xdr:cNvGraphicFramePr>
      </xdr:nvGraphicFramePr>
      <xdr:xfrm>
        <a:off x="4762500" y="4000500"/>
        <a:ext cx="45720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C5BABB8-0F87-1088-8A5B-7B1B67988A24}" mc:Ignorable="x14ac xr xr2 xr3">
  <dimension ref="A1:GR50000"/>
  <sheetViews>
    <sheetView showGridLines="0" topLeftCell="A1" workbookViewId="0" tabSelected="1">
      <selection activeCell="C9" sqref="C9"/>
    </sheetView>
  </sheetViews>
  <sheetFormatPr defaultRowHeight="15" defaultColWidth="7.75390625" customHeight="1"/>
  <cols>
    <col min="1" max="1" width="2.50390625" customWidth="1"/>
    <col min="2" max="2" width="18.75390625" customWidth="1"/>
    <col min="3" max="5" width="15.00390625" customWidth="1"/>
    <col min="6" max="6" width="2.50390625" customWidth="1"/>
    <col min="7" max="7" width="18.75390625" customWidth="1"/>
    <col min="8" max="8" width="12.50390625" customWidth="1"/>
    <col min="9" max="9" width="2.50390625" customWidth="1"/>
    <col min="10" max="10" width="18.75390625" customWidth="1"/>
    <col min="11" max="11" width="15.00390625" customWidth="1"/>
  </cols>
  <sheetData>
    <row r="2" ht="18.75" customHeight="1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</row>
    <row r="3" ht="15" customHeight="1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5" ht="15.75" customHeight="1">
      <c r="B5" t="s">
        <v>2</v>
      </c>
      <c r="C5" s="3">
        <f>TODAY()</f>
        <v>45915</v>
      </c>
    </row>
    <row r="7" ht="15" customHeight="1">
      <c r="B7" s="4" t="s">
        <v>3</v>
      </c>
      <c r="C7" s="4"/>
      <c r="D7" s="4"/>
      <c r="E7" s="4"/>
      <c r="G7" s="4" t="s">
        <v>4</v>
      </c>
      <c r="H7" s="4"/>
      <c r="I7" s="4"/>
      <c r="J7" s="4"/>
      <c r="K7" s="4"/>
    </row>
    <row r="8" ht="15.75" customHeight="1">
      <c r="B8" s="5" t="s">
        <v>5</v>
      </c>
      <c r="C8" s="5" t="s">
        <v>6</v>
      </c>
      <c r="D8" s="5" t="s">
        <v>7</v>
      </c>
      <c r="E8" s="5" t="s">
        <v>8</v>
      </c>
      <c r="G8" t="s">
        <v>9</v>
      </c>
      <c r="H8" s="6">
        <f>COUNTIF('Membres cotisants'!G:G,"À jour")</f>
        <v>4</v>
      </c>
      <c r="J8" t="s">
        <v>10</v>
      </c>
      <c r="K8" s="7">
        <f>_xlfn.IFERROR(AVERAGE('Entrées hebdo'!B:B),0)</f>
        <v>0</v>
      </c>
    </row>
    <row r="9" ht="15.75" customHeight="1">
      <c r="B9" t="s">
        <v>11</v>
      </c>
      <c r="C9" s="7">
        <f>SUMIF('Entrées hebdo'!E:E,"Sport",'Entrées hebdo'!C:C)-SUMIF('Sorties hebdo'!E:E,"Sport",'Sorties hebdo'!C:C)</f>
        <v>1800000</v>
      </c>
      <c r="D9" s="7">
        <f>SUMIF('Entrées hebdo'!E:E,"Sport",'Entrées hebdo'!C:C)</f>
        <v>3000000</v>
      </c>
      <c r="E9" s="7">
        <f>SUMIF('Sorties hebdo'!E:E,"Sport",'Sorties hebdo'!C:C)</f>
        <v>1200000</v>
      </c>
      <c r="G9" t="s">
        <v>12</v>
      </c>
      <c r="H9">
        <f>COUNTIF(Remboursements!I:I,"En cours")</f>
        <v>0</v>
      </c>
      <c r="J9" t="s">
        <v>13</v>
      </c>
      <c r="K9" s="7">
        <f>_xlfn.IFERROR(AVERAGE('Sorties hebdo'!B:B),0)</f>
        <v>0</v>
      </c>
    </row>
    <row r="10" ht="15.75" customHeight="1">
      <c r="B10" t="s">
        <v>14</v>
      </c>
      <c r="C10" s="7">
        <f>SUMIF('Entrées hebdo'!E:E,"Ration",'Entrées hebdo'!C:C)-SUMIF('Sorties hebdo'!E:E,"Ration",'Sorties hebdo'!C:C)</f>
        <v>300000</v>
      </c>
      <c r="D10" s="7">
        <f>SUMIF('Entrées hebdo'!E:E,"Ration",'Entrées hebdo'!C:C)</f>
        <v>2400000</v>
      </c>
      <c r="E10" s="7">
        <f>SUMIF('Sorties hebdo'!E:E,"Ration",'Sorties hebdo'!C:C)</f>
        <v>2100000</v>
      </c>
      <c r="G10" t="s">
        <v>15</v>
      </c>
      <c r="H10" s="8">
        <f>_xlfn.IFERROR(COUNTIF(Remboursements!I:I,"Payé")/COUNTA(Remboursements!I:I),0)</f>
        <v>0</v>
      </c>
      <c r="J10" t="s">
        <v>16</v>
      </c>
      <c r="K10" s="9">
        <f>_xlfn.IFERROR(K8/K9,0)</f>
        <v>0</v>
      </c>
    </row>
    <row r="11" ht="15.75" customHeight="1">
      <c r="B11" t="s">
        <v>17</v>
      </c>
      <c r="C11" s="7">
        <f>SUMIF('Entrées hebdo'!E:E,"Assurance",'Entrées hebdo'!C:C)-SUMIF('Sorties hebdo'!E:E,"Assurance",'Sorties hebdo'!C:C)</f>
        <v>900000</v>
      </c>
      <c r="D11" s="7">
        <f>SUMIF('Entrées hebdo'!E:E,"Assurance",'Entrées hebdo'!C:C)</f>
        <v>1500000</v>
      </c>
      <c r="E11" s="7">
        <f>SUMIF('Sorties hebdo'!E:E,"Assurance",'Sorties hebdo'!C:C)</f>
        <v>600000</v>
      </c>
    </row>
    <row r="12" ht="15.75" customHeight="1">
      <c r="B12" t="s">
        <v>18</v>
      </c>
      <c r="C12" s="7">
        <f>SUMIF('Entrées hebdo'!E:E,"Secours",'Entrées hebdo'!C:C)-SUMIF('Sorties hebdo'!E:E,"Secours",'Sorties hebdo'!C:C)</f>
        <v>-1200000</v>
      </c>
      <c r="D12" s="7">
        <f>SUMIF('Entrées hebdo'!E:E,"Secours",'Entrées hebdo'!C:C)</f>
        <v>1800000</v>
      </c>
      <c r="E12" s="7">
        <f>SUMIF('Sorties hebdo'!E:E,"Secours",'Sorties hebdo'!C:C)</f>
        <v>3000000</v>
      </c>
    </row>
    <row r="13" ht="15.75" customHeight="1">
      <c r="B13" t="s">
        <v>19</v>
      </c>
      <c r="C13" s="7">
        <f>SUMIF('Entrées hebdo'!E:E,"Développement",'Entrées hebdo'!C:C)-SUMIF('Sorties hebdo'!E:E,"Développement",'Sorties hebdo'!C:C)</f>
        <v>-1800000</v>
      </c>
      <c r="D13" s="7">
        <f>SUMIF('Entrées hebdo'!E:E,"Développement",'Entrées hebdo'!C:C)</f>
        <v>900000</v>
      </c>
      <c r="E13" s="7">
        <f>SUMIF('Sorties hebdo'!E:E,"Développement",'Sorties hebdo'!C:C)</f>
        <v>2700000</v>
      </c>
    </row>
    <row r="14" ht="15" customHeight="1">
      <c r="B14" s="10" t="s">
        <v>20</v>
      </c>
      <c r="C14" s="11">
        <f t="shared" si="0" ref="C14:E14">SUM(C9:C13)</f>
        <v>0</v>
      </c>
      <c r="D14" s="11">
        <f t="shared" si="0"/>
        <v>9600000</v>
      </c>
      <c r="E14" s="11">
        <f t="shared" si="0"/>
        <v>9600000</v>
      </c>
    </row>
    <row r="16" ht="15" customHeight="1">
      <c r="B16" s="12" t="s">
        <v>21</v>
      </c>
      <c r="C16" s="12"/>
      <c r="D16" s="12"/>
      <c r="E16" s="12"/>
      <c r="F16" s="12"/>
      <c r="G16" s="12"/>
      <c r="H16" s="12"/>
      <c r="I16" s="12"/>
      <c r="J16" s="12"/>
      <c r="K16" s="12"/>
    </row>
    <row r="17" ht="14.25" customHeight="1">
      <c r="B17" s="5" t="s">
        <v>22</v>
      </c>
      <c r="C17" s="5" t="s">
        <v>23</v>
      </c>
      <c r="D17" s="5"/>
      <c r="E17" s="5" t="s">
        <v>24</v>
      </c>
    </row>
    <row r="18" ht="15.75" customHeight="1">
      <c r="B18" t="s">
        <v>25</v>
      </c>
      <c r="C18" t="str">
        <f>IF(OR(MIN(C9:C13)&lt;600000,MIN(C9:C13)&lt;0),"⚠️ Solde critique détecté","✅ Tous les soldes OK")</f>
        <v>⚠️ Solde critique détecté</v>
      </c>
      <c r="E18" s="13" t="str">
        <f>IF(MIN(C9:C13)&lt;1000,"ATTENTION","OK")</f>
        <v>ATTENTION</v>
      </c>
    </row>
    <row r="19" ht="15.75" customHeight="1">
      <c r="B19" t="s">
        <v>28</v>
      </c>
      <c r="C19" t="str">
        <f>IF(COUNTIF(Remboursements!I:I,"En retard")&gt;0,"⚠ "&amp;COUNTIF(Remboursements!I:I,"En retard")&amp;" projets en retard","✓ Aucun retard")</f>
        <v>⚠ 6 projets en retard</v>
      </c>
      <c r="E19" s="13" t="str">
        <f>IF(COUNTIF(Remboursements!I:I,"En retard")&gt;0,"URGENT","OK")</f>
        <v>URGENT</v>
      </c>
    </row>
    <row r="20" ht="15.75" customHeight="1">
      <c r="B20" t="s">
        <v>31</v>
      </c>
      <c r="C20" t="str">
        <f>IF(COUNTIF('Membres cotisants'!E:E,"En retard")&gt;3,"⚠ Plus de 3 membres en retard","✓ Cotisations à jour")</f>
        <v>✓ Cotisations à jour</v>
      </c>
      <c r="E20" s="13" t="str">
        <f>IF(COUNTIF('Membres cotisants'!E:E,"En retard")&gt;3,"À SUIVRE","OK")</f>
        <v>OK</v>
      </c>
    </row>
    <row r="22" ht="14.25" customHeight="1">
      <c r="B22" s="14" t="s">
        <v>34</v>
      </c>
      <c r="C22" s="14" t="s">
        <v>35</v>
      </c>
      <c r="D22" s="14"/>
      <c r="E22" s="14"/>
      <c r="F22" s="14"/>
      <c r="G22" s="14"/>
      <c r="H22" s="14"/>
      <c r="I22" s="14"/>
      <c r="J22" s="14"/>
      <c r="K22" s="14"/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drawing r:id="rId1"/>
  <extLst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56FE67C-7935-A135-629B-23CA210B7B68}" mc:Ignorable="x14ac xr xr2 xr3">
  <dimension ref="A1:GR50000"/>
  <sheetViews>
    <sheetView showGridLines="0" topLeftCell="A1" workbookViewId="0">
      <selection activeCell="B2" sqref="B2"/>
    </sheetView>
  </sheetViews>
  <sheetFormatPr defaultRowHeight="15" defaultColWidth="7.75390625" customHeight="1"/>
  <cols>
    <col min="1" max="1" width="2.50390625" customWidth="1"/>
    <col min="2" max="2" width="7.50390625" customWidth="1"/>
    <col min="3" max="3" width="18.75390625" customWidth="1"/>
    <col min="4" max="5" width="12.50390625" customWidth="1"/>
    <col min="6" max="6" width="15.00390625" customWidth="1"/>
    <col min="7" max="8" width="12.50390625" customWidth="1"/>
    <col min="9" max="9" width="15.00390625" customWidth="1"/>
    <col min="10" max="10" width="12.50390625" customWidth="1"/>
    <col min="11" max="11" width="18.75390625" customWidth="1"/>
  </cols>
  <sheetData>
    <row r="2" ht="15.75" customHeight="1">
      <c r="B2" s="32" t="s">
        <v>248</v>
      </c>
      <c r="C2" s="32"/>
      <c r="D2" s="32"/>
      <c r="E2" s="32"/>
      <c r="F2" s="32"/>
      <c r="G2" s="32"/>
      <c r="H2" s="32"/>
      <c r="I2" s="32"/>
      <c r="J2" s="32"/>
    </row>
    <row r="4" ht="15.75" customHeight="1">
      <c r="B4" t="s">
        <v>249</v>
      </c>
      <c r="C4">
        <f>COUNTA(C8:C100)</f>
        <v>5</v>
      </c>
      <c r="E4" t="s">
        <v>250</v>
      </c>
      <c r="F4">
        <f>COUNTIF(G8:G100,"À jour")</f>
        <v>4</v>
      </c>
      <c r="H4" t="s">
        <v>251</v>
      </c>
      <c r="I4">
        <f>COUNTIF(G8:G100,"En retard")</f>
        <v>1</v>
      </c>
    </row>
    <row r="7" ht="14.25" customHeight="1">
      <c r="B7" s="33" t="s">
        <v>150</v>
      </c>
      <c r="C7" s="33" t="s">
        <v>252</v>
      </c>
      <c r="D7" s="33" t="s">
        <v>253</v>
      </c>
      <c r="E7" s="33" t="s">
        <v>254</v>
      </c>
      <c r="F7" s="33" t="s">
        <v>255</v>
      </c>
      <c r="G7" s="33" t="s">
        <v>24</v>
      </c>
      <c r="H7" s="33" t="s">
        <v>256</v>
      </c>
      <c r="I7" s="33" t="s">
        <v>257</v>
      </c>
      <c r="J7" s="33" t="s">
        <v>58</v>
      </c>
      <c r="K7" s="33" t="s">
        <v>43</v>
      </c>
    </row>
    <row r="8" ht="15.75" customHeight="1">
      <c r="B8">
        <v>1</v>
      </c>
      <c r="C8" t="s">
        <v>47</v>
      </c>
      <c r="D8" t="s">
        <v>258</v>
      </c>
      <c r="E8" s="3" t="s">
        <v>259</v>
      </c>
      <c r="F8" s="7">
        <v>300000</v>
      </c>
      <c r="G8" t="s">
        <v>260</v>
      </c>
      <c r="H8" s="3" t="s">
        <v>162</v>
      </c>
      <c r="I8" s="7">
        <v>9000000</v>
      </c>
      <c r="J8" t="s">
        <v>48</v>
      </c>
      <c r="K8" t="s">
        <v>261</v>
      </c>
    </row>
    <row r="9" ht="15.75" customHeight="1">
      <c r="B9">
        <v>2</v>
      </c>
      <c r="C9" t="s">
        <v>54</v>
      </c>
      <c r="D9" t="s">
        <v>262</v>
      </c>
      <c r="E9" s="3" t="s">
        <v>263</v>
      </c>
      <c r="F9" s="7">
        <v>300000</v>
      </c>
      <c r="G9" t="s">
        <v>260</v>
      </c>
      <c r="H9" s="3" t="s">
        <v>264</v>
      </c>
      <c r="I9" s="7">
        <v>7500000</v>
      </c>
      <c r="J9" t="s">
        <v>48</v>
      </c>
      <c r="K9">
        <v>0</v>
      </c>
    </row>
    <row r="10" ht="15.75" customHeight="1">
      <c r="B10">
        <v>3</v>
      </c>
      <c r="C10" t="s">
        <v>59</v>
      </c>
      <c r="D10" t="s">
        <v>265</v>
      </c>
      <c r="E10" s="3" t="s">
        <v>266</v>
      </c>
      <c r="F10" s="7">
        <v>300000</v>
      </c>
      <c r="G10" t="s">
        <v>166</v>
      </c>
      <c r="H10" s="3" t="s">
        <v>165</v>
      </c>
      <c r="I10" s="7">
        <v>4800000</v>
      </c>
      <c r="J10" t="s">
        <v>60</v>
      </c>
      <c r="K10" t="s">
        <v>267</v>
      </c>
    </row>
    <row r="11" ht="15.75" customHeight="1">
      <c r="B11">
        <v>4</v>
      </c>
      <c r="C11" t="s">
        <v>70</v>
      </c>
      <c r="D11" t="s">
        <v>268</v>
      </c>
      <c r="E11" s="3" t="s">
        <v>269</v>
      </c>
      <c r="F11" s="7">
        <v>300000</v>
      </c>
      <c r="G11" t="s">
        <v>260</v>
      </c>
      <c r="H11" s="3" t="s">
        <v>44</v>
      </c>
      <c r="I11" s="7">
        <v>4500000</v>
      </c>
      <c r="J11" t="s">
        <v>48</v>
      </c>
      <c r="K11">
        <v>0</v>
      </c>
    </row>
    <row r="12" ht="15.75" customHeight="1">
      <c r="B12">
        <v>5</v>
      </c>
      <c r="C12" t="s">
        <v>169</v>
      </c>
      <c r="D12" t="s">
        <v>270</v>
      </c>
      <c r="E12" s="3" t="s">
        <v>271</v>
      </c>
      <c r="F12" s="7">
        <v>300000</v>
      </c>
      <c r="G12" t="s">
        <v>260</v>
      </c>
      <c r="H12" s="3" t="s">
        <v>272</v>
      </c>
      <c r="I12" s="7">
        <v>2400000</v>
      </c>
      <c r="J12" t="s">
        <v>60</v>
      </c>
      <c r="K12" t="s">
        <v>273</v>
      </c>
    </row>
    <row r="14" ht="15" customHeight="1">
      <c r="B14" s="17" t="s">
        <v>274</v>
      </c>
      <c r="C14" s="17"/>
      <c r="D14" s="17"/>
      <c r="E14" s="17"/>
      <c r="F14" s="17"/>
      <c r="G14" s="17"/>
      <c r="H14" s="17"/>
      <c r="I14" s="18">
        <f>SUM(I8:I12)</f>
        <v>28200000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9C07648-D0E8-FA96-5D88-126CCEDA3B98}" mc:Ignorable="x14ac xr xr2 xr3">
  <dimension ref="A1:GR50000"/>
  <sheetViews>
    <sheetView showGridLines="0" topLeftCell="A1" workbookViewId="0">
      <selection activeCell="B2" sqref="B2"/>
    </sheetView>
  </sheetViews>
  <sheetFormatPr defaultRowHeight="15" defaultColWidth="7.75390625" customHeight="1"/>
  <cols>
    <col min="1" max="1" width="2.50390625" customWidth="1"/>
    <col min="2" max="2" width="18.75390625" customWidth="1"/>
    <col min="3" max="3" width="16.00390625" customWidth="1"/>
    <col min="4" max="4" width="15.125" customWidth="1"/>
    <col min="5" max="5" width="15.25390625" customWidth="1"/>
    <col min="6" max="6" width="16.00390625" customWidth="1"/>
    <col min="7" max="7" width="14.625" customWidth="1"/>
    <col min="8" max="8" width="14.50390625" customWidth="1"/>
    <col min="9" max="9" width="13.25390625" customWidth="1"/>
    <col min="10" max="10" width="14.00390625" customWidth="1"/>
    <col min="11" max="11" width="14.375" customWidth="1"/>
    <col min="12" max="12" width="14.00390625" customWidth="1"/>
    <col min="13" max="13" width="14.125" customWidth="1"/>
    <col min="14" max="14" width="14.50390625" customWidth="1"/>
  </cols>
  <sheetData>
    <row r="2" ht="15.75" customHeight="1">
      <c r="B2" s="34" t="s">
        <v>275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4" ht="15.75" customHeight="1">
      <c r="B4" t="s">
        <v>276</v>
      </c>
      <c r="C4">
        <v>2025</v>
      </c>
    </row>
    <row r="6" ht="14.25" customHeight="1">
      <c r="B6" s="35" t="s">
        <v>277</v>
      </c>
      <c r="C6" s="35" t="s">
        <v>278</v>
      </c>
      <c r="D6" s="35" t="s">
        <v>279</v>
      </c>
      <c r="E6" s="35" t="s">
        <v>280</v>
      </c>
      <c r="F6" s="35" t="s">
        <v>281</v>
      </c>
      <c r="G6" s="35" t="s">
        <v>282</v>
      </c>
      <c r="H6" s="35" t="s">
        <v>283</v>
      </c>
      <c r="I6" s="35" t="s">
        <v>284</v>
      </c>
      <c r="J6" s="35" t="s">
        <v>285</v>
      </c>
      <c r="K6" s="35" t="s">
        <v>286</v>
      </c>
      <c r="L6" s="35" t="s">
        <v>287</v>
      </c>
      <c r="M6" s="35" t="s">
        <v>288</v>
      </c>
      <c r="N6" s="35" t="s">
        <v>289</v>
      </c>
    </row>
    <row r="7" ht="14.25" customHeight="1">
      <c r="B7" s="36" t="s">
        <v>290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ht="15.75" customHeight="1">
      <c r="B8" t="s">
        <v>291</v>
      </c>
      <c r="C8" s="7">
        <v>48000000</v>
      </c>
      <c r="D8" s="7">
        <v>48000000</v>
      </c>
      <c r="E8" s="7">
        <v>48000000</v>
      </c>
      <c r="F8" s="7">
        <v>48000000</v>
      </c>
      <c r="G8" s="7">
        <v>48000000</v>
      </c>
      <c r="H8" s="7">
        <v>48000000</v>
      </c>
      <c r="I8" s="7">
        <v>48000000</v>
      </c>
      <c r="J8" s="7">
        <v>48000000</v>
      </c>
      <c r="K8" s="7">
        <v>48000000</v>
      </c>
      <c r="L8" s="7">
        <v>48000000</v>
      </c>
      <c r="M8" s="7">
        <v>48000000</v>
      </c>
      <c r="N8" s="7">
        <v>48000000</v>
      </c>
    </row>
    <row r="9" ht="15.75" customHeight="1">
      <c r="B9" t="s">
        <v>292</v>
      </c>
      <c r="C9" s="7">
        <v>39000000</v>
      </c>
      <c r="D9" s="7">
        <v>39000000</v>
      </c>
      <c r="E9" s="7">
        <v>39000000</v>
      </c>
      <c r="F9" s="7">
        <v>39000000</v>
      </c>
      <c r="G9" s="7">
        <v>39000000</v>
      </c>
      <c r="H9" s="7">
        <v>39000000</v>
      </c>
      <c r="I9" s="7">
        <v>39000000</v>
      </c>
      <c r="J9" s="7">
        <v>39000000</v>
      </c>
      <c r="K9" s="7">
        <v>39000000</v>
      </c>
      <c r="L9" s="7">
        <v>39000000</v>
      </c>
      <c r="M9" s="7">
        <v>39000000</v>
      </c>
      <c r="N9" s="7">
        <v>39000000</v>
      </c>
    </row>
    <row r="10" ht="15.75" customHeight="1">
      <c r="B10" t="s">
        <v>293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ht="15" customHeight="1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ht="14.25" customHeight="1">
      <c r="B12" s="36" t="s">
        <v>294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ht="15.75" customHeight="1">
      <c r="B13" t="s">
        <v>295</v>
      </c>
      <c r="C13" s="7">
        <f>SUMIF('Entrées hebdo'!$A:$A,"&gt;="&amp;DATE(C4,1,1),'Entrées hebdo'!$B:$B)-SUMIF('Entrées hebdo'!$A:$A,"&gt;"&amp;EOMONTH(DATE(C4,1,1),0),'Entrées hebdo'!$B:$B)</f>
        <v>0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ht="15.75" customHeight="1">
      <c r="B14" t="s">
        <v>296</v>
      </c>
      <c r="C14" s="7">
        <f>SUMIF('Sorties hebdo'!$A:$A,"&gt;="&amp;DATE(C4,1,1),'Sorties hebdo'!$B:$B)-SUMIF('Sorties hebdo'!$A:$A,"&gt;"&amp;EOMONTH(DATE(C4,1,1),0),'Sorties hebdo'!$B:$B)</f>
        <v>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ht="15.75" customHeight="1">
      <c r="B15" t="s">
        <v>297</v>
      </c>
      <c r="C15" s="7">
        <f>C13-C14</f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ht="15" customHeight="1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ht="14.25" customHeight="1">
      <c r="B17" s="38" t="s">
        <v>298</v>
      </c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</row>
    <row r="18" ht="15.75" customHeight="1">
      <c r="B18" t="s">
        <v>299</v>
      </c>
      <c r="C18" s="7">
        <f t="shared" si="0" ref="C18:C20">C13-C8</f>
        <v>-48000000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ht="15.75" customHeight="1">
      <c r="B19" t="s">
        <v>300</v>
      </c>
      <c r="C19" s="7">
        <f t="shared" si="0"/>
        <v>-39000000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ht="15.75" customHeight="1">
      <c r="B20" t="s">
        <v>301</v>
      </c>
      <c r="C20" s="7">
        <f t="shared" si="0"/>
        <v>0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110" ht="15.75" customHeight="1">
      <c r="C110" s="7">
        <f t="shared" si="1" ref="C110:N110">C18-C19</f>
        <v>-9000000</v>
      </c>
      <c r="D110" s="7">
        <f t="shared" si="1"/>
        <v>0</v>
      </c>
      <c r="E110" s="7">
        <f t="shared" si="1"/>
        <v>0</v>
      </c>
      <c r="F110" s="7">
        <f t="shared" si="1"/>
        <v>0</v>
      </c>
      <c r="G110" s="7">
        <f t="shared" si="1"/>
        <v>0</v>
      </c>
      <c r="H110" s="7">
        <f t="shared" si="1"/>
        <v>0</v>
      </c>
      <c r="I110" s="7">
        <f t="shared" si="1"/>
        <v>0</v>
      </c>
      <c r="J110" s="7">
        <f t="shared" si="1"/>
        <v>0</v>
      </c>
      <c r="K110" s="7">
        <f t="shared" si="1"/>
        <v>0</v>
      </c>
      <c r="L110" s="7">
        <f t="shared" si="1"/>
        <v>0</v>
      </c>
      <c r="M110" s="7">
        <f t="shared" si="1"/>
        <v>0</v>
      </c>
      <c r="N110" s="7">
        <f t="shared" si="1"/>
        <v>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5B388B8-8968-AA57-DEE8-A22FFE232E18}" mc:Ignorable="x14ac xr xr2 xr3">
  <dimension ref="A1:GR50000"/>
  <sheetViews>
    <sheetView showGridLines="0" topLeftCell="A1" workbookViewId="0">
      <selection activeCell="B2" sqref="B2"/>
    </sheetView>
  </sheetViews>
  <sheetFormatPr defaultRowHeight="15" defaultColWidth="7.75390625" customHeight="1"/>
  <cols>
    <col min="1" max="1" width="2.50390625" customWidth="1"/>
    <col min="2" max="2" width="12.50390625" customWidth="1"/>
    <col min="3" max="3" width="15.00390625" customWidth="1"/>
    <col min="4" max="4" width="25.00390625" customWidth="1"/>
    <col min="5" max="5" width="18.50390625" customWidth="1"/>
    <col min="6" max="6" width="15.00390625" customWidth="1"/>
    <col min="7" max="7" width="18.75390625" customWidth="1"/>
    <col min="8" max="8" width="10.00390625" customWidth="1"/>
    <col min="9" max="9" width="18.75390625" customWidth="1"/>
    <col min="10" max="11" width="12.50390625" customWidth="1"/>
  </cols>
  <sheetData>
    <row r="2" ht="15.75" customHeight="1">
      <c r="B2" s="40" t="s">
        <v>302</v>
      </c>
      <c r="C2" s="40"/>
      <c r="D2" s="40"/>
      <c r="E2" s="40"/>
      <c r="F2" s="40"/>
      <c r="G2" s="40"/>
      <c r="H2" s="40"/>
      <c r="I2" s="40"/>
      <c r="J2" s="40"/>
    </row>
    <row r="4" ht="14.25" customHeight="1">
      <c r="B4" s="41" t="s">
        <v>303</v>
      </c>
      <c r="C4" s="41" t="s">
        <v>22</v>
      </c>
      <c r="D4" s="41" t="s">
        <v>304</v>
      </c>
      <c r="E4" s="41" t="s">
        <v>305</v>
      </c>
      <c r="F4" s="41" t="s">
        <v>306</v>
      </c>
      <c r="G4" s="41" t="s">
        <v>307</v>
      </c>
      <c r="H4" s="41" t="s">
        <v>308</v>
      </c>
      <c r="I4" s="41" t="s">
        <v>309</v>
      </c>
      <c r="J4" s="41" t="s">
        <v>24</v>
      </c>
      <c r="K4" s="41" t="s">
        <v>310</v>
      </c>
    </row>
    <row r="5" ht="15.75" customHeight="1">
      <c r="B5" s="3" t="s">
        <v>170</v>
      </c>
      <c r="C5" t="s">
        <v>311</v>
      </c>
      <c r="D5" t="s">
        <v>312</v>
      </c>
      <c r="E5" s="7">
        <v>123000000</v>
      </c>
      <c r="F5" t="s">
        <v>313</v>
      </c>
      <c r="G5" t="s">
        <v>314</v>
      </c>
      <c r="H5">
        <v>12</v>
      </c>
      <c r="I5" t="s">
        <v>315</v>
      </c>
      <c r="J5" t="s">
        <v>316</v>
      </c>
      <c r="K5" t="s">
        <v>48</v>
      </c>
    </row>
    <row r="6" ht="15.75" customHeight="1">
      <c r="B6" s="3" t="s">
        <v>162</v>
      </c>
      <c r="C6" t="s">
        <v>186</v>
      </c>
      <c r="D6" t="s">
        <v>317</v>
      </c>
      <c r="E6" s="7">
        <v>3000000</v>
      </c>
      <c r="F6" t="s">
        <v>53</v>
      </c>
      <c r="G6" t="s">
        <v>318</v>
      </c>
      <c r="H6">
        <v>5</v>
      </c>
      <c r="I6" t="s">
        <v>319</v>
      </c>
      <c r="J6" t="s">
        <v>182</v>
      </c>
      <c r="K6" t="s">
        <v>48</v>
      </c>
    </row>
    <row r="7" ht="15.75" customHeight="1">
      <c r="B7" s="3" t="s">
        <v>264</v>
      </c>
      <c r="C7" t="s">
        <v>320</v>
      </c>
      <c r="D7" t="s">
        <v>321</v>
      </c>
      <c r="E7" s="7">
        <v>1200000</v>
      </c>
      <c r="F7" t="s">
        <v>46</v>
      </c>
      <c r="G7" t="s">
        <v>322</v>
      </c>
      <c r="H7">
        <v>4</v>
      </c>
      <c r="I7" t="s">
        <v>323</v>
      </c>
      <c r="J7" t="s">
        <v>194</v>
      </c>
      <c r="K7" t="s">
        <v>60</v>
      </c>
    </row>
    <row r="8" ht="15.75" customHeight="1">
      <c r="B8" s="3" t="s">
        <v>44</v>
      </c>
      <c r="C8" t="s">
        <v>324</v>
      </c>
      <c r="D8" t="s">
        <v>325</v>
      </c>
      <c r="E8" s="7">
        <v>12000000</v>
      </c>
      <c r="F8" t="s">
        <v>65</v>
      </c>
      <c r="G8" t="s">
        <v>326</v>
      </c>
      <c r="H8">
        <v>25</v>
      </c>
      <c r="I8" t="s">
        <v>327</v>
      </c>
      <c r="J8" t="s">
        <v>194</v>
      </c>
      <c r="K8" t="s">
        <v>48</v>
      </c>
    </row>
    <row r="10" ht="15" customHeight="1">
      <c r="B10" s="17" t="s">
        <v>328</v>
      </c>
      <c r="C10" s="17"/>
      <c r="D10" s="17"/>
      <c r="E10" s="18">
        <f>SUM(E5:E9)</f>
        <v>139200000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ECDB107-D8F2-61C2-A258-7F4415EA979F}" mc:Ignorable="x14ac xr xr2 xr3">
  <dimension ref="A1:GR50000"/>
  <sheetViews>
    <sheetView topLeftCell="A1" workbookViewId="0">
      <selection activeCell="A1" sqref="A1"/>
    </sheetView>
  </sheetViews>
  <sheetFormatPr defaultRowHeight="15" defaultColWidth="7.75390625" customHeight="1"/>
  <cols>
    <col min="1" max="1" width="2.50390625" customWidth="1"/>
    <col min="2" max="2" width="22.50390625" customWidth="1"/>
    <col min="3" max="3" width="15.00390625" customWidth="1"/>
    <col min="4" max="4" width="18.75390625" customWidth="1"/>
  </cols>
  <sheetData>
    <row r="2" ht="15.75" customHeight="1">
      <c r="B2" s="42" t="s">
        <v>329</v>
      </c>
      <c r="C2" s="42"/>
      <c r="D2" s="42"/>
    </row>
    <row r="4" ht="14.25" customHeight="1">
      <c r="B4" s="43" t="s">
        <v>330</v>
      </c>
      <c r="C4" s="43"/>
      <c r="D4" s="43"/>
    </row>
    <row r="5" ht="15.75" customHeight="1">
      <c r="B5" t="s">
        <v>331</v>
      </c>
      <c r="C5" s="7">
        <v>30000000</v>
      </c>
    </row>
    <row r="6" ht="15.75" customHeight="1">
      <c r="B6" t="s">
        <v>332</v>
      </c>
      <c r="C6" s="7">
        <v>18000000</v>
      </c>
    </row>
    <row r="7" ht="15.75" customHeight="1">
      <c r="B7" t="s">
        <v>333</v>
      </c>
      <c r="C7" s="7">
        <v>24000000</v>
      </c>
    </row>
    <row r="8" ht="15.75" customHeight="1">
      <c r="B8" t="s">
        <v>334</v>
      </c>
      <c r="C8" s="7">
        <v>15000000</v>
      </c>
    </row>
    <row r="9" ht="15.75" customHeight="1">
      <c r="B9" t="s">
        <v>335</v>
      </c>
      <c r="C9" s="7">
        <v>36000000</v>
      </c>
    </row>
    <row r="10" ht="14.25" customHeight="1">
      <c r="B10" s="44" t="s">
        <v>336</v>
      </c>
      <c r="C10" s="45">
        <f>SUM(C5:C9)</f>
        <v>123000000</v>
      </c>
    </row>
    <row r="12" ht="14.25" customHeight="1">
      <c r="B12" s="43" t="s">
        <v>337</v>
      </c>
      <c r="C12" s="43"/>
      <c r="D12" s="43"/>
    </row>
    <row r="13" ht="15.75" customHeight="1">
      <c r="B13" t="s">
        <v>338</v>
      </c>
      <c r="C13" s="7">
        <v>48000000</v>
      </c>
    </row>
    <row r="14" ht="15.75" customHeight="1">
      <c r="B14" t="s">
        <v>339</v>
      </c>
      <c r="C14" s="7">
        <v>39000000</v>
      </c>
    </row>
    <row r="16" ht="14.25" customHeight="1">
      <c r="B16" s="43" t="s">
        <v>340</v>
      </c>
      <c r="C16" s="43"/>
      <c r="D16" s="43"/>
    </row>
    <row r="17" ht="15.75" customHeight="1">
      <c r="B17" t="s">
        <v>341</v>
      </c>
      <c r="C17" s="8">
        <v>0.05</v>
      </c>
    </row>
    <row r="18" ht="15.75" customHeight="1">
      <c r="B18" t="s">
        <v>342</v>
      </c>
      <c r="C18" s="7">
        <v>600000</v>
      </c>
    </row>
    <row r="19" ht="15.75" customHeight="1">
      <c r="B19" t="s">
        <v>343</v>
      </c>
      <c r="C19" s="6">
        <v>12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50DDB3C-0638-F558-4CB8-64B12FB3D888}" mc:Ignorable="x14ac xr xr2 xr3">
  <dimension ref="A1:GR50000"/>
  <sheetViews>
    <sheetView showGridLines="0" topLeftCell="A1" workbookViewId="0">
      <selection activeCell="B2" sqref="B2"/>
    </sheetView>
  </sheetViews>
  <sheetFormatPr defaultRowHeight="15" defaultColWidth="7.75390625" customHeight="1"/>
  <cols>
    <col min="1" max="1" width="2.50390625" customWidth="1"/>
    <col min="2" max="2" width="12.50390625" customWidth="1"/>
    <col min="3" max="3" width="15.00390625" customWidth="1"/>
    <col min="4" max="4" width="16.25390625" customWidth="1"/>
    <col min="5" max="5" width="15.00390625" customWidth="1"/>
    <col min="6" max="6" width="18.75390625" customWidth="1"/>
    <col min="7" max="7" width="10.00390625" customWidth="1"/>
    <col min="8" max="8" width="12.50390625" customWidth="1"/>
    <col min="9" max="9" width="18.75390625" customWidth="1"/>
  </cols>
  <sheetData>
    <row r="2" ht="15.75" customHeight="1">
      <c r="B2" s="15" t="s">
        <v>36</v>
      </c>
      <c r="C2" s="15"/>
      <c r="D2" s="15"/>
      <c r="E2" s="15"/>
      <c r="F2" s="15"/>
      <c r="G2" s="15"/>
      <c r="H2" s="15"/>
    </row>
    <row r="4" ht="14.25" customHeight="1">
      <c r="B4" s="16" t="s">
        <v>37</v>
      </c>
      <c r="C4" s="16" t="s">
        <v>38</v>
      </c>
      <c r="D4" s="16" t="s">
        <v>39</v>
      </c>
      <c r="E4" s="16" t="s">
        <v>5</v>
      </c>
      <c r="F4" s="16" t="s">
        <v>40</v>
      </c>
      <c r="G4" s="16" t="s">
        <v>41</v>
      </c>
      <c r="H4" s="16" t="s">
        <v>42</v>
      </c>
      <c r="I4" s="16" t="s">
        <v>43</v>
      </c>
    </row>
    <row r="5" ht="15.75" customHeight="1">
      <c r="B5" s="3" t="s">
        <v>44</v>
      </c>
      <c r="C5" s="7">
        <v>3000000</v>
      </c>
      <c r="D5" t="s">
        <v>45</v>
      </c>
      <c r="E5" t="s">
        <v>46</v>
      </c>
      <c r="F5" t="s">
        <v>47</v>
      </c>
      <c r="G5" t="s">
        <v>48</v>
      </c>
      <c r="H5" t="s">
        <v>49</v>
      </c>
      <c r="I5" t="s">
        <v>50</v>
      </c>
    </row>
    <row r="6" ht="15.75" customHeight="1">
      <c r="B6" s="3" t="s">
        <v>51</v>
      </c>
      <c r="C6" s="7">
        <v>1800000</v>
      </c>
      <c r="D6" t="s">
        <v>52</v>
      </c>
      <c r="E6" t="s">
        <v>53</v>
      </c>
      <c r="F6" t="s">
        <v>54</v>
      </c>
      <c r="G6" t="s">
        <v>48</v>
      </c>
      <c r="H6" t="s">
        <v>55</v>
      </c>
      <c r="I6" t="s">
        <v>56</v>
      </c>
    </row>
    <row r="7" ht="15.75" customHeight="1">
      <c r="B7" s="3" t="s">
        <v>57</v>
      </c>
      <c r="C7" s="7">
        <v>1500000</v>
      </c>
      <c r="D7" t="s">
        <v>45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</row>
    <row r="8" ht="15.75" customHeight="1">
      <c r="B8" s="3" t="s">
        <v>63</v>
      </c>
      <c r="C8" s="7">
        <v>900000</v>
      </c>
      <c r="D8" t="s">
        <v>64</v>
      </c>
      <c r="E8" t="s">
        <v>65</v>
      </c>
      <c r="F8" t="s">
        <v>66</v>
      </c>
      <c r="G8" t="s">
        <v>48</v>
      </c>
      <c r="H8" t="s">
        <v>49</v>
      </c>
      <c r="I8" t="s">
        <v>67</v>
      </c>
    </row>
    <row r="9" ht="15.75" customHeight="1">
      <c r="B9" s="3" t="s">
        <v>68</v>
      </c>
      <c r="C9" s="7">
        <v>2400000</v>
      </c>
      <c r="D9" t="s">
        <v>45</v>
      </c>
      <c r="E9" t="s">
        <v>69</v>
      </c>
      <c r="F9" t="s">
        <v>70</v>
      </c>
      <c r="G9" t="s">
        <v>48</v>
      </c>
      <c r="H9" t="s">
        <v>55</v>
      </c>
      <c r="I9">
        <v>0</v>
      </c>
    </row>
    <row r="11" ht="15" customHeight="1">
      <c r="B11" s="17" t="s">
        <v>71</v>
      </c>
      <c r="C11" s="18">
        <f>SUM(C5:C10)</f>
        <v>9600000</v>
      </c>
    </row>
    <row r="13" ht="14.25" customHeight="1">
      <c r="B13" s="19" t="s">
        <v>72</v>
      </c>
      <c r="C13" s="19"/>
      <c r="D13" s="19"/>
      <c r="E13" s="19"/>
    </row>
    <row r="14" ht="14.25" customHeight="1">
      <c r="B14" s="16" t="s">
        <v>5</v>
      </c>
      <c r="C14" s="16" t="s">
        <v>73</v>
      </c>
      <c r="D14" s="16" t="s">
        <v>74</v>
      </c>
      <c r="E14" s="16" t="s">
        <v>75</v>
      </c>
    </row>
    <row r="15" ht="15.75" customHeight="1">
      <c r="B15" t="s">
        <v>46</v>
      </c>
      <c r="C15" s="7">
        <f>SUMIF($E$5:$E$10,"Sport",$C$5:$C$10)</f>
        <v>5000</v>
      </c>
      <c r="D15" s="6">
        <f>COUNTIF($E$5:$E$10,"Sport")</f>
        <v>1</v>
      </c>
      <c r="E15" s="8">
        <f t="shared" si="0" ref="E15:E19">_xlfn.IFERROR(C15/$C$11,0)</f>
        <v>0.000520833333333333</v>
      </c>
    </row>
    <row r="16" ht="15.75" customHeight="1">
      <c r="B16" t="s">
        <v>69</v>
      </c>
      <c r="C16" s="7">
        <f>SUMIF($E$5:$E$10,"Ration",$C$5:$C$10)</f>
        <v>4000</v>
      </c>
      <c r="D16" s="6">
        <f>COUNTIF($E$5:$E$10,"Ration")</f>
        <v>1</v>
      </c>
      <c r="E16" s="8">
        <f t="shared" si="0"/>
        <v>0.000416666666666667</v>
      </c>
    </row>
    <row r="17" ht="15.75" customHeight="1">
      <c r="B17" t="s">
        <v>58</v>
      </c>
      <c r="C17" s="7">
        <f>SUMIF($E$5:$E$10,"Assurance",$C$5:$C$10)</f>
        <v>2500</v>
      </c>
      <c r="D17" s="6">
        <f>COUNTIF($E$5:$E$10,"Assurance")</f>
        <v>1</v>
      </c>
      <c r="E17" s="8">
        <f t="shared" si="0"/>
        <v>0.000260416666666667</v>
      </c>
    </row>
    <row r="18" ht="15.75" customHeight="1">
      <c r="B18" t="s">
        <v>53</v>
      </c>
      <c r="C18" s="7">
        <f>SUMIF($E$5:$E$10,"Secours",$C$5:$C$10)</f>
        <v>3000</v>
      </c>
      <c r="D18" s="6">
        <f>COUNTIF($E$5:$E$10,"Secours")</f>
        <v>1</v>
      </c>
      <c r="E18" s="8">
        <f t="shared" si="0"/>
        <v>0.0003125</v>
      </c>
    </row>
    <row r="19" ht="15.75" customHeight="1">
      <c r="B19" t="s">
        <v>65</v>
      </c>
      <c r="C19" s="7">
        <f>SUMIF($E$5:$E$10,"Développement",$C$5:$C$10)</f>
        <v>1500</v>
      </c>
      <c r="D19" s="6">
        <f>COUNTIF($E$5:$E$10,"Développement")</f>
        <v>1</v>
      </c>
      <c r="E19" s="8">
        <f t="shared" si="0"/>
        <v>0.00015625</v>
      </c>
    </row>
  </sheetData>
  <dataValidations count="3">
    <dataValidation allowBlank="1" error="Veuillez sélectionner une caisse valide" errorTitle="Erreur" prompt="Choisir la caisse concernée" promptTitle="Sélection Caisse" showErrorMessage="1" sqref="E5:E100" type="list">
      <formula1>"Sport,Ration,Assurance,Secours,Développement"</formula1>
    </dataValidation>
    <dataValidation allowBlank="1" error="Veuillez sélectionner une source valide" errorTitle="Erreur" prompt="Choisir la source des fonds" promptTitle="Source" showErrorMessage="1" sqref="D5:D100" type="list">
      <formula1>"Cotisation membre,Don,Sponsoring,Remboursement,Intérêt,Autre"</formula1>
    </dataValidation>
    <dataValidation allowBlank="1" error="Veuillez sélectionner Oui ou Non" errorTitle="Erreur" prompt="Justificatif reçu ?" promptTitle="Justificatif" showErrorMessage="1" sqref="G5:G100" type="list">
      <formula1>"Oui,Non"</formula1>
    </dataValidation>
  </dataValidation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FC48174-6A98-20A8-5178-112AF6BE2445}" mc:Ignorable="x14ac xr xr2 xr3">
  <dimension ref="A1:GR50000"/>
  <sheetViews>
    <sheetView showGridLines="0" topLeftCell="A1" workbookViewId="0">
      <selection activeCell="B2" sqref="B2"/>
    </sheetView>
  </sheetViews>
  <sheetFormatPr defaultRowHeight="15" defaultColWidth="7.75390625" customHeight="1"/>
  <cols>
    <col min="1" max="1" width="2.50390625" customWidth="1"/>
    <col min="2" max="2" width="12.50390625" customWidth="1"/>
    <col min="3" max="3" width="15.00390625" customWidth="1"/>
    <col min="4" max="4" width="18.75390625" customWidth="1"/>
    <col min="5" max="5" width="15.00390625" customWidth="1"/>
    <col min="6" max="6" width="18.75390625" customWidth="1"/>
    <col min="7" max="7" width="12.50390625" customWidth="1"/>
    <col min="8" max="8" width="10.00390625" customWidth="1"/>
    <col min="9" max="10" width="12.50390625" customWidth="1"/>
  </cols>
  <sheetData>
    <row r="2" ht="15.75" customHeight="1">
      <c r="B2" s="20" t="s">
        <v>76</v>
      </c>
      <c r="C2" s="20"/>
      <c r="D2" s="20"/>
      <c r="E2" s="20"/>
      <c r="F2" s="20"/>
      <c r="G2" s="20"/>
      <c r="H2" s="20"/>
      <c r="I2" s="20"/>
      <c r="J2" s="20"/>
    </row>
    <row r="4" ht="14.25" customHeight="1">
      <c r="B4" s="21" t="s">
        <v>37</v>
      </c>
      <c r="C4" s="21" t="s">
        <v>38</v>
      </c>
      <c r="D4" s="21" t="s">
        <v>77</v>
      </c>
      <c r="E4" s="21" t="s">
        <v>5</v>
      </c>
      <c r="F4" s="21" t="s">
        <v>78</v>
      </c>
      <c r="G4" s="21" t="s">
        <v>79</v>
      </c>
      <c r="H4" s="21" t="s">
        <v>41</v>
      </c>
      <c r="I4" s="21" t="s">
        <v>42</v>
      </c>
      <c r="J4" s="21" t="s">
        <v>24</v>
      </c>
    </row>
    <row r="5" ht="15.75" customHeight="1">
      <c r="B5" s="3" t="s">
        <v>44</v>
      </c>
      <c r="C5" s="7">
        <v>1200000</v>
      </c>
      <c r="D5" t="s">
        <v>80</v>
      </c>
      <c r="E5" t="s">
        <v>46</v>
      </c>
      <c r="F5" t="s">
        <v>81</v>
      </c>
      <c r="G5" t="s">
        <v>82</v>
      </c>
      <c r="H5" t="s">
        <v>48</v>
      </c>
      <c r="I5" t="s">
        <v>55</v>
      </c>
      <c r="J5" t="s">
        <v>83</v>
      </c>
    </row>
    <row r="6" ht="15.75" customHeight="1">
      <c r="B6" s="3" t="s">
        <v>51</v>
      </c>
      <c r="C6" s="7">
        <v>3000000</v>
      </c>
      <c r="D6" t="s">
        <v>84</v>
      </c>
      <c r="E6" t="s">
        <v>53</v>
      </c>
      <c r="F6" t="s">
        <v>85</v>
      </c>
      <c r="G6" t="s">
        <v>86</v>
      </c>
      <c r="H6" t="s">
        <v>48</v>
      </c>
      <c r="I6" t="s">
        <v>49</v>
      </c>
      <c r="J6" t="s">
        <v>83</v>
      </c>
    </row>
    <row r="7" ht="15.75" customHeight="1">
      <c r="B7" s="3" t="s">
        <v>57</v>
      </c>
      <c r="C7" s="7">
        <v>2100000</v>
      </c>
      <c r="D7" t="s">
        <v>87</v>
      </c>
      <c r="E7" t="s">
        <v>69</v>
      </c>
      <c r="F7" t="s">
        <v>88</v>
      </c>
      <c r="G7" t="s">
        <v>89</v>
      </c>
      <c r="H7" t="s">
        <v>48</v>
      </c>
      <c r="I7" t="s">
        <v>61</v>
      </c>
      <c r="J7" t="s">
        <v>83</v>
      </c>
    </row>
    <row r="8" ht="15.75" customHeight="1">
      <c r="B8" s="3" t="s">
        <v>63</v>
      </c>
      <c r="C8" s="7">
        <v>600000</v>
      </c>
      <c r="D8" t="s">
        <v>90</v>
      </c>
      <c r="E8" t="s">
        <v>58</v>
      </c>
      <c r="F8" t="s">
        <v>91</v>
      </c>
      <c r="G8" t="s">
        <v>82</v>
      </c>
      <c r="H8" t="s">
        <v>60</v>
      </c>
      <c r="I8" t="s">
        <v>55</v>
      </c>
      <c r="J8" t="s">
        <v>92</v>
      </c>
    </row>
    <row r="9" ht="15.75" customHeight="1">
      <c r="B9" s="3" t="s">
        <v>68</v>
      </c>
      <c r="C9" s="7">
        <v>2700000</v>
      </c>
      <c r="D9" t="s">
        <v>93</v>
      </c>
      <c r="E9" t="s">
        <v>65</v>
      </c>
      <c r="F9" t="s">
        <v>94</v>
      </c>
      <c r="G9" t="s">
        <v>82</v>
      </c>
      <c r="H9" t="s">
        <v>48</v>
      </c>
      <c r="I9" t="s">
        <v>49</v>
      </c>
      <c r="J9" t="s">
        <v>95</v>
      </c>
    </row>
    <row r="10" ht="15" customHeight="1">
      <c r="C10" s="7"/>
    </row>
    <row r="11" ht="15" customHeight="1">
      <c r="B11" s="17" t="s">
        <v>71</v>
      </c>
      <c r="C11" s="18">
        <f>SUM(C5:C10)</f>
        <v>9600000</v>
      </c>
    </row>
    <row r="13" ht="14.25" customHeight="1">
      <c r="B13" s="22" t="s">
        <v>72</v>
      </c>
      <c r="C13" s="22"/>
      <c r="D13" s="22"/>
      <c r="E13" s="22"/>
    </row>
    <row r="14" ht="14.25" customHeight="1">
      <c r="B14" s="21" t="s">
        <v>5</v>
      </c>
      <c r="C14" s="21" t="s">
        <v>73</v>
      </c>
      <c r="D14" s="21" t="s">
        <v>74</v>
      </c>
      <c r="E14" s="21" t="s">
        <v>75</v>
      </c>
    </row>
    <row r="15" ht="15.75" customHeight="1">
      <c r="B15" t="s">
        <v>46</v>
      </c>
      <c r="C15" s="7">
        <f>SUMIF($E$5:$E$10,"Sport",$C$5:$C$10)</f>
        <v>2000</v>
      </c>
      <c r="D15" s="6">
        <f>COUNTIF($E$5:$E$10,"Sport")</f>
        <v>1</v>
      </c>
      <c r="E15" s="8">
        <f t="shared" si="0" ref="E15:E19">_xlfn.IFERROR(C15/$C$11,0)</f>
        <v>0.000208333333333333</v>
      </c>
    </row>
    <row r="16" ht="15.75" customHeight="1">
      <c r="B16" t="s">
        <v>69</v>
      </c>
      <c r="C16" s="7">
        <f>SUMIF($E$5:$E$10,"Ration",$C$5:$C$10)</f>
        <v>3500</v>
      </c>
      <c r="D16" s="6">
        <f>COUNTIF($E$5:$E$10,"Ration")</f>
        <v>1</v>
      </c>
      <c r="E16" s="8">
        <f t="shared" si="0"/>
        <v>0.000364583333333333</v>
      </c>
    </row>
    <row r="17" ht="15.75" customHeight="1">
      <c r="B17" t="s">
        <v>58</v>
      </c>
      <c r="C17" s="7">
        <f>SUMIF($E$5:$E$10,"Assurance",$C$5:$C$10)</f>
        <v>1000</v>
      </c>
      <c r="D17" s="6">
        <f>COUNTIF($E$5:$E$10,"Assurance")</f>
        <v>1</v>
      </c>
      <c r="E17" s="8">
        <f t="shared" si="0"/>
        <v>0.000104166666666667</v>
      </c>
    </row>
    <row r="18" ht="15.75" customHeight="1">
      <c r="B18" t="s">
        <v>53</v>
      </c>
      <c r="C18" s="7">
        <f>SUMIF($E$5:$E$10,"Secours",$C$5:$C$10)</f>
        <v>5000</v>
      </c>
      <c r="D18" s="6">
        <f>COUNTIF($E$5:$E$10,"Secours")</f>
        <v>1</v>
      </c>
      <c r="E18" s="8">
        <f t="shared" si="0"/>
        <v>0.000520833333333333</v>
      </c>
    </row>
    <row r="19" ht="15.75" customHeight="1">
      <c r="B19" t="s">
        <v>65</v>
      </c>
      <c r="C19" s="7">
        <f>SUMIF($E$5:$E$10,"Développement",$C$5:$C$10)</f>
        <v>4500</v>
      </c>
      <c r="D19" s="6">
        <f>COUNTIF($E$5:$E$10,"Développement")</f>
        <v>1</v>
      </c>
      <c r="E19" s="8">
        <f t="shared" si="0"/>
        <v>0.00046875</v>
      </c>
    </row>
  </sheetData>
  <dataValidations count="4">
    <dataValidation allowBlank="1" error="Veuillez sélectionner une caisse valide" errorTitle="Erreur" prompt="Choisir la caisse utilisée" promptTitle="Sélection Caisse" showErrorMessage="1" sqref="E5:E100" type="list">
      <formula1>"Sport,Ration,Assurance,Secours,Développement"</formula1>
    </dataValidation>
    <dataValidation allowBlank="1" error="Veuillez sélectionner un mode valide" errorTitle="Erreur" prompt="Choisir le mode de paiement" promptTitle="Mode paiement" showErrorMessage="1" sqref="G5:G100" type="list">
      <formula1>"Espèces,Chèque,Virement,Mobile Money"</formula1>
    </dataValidation>
    <dataValidation allowBlank="1" error="Veuillez sélectionner Oui ou Non" errorTitle="Erreur" prompt="Justificatif disponible ?" promptTitle="Justificatif" showErrorMessage="1" sqref="H5:H100" type="list">
      <formula1>"Oui,Non"</formula1>
    </dataValidation>
    <dataValidation allowBlank="1" error="Veuillez sélectionner un statut valide" errorTitle="Erreur" prompt="Statut de la sortie" promptTitle="Statut" showErrorMessage="1" sqref="J5:J100" type="list">
      <formula1>"Payé,En attente,Approuvé,Rejeté"</formula1>
    </dataValidation>
  </dataValidations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AED50C8-A051-CDF4-82C4-529CDB3D4FB3}" mc:Ignorable="x14ac xr xr2 xr3">
  <dimension ref="A1:GR50000"/>
  <sheetViews>
    <sheetView showGridLines="0" topLeftCell="A2" workbookViewId="0">
      <selection activeCell="B9" sqref="B9"/>
    </sheetView>
  </sheetViews>
  <sheetFormatPr defaultRowHeight="15" defaultColWidth="7.75390625" customHeight="1"/>
  <cols>
    <col min="1" max="1" width="2.50390625" customWidth="1"/>
    <col min="2" max="3" width="15.00390625" customWidth="1"/>
    <col min="4" max="10" width="12.50390625" customWidth="1"/>
    <col min="11" max="11" width="18.75390625" customWidth="1"/>
  </cols>
  <sheetData>
    <row r="2" ht="15" customHeight="1">
      <c r="B2" s="23" t="s">
        <v>96</v>
      </c>
      <c r="C2" s="23"/>
      <c r="D2" s="23"/>
      <c r="E2" s="23"/>
      <c r="F2" s="23"/>
      <c r="G2" s="23"/>
      <c r="H2" s="23"/>
    </row>
    <row r="4" ht="15.75" customHeight="1">
      <c r="B4" t="s">
        <v>97</v>
      </c>
      <c r="C4" s="7">
        <v>30000000</v>
      </c>
    </row>
    <row r="5" ht="15.75" customHeight="1">
      <c r="B5" t="s">
        <v>98</v>
      </c>
      <c r="C5" s="7">
        <f>C4+E16-F16</f>
        <v>30500000</v>
      </c>
    </row>
    <row r="7" ht="14.25" customHeight="1">
      <c r="B7" s="24" t="s">
        <v>99</v>
      </c>
      <c r="C7" s="24"/>
      <c r="D7" s="24"/>
      <c r="E7" s="24"/>
      <c r="F7" s="24"/>
      <c r="G7" s="24"/>
      <c r="H7" s="24"/>
    </row>
    <row r="8" ht="14.25" customHeight="1">
      <c r="B8" s="24" t="s">
        <v>37</v>
      </c>
      <c r="C8" s="24" t="s">
        <v>100</v>
      </c>
      <c r="D8" s="24" t="s">
        <v>22</v>
      </c>
      <c r="E8" s="24" t="s">
        <v>101</v>
      </c>
      <c r="F8" s="24" t="s">
        <v>102</v>
      </c>
      <c r="G8" s="24" t="s">
        <v>103</v>
      </c>
      <c r="H8" s="24" t="s">
        <v>104</v>
      </c>
      <c r="I8" s="24" t="s">
        <v>24</v>
      </c>
    </row>
    <row r="9" ht="15.75" customHeight="1">
      <c r="B9" s="3" t="s">
        <v>44</v>
      </c>
      <c r="C9" t="s">
        <v>105</v>
      </c>
      <c r="D9" t="s">
        <v>106</v>
      </c>
      <c r="E9" s="7">
        <v>0</v>
      </c>
      <c r="F9" s="7">
        <v>1200000</v>
      </c>
      <c r="G9" s="7">
        <f>IF(ROW()=9,C5+E9-F9,G8+E9-F9)</f>
        <v>29300000</v>
      </c>
      <c r="H9" t="s">
        <v>55</v>
      </c>
      <c r="I9" t="s">
        <v>83</v>
      </c>
    </row>
    <row r="10" ht="15.75" customHeight="1">
      <c r="B10" s="3" t="s">
        <v>51</v>
      </c>
      <c r="C10" t="s">
        <v>107</v>
      </c>
      <c r="D10" t="s">
        <v>108</v>
      </c>
      <c r="E10" s="7">
        <v>1500000</v>
      </c>
      <c r="F10" s="7">
        <v>0</v>
      </c>
      <c r="G10" s="7">
        <f>IF(ROW()=9,C5+E10-F10,G9+E10-F10)</f>
        <v>30800000</v>
      </c>
      <c r="H10" t="s">
        <v>61</v>
      </c>
      <c r="I10" t="s">
        <v>109</v>
      </c>
    </row>
    <row r="11" ht="15.75" customHeight="1">
      <c r="B11" s="3" t="s">
        <v>57</v>
      </c>
      <c r="C11" t="s">
        <v>110</v>
      </c>
      <c r="D11" t="s">
        <v>111</v>
      </c>
      <c r="E11" s="7">
        <v>0</v>
      </c>
      <c r="F11" s="7">
        <v>500000</v>
      </c>
      <c r="G11" s="7">
        <f>IF(ROW()=9,C5+E11-F11,G10+E11-F11)</f>
        <v>30300000</v>
      </c>
      <c r="H11" t="s">
        <v>49</v>
      </c>
      <c r="I11" t="s">
        <v>83</v>
      </c>
    </row>
    <row r="12" ht="15.75" customHeight="1">
      <c r="B12" s="3" t="s">
        <v>63</v>
      </c>
      <c r="C12" t="s">
        <v>112</v>
      </c>
      <c r="D12" t="s">
        <v>113</v>
      </c>
      <c r="E12" s="7">
        <v>0</v>
      </c>
      <c r="F12" s="7">
        <v>300000</v>
      </c>
      <c r="G12" s="7">
        <f>IF(ROW()=9,C5+E12-F12,G11+E12-F12)</f>
        <v>30000000</v>
      </c>
      <c r="H12" t="s">
        <v>114</v>
      </c>
      <c r="I12" t="s">
        <v>83</v>
      </c>
    </row>
    <row r="13" ht="15.75" customHeight="1">
      <c r="B13" s="3" t="s">
        <v>68</v>
      </c>
      <c r="C13" t="s">
        <v>115</v>
      </c>
      <c r="D13" t="s">
        <v>64</v>
      </c>
      <c r="E13" s="7">
        <v>1800000</v>
      </c>
      <c r="F13" s="7">
        <v>0</v>
      </c>
      <c r="G13" s="7">
        <f>IF(ROW()=9,C5+E13-F13,G12+E13-F13)</f>
        <v>31800000</v>
      </c>
      <c r="H13" t="s">
        <v>49</v>
      </c>
      <c r="I13" t="s">
        <v>109</v>
      </c>
    </row>
    <row r="14" ht="15.75" customHeight="1">
      <c r="B14" s="3" t="s">
        <v>116</v>
      </c>
      <c r="C14" t="s">
        <v>117</v>
      </c>
      <c r="D14" t="s">
        <v>106</v>
      </c>
      <c r="E14" s="7">
        <v>0</v>
      </c>
      <c r="F14" s="7">
        <v>800000</v>
      </c>
      <c r="G14" s="7">
        <f>IF(ROW()=9,C5+E14-F14,G13+E14-F14)</f>
        <v>31000000</v>
      </c>
      <c r="H14" t="s">
        <v>55</v>
      </c>
      <c r="I14" t="s">
        <v>118</v>
      </c>
    </row>
    <row r="16" ht="15" customHeight="1">
      <c r="B16" s="17" t="s">
        <v>119</v>
      </c>
      <c r="C16" s="17"/>
      <c r="D16" s="17"/>
      <c r="E16" s="18">
        <f t="shared" si="0" ref="E16:F16">SUM(E9:E14)</f>
        <v>3300000</v>
      </c>
      <c r="F16" s="18">
        <f t="shared" si="0"/>
        <v>2800000</v>
      </c>
      <c r="G16" s="18">
        <f>E16-F16+C4</f>
        <v>30500000</v>
      </c>
      <c r="H16" s="17"/>
      <c r="I16" s="17"/>
    </row>
    <row r="18" ht="15.75" customHeight="1">
      <c r="B18" t="s">
        <v>120</v>
      </c>
    </row>
    <row r="19" ht="15.75" customHeight="1">
      <c r="B19" t="s">
        <v>121</v>
      </c>
      <c r="C19" s="8">
        <f>(F16/C4)</f>
        <v>0.0933333333333333</v>
      </c>
    </row>
    <row r="20" ht="15.75" customHeight="1">
      <c r="B20" t="s">
        <v>122</v>
      </c>
      <c r="C20" s="7" cm="1">
        <f t="array" ref="C20">C5</f>
        <v>30500000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2CE7BE3-4198-13E8-0874-88EC7FDE1EC8}" mc:Ignorable="x14ac xr xr2 xr3">
  <dimension ref="A1:GR50000"/>
  <sheetViews>
    <sheetView showGridLines="0" topLeftCell="A2" workbookViewId="0">
      <selection activeCell="B9" sqref="B9"/>
    </sheetView>
  </sheetViews>
  <sheetFormatPr defaultRowHeight="15" defaultColWidth="7.75390625" customHeight="1"/>
  <cols>
    <col min="1" max="1" width="2.50390625" customWidth="1"/>
    <col min="2" max="3" width="15.00390625" customWidth="1"/>
    <col min="4" max="5" width="12.50390625" customWidth="1"/>
    <col min="6" max="6" width="14.625" customWidth="1"/>
    <col min="7" max="10" width="12.50390625" customWidth="1"/>
    <col min="11" max="11" width="18.75390625" customWidth="1"/>
  </cols>
  <sheetData>
    <row r="2" ht="15" customHeight="1">
      <c r="B2" s="25" t="s">
        <v>123</v>
      </c>
      <c r="C2" s="23"/>
      <c r="D2" s="23"/>
      <c r="E2" s="23"/>
      <c r="F2" s="23"/>
      <c r="G2" s="23"/>
      <c r="H2" s="23"/>
      <c r="I2" s="23"/>
    </row>
    <row r="4" ht="15.75" customHeight="1">
      <c r="B4" t="s">
        <v>97</v>
      </c>
      <c r="C4" s="7">
        <v>18000000</v>
      </c>
    </row>
    <row r="5" ht="15.75" customHeight="1">
      <c r="B5" t="s">
        <v>98</v>
      </c>
      <c r="C5" s="7">
        <f>C4-F16</f>
        <v>16295000</v>
      </c>
    </row>
    <row r="7" ht="14.25" customHeight="1">
      <c r="B7" s="24" t="s">
        <v>124</v>
      </c>
      <c r="C7" s="24"/>
      <c r="D7" s="24"/>
      <c r="E7" s="24"/>
      <c r="F7" s="24"/>
      <c r="G7" s="24"/>
      <c r="H7" s="24"/>
      <c r="I7" s="24"/>
    </row>
    <row r="8" ht="14.25" customHeight="1">
      <c r="B8" s="24" t="s">
        <v>37</v>
      </c>
      <c r="C8" s="24" t="s">
        <v>125</v>
      </c>
      <c r="D8" s="24" t="s">
        <v>126</v>
      </c>
      <c r="E8" s="24" t="s">
        <v>127</v>
      </c>
      <c r="F8" s="24" t="s">
        <v>128</v>
      </c>
      <c r="G8" s="24" t="s">
        <v>129</v>
      </c>
      <c r="H8" s="24" t="s">
        <v>130</v>
      </c>
      <c r="I8" s="24" t="s">
        <v>104</v>
      </c>
      <c r="J8" s="24" t="s">
        <v>43</v>
      </c>
    </row>
    <row r="9" ht="15.75" customHeight="1">
      <c r="B9" s="3" t="s">
        <v>44</v>
      </c>
      <c r="C9" t="s">
        <v>131</v>
      </c>
      <c r="D9">
        <v>50</v>
      </c>
      <c r="E9" s="7">
        <v>15000</v>
      </c>
      <c r="F9" s="7">
        <f t="shared" si="0" ref="F9:F14">D9*E9</f>
        <v>750000</v>
      </c>
      <c r="G9" t="s">
        <v>132</v>
      </c>
      <c r="H9">
        <v>5</v>
      </c>
      <c r="I9" t="s">
        <v>55</v>
      </c>
      <c r="J9" t="s">
        <v>133</v>
      </c>
    </row>
    <row r="10" ht="15.75" customHeight="1">
      <c r="B10" s="3" t="s">
        <v>51</v>
      </c>
      <c r="C10" t="s">
        <v>134</v>
      </c>
      <c r="D10">
        <v>20</v>
      </c>
      <c r="E10" s="7">
        <v>5000</v>
      </c>
      <c r="F10" s="7">
        <f t="shared" si="0"/>
        <v>100000</v>
      </c>
      <c r="G10" t="s">
        <v>135</v>
      </c>
      <c r="H10">
        <v>4</v>
      </c>
      <c r="I10" t="s">
        <v>61</v>
      </c>
      <c r="J10">
        <v>0</v>
      </c>
    </row>
    <row r="11" ht="15.75" customHeight="1">
      <c r="B11" s="3" t="s">
        <v>57</v>
      </c>
      <c r="C11" t="s">
        <v>136</v>
      </c>
      <c r="D11">
        <v>30</v>
      </c>
      <c r="E11" s="7">
        <v>2500</v>
      </c>
      <c r="F11" s="7">
        <f t="shared" si="0"/>
        <v>75000</v>
      </c>
      <c r="G11" t="s">
        <v>137</v>
      </c>
      <c r="H11">
        <v>6</v>
      </c>
      <c r="I11" t="s">
        <v>49</v>
      </c>
      <c r="J11">
        <v>0</v>
      </c>
    </row>
    <row r="12" ht="15.75" customHeight="1">
      <c r="B12" s="3" t="s">
        <v>63</v>
      </c>
      <c r="C12" t="s">
        <v>138</v>
      </c>
      <c r="D12">
        <v>40</v>
      </c>
      <c r="E12" s="7">
        <v>10000</v>
      </c>
      <c r="F12" s="7">
        <f t="shared" si="0"/>
        <v>400000</v>
      </c>
      <c r="G12" t="s">
        <v>139</v>
      </c>
      <c r="H12">
        <v>1</v>
      </c>
      <c r="I12" t="s">
        <v>55</v>
      </c>
      <c r="J12" t="s">
        <v>140</v>
      </c>
    </row>
    <row r="13" ht="15.75" customHeight="1">
      <c r="B13" s="3" t="s">
        <v>68</v>
      </c>
      <c r="C13" t="s">
        <v>141</v>
      </c>
      <c r="D13">
        <v>25</v>
      </c>
      <c r="E13" s="7">
        <v>8000</v>
      </c>
      <c r="F13" s="7">
        <f t="shared" si="0"/>
        <v>200000</v>
      </c>
      <c r="G13" t="s">
        <v>142</v>
      </c>
      <c r="H13">
        <v>3</v>
      </c>
      <c r="I13" t="s">
        <v>61</v>
      </c>
      <c r="J13">
        <v>0</v>
      </c>
    </row>
    <row r="14" ht="15.75" customHeight="1">
      <c r="B14" s="3" t="s">
        <v>116</v>
      </c>
      <c r="C14" t="s">
        <v>143</v>
      </c>
      <c r="D14">
        <v>15</v>
      </c>
      <c r="E14" s="7">
        <v>12000</v>
      </c>
      <c r="F14" s="7">
        <f t="shared" si="0"/>
        <v>180000</v>
      </c>
      <c r="G14" t="s">
        <v>144</v>
      </c>
      <c r="H14">
        <v>25</v>
      </c>
      <c r="I14" t="s">
        <v>49</v>
      </c>
      <c r="J14" t="s">
        <v>145</v>
      </c>
    </row>
    <row r="16" ht="15" customHeight="1">
      <c r="B16" s="17" t="s">
        <v>119</v>
      </c>
      <c r="C16" s="17"/>
      <c r="D16" s="26">
        <f t="shared" si="1" ref="D16:H16">SUM(D9:D14)</f>
        <v>180</v>
      </c>
      <c r="E16" s="17"/>
      <c r="F16" s="18">
        <f t="shared" si="1"/>
        <v>1705000</v>
      </c>
      <c r="G16" s="17"/>
      <c r="H16" s="26">
        <f t="shared" si="1"/>
        <v>44</v>
      </c>
      <c r="I16" s="17"/>
      <c r="J16" s="17"/>
    </row>
    <row r="18" ht="15.75" customHeight="1">
      <c r="B18" t="s">
        <v>120</v>
      </c>
    </row>
    <row r="19" ht="15.75" customHeight="1">
      <c r="B19" t="s">
        <v>146</v>
      </c>
      <c r="C19" cm="1">
        <f t="array" ref="C19">H16</f>
        <v>44</v>
      </c>
    </row>
    <row r="20" ht="15.75" customHeight="1">
      <c r="B20" t="s">
        <v>147</v>
      </c>
      <c r="C20" s="7">
        <f>IF(H16&gt;0,F16/H16,0)</f>
        <v>38750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DB15A07-5F15-2D5F-B273-8DC426600ED8}" mc:Ignorable="x14ac xr xr2 xr3">
  <dimension ref="A1:GR50000"/>
  <sheetViews>
    <sheetView showGridLines="0" topLeftCell="A5" workbookViewId="0">
      <selection activeCell="B9" sqref="B9"/>
    </sheetView>
  </sheetViews>
  <sheetFormatPr defaultRowHeight="15" defaultColWidth="7.75390625" customHeight="1"/>
  <cols>
    <col min="1" max="1" width="2.50390625" customWidth="1"/>
    <col min="2" max="3" width="15.00390625" customWidth="1"/>
    <col min="4" max="10" width="12.50390625" customWidth="1"/>
    <col min="11" max="11" width="18.75390625" customWidth="1"/>
  </cols>
  <sheetData>
    <row r="2" ht="15" customHeight="1">
      <c r="B2" s="23" t="s">
        <v>148</v>
      </c>
      <c r="C2" s="23"/>
      <c r="D2" s="23"/>
      <c r="E2" s="23"/>
      <c r="F2" s="23"/>
      <c r="G2" s="23"/>
      <c r="H2" s="23"/>
      <c r="I2" s="23"/>
      <c r="J2" s="23"/>
    </row>
    <row r="4" ht="15.75" customHeight="1">
      <c r="B4" t="s">
        <v>97</v>
      </c>
      <c r="C4" s="7">
        <v>24000000</v>
      </c>
    </row>
    <row r="5" ht="15.75" customHeight="1">
      <c r="B5" t="s">
        <v>98</v>
      </c>
      <c r="C5" s="7">
        <f>C4+E15-I15</f>
        <v>23960000</v>
      </c>
    </row>
    <row r="7" ht="14.25" customHeight="1">
      <c r="B7" s="24" t="s">
        <v>149</v>
      </c>
      <c r="C7" s="24"/>
      <c r="D7" s="24"/>
      <c r="E7" s="24"/>
      <c r="F7" s="24"/>
      <c r="G7" s="24"/>
      <c r="H7" s="24"/>
      <c r="I7" s="24"/>
      <c r="J7" s="24"/>
    </row>
    <row r="8" ht="14.25" customHeight="1">
      <c r="B8" s="24" t="s">
        <v>150</v>
      </c>
      <c r="C8" s="24" t="s">
        <v>151</v>
      </c>
      <c r="D8" s="24" t="s">
        <v>152</v>
      </c>
      <c r="E8" s="24" t="s">
        <v>50</v>
      </c>
      <c r="F8" s="24" t="s">
        <v>153</v>
      </c>
      <c r="G8" s="24" t="s">
        <v>154</v>
      </c>
      <c r="H8" s="24" t="s">
        <v>155</v>
      </c>
      <c r="I8" s="24" t="s">
        <v>156</v>
      </c>
      <c r="J8" s="24" t="s">
        <v>157</v>
      </c>
      <c r="K8" s="24" t="s">
        <v>43</v>
      </c>
    </row>
    <row r="9" ht="15.75" customHeight="1">
      <c r="B9">
        <v>1</v>
      </c>
      <c r="C9" t="s">
        <v>47</v>
      </c>
      <c r="D9" t="s">
        <v>158</v>
      </c>
      <c r="E9" s="7">
        <v>50000</v>
      </c>
      <c r="F9" s="3" t="s">
        <v>44</v>
      </c>
      <c r="G9" t="s">
        <v>83</v>
      </c>
      <c r="H9" t="s">
        <v>159</v>
      </c>
      <c r="I9" s="7">
        <v>0</v>
      </c>
      <c r="J9" s="7">
        <v>0</v>
      </c>
      <c r="K9" t="s">
        <v>160</v>
      </c>
    </row>
    <row r="10" ht="15.75" customHeight="1">
      <c r="B10">
        <v>2</v>
      </c>
      <c r="C10" t="s">
        <v>54</v>
      </c>
      <c r="D10" t="s">
        <v>161</v>
      </c>
      <c r="E10" s="7">
        <v>30000</v>
      </c>
      <c r="F10" s="3" t="s">
        <v>162</v>
      </c>
      <c r="G10" t="s">
        <v>83</v>
      </c>
      <c r="H10" t="s">
        <v>163</v>
      </c>
      <c r="I10" s="7">
        <v>150000</v>
      </c>
      <c r="J10" s="7">
        <v>30000</v>
      </c>
      <c r="K10" t="s">
        <v>160</v>
      </c>
    </row>
    <row r="11" ht="15.75" customHeight="1">
      <c r="B11">
        <v>3</v>
      </c>
      <c r="C11" t="s">
        <v>59</v>
      </c>
      <c r="D11" t="s">
        <v>164</v>
      </c>
      <c r="E11" s="7">
        <v>25000</v>
      </c>
      <c r="F11" s="3" t="s">
        <v>165</v>
      </c>
      <c r="G11" t="s">
        <v>166</v>
      </c>
      <c r="H11" t="s">
        <v>167</v>
      </c>
      <c r="I11" s="7">
        <v>0</v>
      </c>
      <c r="J11" s="7">
        <v>25000</v>
      </c>
      <c r="K11" t="s">
        <v>168</v>
      </c>
    </row>
    <row r="12" ht="15.75" customHeight="1">
      <c r="B12">
        <v>4</v>
      </c>
      <c r="C12" t="s">
        <v>70</v>
      </c>
      <c r="D12" t="s">
        <v>158</v>
      </c>
      <c r="E12" s="7">
        <v>50000</v>
      </c>
      <c r="F12" s="3" t="s">
        <v>63</v>
      </c>
      <c r="G12" t="s">
        <v>83</v>
      </c>
      <c r="H12" t="s">
        <v>159</v>
      </c>
      <c r="I12" s="7">
        <v>75000</v>
      </c>
      <c r="J12" s="7">
        <v>0</v>
      </c>
      <c r="K12" t="s">
        <v>160</v>
      </c>
    </row>
    <row r="13" ht="15.75" customHeight="1">
      <c r="B13">
        <v>5</v>
      </c>
      <c r="C13" t="s">
        <v>169</v>
      </c>
      <c r="D13" t="s">
        <v>161</v>
      </c>
      <c r="E13" s="7">
        <v>30000</v>
      </c>
      <c r="F13" s="3" t="s">
        <v>170</v>
      </c>
      <c r="G13" t="s">
        <v>83</v>
      </c>
      <c r="H13" t="s">
        <v>163</v>
      </c>
      <c r="I13" s="7">
        <v>0</v>
      </c>
      <c r="J13" s="7">
        <v>0</v>
      </c>
      <c r="K13" t="s">
        <v>160</v>
      </c>
    </row>
    <row r="15" ht="15" customHeight="1">
      <c r="B15" s="17" t="s">
        <v>119</v>
      </c>
      <c r="C15" s="17"/>
      <c r="D15" s="17"/>
      <c r="E15" s="18">
        <f t="shared" si="0" ref="E15:J15">SUM(E9:E13)</f>
        <v>185000</v>
      </c>
      <c r="F15" s="17"/>
      <c r="G15" s="17"/>
      <c r="H15" s="17"/>
      <c r="I15" s="18">
        <f t="shared" si="0"/>
        <v>225000</v>
      </c>
      <c r="J15" s="18">
        <f t="shared" si="0"/>
        <v>55000</v>
      </c>
      <c r="K15" s="17"/>
    </row>
    <row r="17" ht="15.75" customHeight="1">
      <c r="B17" t="s">
        <v>120</v>
      </c>
    </row>
    <row r="18" ht="15.75" customHeight="1">
      <c r="B18" t="s">
        <v>171</v>
      </c>
      <c r="C18">
        <f>COUNTIF(K9:K13,"Actif")</f>
        <v>4</v>
      </c>
    </row>
    <row r="19" ht="15.75" customHeight="1">
      <c r="B19" t="s">
        <v>172</v>
      </c>
      <c r="C19" s="8">
        <f>C18/5</f>
        <v>0.8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184188-D998-FD08-303E-A96F4084CC08}" mc:Ignorable="x14ac xr xr2 xr3">
  <dimension ref="A1:GR50000"/>
  <sheetViews>
    <sheetView showGridLines="0" topLeftCell="A4" workbookViewId="0">
      <selection activeCell="B9" sqref="B9"/>
    </sheetView>
  </sheetViews>
  <sheetFormatPr defaultRowHeight="15" defaultColWidth="7.75390625" customHeight="1"/>
  <cols>
    <col min="1" max="1" width="2.50390625" customWidth="1"/>
    <col min="2" max="3" width="15.00390625" customWidth="1"/>
    <col min="4" max="4" width="12.50390625" customWidth="1"/>
    <col min="5" max="5" width="15.25390625" customWidth="1"/>
    <col min="6" max="10" width="12.50390625" customWidth="1"/>
    <col min="11" max="11" width="18.75390625" customWidth="1"/>
  </cols>
  <sheetData>
    <row r="2" ht="15" customHeight="1">
      <c r="B2" s="27" t="s">
        <v>173</v>
      </c>
      <c r="C2" s="27"/>
      <c r="D2" s="27"/>
      <c r="E2" s="27"/>
      <c r="F2" s="27"/>
      <c r="G2" s="27"/>
      <c r="H2" s="27"/>
      <c r="I2" s="27"/>
      <c r="J2" s="27"/>
    </row>
    <row r="4" ht="15.75" customHeight="1">
      <c r="B4" t="s">
        <v>97</v>
      </c>
      <c r="C4" s="7">
        <v>15000000</v>
      </c>
    </row>
    <row r="5" ht="15.75" customHeight="1">
      <c r="B5" t="s">
        <v>98</v>
      </c>
      <c r="C5" s="7">
        <f>C4-E15+H15</f>
        <v>7800000</v>
      </c>
    </row>
    <row r="7" ht="14.25" customHeight="1">
      <c r="B7" s="24" t="s">
        <v>174</v>
      </c>
      <c r="C7" s="24"/>
      <c r="D7" s="24"/>
      <c r="E7" s="24"/>
      <c r="F7" s="24"/>
      <c r="G7" s="24"/>
      <c r="H7" s="24"/>
      <c r="I7" s="24"/>
      <c r="J7" s="24"/>
    </row>
    <row r="8" ht="14.25" customHeight="1">
      <c r="B8" s="24" t="s">
        <v>37</v>
      </c>
      <c r="C8" s="24" t="s">
        <v>78</v>
      </c>
      <c r="D8" s="24" t="s">
        <v>175</v>
      </c>
      <c r="E8" s="24" t="s">
        <v>176</v>
      </c>
      <c r="F8" s="24" t="s">
        <v>177</v>
      </c>
      <c r="G8" s="24" t="s">
        <v>178</v>
      </c>
      <c r="H8" s="24" t="s">
        <v>179</v>
      </c>
      <c r="I8" s="24" t="s">
        <v>180</v>
      </c>
      <c r="J8" s="24" t="s">
        <v>24</v>
      </c>
      <c r="K8" s="24" t="s">
        <v>43</v>
      </c>
    </row>
    <row r="9" ht="15.75" customHeight="1">
      <c r="B9" s="3" t="s">
        <v>51</v>
      </c>
      <c r="C9" t="s">
        <v>85</v>
      </c>
      <c r="D9" t="s">
        <v>181</v>
      </c>
      <c r="E9" s="7">
        <v>3000000</v>
      </c>
      <c r="F9" t="s">
        <v>60</v>
      </c>
      <c r="G9" s="3">
        <v>0</v>
      </c>
      <c r="H9" s="7">
        <v>0</v>
      </c>
      <c r="I9" t="s">
        <v>49</v>
      </c>
      <c r="J9" t="s">
        <v>182</v>
      </c>
      <c r="K9" t="s">
        <v>183</v>
      </c>
    </row>
    <row r="10" ht="15.75" customHeight="1">
      <c r="B10" s="3" t="s">
        <v>57</v>
      </c>
      <c r="C10" t="s">
        <v>184</v>
      </c>
      <c r="D10" t="s">
        <v>185</v>
      </c>
      <c r="E10" s="7">
        <v>2000000</v>
      </c>
      <c r="F10" t="s">
        <v>60</v>
      </c>
      <c r="G10" s="3">
        <v>0</v>
      </c>
      <c r="H10" s="7">
        <v>0</v>
      </c>
      <c r="I10" t="s">
        <v>186</v>
      </c>
      <c r="J10" t="s">
        <v>95</v>
      </c>
      <c r="K10" t="s">
        <v>187</v>
      </c>
    </row>
    <row r="11" ht="15.75" customHeight="1">
      <c r="B11" s="3" t="s">
        <v>63</v>
      </c>
      <c r="C11" t="s">
        <v>188</v>
      </c>
      <c r="D11" t="s">
        <v>189</v>
      </c>
      <c r="E11" s="7">
        <v>1000000</v>
      </c>
      <c r="F11" t="s">
        <v>60</v>
      </c>
      <c r="G11" s="3">
        <v>0</v>
      </c>
      <c r="H11" s="7">
        <v>0</v>
      </c>
      <c r="I11" t="s">
        <v>49</v>
      </c>
      <c r="J11" t="s">
        <v>182</v>
      </c>
      <c r="K11" t="s">
        <v>190</v>
      </c>
    </row>
    <row r="12" ht="15.75" customHeight="1">
      <c r="B12" s="3" t="s">
        <v>68</v>
      </c>
      <c r="C12" t="s">
        <v>191</v>
      </c>
      <c r="D12" t="s">
        <v>192</v>
      </c>
      <c r="E12" s="7">
        <v>500000</v>
      </c>
      <c r="F12" t="s">
        <v>48</v>
      </c>
      <c r="G12" s="3" t="s">
        <v>193</v>
      </c>
      <c r="H12" s="7">
        <v>100000</v>
      </c>
      <c r="I12" t="s">
        <v>55</v>
      </c>
      <c r="J12" t="s">
        <v>194</v>
      </c>
      <c r="K12" t="s">
        <v>195</v>
      </c>
    </row>
    <row r="13" ht="15.75" customHeight="1">
      <c r="B13" s="3" t="s">
        <v>116</v>
      </c>
      <c r="C13" t="s">
        <v>196</v>
      </c>
      <c r="D13" t="s">
        <v>197</v>
      </c>
      <c r="E13" s="7">
        <v>800000</v>
      </c>
      <c r="F13" t="s">
        <v>60</v>
      </c>
      <c r="G13" s="3">
        <v>0</v>
      </c>
      <c r="H13" s="7">
        <v>0</v>
      </c>
      <c r="I13" t="s">
        <v>61</v>
      </c>
      <c r="J13" t="s">
        <v>95</v>
      </c>
      <c r="K13" t="s">
        <v>198</v>
      </c>
    </row>
    <row r="15" ht="15" customHeight="1">
      <c r="B15" s="17" t="s">
        <v>119</v>
      </c>
      <c r="C15" s="17"/>
      <c r="D15" s="17"/>
      <c r="E15" s="18">
        <f t="shared" si="0" ref="E15:H15">SUM(E9:E13)</f>
        <v>7300000</v>
      </c>
      <c r="F15" s="17"/>
      <c r="G15" s="17"/>
      <c r="H15" s="18">
        <f t="shared" si="0"/>
        <v>100000</v>
      </c>
      <c r="I15" s="17"/>
      <c r="J15" s="17"/>
      <c r="K15" s="17"/>
    </row>
    <row r="17" ht="15.75" customHeight="1">
      <c r="B17" t="s">
        <v>120</v>
      </c>
    </row>
    <row r="18" ht="15.75" customHeight="1">
      <c r="B18" t="s">
        <v>199</v>
      </c>
      <c r="C18">
        <f>COUNTA(C9:C13)</f>
        <v>5</v>
      </c>
    </row>
    <row r="19" ht="15.75" customHeight="1">
      <c r="B19" t="s">
        <v>200</v>
      </c>
      <c r="C19" s="7">
        <f>E15/C18</f>
        <v>1460000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A575348-1698-D8FD-BA7E-092DFD3B5188}" mc:Ignorable="x14ac xr xr2 xr3">
  <dimension ref="A1:GR50000"/>
  <sheetViews>
    <sheetView showGridLines="0" topLeftCell="E2" workbookViewId="0">
      <selection activeCell="B9" sqref="B9"/>
    </sheetView>
  </sheetViews>
  <sheetFormatPr defaultRowHeight="15" defaultColWidth="7.75390625" customHeight="1"/>
  <cols>
    <col min="1" max="1" width="2.50390625" customWidth="1"/>
    <col min="2" max="3" width="15.00390625" customWidth="1"/>
    <col min="4" max="4" width="12.50390625" customWidth="1"/>
    <col min="5" max="5" width="15.125" customWidth="1"/>
    <col min="6" max="9" width="12.50390625" customWidth="1"/>
    <col min="10" max="10" width="15.00390625" customWidth="1"/>
    <col min="11" max="11" width="18.75390625" customWidth="1"/>
  </cols>
  <sheetData>
    <row r="2" ht="15" customHeight="1">
      <c r="B2" s="28" t="s">
        <v>201</v>
      </c>
      <c r="C2" s="28"/>
      <c r="D2" s="28"/>
      <c r="E2" s="28"/>
      <c r="F2" s="28"/>
      <c r="G2" s="28"/>
      <c r="H2" s="28"/>
      <c r="I2" s="28"/>
      <c r="J2" s="28"/>
      <c r="K2" s="28"/>
    </row>
    <row r="4" ht="15.75" customHeight="1">
      <c r="B4" t="s">
        <v>97</v>
      </c>
      <c r="C4" s="7">
        <v>36000000</v>
      </c>
    </row>
    <row r="5" ht="15.75" customHeight="1">
      <c r="B5" t="s">
        <v>98</v>
      </c>
      <c r="C5" s="7">
        <f>C4-E15</f>
        <v>-18000000</v>
      </c>
    </row>
    <row r="7" ht="14.25" customHeight="1">
      <c r="B7" s="24" t="s">
        <v>202</v>
      </c>
      <c r="C7" s="24"/>
      <c r="D7" s="24"/>
      <c r="E7" s="24"/>
      <c r="F7" s="24"/>
      <c r="G7" s="24"/>
      <c r="H7" s="24"/>
      <c r="I7" s="24"/>
      <c r="J7" s="24"/>
      <c r="K7" s="24"/>
    </row>
    <row r="8" ht="14.25" customHeight="1">
      <c r="B8" s="24" t="s">
        <v>150</v>
      </c>
      <c r="C8" s="24" t="s">
        <v>203</v>
      </c>
      <c r="D8" s="24" t="s">
        <v>78</v>
      </c>
      <c r="E8" s="24" t="s">
        <v>176</v>
      </c>
      <c r="F8" s="24" t="s">
        <v>204</v>
      </c>
      <c r="G8" s="24" t="s">
        <v>205</v>
      </c>
      <c r="H8" s="24" t="s">
        <v>206</v>
      </c>
      <c r="I8" s="24" t="s">
        <v>207</v>
      </c>
      <c r="J8" s="24" t="s">
        <v>208</v>
      </c>
      <c r="K8" s="24" t="s">
        <v>24</v>
      </c>
      <c r="L8" s="24" t="s">
        <v>43</v>
      </c>
    </row>
    <row r="9" ht="15.75" customHeight="1">
      <c r="B9">
        <v>1</v>
      </c>
      <c r="C9" t="s">
        <v>209</v>
      </c>
      <c r="D9" t="s">
        <v>210</v>
      </c>
      <c r="E9" s="7">
        <v>12000000</v>
      </c>
      <c r="F9" s="8">
        <v>0.05</v>
      </c>
      <c r="G9" s="6">
        <v>6</v>
      </c>
      <c r="H9" s="3" t="s">
        <v>211</v>
      </c>
      <c r="I9" s="3" t="s">
        <v>212</v>
      </c>
      <c r="J9" s="7">
        <f t="shared" si="0" ref="J9:J13">E9*(1+F9*G9/12)</f>
        <v>12300000</v>
      </c>
      <c r="K9" t="s">
        <v>194</v>
      </c>
      <c r="L9" t="s">
        <v>213</v>
      </c>
    </row>
    <row r="10" ht="15.75" customHeight="1">
      <c r="B10">
        <v>2</v>
      </c>
      <c r="C10" t="s">
        <v>214</v>
      </c>
      <c r="D10" t="s">
        <v>215</v>
      </c>
      <c r="E10" s="7">
        <v>9000000</v>
      </c>
      <c r="F10" s="8">
        <v>0.04</v>
      </c>
      <c r="G10" s="6">
        <v>4</v>
      </c>
      <c r="H10" s="3" t="s">
        <v>216</v>
      </c>
      <c r="I10" s="3" t="s">
        <v>217</v>
      </c>
      <c r="J10" s="7">
        <f t="shared" si="0"/>
        <v>9120000</v>
      </c>
      <c r="K10" t="s">
        <v>194</v>
      </c>
      <c r="L10" t="s">
        <v>218</v>
      </c>
    </row>
    <row r="11" ht="15.75" customHeight="1">
      <c r="B11">
        <v>3</v>
      </c>
      <c r="C11" t="s">
        <v>219</v>
      </c>
      <c r="D11" t="s">
        <v>220</v>
      </c>
      <c r="E11" s="7">
        <v>15000000</v>
      </c>
      <c r="F11" s="8">
        <v>0.06</v>
      </c>
      <c r="G11" s="6">
        <v>8</v>
      </c>
      <c r="H11" s="3" t="s">
        <v>221</v>
      </c>
      <c r="I11" s="3" t="s">
        <v>212</v>
      </c>
      <c r="J11" s="7">
        <f t="shared" si="0"/>
        <v>15600000</v>
      </c>
      <c r="K11" t="s">
        <v>166</v>
      </c>
      <c r="L11" t="s">
        <v>222</v>
      </c>
    </row>
    <row r="12" ht="15.75" customHeight="1">
      <c r="B12">
        <v>4</v>
      </c>
      <c r="C12" t="s">
        <v>223</v>
      </c>
      <c r="D12" t="s">
        <v>224</v>
      </c>
      <c r="E12" s="7">
        <v>8000000</v>
      </c>
      <c r="F12" s="8">
        <v>0.05</v>
      </c>
      <c r="G12" s="6">
        <v>5</v>
      </c>
      <c r="H12" s="3" t="s">
        <v>162</v>
      </c>
      <c r="I12" s="3" t="s">
        <v>225</v>
      </c>
      <c r="J12" s="7">
        <f t="shared" si="0"/>
        <v>8166666.66666667</v>
      </c>
      <c r="K12" t="s">
        <v>226</v>
      </c>
      <c r="L12" t="s">
        <v>227</v>
      </c>
    </row>
    <row r="13" ht="15.75" customHeight="1">
      <c r="B13">
        <v>5</v>
      </c>
      <c r="C13" t="s">
        <v>228</v>
      </c>
      <c r="D13" t="s">
        <v>229</v>
      </c>
      <c r="E13" s="7">
        <v>10000000</v>
      </c>
      <c r="F13" s="8">
        <v>0.04</v>
      </c>
      <c r="G13" s="6">
        <v>6</v>
      </c>
      <c r="H13" s="3" t="s">
        <v>116</v>
      </c>
      <c r="I13" s="3" t="s">
        <v>230</v>
      </c>
      <c r="J13" s="7">
        <f t="shared" si="0"/>
        <v>10200000</v>
      </c>
      <c r="K13" t="s">
        <v>95</v>
      </c>
      <c r="L13" t="s">
        <v>231</v>
      </c>
    </row>
    <row r="15" ht="15" customHeight="1">
      <c r="B15" s="17" t="s">
        <v>119</v>
      </c>
      <c r="C15" s="17"/>
      <c r="D15" s="17"/>
      <c r="E15" s="18">
        <f t="shared" si="1" ref="E15:J15">SUM(E9:E13)</f>
        <v>54000000</v>
      </c>
      <c r="F15" s="17"/>
      <c r="G15" s="17"/>
      <c r="H15" s="17"/>
      <c r="I15" s="17"/>
      <c r="J15" s="18">
        <f t="shared" si="1"/>
        <v>55386666.6666667</v>
      </c>
      <c r="K15" s="17"/>
      <c r="L15" s="17"/>
    </row>
    <row r="17" ht="15.75" customHeight="1">
      <c r="B17" t="s">
        <v>120</v>
      </c>
    </row>
    <row r="18" ht="15.75" customHeight="1">
      <c r="B18" t="s">
        <v>232</v>
      </c>
      <c r="C18" s="6">
        <f>COUNTIF(K9:K13,"En cours")+COUNTIF(K9:K13,"Démarré")</f>
        <v>3</v>
      </c>
    </row>
    <row r="19" ht="15.75" customHeight="1">
      <c r="B19" t="s">
        <v>233</v>
      </c>
      <c r="C19" s="8">
        <f>(J15-E15)/E15</f>
        <v>0.0256790123456797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E44C578-7F48-2DE9-C8D8-C8ABA7DD5FC8}" mc:Ignorable="x14ac xr xr2 xr3">
  <dimension ref="A1:GR50000"/>
  <sheetViews>
    <sheetView showGridLines="0" topLeftCell="A4" workbookViewId="0">
      <selection activeCell="B7" sqref="B7"/>
    </sheetView>
  </sheetViews>
  <sheetFormatPr defaultRowHeight="15" defaultColWidth="7.75390625" customHeight="1"/>
  <cols>
    <col min="1" max="1" width="2.50390625" customWidth="1"/>
    <col min="2" max="2" width="10.00390625" customWidth="1"/>
    <col min="3" max="3" width="18.75390625" customWidth="1"/>
    <col min="4" max="4" width="15.00390625" customWidth="1"/>
    <col min="5" max="6" width="12.50390625" customWidth="1"/>
    <col min="7" max="7" width="14.875" customWidth="1"/>
    <col min="8" max="8" width="12.50390625" customWidth="1"/>
    <col min="9" max="9" width="15.00390625" customWidth="1"/>
    <col min="10" max="12" width="12.50390625" customWidth="1"/>
    <col min="13" max="13" width="10.00390625" customWidth="1"/>
    <col min="14" max="14" width="18.75390625" customWidth="1"/>
  </cols>
  <sheetData>
    <row r="2" ht="15.75" customHeight="1">
      <c r="B2" s="29" t="s">
        <v>234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4" ht="15.75" customHeight="1">
      <c r="B4" t="s">
        <v>235</v>
      </c>
      <c r="C4" s="8">
        <v>0.05</v>
      </c>
    </row>
    <row r="6" ht="14.25" customHeight="1">
      <c r="B6" s="30" t="s">
        <v>150</v>
      </c>
      <c r="C6" s="30" t="s">
        <v>78</v>
      </c>
      <c r="D6" s="30" t="s">
        <v>176</v>
      </c>
      <c r="E6" s="30" t="s">
        <v>204</v>
      </c>
      <c r="F6" s="30" t="s">
        <v>205</v>
      </c>
      <c r="G6" s="30" t="s">
        <v>236</v>
      </c>
      <c r="H6" s="30" t="s">
        <v>237</v>
      </c>
      <c r="I6" s="30" t="s">
        <v>238</v>
      </c>
      <c r="J6" s="30" t="s">
        <v>24</v>
      </c>
      <c r="K6" s="30" t="s">
        <v>83</v>
      </c>
      <c r="L6" s="30" t="s">
        <v>239</v>
      </c>
      <c r="M6" s="30" t="s">
        <v>240</v>
      </c>
      <c r="N6" s="30" t="s">
        <v>43</v>
      </c>
    </row>
    <row r="7" ht="15.75" customHeight="1">
      <c r="B7">
        <v>1</v>
      </c>
      <c r="C7" t="s">
        <v>210</v>
      </c>
      <c r="D7" s="7">
        <v>12000000</v>
      </c>
      <c r="E7" s="8">
        <v>0.05</v>
      </c>
      <c r="F7" s="6">
        <v>6</v>
      </c>
      <c r="G7" s="3" t="s">
        <v>211</v>
      </c>
      <c r="H7" s="3">
        <f t="shared" si="2" ref="H7:H9">EDATE(G7,F7)</f>
        <v>45839</v>
      </c>
      <c r="I7" s="7">
        <f t="shared" si="0" ref="I7:I9">D7*(1+E7*F7/12)</f>
        <v>12300000</v>
      </c>
      <c r="J7" t="s">
        <v>194</v>
      </c>
      <c r="K7" s="7">
        <v>2000000</v>
      </c>
      <c r="L7" s="7">
        <f t="shared" si="1" ref="L7:L9">I7-K7</f>
        <v>10300000</v>
      </c>
      <c r="M7" s="6">
        <f t="shared" si="3" ref="M7:M9">IF(AND(TODAY()&gt;H7,J7&lt;&gt;"Payé"),TODAY()-H7,0)</f>
        <v>76</v>
      </c>
      <c r="N7" t="s">
        <v>213</v>
      </c>
    </row>
    <row r="8" ht="15.75" customHeight="1">
      <c r="B8">
        <v>2</v>
      </c>
      <c r="C8" t="s">
        <v>215</v>
      </c>
      <c r="D8" s="7">
        <v>9000000</v>
      </c>
      <c r="E8" s="8">
        <v>0.04</v>
      </c>
      <c r="F8" s="6">
        <v>4</v>
      </c>
      <c r="G8" s="3" t="s">
        <v>216</v>
      </c>
      <c r="H8" s="3" t="s">
        <v>217</v>
      </c>
      <c r="I8" s="7">
        <f t="shared" si="0"/>
        <v>9120000</v>
      </c>
      <c r="J8" t="s">
        <v>194</v>
      </c>
      <c r="K8" s="7">
        <v>4500000</v>
      </c>
      <c r="L8" s="7">
        <f t="shared" si="1"/>
        <v>4620000</v>
      </c>
      <c r="M8" s="6">
        <v>0</v>
      </c>
      <c r="N8" t="s">
        <v>218</v>
      </c>
    </row>
    <row r="9" ht="15.75" customHeight="1">
      <c r="B9">
        <v>3</v>
      </c>
      <c r="C9" t="s">
        <v>220</v>
      </c>
      <c r="D9" s="7">
        <v>15000000</v>
      </c>
      <c r="E9" s="8">
        <v>0.06</v>
      </c>
      <c r="F9" s="6">
        <v>8</v>
      </c>
      <c r="G9" s="3" t="s">
        <v>221</v>
      </c>
      <c r="H9" s="3">
        <f t="shared" si="2"/>
        <v>45546</v>
      </c>
      <c r="I9" s="7">
        <f t="shared" si="0"/>
        <v>15600000</v>
      </c>
      <c r="J9" t="s">
        <v>166</v>
      </c>
      <c r="K9" s="7">
        <v>3000000</v>
      </c>
      <c r="L9" s="7">
        <f t="shared" si="1"/>
        <v>12600000</v>
      </c>
      <c r="M9" s="6">
        <f t="shared" si="3"/>
        <v>369</v>
      </c>
      <c r="N9" t="s">
        <v>222</v>
      </c>
    </row>
    <row r="12" ht="15" customHeight="1">
      <c r="B12" s="31" t="s">
        <v>241</v>
      </c>
      <c r="C12" s="31"/>
      <c r="D12" s="31"/>
      <c r="E12" s="31"/>
      <c r="F12" s="31"/>
      <c r="G12" s="31"/>
      <c r="H12" s="31"/>
      <c r="I12" s="31"/>
    </row>
    <row r="13" ht="15.75" customHeight="1">
      <c r="B13" t="s">
        <v>242</v>
      </c>
      <c r="C13" s="6">
        <v>1</v>
      </c>
    </row>
    <row r="14" ht="14.25" customHeight="1">
      <c r="B14" s="30" t="s">
        <v>243</v>
      </c>
      <c r="C14" s="30" t="s">
        <v>37</v>
      </c>
      <c r="D14" s="30" t="s">
        <v>244</v>
      </c>
      <c r="E14" s="30" t="s">
        <v>245</v>
      </c>
      <c r="F14" s="30" t="s">
        <v>246</v>
      </c>
      <c r="G14" s="30" t="s">
        <v>247</v>
      </c>
      <c r="H14" s="30" t="s">
        <v>83</v>
      </c>
      <c r="I14" s="30" t="s">
        <v>24</v>
      </c>
    </row>
    <row r="15" ht="15.75" customHeight="1">
      <c r="B15">
        <v>1</v>
      </c>
      <c r="C15" s="3">
        <f>EDATE($G$7,0)</f>
        <v>45658</v>
      </c>
      <c r="D15" s="7">
        <f t="shared" si="4" ref="D15:D20">$I$7/$F$7</f>
        <v>2050000</v>
      </c>
      <c r="E15" s="7">
        <f t="shared" si="5" ref="E15:E20">$D$7/$F$7</f>
        <v>2000000</v>
      </c>
      <c r="F15" s="7">
        <f t="shared" si="6" ref="F15:F20">D15-E15</f>
        <v>50000</v>
      </c>
      <c r="G15" s="7">
        <f t="shared" si="7" ref="G15:G20">IF(B15=1,$I$7,$G14)-D15</f>
        <v>10250000</v>
      </c>
      <c r="H15" s="7">
        <v>0</v>
      </c>
      <c r="I15" t="str">
        <f t="shared" si="8" ref="I15:I20">IF(H15&gt;=D15,"Payé",IF(TODAY()&gt;C15,"En retard","À venir"))</f>
        <v>En retard</v>
      </c>
    </row>
    <row r="16" ht="15.75" customHeight="1">
      <c r="B16">
        <v>2</v>
      </c>
      <c r="C16" s="3">
        <f>EDATE($G$7,1)</f>
        <v>45689</v>
      </c>
      <c r="D16" s="7">
        <f t="shared" si="4"/>
        <v>2050000</v>
      </c>
      <c r="E16" s="7">
        <f t="shared" si="5"/>
        <v>2000000</v>
      </c>
      <c r="F16" s="7">
        <f t="shared" si="6"/>
        <v>50000</v>
      </c>
      <c r="G16" s="7">
        <f t="shared" si="7"/>
        <v>8200000</v>
      </c>
      <c r="H16" s="7">
        <v>0</v>
      </c>
      <c r="I16" t="str">
        <f t="shared" si="8"/>
        <v>En retard</v>
      </c>
    </row>
    <row r="17" ht="15.75" customHeight="1">
      <c r="B17">
        <v>3</v>
      </c>
      <c r="C17" s="3">
        <f>EDATE($G$7,2)</f>
        <v>45717</v>
      </c>
      <c r="D17" s="7">
        <f t="shared" si="4"/>
        <v>2050000</v>
      </c>
      <c r="E17" s="7">
        <f t="shared" si="5"/>
        <v>2000000</v>
      </c>
      <c r="F17" s="7">
        <f t="shared" si="6"/>
        <v>50000</v>
      </c>
      <c r="G17" s="7">
        <f t="shared" si="7"/>
        <v>6150000</v>
      </c>
      <c r="H17" s="7">
        <v>0</v>
      </c>
      <c r="I17" t="str">
        <f t="shared" si="8"/>
        <v>En retard</v>
      </c>
    </row>
    <row r="18" ht="15.75" customHeight="1">
      <c r="B18">
        <v>4</v>
      </c>
      <c r="C18" s="3">
        <f>EDATE($G$7,3)</f>
        <v>45748</v>
      </c>
      <c r="D18" s="7">
        <f t="shared" si="4"/>
        <v>2050000</v>
      </c>
      <c r="E18" s="7">
        <f t="shared" si="5"/>
        <v>2000000</v>
      </c>
      <c r="F18" s="7">
        <f t="shared" si="6"/>
        <v>50000</v>
      </c>
      <c r="G18" s="7">
        <f t="shared" si="7"/>
        <v>4100000</v>
      </c>
      <c r="H18" s="7">
        <v>0</v>
      </c>
      <c r="I18" t="str">
        <f t="shared" si="8"/>
        <v>En retard</v>
      </c>
    </row>
    <row r="19" ht="15.75" customHeight="1">
      <c r="B19">
        <v>5</v>
      </c>
      <c r="C19" s="3">
        <f>EDATE($G$7,4)</f>
        <v>45778</v>
      </c>
      <c r="D19" s="7">
        <f t="shared" si="4"/>
        <v>2050000</v>
      </c>
      <c r="E19" s="7">
        <f t="shared" si="5"/>
        <v>2000000</v>
      </c>
      <c r="F19" s="7">
        <f t="shared" si="6"/>
        <v>50000</v>
      </c>
      <c r="G19" s="7">
        <f t="shared" si="7"/>
        <v>2050000</v>
      </c>
      <c r="H19" s="7">
        <v>0</v>
      </c>
      <c r="I19" t="str">
        <f t="shared" si="8"/>
        <v>En retard</v>
      </c>
    </row>
    <row r="20" ht="15.75" customHeight="1">
      <c r="B20">
        <v>6</v>
      </c>
      <c r="C20" s="3">
        <f>EDATE($G$7,5)</f>
        <v>45809</v>
      </c>
      <c r="D20" s="7">
        <f t="shared" si="4"/>
        <v>2050000</v>
      </c>
      <c r="E20" s="7">
        <f t="shared" si="5"/>
        <v>2000000</v>
      </c>
      <c r="F20" s="7">
        <f t="shared" si="6"/>
        <v>50000</v>
      </c>
      <c r="G20" s="7">
        <f t="shared" si="7"/>
        <v>0</v>
      </c>
      <c r="H20" s="7">
        <v>0</v>
      </c>
      <c r="I20" t="str">
        <f t="shared" si="8"/>
        <v>En retard</v>
      </c>
    </row>
  </sheetData>
  <printOptions/>
  <pageMargins left="0.7" right="0.7" top="0.75" bottom="0.75" header="0.3" footer="0.3"/>
  <pageSetup paperSize="1" orientation="portrait"/>
  <headerFooter>
    <oddHeader>&amp;L&amp;C&amp;R</oddHeader>
    <oddFooter>&amp;L&amp;C&amp;R</oddFooter>
  </headerFooter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Shortcut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Shortcut</dc:creator>
  <cp:lastModifiedBy>Shortcut</cp:lastModifiedBy>
  <dcterms:created xsi:type="dcterms:W3CDTF">2025-05-22T23:41:35Z</dcterms:created>
  <dcterms:modified xsi:type="dcterms:W3CDTF">2025-05-22T23:45:09Z</dcterms:modified>
</cp:coreProperties>
</file>